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8800" windowHeight="11835" firstSheet="19" activeTab="32"/>
  </bookViews>
  <sheets>
    <sheet name="01.1.1." sheetId="37" r:id="rId1"/>
    <sheet name="01.1.4." sheetId="21" r:id="rId2"/>
    <sheet name="03.2.1." sheetId="5" r:id="rId3"/>
    <sheet name="04.1.4." sheetId="26" r:id="rId4"/>
    <sheet name="06.1.1." sheetId="31" r:id="rId5"/>
    <sheet name="06.1.6." sheetId="6" r:id="rId6"/>
    <sheet name="08.1.6." sheetId="35" r:id="rId7"/>
    <sheet name="08.1.7" sheetId="8" r:id="rId8"/>
    <sheet name="08.1.8" sheetId="9" r:id="rId9"/>
    <sheet name="08.4.1." sheetId="32" r:id="rId10"/>
    <sheet name="08.4.2." sheetId="33" r:id="rId11"/>
    <sheet name="09.4.1." sheetId="14" r:id="rId12"/>
    <sheet name="09.4.2." sheetId="4" r:id="rId13"/>
    <sheet name="09.8.1." sheetId="25" r:id="rId14"/>
    <sheet name="09.9.1." sheetId="18" r:id="rId15"/>
    <sheet name="09.10.1." sheetId="23" r:id="rId16"/>
    <sheet name="09.11.1." sheetId="24" r:id="rId17"/>
    <sheet name="09.12.1." sheetId="22" r:id="rId18"/>
    <sheet name="09.21.4." sheetId="20" r:id="rId19"/>
    <sheet name="09.26.1." sheetId="19" r:id="rId20"/>
    <sheet name="09.29.1." sheetId="15" r:id="rId21"/>
    <sheet name="09.29.2." sheetId="16" r:id="rId22"/>
    <sheet name="09.31.2." sheetId="28" r:id="rId23"/>
    <sheet name="10.2.1." sheetId="12" r:id="rId24"/>
    <sheet name="10.3.1." sheetId="13" r:id="rId25"/>
    <sheet name="10.5.1." sheetId="11" r:id="rId26"/>
    <sheet name="5.piel." sheetId="29" r:id="rId27"/>
    <sheet name="13.piel." sheetId="7" r:id="rId28"/>
    <sheet name="17.piel." sheetId="27" r:id="rId29"/>
    <sheet name="19.piel." sheetId="36" r:id="rId30"/>
    <sheet name="24.piel." sheetId="30" r:id="rId31"/>
    <sheet name="25.piel." sheetId="10" r:id="rId32"/>
    <sheet name="26.piel." sheetId="34" r:id="rId33"/>
    <sheet name="28.piel." sheetId="17" r:id="rId34"/>
    <sheet name="35.piel." sheetId="77" r:id="rId35"/>
    <sheet name="09.1.4" sheetId="47" r:id="rId36"/>
    <sheet name="09.3.1." sheetId="50" r:id="rId37"/>
    <sheet name="09.3.2." sheetId="42" r:id="rId38"/>
    <sheet name="09.6.2." sheetId="43" r:id="rId39"/>
    <sheet name="09.9.2." sheetId="48" r:id="rId40"/>
    <sheet name="09.23.1." sheetId="49" r:id="rId41"/>
    <sheet name="09.23.2." sheetId="44" r:id="rId42"/>
    <sheet name="09.28.1." sheetId="51" r:id="rId43"/>
    <sheet name="09.30.2." sheetId="45" r:id="rId44"/>
    <sheet name="10.2.4." sheetId="40" r:id="rId45"/>
    <sheet name="16.piel." sheetId="46" r:id="rId46"/>
    <sheet name="29.piel." sheetId="41" r:id="rId47"/>
    <sheet name="04.1.11." sheetId="56" r:id="rId48"/>
    <sheet name="04.1.17." sheetId="62" r:id="rId49"/>
    <sheet name="04.3.1." sheetId="74" r:id="rId50"/>
    <sheet name="04.4.2." sheetId="73" r:id="rId51"/>
    <sheet name="06.3.1." sheetId="75" r:id="rId52"/>
    <sheet name="08.1.5." sheetId="64" r:id="rId53"/>
    <sheet name="08.5.1" sheetId="57" r:id="rId54"/>
    <sheet name="08.5.3" sheetId="58" r:id="rId55"/>
    <sheet name="08.5.4" sheetId="59" r:id="rId56"/>
    <sheet name="08.5.5" sheetId="60" r:id="rId57"/>
    <sheet name="08.5.6" sheetId="61" r:id="rId58"/>
    <sheet name="08.6.5." sheetId="63" r:id="rId59"/>
    <sheet name="09.1.13." sheetId="52" r:id="rId60"/>
    <sheet name="09.5.1." sheetId="72" r:id="rId61"/>
    <sheet name="09.6.1." sheetId="67" r:id="rId62"/>
    <sheet name="09.7.1." sheetId="66" r:id="rId63"/>
    <sheet name="09.11.5." sheetId="55" r:id="rId64"/>
    <sheet name="09.14.1." sheetId="70" r:id="rId65"/>
    <sheet name="09.15.1." sheetId="71" r:id="rId66"/>
    <sheet name="09.17.1." sheetId="68" r:id="rId67"/>
    <sheet name="09.19.1." sheetId="69" r:id="rId68"/>
    <sheet name="09.20.1." sheetId="54" r:id="rId69"/>
    <sheet name="09.27.1." sheetId="76" r:id="rId70"/>
    <sheet name="09.30.1." sheetId="53" r:id="rId71"/>
    <sheet name="23.piel." sheetId="65" r:id="rId72"/>
    <sheet name="09.1.12." sheetId="79" r:id="rId73"/>
    <sheet name="09.2.1." sheetId="89" r:id="rId74"/>
    <sheet name="09.5.3." sheetId="81" r:id="rId75"/>
    <sheet name="09.11.4." sheetId="80" r:id="rId76"/>
    <sheet name="09.13.1." sheetId="85" r:id="rId77"/>
    <sheet name="09.16.1." sheetId="86" r:id="rId78"/>
    <sheet name="09.18.1." sheetId="84" r:id="rId79"/>
    <sheet name="09.21.1." sheetId="88" r:id="rId80"/>
    <sheet name="09.22.1." sheetId="87" r:id="rId81"/>
    <sheet name="09.24.3." sheetId="82" r:id="rId82"/>
    <sheet name="09.25.1." sheetId="83" r:id="rId83"/>
    <sheet name="10.2.9." sheetId="78" r:id="rId84"/>
    <sheet name="08.5.7." sheetId="90" r:id="rId85"/>
  </sheets>
  <definedNames>
    <definedName name="_xlnm._FilterDatabase" localSheetId="0" hidden="1">'01.1.1.'!$A$18:$P$301</definedName>
    <definedName name="_xlnm._FilterDatabase" localSheetId="1" hidden="1">'01.1.4.'!$A$18:$P$301</definedName>
    <definedName name="_xlnm._FilterDatabase" localSheetId="2" hidden="1">'03.2.1.'!$A$18:$P$301</definedName>
    <definedName name="_xlnm._FilterDatabase" localSheetId="47" hidden="1">'04.1.11.'!$A$18:$P$301</definedName>
    <definedName name="_xlnm._FilterDatabase" localSheetId="48" hidden="1">'04.1.17.'!$A$18:$P$301</definedName>
    <definedName name="_xlnm._FilterDatabase" localSheetId="3" hidden="1">'04.1.4.'!$A$18:$P$301</definedName>
    <definedName name="_xlnm._FilterDatabase" localSheetId="49" hidden="1">'04.3.1.'!$A$18:$P$301</definedName>
    <definedName name="_xlnm._FilterDatabase" localSheetId="50" hidden="1">'04.4.2.'!$A$18:$P$301</definedName>
    <definedName name="_xlnm._FilterDatabase" localSheetId="4" hidden="1">'06.1.1.'!$A$18:$P$301</definedName>
    <definedName name="_xlnm._FilterDatabase" localSheetId="5" hidden="1">'06.1.6.'!$A$18:$P$301</definedName>
    <definedName name="_xlnm._FilterDatabase" localSheetId="51" hidden="1">'06.3.1.'!$A$18:$P$301</definedName>
    <definedName name="_xlnm._FilterDatabase" localSheetId="52" hidden="1">'08.1.5.'!$A$18:$P$301</definedName>
    <definedName name="_xlnm._FilterDatabase" localSheetId="6" hidden="1">'08.1.6.'!$A$18:$P$301</definedName>
    <definedName name="_xlnm._FilterDatabase" localSheetId="7" hidden="1">'08.1.7'!$A$18:$P$301</definedName>
    <definedName name="_xlnm._FilterDatabase" localSheetId="8" hidden="1">'08.1.8'!$A$18:$P$301</definedName>
    <definedName name="_xlnm._FilterDatabase" localSheetId="9" hidden="1">'08.4.1.'!$A$18:$P$301</definedName>
    <definedName name="_xlnm._FilterDatabase" localSheetId="10" hidden="1">'08.4.2.'!$A$18:$P$301</definedName>
    <definedName name="_xlnm._FilterDatabase" localSheetId="53" hidden="1">'08.5.1'!$A$18:$P$301</definedName>
    <definedName name="_xlnm._FilterDatabase" localSheetId="54" hidden="1">'08.5.3'!$A$18:$P$301</definedName>
    <definedName name="_xlnm._FilterDatabase" localSheetId="55" hidden="1">'08.5.4'!$A$18:$P$301</definedName>
    <definedName name="_xlnm._FilterDatabase" localSheetId="56" hidden="1">'08.5.5'!$A$18:$P$301</definedName>
    <definedName name="_xlnm._FilterDatabase" localSheetId="57" hidden="1">'08.5.6'!$A$18:$P$301</definedName>
    <definedName name="_xlnm._FilterDatabase" localSheetId="84" hidden="1">'08.5.7.'!$A$18:$P$301</definedName>
    <definedName name="_xlnm._FilterDatabase" localSheetId="58" hidden="1">'08.6.5.'!$A$18:$P$301</definedName>
    <definedName name="_xlnm._FilterDatabase" localSheetId="72" hidden="1">'09.1.12.'!$A$18:$P$301</definedName>
    <definedName name="_xlnm._FilterDatabase" localSheetId="59" hidden="1">'09.1.13.'!$A$18:$P$301</definedName>
    <definedName name="_xlnm._FilterDatabase" localSheetId="35" hidden="1">'09.1.4'!$A$18:$P$301</definedName>
    <definedName name="_xlnm._FilterDatabase" localSheetId="15" hidden="1">'09.10.1.'!$A$18:$P$301</definedName>
    <definedName name="_xlnm._FilterDatabase" localSheetId="16" hidden="1">'09.11.1.'!$A$18:$P$301</definedName>
    <definedName name="_xlnm._FilterDatabase" localSheetId="75" hidden="1">'09.11.4.'!$A$18:$P$301</definedName>
    <definedName name="_xlnm._FilterDatabase" localSheetId="63" hidden="1">'09.11.5.'!$A$18:$P$301</definedName>
    <definedName name="_xlnm._FilterDatabase" localSheetId="17" hidden="1">'09.12.1.'!$A$18:$P$301</definedName>
    <definedName name="_xlnm._FilterDatabase" localSheetId="76" hidden="1">'09.13.1.'!$A$18:$P$301</definedName>
    <definedName name="_xlnm._FilterDatabase" localSheetId="64" hidden="1">'09.14.1.'!$A$18:$P$301</definedName>
    <definedName name="_xlnm._FilterDatabase" localSheetId="65" hidden="1">'09.15.1.'!$A$18:$P$301</definedName>
    <definedName name="_xlnm._FilterDatabase" localSheetId="77" hidden="1">'09.16.1.'!$A$18:$P$301</definedName>
    <definedName name="_xlnm._FilterDatabase" localSheetId="66" hidden="1">'09.17.1.'!$A$18:$P$301</definedName>
    <definedName name="_xlnm._FilterDatabase" localSheetId="78" hidden="1">'09.18.1.'!$A$18:$P$301</definedName>
    <definedName name="_xlnm._FilterDatabase" localSheetId="67" hidden="1">'09.19.1.'!$A$18:$P$301</definedName>
    <definedName name="_xlnm._FilterDatabase" localSheetId="73" hidden="1">'09.2.1.'!$A$18:$P$301</definedName>
    <definedName name="_xlnm._FilterDatabase" localSheetId="68" hidden="1">'09.20.1.'!$A$18:$P$301</definedName>
    <definedName name="_xlnm._FilterDatabase" localSheetId="79" hidden="1">'09.21.1.'!$A$18:$P$301</definedName>
    <definedName name="_xlnm._FilterDatabase" localSheetId="18" hidden="1">'09.21.4.'!$A$18:$P$301</definedName>
    <definedName name="_xlnm._FilterDatabase" localSheetId="80" hidden="1">'09.22.1.'!$A$18:$P$301</definedName>
    <definedName name="_xlnm._FilterDatabase" localSheetId="40" hidden="1">'09.23.1.'!$A$18:$P$301</definedName>
    <definedName name="_xlnm._FilterDatabase" localSheetId="41" hidden="1">'09.23.2.'!$A$18:$P$301</definedName>
    <definedName name="_xlnm._FilterDatabase" localSheetId="81" hidden="1">'09.24.3.'!$A$18:$P$301</definedName>
    <definedName name="_xlnm._FilterDatabase" localSheetId="82" hidden="1">'09.25.1.'!$A$18:$P$301</definedName>
    <definedName name="_xlnm._FilterDatabase" localSheetId="19" hidden="1">'09.26.1.'!$A$18:$P$301</definedName>
    <definedName name="_xlnm._FilterDatabase" localSheetId="69" hidden="1">'09.27.1.'!$A$18:$P$301</definedName>
    <definedName name="_xlnm._FilterDatabase" localSheetId="42" hidden="1">'09.28.1.'!$A$18:$P$301</definedName>
    <definedName name="_xlnm._FilterDatabase" localSheetId="20" hidden="1">'09.29.1.'!$A$18:$P$301</definedName>
    <definedName name="_xlnm._FilterDatabase" localSheetId="21" hidden="1">'09.29.2.'!$A$18:$P$301</definedName>
    <definedName name="_xlnm._FilterDatabase" localSheetId="36" hidden="1">'09.3.1.'!$A$18:$P$301</definedName>
    <definedName name="_xlnm._FilterDatabase" localSheetId="37" hidden="1">'09.3.2.'!$A$18:$P$301</definedName>
    <definedName name="_xlnm._FilterDatabase" localSheetId="70" hidden="1">'09.30.1.'!$A$18:$P$301</definedName>
    <definedName name="_xlnm._FilterDatabase" localSheetId="43" hidden="1">'09.30.2.'!$A$18:$P$301</definedName>
    <definedName name="_xlnm._FilterDatabase" localSheetId="22" hidden="1">'09.31.2.'!$A$18:$P$301</definedName>
    <definedName name="_xlnm._FilterDatabase" localSheetId="11" hidden="1">'09.4.1.'!$A$18:$P$301</definedName>
    <definedName name="_xlnm._FilterDatabase" localSheetId="12" hidden="1">'09.4.2.'!$A$18:$P$301</definedName>
    <definedName name="_xlnm._FilterDatabase" localSheetId="60" hidden="1">'09.5.1.'!$A$18:$P$301</definedName>
    <definedName name="_xlnm._FilterDatabase" localSheetId="74" hidden="1">'09.5.3.'!$A$18:$P$301</definedName>
    <definedName name="_xlnm._FilterDatabase" localSheetId="61" hidden="1">'09.6.1.'!$A$18:$P$301</definedName>
    <definedName name="_xlnm._FilterDatabase" localSheetId="38" hidden="1">'09.6.2.'!$A$18:$P$301</definedName>
    <definedName name="_xlnm._FilterDatabase" localSheetId="62" hidden="1">'09.7.1.'!$A$18:$P$301</definedName>
    <definedName name="_xlnm._FilterDatabase" localSheetId="13" hidden="1">'09.8.1.'!$A$18:$P$301</definedName>
    <definedName name="_xlnm._FilterDatabase" localSheetId="14" hidden="1">'09.9.1.'!$A$18:$P$301</definedName>
    <definedName name="_xlnm._FilterDatabase" localSheetId="39" hidden="1">'09.9.2.'!$A$18:$P$301</definedName>
    <definedName name="_xlnm._FilterDatabase" localSheetId="23" hidden="1">'10.2.1.'!$A$18:$P$301</definedName>
    <definedName name="_xlnm._FilterDatabase" localSheetId="44" hidden="1">'10.2.4.'!$A$18:$P$301</definedName>
    <definedName name="_xlnm._FilterDatabase" localSheetId="83" hidden="1">'10.2.9.'!$A$18:$P$301</definedName>
    <definedName name="_xlnm._FilterDatabase" localSheetId="24" hidden="1">'10.3.1.'!$A$18:$P$301</definedName>
    <definedName name="_xlnm._FilterDatabase" localSheetId="25" hidden="1">'10.5.1.'!$A$18:$P$301</definedName>
    <definedName name="_xlnm._FilterDatabase" localSheetId="33" hidden="1">'28.piel.'!$A$7:$H$272</definedName>
    <definedName name="_xlnm.Print_Area" localSheetId="68">'09.20.1.'!$A$1:$P$301</definedName>
    <definedName name="_xlnm.Print_Area" localSheetId="34">'35.piel.'!$A$1:$R$103</definedName>
    <definedName name="_xlnm.Print_Titles" localSheetId="0">'01.1.1.'!$18:$18</definedName>
    <definedName name="_xlnm.Print_Titles" localSheetId="1">'01.1.4.'!$18:$18</definedName>
    <definedName name="_xlnm.Print_Titles" localSheetId="2">'03.2.1.'!$18:$18</definedName>
    <definedName name="_xlnm.Print_Titles" localSheetId="47">'04.1.11.'!$18:$18</definedName>
    <definedName name="_xlnm.Print_Titles" localSheetId="48">'04.1.17.'!$18:$18</definedName>
    <definedName name="_xlnm.Print_Titles" localSheetId="49">'04.3.1.'!$18:$18</definedName>
    <definedName name="_xlnm.Print_Titles" localSheetId="50">'04.4.2.'!$18:$18</definedName>
    <definedName name="_xlnm.Print_Titles" localSheetId="4">'06.1.1.'!$18:$18</definedName>
    <definedName name="_xlnm.Print_Titles" localSheetId="5">'06.1.6.'!$18:$18</definedName>
    <definedName name="_xlnm.Print_Titles" localSheetId="51">'06.3.1.'!$18:$18</definedName>
    <definedName name="_xlnm.Print_Titles" localSheetId="52">'08.1.5.'!$18:$18</definedName>
    <definedName name="_xlnm.Print_Titles" localSheetId="6">'08.1.6.'!$18:$18</definedName>
    <definedName name="_xlnm.Print_Titles" localSheetId="7">'08.1.7'!$18:$18</definedName>
    <definedName name="_xlnm.Print_Titles" localSheetId="8">'08.1.8'!$18:$18</definedName>
    <definedName name="_xlnm.Print_Titles" localSheetId="9">'08.4.1.'!$18:$18</definedName>
    <definedName name="_xlnm.Print_Titles" localSheetId="10">'08.4.2.'!$18:$18</definedName>
    <definedName name="_xlnm.Print_Titles" localSheetId="53">'08.5.1'!$18:$18</definedName>
    <definedName name="_xlnm.Print_Titles" localSheetId="54">'08.5.3'!$18:$18</definedName>
    <definedName name="_xlnm.Print_Titles" localSheetId="55">'08.5.4'!$18:$18</definedName>
    <definedName name="_xlnm.Print_Titles" localSheetId="56">'08.5.5'!$18:$18</definedName>
    <definedName name="_xlnm.Print_Titles" localSheetId="57">'08.5.6'!$18:$18</definedName>
    <definedName name="_xlnm.Print_Titles" localSheetId="84">'08.5.7.'!$18:$18</definedName>
    <definedName name="_xlnm.Print_Titles" localSheetId="58">'08.6.5.'!$18:$18</definedName>
    <definedName name="_xlnm.Print_Titles" localSheetId="72">'09.1.12.'!$18:$18</definedName>
    <definedName name="_xlnm.Print_Titles" localSheetId="59">'09.1.13.'!$18:$18</definedName>
    <definedName name="_xlnm.Print_Titles" localSheetId="35">'09.1.4'!$18:$18</definedName>
    <definedName name="_xlnm.Print_Titles" localSheetId="15">'09.10.1.'!$18:$18</definedName>
    <definedName name="_xlnm.Print_Titles" localSheetId="16">'09.11.1.'!$18:$18</definedName>
    <definedName name="_xlnm.Print_Titles" localSheetId="75">'09.11.4.'!$18:$18</definedName>
    <definedName name="_xlnm.Print_Titles" localSheetId="63">'09.11.5.'!$18:$18</definedName>
    <definedName name="_xlnm.Print_Titles" localSheetId="17">'09.12.1.'!$18:$18</definedName>
    <definedName name="_xlnm.Print_Titles" localSheetId="76">'09.13.1.'!$18:$18</definedName>
    <definedName name="_xlnm.Print_Titles" localSheetId="64">'09.14.1.'!$18:$18</definedName>
    <definedName name="_xlnm.Print_Titles" localSheetId="65">'09.15.1.'!$18:$18</definedName>
    <definedName name="_xlnm.Print_Titles" localSheetId="77">'09.16.1.'!$18:$18</definedName>
    <definedName name="_xlnm.Print_Titles" localSheetId="66">'09.17.1.'!$18:$18</definedName>
    <definedName name="_xlnm.Print_Titles" localSheetId="78">'09.18.1.'!$18:$18</definedName>
    <definedName name="_xlnm.Print_Titles" localSheetId="67">'09.19.1.'!$18:$18</definedName>
    <definedName name="_xlnm.Print_Titles" localSheetId="73">'09.2.1.'!$18:$18</definedName>
    <definedName name="_xlnm.Print_Titles" localSheetId="68">'09.20.1.'!$18:$18</definedName>
    <definedName name="_xlnm.Print_Titles" localSheetId="79">'09.21.1.'!$18:$18</definedName>
    <definedName name="_xlnm.Print_Titles" localSheetId="18">'09.21.4.'!$18:$18</definedName>
    <definedName name="_xlnm.Print_Titles" localSheetId="80">'09.22.1.'!$18:$18</definedName>
    <definedName name="_xlnm.Print_Titles" localSheetId="40">'09.23.1.'!$18:$18</definedName>
    <definedName name="_xlnm.Print_Titles" localSheetId="41">'09.23.2.'!$18:$18</definedName>
    <definedName name="_xlnm.Print_Titles" localSheetId="81">'09.24.3.'!$18:$18</definedName>
    <definedName name="_xlnm.Print_Titles" localSheetId="19">'09.26.1.'!$18:$18</definedName>
    <definedName name="_xlnm.Print_Titles" localSheetId="69">'09.27.1.'!$18:$18</definedName>
    <definedName name="_xlnm.Print_Titles" localSheetId="42">'09.28.1.'!$18:$18</definedName>
    <definedName name="_xlnm.Print_Titles" localSheetId="20">'09.29.1.'!$18:$18</definedName>
    <definedName name="_xlnm.Print_Titles" localSheetId="21">'09.29.2.'!$18:$18</definedName>
    <definedName name="_xlnm.Print_Titles" localSheetId="36">'09.3.1.'!$18:$18</definedName>
    <definedName name="_xlnm.Print_Titles" localSheetId="37">'09.3.2.'!$18:$18</definedName>
    <definedName name="_xlnm.Print_Titles" localSheetId="70">'09.30.1.'!$18:$18</definedName>
    <definedName name="_xlnm.Print_Titles" localSheetId="43">'09.30.2.'!$18:$18</definedName>
    <definedName name="_xlnm.Print_Titles" localSheetId="22">'09.31.2.'!$18:$18</definedName>
    <definedName name="_xlnm.Print_Titles" localSheetId="11">'09.4.1.'!$18:$18</definedName>
    <definedName name="_xlnm.Print_Titles" localSheetId="12">'09.4.2.'!$18:$18</definedName>
    <definedName name="_xlnm.Print_Titles" localSheetId="60">'09.5.1.'!$18:$18</definedName>
    <definedName name="_xlnm.Print_Titles" localSheetId="74">'09.5.3.'!$18:$18</definedName>
    <definedName name="_xlnm.Print_Titles" localSheetId="61">'09.6.1.'!$18:$18</definedName>
    <definedName name="_xlnm.Print_Titles" localSheetId="38">'09.6.2.'!$18:$18</definedName>
    <definedName name="_xlnm.Print_Titles" localSheetId="62">'09.7.1.'!$18:$18</definedName>
    <definedName name="_xlnm.Print_Titles" localSheetId="13">'09.8.1.'!$18:$18</definedName>
    <definedName name="_xlnm.Print_Titles" localSheetId="14">'09.9.1.'!$18:$18</definedName>
    <definedName name="_xlnm.Print_Titles" localSheetId="39">'09.9.2.'!$18:$18</definedName>
    <definedName name="_xlnm.Print_Titles" localSheetId="23">'10.2.1.'!$18:$18</definedName>
    <definedName name="_xlnm.Print_Titles" localSheetId="44">'10.2.4.'!$18:$18</definedName>
    <definedName name="_xlnm.Print_Titles" localSheetId="83">'10.2.9.'!$18:$18</definedName>
    <definedName name="_xlnm.Print_Titles" localSheetId="24">'10.3.1.'!$18:$18</definedName>
    <definedName name="_xlnm.Print_Titles" localSheetId="25">'10.5.1.'!$18:$18</definedName>
    <definedName name="_xlnm.Print_Titles" localSheetId="34">'35.piel.'!$5:$5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01" i="90" l="1"/>
  <c r="L301" i="90"/>
  <c r="I301" i="90"/>
  <c r="F301" i="90"/>
  <c r="O300" i="90"/>
  <c r="L300" i="90"/>
  <c r="I300" i="90"/>
  <c r="F300" i="90"/>
  <c r="C300" i="90" s="1"/>
  <c r="O299" i="90"/>
  <c r="L299" i="90"/>
  <c r="I299" i="90"/>
  <c r="F299" i="90"/>
  <c r="C299" i="90" s="1"/>
  <c r="O298" i="90"/>
  <c r="L298" i="90"/>
  <c r="I298" i="90"/>
  <c r="F298" i="90"/>
  <c r="C298" i="90" s="1"/>
  <c r="O297" i="90"/>
  <c r="L297" i="90"/>
  <c r="I297" i="90"/>
  <c r="F297" i="90"/>
  <c r="O296" i="90"/>
  <c r="L296" i="90"/>
  <c r="I296" i="90"/>
  <c r="F296" i="90"/>
  <c r="O295" i="90"/>
  <c r="L295" i="90"/>
  <c r="I295" i="90"/>
  <c r="F295" i="90"/>
  <c r="O294" i="90"/>
  <c r="L294" i="90"/>
  <c r="L293" i="90" s="1"/>
  <c r="I294" i="90"/>
  <c r="F294" i="90"/>
  <c r="C294" i="90" s="1"/>
  <c r="N293" i="90"/>
  <c r="M293" i="90"/>
  <c r="K293" i="90"/>
  <c r="J293" i="90"/>
  <c r="H293" i="90"/>
  <c r="G293" i="90"/>
  <c r="E293" i="90"/>
  <c r="D293" i="90"/>
  <c r="O288" i="90"/>
  <c r="L288" i="90"/>
  <c r="I288" i="90"/>
  <c r="F288" i="90"/>
  <c r="O287" i="90"/>
  <c r="L287" i="90"/>
  <c r="L286" i="90" s="1"/>
  <c r="I287" i="90"/>
  <c r="F287" i="90"/>
  <c r="O286" i="90"/>
  <c r="N286" i="90"/>
  <c r="M286" i="90"/>
  <c r="K286" i="90"/>
  <c r="J286" i="90"/>
  <c r="H286" i="90"/>
  <c r="G286" i="90"/>
  <c r="F286" i="90"/>
  <c r="E286" i="90"/>
  <c r="D286" i="90"/>
  <c r="O285" i="90"/>
  <c r="O284" i="90" s="1"/>
  <c r="O283" i="90" s="1"/>
  <c r="L285" i="90"/>
  <c r="L284" i="90" s="1"/>
  <c r="L283" i="90" s="1"/>
  <c r="I285" i="90"/>
  <c r="I284" i="90" s="1"/>
  <c r="I283" i="90" s="1"/>
  <c r="F285" i="90"/>
  <c r="N284" i="90"/>
  <c r="M284" i="90"/>
  <c r="M283" i="90" s="1"/>
  <c r="K284" i="90"/>
  <c r="J284" i="90"/>
  <c r="H284" i="90"/>
  <c r="H283" i="90" s="1"/>
  <c r="G284" i="90"/>
  <c r="G283" i="90" s="1"/>
  <c r="E284" i="90"/>
  <c r="E283" i="90" s="1"/>
  <c r="D284" i="90"/>
  <c r="D283" i="90" s="1"/>
  <c r="N283" i="90"/>
  <c r="K283" i="90"/>
  <c r="J283" i="90"/>
  <c r="O282" i="90"/>
  <c r="O281" i="90" s="1"/>
  <c r="L282" i="90"/>
  <c r="L281" i="90" s="1"/>
  <c r="I282" i="90"/>
  <c r="F282" i="90"/>
  <c r="F281" i="90" s="1"/>
  <c r="N281" i="90"/>
  <c r="M281" i="90"/>
  <c r="K281" i="90"/>
  <c r="J281" i="90"/>
  <c r="I281" i="90"/>
  <c r="H281" i="90"/>
  <c r="G281" i="90"/>
  <c r="E281" i="90"/>
  <c r="D281" i="90"/>
  <c r="O280" i="90"/>
  <c r="L280" i="90"/>
  <c r="I280" i="90"/>
  <c r="F280" i="90"/>
  <c r="O279" i="90"/>
  <c r="L279" i="90"/>
  <c r="I279" i="90"/>
  <c r="F279" i="90"/>
  <c r="O278" i="90"/>
  <c r="L278" i="90"/>
  <c r="I278" i="90"/>
  <c r="F278" i="90"/>
  <c r="O277" i="90"/>
  <c r="L277" i="90"/>
  <c r="I277" i="90"/>
  <c r="I276" i="90" s="1"/>
  <c r="F277" i="90"/>
  <c r="N276" i="90"/>
  <c r="M276" i="90"/>
  <c r="K276" i="90"/>
  <c r="J276" i="90"/>
  <c r="H276" i="90"/>
  <c r="G276" i="90"/>
  <c r="E276" i="90"/>
  <c r="D276" i="90"/>
  <c r="O275" i="90"/>
  <c r="L275" i="90"/>
  <c r="I275" i="90"/>
  <c r="F275" i="90"/>
  <c r="O274" i="90"/>
  <c r="L274" i="90"/>
  <c r="I274" i="90"/>
  <c r="F274" i="90"/>
  <c r="O273" i="90"/>
  <c r="L273" i="90"/>
  <c r="I273" i="90"/>
  <c r="I272" i="90" s="1"/>
  <c r="F273" i="90"/>
  <c r="N272" i="90"/>
  <c r="N270" i="90" s="1"/>
  <c r="N269" i="90" s="1"/>
  <c r="M272" i="90"/>
  <c r="L272" i="90"/>
  <c r="K272" i="90"/>
  <c r="J272" i="90"/>
  <c r="H272" i="90"/>
  <c r="G272" i="90"/>
  <c r="G270" i="90" s="1"/>
  <c r="G269" i="90" s="1"/>
  <c r="E272" i="90"/>
  <c r="D272" i="90"/>
  <c r="D270" i="90" s="1"/>
  <c r="O271" i="90"/>
  <c r="L271" i="90"/>
  <c r="I271" i="90"/>
  <c r="F271" i="90"/>
  <c r="K270" i="90"/>
  <c r="O268" i="90"/>
  <c r="L268" i="90"/>
  <c r="I268" i="90"/>
  <c r="F268" i="90"/>
  <c r="O267" i="90"/>
  <c r="L267" i="90"/>
  <c r="I267" i="90"/>
  <c r="F267" i="90"/>
  <c r="O266" i="90"/>
  <c r="O264" i="90" s="1"/>
  <c r="L266" i="90"/>
  <c r="I266" i="90"/>
  <c r="C266" i="90" s="1"/>
  <c r="F266" i="90"/>
  <c r="O265" i="90"/>
  <c r="L265" i="90"/>
  <c r="I265" i="90"/>
  <c r="F265" i="90"/>
  <c r="N264" i="90"/>
  <c r="M264" i="90"/>
  <c r="K264" i="90"/>
  <c r="J264" i="90"/>
  <c r="H264" i="90"/>
  <c r="G264" i="90"/>
  <c r="E264" i="90"/>
  <c r="D264" i="90"/>
  <c r="O263" i="90"/>
  <c r="L263" i="90"/>
  <c r="I263" i="90"/>
  <c r="F263" i="90"/>
  <c r="O262" i="90"/>
  <c r="L262" i="90"/>
  <c r="I262" i="90"/>
  <c r="F262" i="90"/>
  <c r="O261" i="90"/>
  <c r="L261" i="90"/>
  <c r="I261" i="90"/>
  <c r="F261" i="90"/>
  <c r="N260" i="90"/>
  <c r="M260" i="90"/>
  <c r="M259" i="90" s="1"/>
  <c r="K260" i="90"/>
  <c r="J260" i="90"/>
  <c r="H260" i="90"/>
  <c r="H259" i="90" s="1"/>
  <c r="G260" i="90"/>
  <c r="E260" i="90"/>
  <c r="D260" i="90"/>
  <c r="D259" i="90" s="1"/>
  <c r="N259" i="90"/>
  <c r="G259" i="90"/>
  <c r="O258" i="90"/>
  <c r="L258" i="90"/>
  <c r="I258" i="90"/>
  <c r="F258" i="90"/>
  <c r="O257" i="90"/>
  <c r="L257" i="90"/>
  <c r="I257" i="90"/>
  <c r="F257" i="90"/>
  <c r="O256" i="90"/>
  <c r="L256" i="90"/>
  <c r="I256" i="90"/>
  <c r="F256" i="90"/>
  <c r="O255" i="90"/>
  <c r="L255" i="90"/>
  <c r="I255" i="90"/>
  <c r="F255" i="90"/>
  <c r="O254" i="90"/>
  <c r="L254" i="90"/>
  <c r="I254" i="90"/>
  <c r="F254" i="90"/>
  <c r="O253" i="90"/>
  <c r="L253" i="90"/>
  <c r="I253" i="90"/>
  <c r="F253" i="90"/>
  <c r="N252" i="90"/>
  <c r="N251" i="90" s="1"/>
  <c r="M252" i="90"/>
  <c r="M251" i="90" s="1"/>
  <c r="K252" i="90"/>
  <c r="J252" i="90"/>
  <c r="J251" i="90" s="1"/>
  <c r="I252" i="90"/>
  <c r="I251" i="90" s="1"/>
  <c r="H252" i="90"/>
  <c r="H251" i="90" s="1"/>
  <c r="G252" i="90"/>
  <c r="E252" i="90"/>
  <c r="E251" i="90" s="1"/>
  <c r="D252" i="90"/>
  <c r="D251" i="90" s="1"/>
  <c r="K251" i="90"/>
  <c r="G251" i="90"/>
  <c r="O250" i="90"/>
  <c r="L250" i="90"/>
  <c r="I250" i="90"/>
  <c r="F250" i="90"/>
  <c r="O249" i="90"/>
  <c r="L249" i="90"/>
  <c r="I249" i="90"/>
  <c r="F249" i="90"/>
  <c r="O248" i="90"/>
  <c r="L248" i="90"/>
  <c r="I248" i="90"/>
  <c r="F248" i="90"/>
  <c r="O247" i="90"/>
  <c r="L247" i="90"/>
  <c r="I247" i="90"/>
  <c r="F247" i="90"/>
  <c r="N246" i="90"/>
  <c r="M246" i="90"/>
  <c r="K246" i="90"/>
  <c r="J246" i="90"/>
  <c r="H246" i="90"/>
  <c r="G246" i="90"/>
  <c r="E246" i="90"/>
  <c r="D246" i="90"/>
  <c r="O245" i="90"/>
  <c r="L245" i="90"/>
  <c r="I245" i="90"/>
  <c r="F245" i="90"/>
  <c r="O244" i="90"/>
  <c r="L244" i="90"/>
  <c r="I244" i="90"/>
  <c r="F244" i="90"/>
  <c r="O243" i="90"/>
  <c r="L243" i="90"/>
  <c r="I243" i="90"/>
  <c r="F243" i="90"/>
  <c r="O242" i="90"/>
  <c r="L242" i="90"/>
  <c r="I242" i="90"/>
  <c r="F242" i="90"/>
  <c r="C242" i="90" s="1"/>
  <c r="O241" i="90"/>
  <c r="L241" i="90"/>
  <c r="I241" i="90"/>
  <c r="F241" i="90"/>
  <c r="O240" i="90"/>
  <c r="L240" i="90"/>
  <c r="I240" i="90"/>
  <c r="F240" i="90"/>
  <c r="O239" i="90"/>
  <c r="L239" i="90"/>
  <c r="I239" i="90"/>
  <c r="F239" i="90"/>
  <c r="N238" i="90"/>
  <c r="M238" i="90"/>
  <c r="K238" i="90"/>
  <c r="J238" i="90"/>
  <c r="H238" i="90"/>
  <c r="G238" i="90"/>
  <c r="E238" i="90"/>
  <c r="D238" i="90"/>
  <c r="O237" i="90"/>
  <c r="L237" i="90"/>
  <c r="I237" i="90"/>
  <c r="F237" i="90"/>
  <c r="O236" i="90"/>
  <c r="L236" i="90"/>
  <c r="I236" i="90"/>
  <c r="F236" i="90"/>
  <c r="F235" i="90" s="1"/>
  <c r="O235" i="90"/>
  <c r="N235" i="90"/>
  <c r="M235" i="90"/>
  <c r="M231" i="90" s="1"/>
  <c r="L235" i="90"/>
  <c r="K235" i="90"/>
  <c r="J235" i="90"/>
  <c r="H235" i="90"/>
  <c r="G235" i="90"/>
  <c r="E235" i="90"/>
  <c r="D235" i="90"/>
  <c r="O234" i="90"/>
  <c r="O233" i="90" s="1"/>
  <c r="L234" i="90"/>
  <c r="L233" i="90" s="1"/>
  <c r="I234" i="90"/>
  <c r="F234" i="90"/>
  <c r="F233" i="90" s="1"/>
  <c r="N233" i="90"/>
  <c r="M233" i="90"/>
  <c r="K233" i="90"/>
  <c r="J233" i="90"/>
  <c r="I233" i="90"/>
  <c r="H233" i="90"/>
  <c r="G233" i="90"/>
  <c r="E233" i="90"/>
  <c r="D233" i="90"/>
  <c r="O232" i="90"/>
  <c r="L232" i="90"/>
  <c r="I232" i="90"/>
  <c r="F232" i="90"/>
  <c r="O229" i="90"/>
  <c r="L229" i="90"/>
  <c r="I229" i="90"/>
  <c r="F229" i="90"/>
  <c r="O228" i="90"/>
  <c r="L228" i="90"/>
  <c r="L227" i="90" s="1"/>
  <c r="I228" i="90"/>
  <c r="I227" i="90" s="1"/>
  <c r="F228" i="90"/>
  <c r="O227" i="90"/>
  <c r="N227" i="90"/>
  <c r="M227" i="90"/>
  <c r="K227" i="90"/>
  <c r="J227" i="90"/>
  <c r="H227" i="90"/>
  <c r="G227" i="90"/>
  <c r="F227" i="90"/>
  <c r="E227" i="90"/>
  <c r="D227" i="90"/>
  <c r="O226" i="90"/>
  <c r="L226" i="90"/>
  <c r="I226" i="90"/>
  <c r="F226" i="90"/>
  <c r="O225" i="90"/>
  <c r="L225" i="90"/>
  <c r="I225" i="90"/>
  <c r="F225" i="90"/>
  <c r="O224" i="90"/>
  <c r="L224" i="90"/>
  <c r="I224" i="90"/>
  <c r="F224" i="90"/>
  <c r="O223" i="90"/>
  <c r="L223" i="90"/>
  <c r="I223" i="90"/>
  <c r="F223" i="90"/>
  <c r="O222" i="90"/>
  <c r="L222" i="90"/>
  <c r="I222" i="90"/>
  <c r="F222" i="90"/>
  <c r="O221" i="90"/>
  <c r="L221" i="90"/>
  <c r="I221" i="90"/>
  <c r="F221" i="90"/>
  <c r="O220" i="90"/>
  <c r="L220" i="90"/>
  <c r="I220" i="90"/>
  <c r="F220" i="90"/>
  <c r="O219" i="90"/>
  <c r="L219" i="90"/>
  <c r="I219" i="90"/>
  <c r="F219" i="90"/>
  <c r="O218" i="90"/>
  <c r="L218" i="90"/>
  <c r="I218" i="90"/>
  <c r="F218" i="90"/>
  <c r="O217" i="90"/>
  <c r="L217" i="90"/>
  <c r="I217" i="90"/>
  <c r="I216" i="90" s="1"/>
  <c r="F217" i="90"/>
  <c r="N216" i="90"/>
  <c r="M216" i="90"/>
  <c r="K216" i="90"/>
  <c r="J216" i="90"/>
  <c r="H216" i="90"/>
  <c r="G216" i="90"/>
  <c r="E216" i="90"/>
  <c r="D216" i="90"/>
  <c r="O215" i="90"/>
  <c r="L215" i="90"/>
  <c r="I215" i="90"/>
  <c r="F215" i="90"/>
  <c r="O214" i="90"/>
  <c r="L214" i="90"/>
  <c r="I214" i="90"/>
  <c r="F214" i="90"/>
  <c r="O213" i="90"/>
  <c r="L213" i="90"/>
  <c r="I213" i="90"/>
  <c r="F213" i="90"/>
  <c r="O212" i="90"/>
  <c r="L212" i="90"/>
  <c r="I212" i="90"/>
  <c r="F212" i="90"/>
  <c r="O211" i="90"/>
  <c r="L211" i="90"/>
  <c r="I211" i="90"/>
  <c r="F211" i="90"/>
  <c r="O210" i="90"/>
  <c r="L210" i="90"/>
  <c r="I210" i="90"/>
  <c r="F210" i="90"/>
  <c r="O209" i="90"/>
  <c r="L209" i="90"/>
  <c r="I209" i="90"/>
  <c r="F209" i="90"/>
  <c r="O208" i="90"/>
  <c r="L208" i="90"/>
  <c r="I208" i="90"/>
  <c r="F208" i="90"/>
  <c r="O207" i="90"/>
  <c r="L207" i="90"/>
  <c r="I207" i="90"/>
  <c r="F207" i="90"/>
  <c r="O206" i="90"/>
  <c r="O205" i="90" s="1"/>
  <c r="L206" i="90"/>
  <c r="I206" i="90"/>
  <c r="F206" i="90"/>
  <c r="N205" i="90"/>
  <c r="M205" i="90"/>
  <c r="K205" i="90"/>
  <c r="J205" i="90"/>
  <c r="H205" i="90"/>
  <c r="G205" i="90"/>
  <c r="E205" i="90"/>
  <c r="D205" i="90"/>
  <c r="G204" i="90"/>
  <c r="O203" i="90"/>
  <c r="L203" i="90"/>
  <c r="I203" i="90"/>
  <c r="F203" i="90"/>
  <c r="O202" i="90"/>
  <c r="L202" i="90"/>
  <c r="I202" i="90"/>
  <c r="F202" i="90"/>
  <c r="C202" i="90" s="1"/>
  <c r="O201" i="90"/>
  <c r="L201" i="90"/>
  <c r="I201" i="90"/>
  <c r="F201" i="90"/>
  <c r="O200" i="90"/>
  <c r="L200" i="90"/>
  <c r="I200" i="90"/>
  <c r="F200" i="90"/>
  <c r="O199" i="90"/>
  <c r="L199" i="90"/>
  <c r="L198" i="90" s="1"/>
  <c r="I199" i="90"/>
  <c r="F199" i="90"/>
  <c r="F198" i="90" s="1"/>
  <c r="O198" i="90"/>
  <c r="N198" i="90"/>
  <c r="M198" i="90"/>
  <c r="K198" i="90"/>
  <c r="K196" i="90" s="1"/>
  <c r="J198" i="90"/>
  <c r="H198" i="90"/>
  <c r="H196" i="90" s="1"/>
  <c r="G198" i="90"/>
  <c r="G196" i="90" s="1"/>
  <c r="E198" i="90"/>
  <c r="E196" i="90" s="1"/>
  <c r="D198" i="90"/>
  <c r="O197" i="90"/>
  <c r="L197" i="90"/>
  <c r="I197" i="90"/>
  <c r="F197" i="90"/>
  <c r="N196" i="90"/>
  <c r="M196" i="90"/>
  <c r="J196" i="90"/>
  <c r="D196" i="90"/>
  <c r="O193" i="90"/>
  <c r="L193" i="90"/>
  <c r="L192" i="90" s="1"/>
  <c r="L191" i="90" s="1"/>
  <c r="I193" i="90"/>
  <c r="F193" i="90"/>
  <c r="O192" i="90"/>
  <c r="O191" i="90" s="1"/>
  <c r="N192" i="90"/>
  <c r="N191" i="90" s="1"/>
  <c r="M192" i="90"/>
  <c r="M191" i="90" s="1"/>
  <c r="K192" i="90"/>
  <c r="K191" i="90" s="1"/>
  <c r="J192" i="90"/>
  <c r="J191" i="90" s="1"/>
  <c r="I192" i="90"/>
  <c r="I191" i="90" s="1"/>
  <c r="H192" i="90"/>
  <c r="G192" i="90"/>
  <c r="E192" i="90"/>
  <c r="E191" i="90" s="1"/>
  <c r="D192" i="90"/>
  <c r="D191" i="90" s="1"/>
  <c r="H191" i="90"/>
  <c r="G191" i="90"/>
  <c r="O190" i="90"/>
  <c r="L190" i="90"/>
  <c r="I190" i="90"/>
  <c r="F190" i="90"/>
  <c r="O189" i="90"/>
  <c r="O188" i="90" s="1"/>
  <c r="L189" i="90"/>
  <c r="I189" i="90"/>
  <c r="F189" i="90"/>
  <c r="F188" i="90" s="1"/>
  <c r="N188" i="90"/>
  <c r="M188" i="90"/>
  <c r="M187" i="90" s="1"/>
  <c r="K188" i="90"/>
  <c r="J188" i="90"/>
  <c r="H188" i="90"/>
  <c r="G188" i="90"/>
  <c r="G187" i="90" s="1"/>
  <c r="E188" i="90"/>
  <c r="D188" i="90"/>
  <c r="E187" i="90"/>
  <c r="O186" i="90"/>
  <c r="L186" i="90"/>
  <c r="I186" i="90"/>
  <c r="F186" i="90"/>
  <c r="O185" i="90"/>
  <c r="O184" i="90" s="1"/>
  <c r="L185" i="90"/>
  <c r="I185" i="90"/>
  <c r="F185" i="90"/>
  <c r="F184" i="90" s="1"/>
  <c r="N184" i="90"/>
  <c r="M184" i="90"/>
  <c r="L184" i="90"/>
  <c r="K184" i="90"/>
  <c r="J184" i="90"/>
  <c r="H184" i="90"/>
  <c r="G184" i="90"/>
  <c r="E184" i="90"/>
  <c r="D184" i="90"/>
  <c r="O183" i="90"/>
  <c r="L183" i="90"/>
  <c r="I183" i="90"/>
  <c r="F183" i="90"/>
  <c r="O182" i="90"/>
  <c r="L182" i="90"/>
  <c r="I182" i="90"/>
  <c r="F182" i="90"/>
  <c r="O181" i="90"/>
  <c r="L181" i="90"/>
  <c r="I181" i="90"/>
  <c r="F181" i="90"/>
  <c r="O180" i="90"/>
  <c r="O179" i="90" s="1"/>
  <c r="L180" i="90"/>
  <c r="I180" i="90"/>
  <c r="I179" i="90" s="1"/>
  <c r="F180" i="90"/>
  <c r="N179" i="90"/>
  <c r="M179" i="90"/>
  <c r="K179" i="90"/>
  <c r="J179" i="90"/>
  <c r="H179" i="90"/>
  <c r="G179" i="90"/>
  <c r="E179" i="90"/>
  <c r="D179" i="90"/>
  <c r="O178" i="90"/>
  <c r="L178" i="90"/>
  <c r="I178" i="90"/>
  <c r="F178" i="90"/>
  <c r="O177" i="90"/>
  <c r="L177" i="90"/>
  <c r="I177" i="90"/>
  <c r="F177" i="90"/>
  <c r="O176" i="90"/>
  <c r="O175" i="90" s="1"/>
  <c r="L176" i="90"/>
  <c r="I176" i="90"/>
  <c r="I175" i="90" s="1"/>
  <c r="F176" i="90"/>
  <c r="N175" i="90"/>
  <c r="M175" i="90"/>
  <c r="M174" i="90" s="1"/>
  <c r="M173" i="90" s="1"/>
  <c r="K175" i="90"/>
  <c r="J175" i="90"/>
  <c r="H175" i="90"/>
  <c r="H174" i="90" s="1"/>
  <c r="H173" i="90" s="1"/>
  <c r="G175" i="90"/>
  <c r="G174" i="90" s="1"/>
  <c r="G173" i="90" s="1"/>
  <c r="E175" i="90"/>
  <c r="D175" i="90"/>
  <c r="O172" i="90"/>
  <c r="L172" i="90"/>
  <c r="I172" i="90"/>
  <c r="F172" i="90"/>
  <c r="O171" i="90"/>
  <c r="L171" i="90"/>
  <c r="I171" i="90"/>
  <c r="F171" i="90"/>
  <c r="O170" i="90"/>
  <c r="L170" i="90"/>
  <c r="I170" i="90"/>
  <c r="F170" i="90"/>
  <c r="O169" i="90"/>
  <c r="L169" i="90"/>
  <c r="I169" i="90"/>
  <c r="F169" i="90"/>
  <c r="O168" i="90"/>
  <c r="L168" i="90"/>
  <c r="I168" i="90"/>
  <c r="F168" i="90"/>
  <c r="O167" i="90"/>
  <c r="L167" i="90"/>
  <c r="L166" i="90" s="1"/>
  <c r="L165" i="90" s="1"/>
  <c r="I167" i="90"/>
  <c r="F167" i="90"/>
  <c r="N166" i="90"/>
  <c r="N165" i="90" s="1"/>
  <c r="M166" i="90"/>
  <c r="M165" i="90" s="1"/>
  <c r="K166" i="90"/>
  <c r="K165" i="90" s="1"/>
  <c r="J166" i="90"/>
  <c r="J165" i="90" s="1"/>
  <c r="H166" i="90"/>
  <c r="G166" i="90"/>
  <c r="E166" i="90"/>
  <c r="E165" i="90" s="1"/>
  <c r="D166" i="90"/>
  <c r="H165" i="90"/>
  <c r="G165" i="90"/>
  <c r="D165" i="90"/>
  <c r="O164" i="90"/>
  <c r="L164" i="90"/>
  <c r="I164" i="90"/>
  <c r="F164" i="90"/>
  <c r="O163" i="90"/>
  <c r="L163" i="90"/>
  <c r="I163" i="90"/>
  <c r="F163" i="90"/>
  <c r="O162" i="90"/>
  <c r="L162" i="90"/>
  <c r="I162" i="90"/>
  <c r="F162" i="90"/>
  <c r="O161" i="90"/>
  <c r="O160" i="90" s="1"/>
  <c r="L161" i="90"/>
  <c r="L160" i="90" s="1"/>
  <c r="I161" i="90"/>
  <c r="F161" i="90"/>
  <c r="F160" i="90" s="1"/>
  <c r="N160" i="90"/>
  <c r="M160" i="90"/>
  <c r="K160" i="90"/>
  <c r="J160" i="90"/>
  <c r="H160" i="90"/>
  <c r="G160" i="90"/>
  <c r="E160" i="90"/>
  <c r="D160" i="90"/>
  <c r="O159" i="90"/>
  <c r="L159" i="90"/>
  <c r="I159" i="90"/>
  <c r="F159" i="90"/>
  <c r="O158" i="90"/>
  <c r="L158" i="90"/>
  <c r="I158" i="90"/>
  <c r="F158" i="90"/>
  <c r="O157" i="90"/>
  <c r="L157" i="90"/>
  <c r="I157" i="90"/>
  <c r="F157" i="90"/>
  <c r="C157" i="90" s="1"/>
  <c r="O156" i="90"/>
  <c r="L156" i="90"/>
  <c r="I156" i="90"/>
  <c r="F156" i="90"/>
  <c r="O155" i="90"/>
  <c r="L155" i="90"/>
  <c r="I155" i="90"/>
  <c r="F155" i="90"/>
  <c r="O154" i="90"/>
  <c r="L154" i="90"/>
  <c r="I154" i="90"/>
  <c r="F154" i="90"/>
  <c r="O153" i="90"/>
  <c r="L153" i="90"/>
  <c r="I153" i="90"/>
  <c r="F153" i="90"/>
  <c r="O152" i="90"/>
  <c r="L152" i="90"/>
  <c r="I152" i="90"/>
  <c r="I151" i="90" s="1"/>
  <c r="F152" i="90"/>
  <c r="N151" i="90"/>
  <c r="M151" i="90"/>
  <c r="K151" i="90"/>
  <c r="J151" i="90"/>
  <c r="H151" i="90"/>
  <c r="G151" i="90"/>
  <c r="E151" i="90"/>
  <c r="D151" i="90"/>
  <c r="O150" i="90"/>
  <c r="L150" i="90"/>
  <c r="I150" i="90"/>
  <c r="F150" i="90"/>
  <c r="O149" i="90"/>
  <c r="L149" i="90"/>
  <c r="I149" i="90"/>
  <c r="F149" i="90"/>
  <c r="O148" i="90"/>
  <c r="L148" i="90"/>
  <c r="I148" i="90"/>
  <c r="F148" i="90"/>
  <c r="O147" i="90"/>
  <c r="L147" i="90"/>
  <c r="I147" i="90"/>
  <c r="F147" i="90"/>
  <c r="O146" i="90"/>
  <c r="L146" i="90"/>
  <c r="I146" i="90"/>
  <c r="F146" i="90"/>
  <c r="O145" i="90"/>
  <c r="O144" i="90" s="1"/>
  <c r="L145" i="90"/>
  <c r="I145" i="90"/>
  <c r="F145" i="90"/>
  <c r="C145" i="90" s="1"/>
  <c r="N144" i="90"/>
  <c r="M144" i="90"/>
  <c r="K144" i="90"/>
  <c r="J144" i="90"/>
  <c r="H144" i="90"/>
  <c r="G144" i="90"/>
  <c r="E144" i="90"/>
  <c r="D144" i="90"/>
  <c r="O143" i="90"/>
  <c r="L143" i="90"/>
  <c r="I143" i="90"/>
  <c r="F143" i="90"/>
  <c r="O142" i="90"/>
  <c r="L142" i="90"/>
  <c r="L141" i="90" s="1"/>
  <c r="I142" i="90"/>
  <c r="I141" i="90" s="1"/>
  <c r="F142" i="90"/>
  <c r="O141" i="90"/>
  <c r="N141" i="90"/>
  <c r="M141" i="90"/>
  <c r="K141" i="90"/>
  <c r="J141" i="90"/>
  <c r="H141" i="90"/>
  <c r="G141" i="90"/>
  <c r="F141" i="90"/>
  <c r="E141" i="90"/>
  <c r="D141" i="90"/>
  <c r="O140" i="90"/>
  <c r="L140" i="90"/>
  <c r="I140" i="90"/>
  <c r="F140" i="90"/>
  <c r="O139" i="90"/>
  <c r="L139" i="90"/>
  <c r="I139" i="90"/>
  <c r="F139" i="90"/>
  <c r="O138" i="90"/>
  <c r="L138" i="90"/>
  <c r="I138" i="90"/>
  <c r="F138" i="90"/>
  <c r="O137" i="90"/>
  <c r="O136" i="90" s="1"/>
  <c r="L137" i="90"/>
  <c r="I137" i="90"/>
  <c r="F137" i="90"/>
  <c r="N136" i="90"/>
  <c r="M136" i="90"/>
  <c r="K136" i="90"/>
  <c r="J136" i="90"/>
  <c r="H136" i="90"/>
  <c r="G136" i="90"/>
  <c r="E136" i="90"/>
  <c r="D136" i="90"/>
  <c r="O135" i="90"/>
  <c r="L135" i="90"/>
  <c r="I135" i="90"/>
  <c r="F135" i="90"/>
  <c r="O134" i="90"/>
  <c r="L134" i="90"/>
  <c r="I134" i="90"/>
  <c r="F134" i="90"/>
  <c r="O133" i="90"/>
  <c r="L133" i="90"/>
  <c r="I133" i="90"/>
  <c r="F133" i="90"/>
  <c r="O132" i="90"/>
  <c r="O131" i="90" s="1"/>
  <c r="L132" i="90"/>
  <c r="I132" i="90"/>
  <c r="F132" i="90"/>
  <c r="N131" i="90"/>
  <c r="M131" i="90"/>
  <c r="K131" i="90"/>
  <c r="J131" i="90"/>
  <c r="I131" i="90"/>
  <c r="H131" i="90"/>
  <c r="G131" i="90"/>
  <c r="E131" i="90"/>
  <c r="D131" i="90"/>
  <c r="O129" i="90"/>
  <c r="O128" i="90" s="1"/>
  <c r="L129" i="90"/>
  <c r="L128" i="90" s="1"/>
  <c r="I129" i="90"/>
  <c r="F129" i="90"/>
  <c r="N128" i="90"/>
  <c r="M128" i="90"/>
  <c r="K128" i="90"/>
  <c r="J128" i="90"/>
  <c r="I128" i="90"/>
  <c r="H128" i="90"/>
  <c r="G128" i="90"/>
  <c r="F128" i="90"/>
  <c r="E128" i="90"/>
  <c r="D128" i="90"/>
  <c r="O127" i="90"/>
  <c r="L127" i="90"/>
  <c r="I127" i="90"/>
  <c r="F127" i="90"/>
  <c r="O126" i="90"/>
  <c r="L126" i="90"/>
  <c r="I126" i="90"/>
  <c r="F126" i="90"/>
  <c r="O125" i="90"/>
  <c r="L125" i="90"/>
  <c r="I125" i="90"/>
  <c r="F125" i="90"/>
  <c r="O124" i="90"/>
  <c r="L124" i="90"/>
  <c r="I124" i="90"/>
  <c r="F124" i="90"/>
  <c r="O123" i="90"/>
  <c r="L123" i="90"/>
  <c r="I123" i="90"/>
  <c r="I122" i="90" s="1"/>
  <c r="F123" i="90"/>
  <c r="N122" i="90"/>
  <c r="M122" i="90"/>
  <c r="K122" i="90"/>
  <c r="J122" i="90"/>
  <c r="H122" i="90"/>
  <c r="G122" i="90"/>
  <c r="E122" i="90"/>
  <c r="D122" i="90"/>
  <c r="O121" i="90"/>
  <c r="L121" i="90"/>
  <c r="I121" i="90"/>
  <c r="F121" i="90"/>
  <c r="O120" i="90"/>
  <c r="L120" i="90"/>
  <c r="I120" i="90"/>
  <c r="F120" i="90"/>
  <c r="O119" i="90"/>
  <c r="L119" i="90"/>
  <c r="I119" i="90"/>
  <c r="F119" i="90"/>
  <c r="O118" i="90"/>
  <c r="L118" i="90"/>
  <c r="I118" i="90"/>
  <c r="F118" i="90"/>
  <c r="O117" i="90"/>
  <c r="L117" i="90"/>
  <c r="L116" i="90" s="1"/>
  <c r="I117" i="90"/>
  <c r="F117" i="90"/>
  <c r="N116" i="90"/>
  <c r="M116" i="90"/>
  <c r="K116" i="90"/>
  <c r="J116" i="90"/>
  <c r="H116" i="90"/>
  <c r="G116" i="90"/>
  <c r="E116" i="90"/>
  <c r="D116" i="90"/>
  <c r="O115" i="90"/>
  <c r="L115" i="90"/>
  <c r="I115" i="90"/>
  <c r="F115" i="90"/>
  <c r="O114" i="90"/>
  <c r="L114" i="90"/>
  <c r="I114" i="90"/>
  <c r="F114" i="90"/>
  <c r="O113" i="90"/>
  <c r="O112" i="90" s="1"/>
  <c r="L113" i="90"/>
  <c r="L112" i="90" s="1"/>
  <c r="I113" i="90"/>
  <c r="F113" i="90"/>
  <c r="N112" i="90"/>
  <c r="M112" i="90"/>
  <c r="K112" i="90"/>
  <c r="J112" i="90"/>
  <c r="H112" i="90"/>
  <c r="G112" i="90"/>
  <c r="E112" i="90"/>
  <c r="D112" i="90"/>
  <c r="O111" i="90"/>
  <c r="L111" i="90"/>
  <c r="I111" i="90"/>
  <c r="F111" i="90"/>
  <c r="O110" i="90"/>
  <c r="L110" i="90"/>
  <c r="I110" i="90"/>
  <c r="F110" i="90"/>
  <c r="O109" i="90"/>
  <c r="L109" i="90"/>
  <c r="I109" i="90"/>
  <c r="F109" i="90"/>
  <c r="O108" i="90"/>
  <c r="L108" i="90"/>
  <c r="I108" i="90"/>
  <c r="F108" i="90"/>
  <c r="O107" i="90"/>
  <c r="L107" i="90"/>
  <c r="I107" i="90"/>
  <c r="F107" i="90"/>
  <c r="O106" i="90"/>
  <c r="L106" i="90"/>
  <c r="I106" i="90"/>
  <c r="F106" i="90"/>
  <c r="O105" i="90"/>
  <c r="L105" i="90"/>
  <c r="I105" i="90"/>
  <c r="F105" i="90"/>
  <c r="O104" i="90"/>
  <c r="L104" i="90"/>
  <c r="L103" i="90" s="1"/>
  <c r="I104" i="90"/>
  <c r="F104" i="90"/>
  <c r="N103" i="90"/>
  <c r="M103" i="90"/>
  <c r="K103" i="90"/>
  <c r="J103" i="90"/>
  <c r="H103" i="90"/>
  <c r="G103" i="90"/>
  <c r="E103" i="90"/>
  <c r="D103" i="90"/>
  <c r="O102" i="90"/>
  <c r="L102" i="90"/>
  <c r="I102" i="90"/>
  <c r="F102" i="90"/>
  <c r="O101" i="90"/>
  <c r="L101" i="90"/>
  <c r="L95" i="90" s="1"/>
  <c r="I101" i="90"/>
  <c r="F101" i="90"/>
  <c r="O100" i="90"/>
  <c r="L100" i="90"/>
  <c r="I100" i="90"/>
  <c r="F100" i="90"/>
  <c r="O99" i="90"/>
  <c r="L99" i="90"/>
  <c r="I99" i="90"/>
  <c r="F99" i="90"/>
  <c r="O98" i="90"/>
  <c r="L98" i="90"/>
  <c r="I98" i="90"/>
  <c r="F98" i="90"/>
  <c r="O97" i="90"/>
  <c r="L97" i="90"/>
  <c r="I97" i="90"/>
  <c r="F97" i="90"/>
  <c r="O96" i="90"/>
  <c r="L96" i="90"/>
  <c r="I96" i="90"/>
  <c r="F96" i="90"/>
  <c r="N95" i="90"/>
  <c r="M95" i="90"/>
  <c r="K95" i="90"/>
  <c r="J95" i="90"/>
  <c r="H95" i="90"/>
  <c r="G95" i="90"/>
  <c r="E95" i="90"/>
  <c r="D95" i="90"/>
  <c r="O94" i="90"/>
  <c r="L94" i="90"/>
  <c r="I94" i="90"/>
  <c r="F94" i="90"/>
  <c r="O93" i="90"/>
  <c r="L93" i="90"/>
  <c r="I93" i="90"/>
  <c r="F93" i="90"/>
  <c r="O92" i="90"/>
  <c r="L92" i="90"/>
  <c r="I92" i="90"/>
  <c r="F92" i="90"/>
  <c r="O91" i="90"/>
  <c r="L91" i="90"/>
  <c r="I91" i="90"/>
  <c r="F91" i="90"/>
  <c r="O90" i="90"/>
  <c r="O89" i="90" s="1"/>
  <c r="L90" i="90"/>
  <c r="I90" i="90"/>
  <c r="F90" i="90"/>
  <c r="N89" i="90"/>
  <c r="M89" i="90"/>
  <c r="K89" i="90"/>
  <c r="J89" i="90"/>
  <c r="H89" i="90"/>
  <c r="G89" i="90"/>
  <c r="E89" i="90"/>
  <c r="D89" i="90"/>
  <c r="O88" i="90"/>
  <c r="L88" i="90"/>
  <c r="I88" i="90"/>
  <c r="F88" i="90"/>
  <c r="O87" i="90"/>
  <c r="L87" i="90"/>
  <c r="I87" i="90"/>
  <c r="F87" i="90"/>
  <c r="O86" i="90"/>
  <c r="L86" i="90"/>
  <c r="I86" i="90"/>
  <c r="F86" i="90"/>
  <c r="O85" i="90"/>
  <c r="L85" i="90"/>
  <c r="I85" i="90"/>
  <c r="F85" i="90"/>
  <c r="N84" i="90"/>
  <c r="M84" i="90"/>
  <c r="K84" i="90"/>
  <c r="K83" i="90" s="1"/>
  <c r="J84" i="90"/>
  <c r="H84" i="90"/>
  <c r="G84" i="90"/>
  <c r="E84" i="90"/>
  <c r="D84" i="90"/>
  <c r="O82" i="90"/>
  <c r="L82" i="90"/>
  <c r="I82" i="90"/>
  <c r="F82" i="90"/>
  <c r="O81" i="90"/>
  <c r="O80" i="90" s="1"/>
  <c r="L81" i="90"/>
  <c r="L80" i="90" s="1"/>
  <c r="I81" i="90"/>
  <c r="F81" i="90"/>
  <c r="F80" i="90" s="1"/>
  <c r="N80" i="90"/>
  <c r="M80" i="90"/>
  <c r="K80" i="90"/>
  <c r="J80" i="90"/>
  <c r="H80" i="90"/>
  <c r="G80" i="90"/>
  <c r="E80" i="90"/>
  <c r="D80" i="90"/>
  <c r="O79" i="90"/>
  <c r="L79" i="90"/>
  <c r="I79" i="90"/>
  <c r="F79" i="90"/>
  <c r="O78" i="90"/>
  <c r="L78" i="90"/>
  <c r="I78" i="90"/>
  <c r="I77" i="90" s="1"/>
  <c r="F78" i="90"/>
  <c r="N77" i="90"/>
  <c r="N76" i="90" s="1"/>
  <c r="M77" i="90"/>
  <c r="K77" i="90"/>
  <c r="J77" i="90"/>
  <c r="H77" i="90"/>
  <c r="G77" i="90"/>
  <c r="E77" i="90"/>
  <c r="D77" i="90"/>
  <c r="O74" i="90"/>
  <c r="L74" i="90"/>
  <c r="I74" i="90"/>
  <c r="F74" i="90"/>
  <c r="O73" i="90"/>
  <c r="L73" i="90"/>
  <c r="I73" i="90"/>
  <c r="F73" i="90"/>
  <c r="O72" i="90"/>
  <c r="L72" i="90"/>
  <c r="I72" i="90"/>
  <c r="F72" i="90"/>
  <c r="O71" i="90"/>
  <c r="L71" i="90"/>
  <c r="I71" i="90"/>
  <c r="F71" i="90"/>
  <c r="O70" i="90"/>
  <c r="L70" i="90"/>
  <c r="I70" i="90"/>
  <c r="I69" i="90" s="1"/>
  <c r="F70" i="90"/>
  <c r="N69" i="90"/>
  <c r="N67" i="90" s="1"/>
  <c r="M69" i="90"/>
  <c r="M67" i="90" s="1"/>
  <c r="K69" i="90"/>
  <c r="K67" i="90" s="1"/>
  <c r="J69" i="90"/>
  <c r="J67" i="90" s="1"/>
  <c r="H69" i="90"/>
  <c r="G69" i="90"/>
  <c r="G67" i="90" s="1"/>
  <c r="E69" i="90"/>
  <c r="E67" i="90" s="1"/>
  <c r="D69" i="90"/>
  <c r="D67" i="90" s="1"/>
  <c r="O68" i="90"/>
  <c r="L68" i="90"/>
  <c r="I68" i="90"/>
  <c r="F68" i="90"/>
  <c r="H67" i="90"/>
  <c r="O66" i="90"/>
  <c r="L66" i="90"/>
  <c r="I66" i="90"/>
  <c r="F66" i="90"/>
  <c r="O65" i="90"/>
  <c r="L65" i="90"/>
  <c r="I65" i="90"/>
  <c r="F65" i="90"/>
  <c r="O64" i="90"/>
  <c r="L64" i="90"/>
  <c r="I64" i="90"/>
  <c r="F64" i="90"/>
  <c r="O63" i="90"/>
  <c r="L63" i="90"/>
  <c r="I63" i="90"/>
  <c r="F63" i="90"/>
  <c r="O62" i="90"/>
  <c r="L62" i="90"/>
  <c r="I62" i="90"/>
  <c r="F62" i="90"/>
  <c r="O61" i="90"/>
  <c r="L61" i="90"/>
  <c r="I61" i="90"/>
  <c r="F61" i="90"/>
  <c r="O60" i="90"/>
  <c r="L60" i="90"/>
  <c r="I60" i="90"/>
  <c r="F60" i="90"/>
  <c r="O59" i="90"/>
  <c r="O58" i="90" s="1"/>
  <c r="L59" i="90"/>
  <c r="I59" i="90"/>
  <c r="F59" i="90"/>
  <c r="F58" i="90" s="1"/>
  <c r="N58" i="90"/>
  <c r="N54" i="90" s="1"/>
  <c r="M58" i="90"/>
  <c r="K58" i="90"/>
  <c r="J58" i="90"/>
  <c r="H58" i="90"/>
  <c r="G58" i="90"/>
  <c r="E58" i="90"/>
  <c r="D58" i="90"/>
  <c r="O57" i="90"/>
  <c r="L57" i="90"/>
  <c r="I57" i="90"/>
  <c r="F57" i="90"/>
  <c r="O56" i="90"/>
  <c r="L56" i="90"/>
  <c r="L55" i="90" s="1"/>
  <c r="I56" i="90"/>
  <c r="I55" i="90" s="1"/>
  <c r="F56" i="90"/>
  <c r="O55" i="90"/>
  <c r="N55" i="90"/>
  <c r="M55" i="90"/>
  <c r="M54" i="90" s="1"/>
  <c r="K55" i="90"/>
  <c r="J55" i="90"/>
  <c r="H55" i="90"/>
  <c r="G55" i="90"/>
  <c r="G54" i="90" s="1"/>
  <c r="E55" i="90"/>
  <c r="D55" i="90"/>
  <c r="O47" i="90"/>
  <c r="C47" i="90" s="1"/>
  <c r="O46" i="90"/>
  <c r="C46" i="90" s="1"/>
  <c r="N45" i="90"/>
  <c r="M45" i="90"/>
  <c r="L44" i="90"/>
  <c r="L43" i="90" s="1"/>
  <c r="I44" i="90"/>
  <c r="I43" i="90" s="1"/>
  <c r="F44" i="90"/>
  <c r="F43" i="90" s="1"/>
  <c r="K43" i="90"/>
  <c r="J43" i="90"/>
  <c r="H43" i="90"/>
  <c r="G43" i="90"/>
  <c r="G20" i="90" s="1"/>
  <c r="E43" i="90"/>
  <c r="D43" i="90"/>
  <c r="F42" i="90"/>
  <c r="C42" i="90" s="1"/>
  <c r="E41" i="90"/>
  <c r="D41" i="90"/>
  <c r="L40" i="90"/>
  <c r="C40" i="90" s="1"/>
  <c r="L39" i="90"/>
  <c r="C39" i="90" s="1"/>
  <c r="L38" i="90"/>
  <c r="C38" i="90" s="1"/>
  <c r="L37" i="90"/>
  <c r="C37" i="90" s="1"/>
  <c r="K36" i="90"/>
  <c r="J36" i="90"/>
  <c r="L35" i="90"/>
  <c r="C35" i="90" s="1"/>
  <c r="L34" i="90"/>
  <c r="C34" i="90" s="1"/>
  <c r="K33" i="90"/>
  <c r="J33" i="90"/>
  <c r="L32" i="90"/>
  <c r="C32" i="90" s="1"/>
  <c r="K31" i="90"/>
  <c r="J31" i="90"/>
  <c r="L30" i="90"/>
  <c r="C30" i="90" s="1"/>
  <c r="L29" i="90"/>
  <c r="C29" i="90" s="1"/>
  <c r="L28" i="90"/>
  <c r="C28" i="90" s="1"/>
  <c r="K27" i="90"/>
  <c r="J27" i="90"/>
  <c r="F25" i="90"/>
  <c r="C25" i="90" s="1"/>
  <c r="I24" i="90"/>
  <c r="F24" i="90"/>
  <c r="O23" i="90"/>
  <c r="L23" i="90"/>
  <c r="I23" i="90"/>
  <c r="F23" i="90"/>
  <c r="O22" i="90"/>
  <c r="L22" i="90"/>
  <c r="L21" i="90" s="1"/>
  <c r="I22" i="90"/>
  <c r="F22" i="90"/>
  <c r="N21" i="90"/>
  <c r="N292" i="90" s="1"/>
  <c r="N291" i="90" s="1"/>
  <c r="M21" i="90"/>
  <c r="M292" i="90" s="1"/>
  <c r="M291" i="90" s="1"/>
  <c r="K21" i="90"/>
  <c r="J21" i="90"/>
  <c r="J292" i="90" s="1"/>
  <c r="I21" i="90"/>
  <c r="H21" i="90"/>
  <c r="H292" i="90" s="1"/>
  <c r="H291" i="90" s="1"/>
  <c r="G21" i="90"/>
  <c r="G292" i="90" s="1"/>
  <c r="G291" i="90" s="1"/>
  <c r="E21" i="90"/>
  <c r="E292" i="90" s="1"/>
  <c r="E291" i="90" s="1"/>
  <c r="D21" i="90"/>
  <c r="D292" i="90" s="1"/>
  <c r="H20" i="90"/>
  <c r="K174" i="90" l="1"/>
  <c r="K173" i="90" s="1"/>
  <c r="N187" i="90"/>
  <c r="J291" i="90"/>
  <c r="C97" i="90"/>
  <c r="C100" i="90"/>
  <c r="C101" i="90"/>
  <c r="J187" i="90"/>
  <c r="G195" i="90"/>
  <c r="C218" i="90"/>
  <c r="N204" i="90"/>
  <c r="N195" i="90" s="1"/>
  <c r="E231" i="90"/>
  <c r="G83" i="90"/>
  <c r="K187" i="90"/>
  <c r="C206" i="90"/>
  <c r="E204" i="90"/>
  <c r="C254" i="90"/>
  <c r="H54" i="90"/>
  <c r="E76" i="90"/>
  <c r="J76" i="90"/>
  <c r="D76" i="90"/>
  <c r="H76" i="90"/>
  <c r="C121" i="90"/>
  <c r="C133" i="90"/>
  <c r="G130" i="90"/>
  <c r="L136" i="90"/>
  <c r="M204" i="90"/>
  <c r="C237" i="90"/>
  <c r="C239" i="90"/>
  <c r="O238" i="90"/>
  <c r="C278" i="90"/>
  <c r="L131" i="90"/>
  <c r="J259" i="90"/>
  <c r="K292" i="90"/>
  <c r="K291" i="90" s="1"/>
  <c r="C24" i="90"/>
  <c r="F41" i="90"/>
  <c r="C41" i="90" s="1"/>
  <c r="N53" i="90"/>
  <c r="H53" i="90"/>
  <c r="C61" i="90"/>
  <c r="C63" i="90"/>
  <c r="C65" i="90"/>
  <c r="C71" i="90"/>
  <c r="C72" i="90"/>
  <c r="C74" i="90"/>
  <c r="M83" i="90"/>
  <c r="C93" i="90"/>
  <c r="C109" i="90"/>
  <c r="L122" i="90"/>
  <c r="N130" i="90"/>
  <c r="C153" i="90"/>
  <c r="C155" i="90"/>
  <c r="C156" i="90"/>
  <c r="C169" i="90"/>
  <c r="C172" i="90"/>
  <c r="C181" i="90"/>
  <c r="H187" i="90"/>
  <c r="H204" i="90"/>
  <c r="H195" i="90" s="1"/>
  <c r="C210" i="90"/>
  <c r="C211" i="90"/>
  <c r="C226" i="90"/>
  <c r="C234" i="90"/>
  <c r="C262" i="90"/>
  <c r="K259" i="90"/>
  <c r="I264" i="90"/>
  <c r="C274" i="90"/>
  <c r="C295" i="90"/>
  <c r="M195" i="90"/>
  <c r="L31" i="90"/>
  <c r="C31" i="90" s="1"/>
  <c r="L33" i="90"/>
  <c r="C33" i="90" s="1"/>
  <c r="J54" i="90"/>
  <c r="J53" i="90" s="1"/>
  <c r="C59" i="90"/>
  <c r="I67" i="90"/>
  <c r="C79" i="90"/>
  <c r="C82" i="90"/>
  <c r="C105" i="90"/>
  <c r="C106" i="90"/>
  <c r="C117" i="90"/>
  <c r="C120" i="90"/>
  <c r="J130" i="90"/>
  <c r="C177" i="90"/>
  <c r="N174" i="90"/>
  <c r="N173" i="90" s="1"/>
  <c r="D204" i="90"/>
  <c r="D195" i="90" s="1"/>
  <c r="C222" i="90"/>
  <c r="C258" i="90"/>
  <c r="J270" i="90"/>
  <c r="J269" i="90" s="1"/>
  <c r="C281" i="90"/>
  <c r="D291" i="90"/>
  <c r="C57" i="90"/>
  <c r="D54" i="90"/>
  <c r="D53" i="90" s="1"/>
  <c r="C87" i="90"/>
  <c r="C88" i="90"/>
  <c r="C128" i="90"/>
  <c r="C137" i="90"/>
  <c r="C149" i="90"/>
  <c r="C162" i="90"/>
  <c r="J174" i="90"/>
  <c r="J173" i="90" s="1"/>
  <c r="C201" i="90"/>
  <c r="K204" i="90"/>
  <c r="K195" i="90" s="1"/>
  <c r="C214" i="90"/>
  <c r="O216" i="90"/>
  <c r="O204" i="90" s="1"/>
  <c r="O195" i="90" s="1"/>
  <c r="C250" i="90"/>
  <c r="H270" i="90"/>
  <c r="H269" i="90" s="1"/>
  <c r="L58" i="90"/>
  <c r="L54" i="90" s="1"/>
  <c r="C125" i="90"/>
  <c r="C129" i="90"/>
  <c r="I166" i="90"/>
  <c r="I165" i="90" s="1"/>
  <c r="L179" i="90"/>
  <c r="J204" i="90"/>
  <c r="J195" i="90" s="1"/>
  <c r="J194" i="90" s="1"/>
  <c r="L276" i="90"/>
  <c r="I293" i="90"/>
  <c r="C73" i="90"/>
  <c r="O77" i="90"/>
  <c r="O76" i="90" s="1"/>
  <c r="C113" i="90"/>
  <c r="M20" i="90"/>
  <c r="C22" i="90"/>
  <c r="C23" i="90"/>
  <c r="J26" i="90"/>
  <c r="E54" i="90"/>
  <c r="E53" i="90" s="1"/>
  <c r="O54" i="90"/>
  <c r="C60" i="90"/>
  <c r="G76" i="90"/>
  <c r="K76" i="90"/>
  <c r="N83" i="90"/>
  <c r="L84" i="90"/>
  <c r="C102" i="90"/>
  <c r="C134" i="90"/>
  <c r="C135" i="90"/>
  <c r="C148" i="90"/>
  <c r="C170" i="90"/>
  <c r="C215" i="90"/>
  <c r="C221" i="90"/>
  <c r="D231" i="90"/>
  <c r="D230" i="90" s="1"/>
  <c r="H231" i="90"/>
  <c r="H230" i="90" s="1"/>
  <c r="K231" i="90"/>
  <c r="C245" i="90"/>
  <c r="C247" i="90"/>
  <c r="O246" i="90"/>
  <c r="O231" i="90" s="1"/>
  <c r="O252" i="90"/>
  <c r="O251" i="90" s="1"/>
  <c r="I260" i="90"/>
  <c r="C268" i="90"/>
  <c r="O276" i="90"/>
  <c r="C282" i="90"/>
  <c r="C287" i="90"/>
  <c r="K53" i="90"/>
  <c r="M53" i="90"/>
  <c r="C92" i="90"/>
  <c r="C110" i="90"/>
  <c r="D20" i="90"/>
  <c r="N20" i="90"/>
  <c r="K26" i="90"/>
  <c r="K54" i="90"/>
  <c r="C66" i="90"/>
  <c r="O69" i="90"/>
  <c r="O67" i="90" s="1"/>
  <c r="M76" i="90"/>
  <c r="L77" i="90"/>
  <c r="L76" i="90" s="1"/>
  <c r="J83" i="90"/>
  <c r="J75" i="90" s="1"/>
  <c r="C86" i="90"/>
  <c r="C94" i="90"/>
  <c r="C96" i="90"/>
  <c r="C108" i="90"/>
  <c r="O116" i="90"/>
  <c r="C126" i="90"/>
  <c r="M130" i="90"/>
  <c r="K130" i="90"/>
  <c r="C139" i="90"/>
  <c r="C140" i="90"/>
  <c r="C146" i="90"/>
  <c r="O151" i="90"/>
  <c r="O130" i="90" s="1"/>
  <c r="L151" i="90"/>
  <c r="C158" i="90"/>
  <c r="C161" i="90"/>
  <c r="D174" i="90"/>
  <c r="D173" i="90" s="1"/>
  <c r="L175" i="90"/>
  <c r="L174" i="90" s="1"/>
  <c r="L173" i="90" s="1"/>
  <c r="C183" i="90"/>
  <c r="L188" i="90"/>
  <c r="L187" i="90" s="1"/>
  <c r="C213" i="90"/>
  <c r="C220" i="90"/>
  <c r="C225" i="90"/>
  <c r="C229" i="90"/>
  <c r="J231" i="90"/>
  <c r="J230" i="90" s="1"/>
  <c r="N231" i="90"/>
  <c r="N230" i="90" s="1"/>
  <c r="C244" i="90"/>
  <c r="C256" i="90"/>
  <c r="C257" i="90"/>
  <c r="O260" i="90"/>
  <c r="E270" i="90"/>
  <c r="E269" i="90" s="1"/>
  <c r="C279" i="90"/>
  <c r="D269" i="90"/>
  <c r="C141" i="90"/>
  <c r="L144" i="90"/>
  <c r="C164" i="90"/>
  <c r="C167" i="90"/>
  <c r="C185" i="90"/>
  <c r="D187" i="90"/>
  <c r="C189" i="90"/>
  <c r="O187" i="90"/>
  <c r="O196" i="90"/>
  <c r="C207" i="90"/>
  <c r="C212" i="90"/>
  <c r="C224" i="90"/>
  <c r="L246" i="90"/>
  <c r="K269" i="90"/>
  <c r="L270" i="90"/>
  <c r="L269" i="90" s="1"/>
  <c r="O272" i="90"/>
  <c r="K20" i="90"/>
  <c r="G53" i="90"/>
  <c r="C114" i="90"/>
  <c r="I112" i="90"/>
  <c r="I20" i="90"/>
  <c r="F21" i="90"/>
  <c r="L36" i="90"/>
  <c r="C36" i="90" s="1"/>
  <c r="F55" i="90"/>
  <c r="C56" i="90"/>
  <c r="C68" i="90"/>
  <c r="F84" i="90"/>
  <c r="I84" i="90"/>
  <c r="C85" i="90"/>
  <c r="C168" i="90"/>
  <c r="F166" i="90"/>
  <c r="J20" i="90"/>
  <c r="O21" i="90"/>
  <c r="L27" i="90"/>
  <c r="C44" i="90"/>
  <c r="I58" i="90"/>
  <c r="C58" i="90" s="1"/>
  <c r="C62" i="90"/>
  <c r="L69" i="90"/>
  <c r="L67" i="90" s="1"/>
  <c r="L53" i="90" s="1"/>
  <c r="E83" i="90"/>
  <c r="C98" i="90"/>
  <c r="I95" i="90"/>
  <c r="C118" i="90"/>
  <c r="I116" i="90"/>
  <c r="C124" i="90"/>
  <c r="F122" i="90"/>
  <c r="C43" i="90"/>
  <c r="C70" i="90"/>
  <c r="F69" i="90"/>
  <c r="E20" i="90"/>
  <c r="L292" i="90"/>
  <c r="L291" i="90" s="1"/>
  <c r="O45" i="90"/>
  <c r="I54" i="90"/>
  <c r="I53" i="90" s="1"/>
  <c r="C64" i="90"/>
  <c r="C78" i="90"/>
  <c r="F77" i="90"/>
  <c r="I80" i="90"/>
  <c r="I76" i="90" s="1"/>
  <c r="C81" i="90"/>
  <c r="D83" i="90"/>
  <c r="H83" i="90"/>
  <c r="O84" i="90"/>
  <c r="F103" i="90"/>
  <c r="C104" i="90"/>
  <c r="C232" i="90"/>
  <c r="C248" i="90"/>
  <c r="I246" i="90"/>
  <c r="C301" i="90"/>
  <c r="F89" i="90"/>
  <c r="C91" i="90"/>
  <c r="O95" i="90"/>
  <c r="I103" i="90"/>
  <c r="C107" i="90"/>
  <c r="C127" i="90"/>
  <c r="H130" i="90"/>
  <c r="C143" i="90"/>
  <c r="C150" i="90"/>
  <c r="C152" i="90"/>
  <c r="F151" i="90"/>
  <c r="C163" i="90"/>
  <c r="C171" i="90"/>
  <c r="C178" i="90"/>
  <c r="C180" i="90"/>
  <c r="F179" i="90"/>
  <c r="C179" i="90" s="1"/>
  <c r="C186" i="90"/>
  <c r="C217" i="90"/>
  <c r="F216" i="90"/>
  <c r="I89" i="90"/>
  <c r="C90" i="90"/>
  <c r="F95" i="90"/>
  <c r="D130" i="90"/>
  <c r="I174" i="90"/>
  <c r="O174" i="90"/>
  <c r="O173" i="90" s="1"/>
  <c r="C241" i="90"/>
  <c r="F238" i="90"/>
  <c r="C265" i="90"/>
  <c r="F264" i="90"/>
  <c r="C273" i="90"/>
  <c r="F272" i="90"/>
  <c r="L89" i="90"/>
  <c r="C99" i="90"/>
  <c r="O103" i="90"/>
  <c r="C111" i="90"/>
  <c r="C115" i="90"/>
  <c r="F112" i="90"/>
  <c r="C119" i="90"/>
  <c r="F116" i="90"/>
  <c r="C123" i="90"/>
  <c r="O122" i="90"/>
  <c r="E130" i="90"/>
  <c r="C132" i="90"/>
  <c r="F131" i="90"/>
  <c r="C138" i="90"/>
  <c r="C147" i="90"/>
  <c r="C154" i="90"/>
  <c r="C159" i="90"/>
  <c r="O166" i="90"/>
  <c r="O165" i="90" s="1"/>
  <c r="E174" i="90"/>
  <c r="E173" i="90" s="1"/>
  <c r="C176" i="90"/>
  <c r="F175" i="90"/>
  <c r="C182" i="90"/>
  <c r="C190" i="90"/>
  <c r="C253" i="90"/>
  <c r="F252" i="90"/>
  <c r="I136" i="90"/>
  <c r="C142" i="90"/>
  <c r="I144" i="90"/>
  <c r="I160" i="90"/>
  <c r="C160" i="90" s="1"/>
  <c r="I184" i="90"/>
  <c r="C184" i="90" s="1"/>
  <c r="I188" i="90"/>
  <c r="I187" i="90" s="1"/>
  <c r="C193" i="90"/>
  <c r="F192" i="90"/>
  <c r="E195" i="90"/>
  <c r="L196" i="90"/>
  <c r="L205" i="90"/>
  <c r="C209" i="90"/>
  <c r="F205" i="90"/>
  <c r="C219" i="90"/>
  <c r="C227" i="90"/>
  <c r="C233" i="90"/>
  <c r="G231" i="90"/>
  <c r="G230" i="90" s="1"/>
  <c r="C240" i="90"/>
  <c r="I238" i="90"/>
  <c r="C243" i="90"/>
  <c r="I259" i="90"/>
  <c r="L260" i="90"/>
  <c r="C263" i="90"/>
  <c r="C275" i="90"/>
  <c r="C285" i="90"/>
  <c r="F284" i="90"/>
  <c r="C288" i="90"/>
  <c r="I286" i="90"/>
  <c r="F136" i="90"/>
  <c r="F144" i="90"/>
  <c r="C144" i="90" s="1"/>
  <c r="C200" i="90"/>
  <c r="I198" i="90"/>
  <c r="C203" i="90"/>
  <c r="C208" i="90"/>
  <c r="I205" i="90"/>
  <c r="I204" i="90" s="1"/>
  <c r="C223" i="90"/>
  <c r="C228" i="90"/>
  <c r="L238" i="90"/>
  <c r="L231" i="90" s="1"/>
  <c r="M230" i="90"/>
  <c r="E259" i="90"/>
  <c r="E230" i="90" s="1"/>
  <c r="C261" i="90"/>
  <c r="F260" i="90"/>
  <c r="O259" i="90"/>
  <c r="C271" i="90"/>
  <c r="I270" i="90"/>
  <c r="I269" i="90" s="1"/>
  <c r="M270" i="90"/>
  <c r="M269" i="90" s="1"/>
  <c r="C277" i="90"/>
  <c r="F276" i="90"/>
  <c r="O293" i="90"/>
  <c r="C197" i="90"/>
  <c r="F196" i="90"/>
  <c r="L216" i="90"/>
  <c r="I235" i="90"/>
  <c r="I231" i="90" s="1"/>
  <c r="C236" i="90"/>
  <c r="C249" i="90"/>
  <c r="F246" i="90"/>
  <c r="L252" i="90"/>
  <c r="L251" i="90" s="1"/>
  <c r="C255" i="90"/>
  <c r="L264" i="90"/>
  <c r="C267" i="90"/>
  <c r="C280" i="90"/>
  <c r="C296" i="90"/>
  <c r="C297" i="90"/>
  <c r="F293" i="90"/>
  <c r="C293" i="90" s="1"/>
  <c r="C199" i="90"/>
  <c r="N75" i="90" l="1"/>
  <c r="N52" i="90" s="1"/>
  <c r="D194" i="90"/>
  <c r="G194" i="90"/>
  <c r="G75" i="90"/>
  <c r="G52" i="90" s="1"/>
  <c r="G51" i="90" s="1"/>
  <c r="C188" i="90"/>
  <c r="D75" i="90"/>
  <c r="D52" i="90" s="1"/>
  <c r="D51" i="90" s="1"/>
  <c r="M194" i="90"/>
  <c r="L83" i="90"/>
  <c r="C69" i="90"/>
  <c r="M75" i="90"/>
  <c r="K230" i="90"/>
  <c r="K194" i="90" s="1"/>
  <c r="I230" i="90"/>
  <c r="E75" i="90"/>
  <c r="E52" i="90" s="1"/>
  <c r="L130" i="90"/>
  <c r="M52" i="90"/>
  <c r="O230" i="90"/>
  <c r="H194" i="90"/>
  <c r="J289" i="90"/>
  <c r="J52" i="90"/>
  <c r="J51" i="90" s="1"/>
  <c r="N194" i="90"/>
  <c r="N51" i="90" s="1"/>
  <c r="N50" i="90" s="1"/>
  <c r="N289" i="90"/>
  <c r="C246" i="90"/>
  <c r="M289" i="90"/>
  <c r="L204" i="90"/>
  <c r="I130" i="90"/>
  <c r="L75" i="90"/>
  <c r="L52" i="90" s="1"/>
  <c r="O83" i="90"/>
  <c r="O53" i="90"/>
  <c r="C276" i="90"/>
  <c r="E289" i="90"/>
  <c r="L259" i="90"/>
  <c r="L230" i="90" s="1"/>
  <c r="C116" i="90"/>
  <c r="C151" i="90"/>
  <c r="H75" i="90"/>
  <c r="H289" i="90" s="1"/>
  <c r="O270" i="90"/>
  <c r="O269" i="90" s="1"/>
  <c r="K75" i="90"/>
  <c r="K52" i="90" s="1"/>
  <c r="D290" i="90"/>
  <c r="D50" i="90"/>
  <c r="D289" i="90"/>
  <c r="C80" i="90"/>
  <c r="I83" i="90"/>
  <c r="I75" i="90" s="1"/>
  <c r="C136" i="90"/>
  <c r="C235" i="90"/>
  <c r="C205" i="90"/>
  <c r="F204" i="90"/>
  <c r="C204" i="90" s="1"/>
  <c r="C112" i="90"/>
  <c r="C264" i="90"/>
  <c r="I173" i="90"/>
  <c r="C103" i="90"/>
  <c r="C77" i="90"/>
  <c r="F76" i="90"/>
  <c r="C122" i="90"/>
  <c r="F165" i="90"/>
  <c r="C165" i="90" s="1"/>
  <c r="C166" i="90"/>
  <c r="F83" i="90"/>
  <c r="C84" i="90"/>
  <c r="F67" i="90"/>
  <c r="C67" i="90" s="1"/>
  <c r="C286" i="90"/>
  <c r="C284" i="90"/>
  <c r="F283" i="90"/>
  <c r="C283" i="90" s="1"/>
  <c r="C192" i="90"/>
  <c r="F191" i="90"/>
  <c r="F270" i="90"/>
  <c r="C272" i="90"/>
  <c r="F231" i="90"/>
  <c r="C238" i="90"/>
  <c r="O292" i="90"/>
  <c r="O291" i="90" s="1"/>
  <c r="O20" i="90"/>
  <c r="C55" i="90"/>
  <c r="F54" i="90"/>
  <c r="I292" i="90"/>
  <c r="I291" i="90" s="1"/>
  <c r="F195" i="90"/>
  <c r="L195" i="90"/>
  <c r="C252" i="90"/>
  <c r="F251" i="90"/>
  <c r="C251" i="90" s="1"/>
  <c r="O75" i="90"/>
  <c r="O52" i="90" s="1"/>
  <c r="C45" i="90"/>
  <c r="C260" i="90"/>
  <c r="F259" i="90"/>
  <c r="C259" i="90" s="1"/>
  <c r="C198" i="90"/>
  <c r="I196" i="90"/>
  <c r="I195" i="90" s="1"/>
  <c r="G289" i="90"/>
  <c r="E194" i="90"/>
  <c r="E51" i="90" s="1"/>
  <c r="C175" i="90"/>
  <c r="F174" i="90"/>
  <c r="C131" i="90"/>
  <c r="F130" i="90"/>
  <c r="C130" i="90" s="1"/>
  <c r="C95" i="90"/>
  <c r="C216" i="90"/>
  <c r="C89" i="90"/>
  <c r="C27" i="90"/>
  <c r="L26" i="90"/>
  <c r="F292" i="90"/>
  <c r="C21" i="90"/>
  <c r="F20" i="90"/>
  <c r="H52" i="90" l="1"/>
  <c r="H51" i="90" s="1"/>
  <c r="K51" i="90"/>
  <c r="K50" i="90" s="1"/>
  <c r="I52" i="90"/>
  <c r="O194" i="90"/>
  <c r="O51" i="90" s="1"/>
  <c r="J290" i="90"/>
  <c r="J50" i="90"/>
  <c r="M51" i="90"/>
  <c r="I194" i="90"/>
  <c r="N290" i="90"/>
  <c r="I51" i="90"/>
  <c r="I290" i="90" s="1"/>
  <c r="L194" i="90"/>
  <c r="L51" i="90" s="1"/>
  <c r="L50" i="90" s="1"/>
  <c r="K290" i="90"/>
  <c r="K289" i="90"/>
  <c r="C83" i="90"/>
  <c r="C292" i="90"/>
  <c r="F291" i="90"/>
  <c r="C291" i="90" s="1"/>
  <c r="F173" i="90"/>
  <c r="C173" i="90" s="1"/>
  <c r="C174" i="90"/>
  <c r="F230" i="90"/>
  <c r="C230" i="90" s="1"/>
  <c r="C231" i="90"/>
  <c r="C191" i="90"/>
  <c r="F187" i="90"/>
  <c r="C187" i="90" s="1"/>
  <c r="F75" i="90"/>
  <c r="C75" i="90" s="1"/>
  <c r="C76" i="90"/>
  <c r="E290" i="90"/>
  <c r="E50" i="90"/>
  <c r="I289" i="90"/>
  <c r="C54" i="90"/>
  <c r="F53" i="90"/>
  <c r="F269" i="90"/>
  <c r="C270" i="90"/>
  <c r="O289" i="90"/>
  <c r="G50" i="90"/>
  <c r="G290" i="90"/>
  <c r="C196" i="90"/>
  <c r="C26" i="90"/>
  <c r="L20" i="90"/>
  <c r="C20" i="90" s="1"/>
  <c r="C195" i="90"/>
  <c r="L289" i="90"/>
  <c r="H290" i="90"/>
  <c r="H50" i="90"/>
  <c r="O50" i="90" l="1"/>
  <c r="O290" i="90"/>
  <c r="M50" i="90"/>
  <c r="M290" i="90"/>
  <c r="I50" i="90"/>
  <c r="C269" i="90"/>
  <c r="F289" i="90"/>
  <c r="C289" i="90" s="1"/>
  <c r="C53" i="90"/>
  <c r="F52" i="90"/>
  <c r="L290" i="90"/>
  <c r="F194" i="90"/>
  <c r="C194" i="90" s="1"/>
  <c r="F51" i="90" l="1"/>
  <c r="C52" i="90"/>
  <c r="F290" i="90" l="1"/>
  <c r="C290" i="90" s="1"/>
  <c r="F50" i="90"/>
  <c r="C50" i="90" s="1"/>
  <c r="C51" i="90"/>
  <c r="E13" i="77" l="1"/>
  <c r="F13" i="77"/>
  <c r="G13" i="77"/>
  <c r="H13" i="77"/>
  <c r="I13" i="77"/>
  <c r="J13" i="77"/>
  <c r="K13" i="77"/>
  <c r="L13" i="77"/>
  <c r="M13" i="77"/>
  <c r="N13" i="77"/>
  <c r="O13" i="77"/>
  <c r="P13" i="77"/>
  <c r="Q13" i="77"/>
  <c r="R13" i="77"/>
  <c r="D13" i="77"/>
  <c r="O301" i="89" l="1"/>
  <c r="L301" i="89"/>
  <c r="I301" i="89"/>
  <c r="F301" i="89"/>
  <c r="O300" i="89"/>
  <c r="L300" i="89"/>
  <c r="I300" i="89"/>
  <c r="F300" i="89"/>
  <c r="O299" i="89"/>
  <c r="L299" i="89"/>
  <c r="I299" i="89"/>
  <c r="F299" i="89"/>
  <c r="O298" i="89"/>
  <c r="L298" i="89"/>
  <c r="I298" i="89"/>
  <c r="F298" i="89"/>
  <c r="C298" i="89" s="1"/>
  <c r="O297" i="89"/>
  <c r="L297" i="89"/>
  <c r="I297" i="89"/>
  <c r="F297" i="89"/>
  <c r="O296" i="89"/>
  <c r="L296" i="89"/>
  <c r="I296" i="89"/>
  <c r="F296" i="89"/>
  <c r="O295" i="89"/>
  <c r="L295" i="89"/>
  <c r="I295" i="89"/>
  <c r="F295" i="89"/>
  <c r="O294" i="89"/>
  <c r="L294" i="89"/>
  <c r="L293" i="89" s="1"/>
  <c r="I294" i="89"/>
  <c r="F294" i="89"/>
  <c r="C294" i="89" s="1"/>
  <c r="N293" i="89"/>
  <c r="M293" i="89"/>
  <c r="K293" i="89"/>
  <c r="J293" i="89"/>
  <c r="H293" i="89"/>
  <c r="G293" i="89"/>
  <c r="E293" i="89"/>
  <c r="D293" i="89"/>
  <c r="O288" i="89"/>
  <c r="L288" i="89"/>
  <c r="I288" i="89"/>
  <c r="F288" i="89"/>
  <c r="C288" i="89" s="1"/>
  <c r="O287" i="89"/>
  <c r="L287" i="89"/>
  <c r="I287" i="89"/>
  <c r="F287" i="89"/>
  <c r="O286" i="89"/>
  <c r="N286" i="89"/>
  <c r="M286" i="89"/>
  <c r="K286" i="89"/>
  <c r="J286" i="89"/>
  <c r="H286" i="89"/>
  <c r="G286" i="89"/>
  <c r="F286" i="89"/>
  <c r="E286" i="89"/>
  <c r="D286" i="89"/>
  <c r="O285" i="89"/>
  <c r="L285" i="89"/>
  <c r="L284" i="89" s="1"/>
  <c r="L283" i="89" s="1"/>
  <c r="I285" i="89"/>
  <c r="F285" i="89"/>
  <c r="O284" i="89"/>
  <c r="O283" i="89" s="1"/>
  <c r="N284" i="89"/>
  <c r="N283" i="89" s="1"/>
  <c r="M284" i="89"/>
  <c r="M283" i="89" s="1"/>
  <c r="K284" i="89"/>
  <c r="K283" i="89" s="1"/>
  <c r="J284" i="89"/>
  <c r="J283" i="89" s="1"/>
  <c r="I284" i="89"/>
  <c r="I283" i="89" s="1"/>
  <c r="H284" i="89"/>
  <c r="G284" i="89"/>
  <c r="E284" i="89"/>
  <c r="E283" i="89" s="1"/>
  <c r="D284" i="89"/>
  <c r="D283" i="89" s="1"/>
  <c r="H283" i="89"/>
  <c r="G283" i="89"/>
  <c r="O282" i="89"/>
  <c r="O281" i="89" s="1"/>
  <c r="L282" i="89"/>
  <c r="I282" i="89"/>
  <c r="I281" i="89" s="1"/>
  <c r="F282" i="89"/>
  <c r="N281" i="89"/>
  <c r="M281" i="89"/>
  <c r="L281" i="89"/>
  <c r="K281" i="89"/>
  <c r="J281" i="89"/>
  <c r="H281" i="89"/>
  <c r="G281" i="89"/>
  <c r="F281" i="89"/>
  <c r="E281" i="89"/>
  <c r="D281" i="89"/>
  <c r="O280" i="89"/>
  <c r="L280" i="89"/>
  <c r="I280" i="89"/>
  <c r="F280" i="89"/>
  <c r="O279" i="89"/>
  <c r="L279" i="89"/>
  <c r="I279" i="89"/>
  <c r="F279" i="89"/>
  <c r="O278" i="89"/>
  <c r="L278" i="89"/>
  <c r="I278" i="89"/>
  <c r="F278" i="89"/>
  <c r="O277" i="89"/>
  <c r="L277" i="89"/>
  <c r="I277" i="89"/>
  <c r="F277" i="89"/>
  <c r="N276" i="89"/>
  <c r="M276" i="89"/>
  <c r="K276" i="89"/>
  <c r="J276" i="89"/>
  <c r="H276" i="89"/>
  <c r="G276" i="89"/>
  <c r="E276" i="89"/>
  <c r="D276" i="89"/>
  <c r="O275" i="89"/>
  <c r="L275" i="89"/>
  <c r="I275" i="89"/>
  <c r="F275" i="89"/>
  <c r="O274" i="89"/>
  <c r="L274" i="89"/>
  <c r="I274" i="89"/>
  <c r="F274" i="89"/>
  <c r="O273" i="89"/>
  <c r="L273" i="89"/>
  <c r="I273" i="89"/>
  <c r="I272" i="89" s="1"/>
  <c r="F273" i="89"/>
  <c r="N272" i="89"/>
  <c r="M272" i="89"/>
  <c r="L272" i="89"/>
  <c r="K272" i="89"/>
  <c r="J272" i="89"/>
  <c r="H272" i="89"/>
  <c r="G272" i="89"/>
  <c r="G270" i="89" s="1"/>
  <c r="G269" i="89" s="1"/>
  <c r="E272" i="89"/>
  <c r="D272" i="89"/>
  <c r="O271" i="89"/>
  <c r="L271" i="89"/>
  <c r="I271" i="89"/>
  <c r="F271" i="89"/>
  <c r="N270" i="89"/>
  <c r="K270" i="89"/>
  <c r="K269" i="89" s="1"/>
  <c r="O268" i="89"/>
  <c r="L268" i="89"/>
  <c r="I268" i="89"/>
  <c r="F268" i="89"/>
  <c r="O267" i="89"/>
  <c r="L267" i="89"/>
  <c r="I267" i="89"/>
  <c r="F267" i="89"/>
  <c r="O266" i="89"/>
  <c r="L266" i="89"/>
  <c r="I266" i="89"/>
  <c r="F266" i="89"/>
  <c r="C266" i="89" s="1"/>
  <c r="O265" i="89"/>
  <c r="O264" i="89" s="1"/>
  <c r="L265" i="89"/>
  <c r="I265" i="89"/>
  <c r="F265" i="89"/>
  <c r="N264" i="89"/>
  <c r="M264" i="89"/>
  <c r="K264" i="89"/>
  <c r="J264" i="89"/>
  <c r="H264" i="89"/>
  <c r="G264" i="89"/>
  <c r="E264" i="89"/>
  <c r="D264" i="89"/>
  <c r="O263" i="89"/>
  <c r="L263" i="89"/>
  <c r="I263" i="89"/>
  <c r="F263" i="89"/>
  <c r="O262" i="89"/>
  <c r="L262" i="89"/>
  <c r="I262" i="89"/>
  <c r="F262" i="89"/>
  <c r="O261" i="89"/>
  <c r="L261" i="89"/>
  <c r="I261" i="89"/>
  <c r="F261" i="89"/>
  <c r="N260" i="89"/>
  <c r="M260" i="89"/>
  <c r="K260" i="89"/>
  <c r="J260" i="89"/>
  <c r="J259" i="89" s="1"/>
  <c r="H260" i="89"/>
  <c r="H259" i="89" s="1"/>
  <c r="G260" i="89"/>
  <c r="E260" i="89"/>
  <c r="D260" i="89"/>
  <c r="D259" i="89" s="1"/>
  <c r="N259" i="89"/>
  <c r="G259" i="89"/>
  <c r="O258" i="89"/>
  <c r="L258" i="89"/>
  <c r="I258" i="89"/>
  <c r="F258" i="89"/>
  <c r="O257" i="89"/>
  <c r="L257" i="89"/>
  <c r="I257" i="89"/>
  <c r="F257" i="89"/>
  <c r="O256" i="89"/>
  <c r="L256" i="89"/>
  <c r="I256" i="89"/>
  <c r="F256" i="89"/>
  <c r="O255" i="89"/>
  <c r="L255" i="89"/>
  <c r="I255" i="89"/>
  <c r="F255" i="89"/>
  <c r="O254" i="89"/>
  <c r="L254" i="89"/>
  <c r="I254" i="89"/>
  <c r="F254" i="89"/>
  <c r="O253" i="89"/>
  <c r="L253" i="89"/>
  <c r="I253" i="89"/>
  <c r="F253" i="89"/>
  <c r="N252" i="89"/>
  <c r="M252" i="89"/>
  <c r="M251" i="89" s="1"/>
  <c r="K252" i="89"/>
  <c r="K251" i="89" s="1"/>
  <c r="J252" i="89"/>
  <c r="J251" i="89" s="1"/>
  <c r="H252" i="89"/>
  <c r="H251" i="89" s="1"/>
  <c r="G252" i="89"/>
  <c r="E252" i="89"/>
  <c r="E251" i="89" s="1"/>
  <c r="D252" i="89"/>
  <c r="D251" i="89" s="1"/>
  <c r="N251" i="89"/>
  <c r="G251" i="89"/>
  <c r="O250" i="89"/>
  <c r="L250" i="89"/>
  <c r="I250" i="89"/>
  <c r="F250" i="89"/>
  <c r="O249" i="89"/>
  <c r="L249" i="89"/>
  <c r="I249" i="89"/>
  <c r="F249" i="89"/>
  <c r="O248" i="89"/>
  <c r="L248" i="89"/>
  <c r="I248" i="89"/>
  <c r="F248" i="89"/>
  <c r="O247" i="89"/>
  <c r="L247" i="89"/>
  <c r="L246" i="89" s="1"/>
  <c r="I247" i="89"/>
  <c r="F247" i="89"/>
  <c r="O246" i="89"/>
  <c r="N246" i="89"/>
  <c r="M246" i="89"/>
  <c r="K246" i="89"/>
  <c r="J246" i="89"/>
  <c r="H246" i="89"/>
  <c r="G246" i="89"/>
  <c r="E246" i="89"/>
  <c r="D246" i="89"/>
  <c r="O245" i="89"/>
  <c r="L245" i="89"/>
  <c r="I245" i="89"/>
  <c r="F245" i="89"/>
  <c r="O244" i="89"/>
  <c r="L244" i="89"/>
  <c r="I244" i="89"/>
  <c r="F244" i="89"/>
  <c r="O243" i="89"/>
  <c r="L243" i="89"/>
  <c r="I243" i="89"/>
  <c r="F243" i="89"/>
  <c r="O242" i="89"/>
  <c r="L242" i="89"/>
  <c r="I242" i="89"/>
  <c r="F242" i="89"/>
  <c r="O241" i="89"/>
  <c r="L241" i="89"/>
  <c r="I241" i="89"/>
  <c r="F241" i="89"/>
  <c r="O240" i="89"/>
  <c r="L240" i="89"/>
  <c r="I240" i="89"/>
  <c r="F240" i="89"/>
  <c r="O239" i="89"/>
  <c r="L239" i="89"/>
  <c r="I239" i="89"/>
  <c r="F239" i="89"/>
  <c r="N238" i="89"/>
  <c r="M238" i="89"/>
  <c r="K238" i="89"/>
  <c r="J238" i="89"/>
  <c r="H238" i="89"/>
  <c r="G238" i="89"/>
  <c r="E238" i="89"/>
  <c r="D238" i="89"/>
  <c r="O237" i="89"/>
  <c r="L237" i="89"/>
  <c r="I237" i="89"/>
  <c r="F237" i="89"/>
  <c r="O236" i="89"/>
  <c r="O235" i="89" s="1"/>
  <c r="L236" i="89"/>
  <c r="L235" i="89" s="1"/>
  <c r="I236" i="89"/>
  <c r="I235" i="89" s="1"/>
  <c r="F236" i="89"/>
  <c r="N235" i="89"/>
  <c r="M235" i="89"/>
  <c r="M231" i="89" s="1"/>
  <c r="K235" i="89"/>
  <c r="J235" i="89"/>
  <c r="H235" i="89"/>
  <c r="G235" i="89"/>
  <c r="F235" i="89"/>
  <c r="E235" i="89"/>
  <c r="D235" i="89"/>
  <c r="O234" i="89"/>
  <c r="O233" i="89" s="1"/>
  <c r="L234" i="89"/>
  <c r="L233" i="89" s="1"/>
  <c r="I234" i="89"/>
  <c r="I233" i="89" s="1"/>
  <c r="F234" i="89"/>
  <c r="N233" i="89"/>
  <c r="M233" i="89"/>
  <c r="K233" i="89"/>
  <c r="J233" i="89"/>
  <c r="H233" i="89"/>
  <c r="G233" i="89"/>
  <c r="F233" i="89"/>
  <c r="E233" i="89"/>
  <c r="D233" i="89"/>
  <c r="O232" i="89"/>
  <c r="L232" i="89"/>
  <c r="I232" i="89"/>
  <c r="F232" i="89"/>
  <c r="O229" i="89"/>
  <c r="L229" i="89"/>
  <c r="I229" i="89"/>
  <c r="F229" i="89"/>
  <c r="O228" i="89"/>
  <c r="L228" i="89"/>
  <c r="L227" i="89" s="1"/>
  <c r="I228" i="89"/>
  <c r="F228" i="89"/>
  <c r="O227" i="89"/>
  <c r="N227" i="89"/>
  <c r="M227" i="89"/>
  <c r="K227" i="89"/>
  <c r="J227" i="89"/>
  <c r="H227" i="89"/>
  <c r="G227" i="89"/>
  <c r="F227" i="89"/>
  <c r="E227" i="89"/>
  <c r="D227" i="89"/>
  <c r="O226" i="89"/>
  <c r="L226" i="89"/>
  <c r="I226" i="89"/>
  <c r="F226" i="89"/>
  <c r="O225" i="89"/>
  <c r="L225" i="89"/>
  <c r="I225" i="89"/>
  <c r="F225" i="89"/>
  <c r="O224" i="89"/>
  <c r="L224" i="89"/>
  <c r="I224" i="89"/>
  <c r="F224" i="89"/>
  <c r="O223" i="89"/>
  <c r="L223" i="89"/>
  <c r="I223" i="89"/>
  <c r="F223" i="89"/>
  <c r="O222" i="89"/>
  <c r="L222" i="89"/>
  <c r="I222" i="89"/>
  <c r="F222" i="89"/>
  <c r="O221" i="89"/>
  <c r="L221" i="89"/>
  <c r="I221" i="89"/>
  <c r="F221" i="89"/>
  <c r="O220" i="89"/>
  <c r="L220" i="89"/>
  <c r="I220" i="89"/>
  <c r="F220" i="89"/>
  <c r="O219" i="89"/>
  <c r="L219" i="89"/>
  <c r="I219" i="89"/>
  <c r="F219" i="89"/>
  <c r="O218" i="89"/>
  <c r="L218" i="89"/>
  <c r="I218" i="89"/>
  <c r="F218" i="89"/>
  <c r="O217" i="89"/>
  <c r="L217" i="89"/>
  <c r="I217" i="89"/>
  <c r="I216" i="89" s="1"/>
  <c r="F217" i="89"/>
  <c r="N216" i="89"/>
  <c r="M216" i="89"/>
  <c r="K216" i="89"/>
  <c r="J216" i="89"/>
  <c r="H216" i="89"/>
  <c r="G216" i="89"/>
  <c r="E216" i="89"/>
  <c r="D216" i="89"/>
  <c r="O215" i="89"/>
  <c r="L215" i="89"/>
  <c r="I215" i="89"/>
  <c r="F215" i="89"/>
  <c r="O214" i="89"/>
  <c r="L214" i="89"/>
  <c r="I214" i="89"/>
  <c r="F214" i="89"/>
  <c r="O213" i="89"/>
  <c r="L213" i="89"/>
  <c r="I213" i="89"/>
  <c r="F213" i="89"/>
  <c r="O212" i="89"/>
  <c r="L212" i="89"/>
  <c r="I212" i="89"/>
  <c r="F212" i="89"/>
  <c r="O211" i="89"/>
  <c r="L211" i="89"/>
  <c r="I211" i="89"/>
  <c r="F211" i="89"/>
  <c r="O210" i="89"/>
  <c r="L210" i="89"/>
  <c r="I210" i="89"/>
  <c r="F210" i="89"/>
  <c r="O209" i="89"/>
  <c r="L209" i="89"/>
  <c r="I209" i="89"/>
  <c r="F209" i="89"/>
  <c r="O208" i="89"/>
  <c r="L208" i="89"/>
  <c r="I208" i="89"/>
  <c r="F208" i="89"/>
  <c r="O207" i="89"/>
  <c r="L207" i="89"/>
  <c r="I207" i="89"/>
  <c r="F207" i="89"/>
  <c r="O206" i="89"/>
  <c r="L206" i="89"/>
  <c r="I206" i="89"/>
  <c r="F206" i="89"/>
  <c r="N205" i="89"/>
  <c r="M205" i="89"/>
  <c r="K205" i="89"/>
  <c r="J205" i="89"/>
  <c r="H205" i="89"/>
  <c r="H204" i="89" s="1"/>
  <c r="G205" i="89"/>
  <c r="E205" i="89"/>
  <c r="D205" i="89"/>
  <c r="M204" i="89"/>
  <c r="O203" i="89"/>
  <c r="L203" i="89"/>
  <c r="I203" i="89"/>
  <c r="F203" i="89"/>
  <c r="O202" i="89"/>
  <c r="L202" i="89"/>
  <c r="I202" i="89"/>
  <c r="F202" i="89"/>
  <c r="O201" i="89"/>
  <c r="L201" i="89"/>
  <c r="I201" i="89"/>
  <c r="F201" i="89"/>
  <c r="O200" i="89"/>
  <c r="L200" i="89"/>
  <c r="I200" i="89"/>
  <c r="F200" i="89"/>
  <c r="O199" i="89"/>
  <c r="L199" i="89"/>
  <c r="L198" i="89" s="1"/>
  <c r="I199" i="89"/>
  <c r="F199" i="89"/>
  <c r="F198" i="89" s="1"/>
  <c r="O198" i="89"/>
  <c r="N198" i="89"/>
  <c r="M198" i="89"/>
  <c r="K198" i="89"/>
  <c r="K196" i="89" s="1"/>
  <c r="J198" i="89"/>
  <c r="H198" i="89"/>
  <c r="G198" i="89"/>
  <c r="G196" i="89" s="1"/>
  <c r="E198" i="89"/>
  <c r="E196" i="89" s="1"/>
  <c r="D198" i="89"/>
  <c r="O197" i="89"/>
  <c r="L197" i="89"/>
  <c r="L196" i="89" s="1"/>
  <c r="I197" i="89"/>
  <c r="F197" i="89"/>
  <c r="N196" i="89"/>
  <c r="M196" i="89"/>
  <c r="J196" i="89"/>
  <c r="H196" i="89"/>
  <c r="D196" i="89"/>
  <c r="O193" i="89"/>
  <c r="O192" i="89" s="1"/>
  <c r="O191" i="89" s="1"/>
  <c r="L193" i="89"/>
  <c r="L192" i="89" s="1"/>
  <c r="L191" i="89" s="1"/>
  <c r="I193" i="89"/>
  <c r="F193" i="89"/>
  <c r="N192" i="89"/>
  <c r="N191" i="89" s="1"/>
  <c r="M192" i="89"/>
  <c r="M191" i="89" s="1"/>
  <c r="K192" i="89"/>
  <c r="K191" i="89" s="1"/>
  <c r="J192" i="89"/>
  <c r="I192" i="89"/>
  <c r="I191" i="89" s="1"/>
  <c r="H192" i="89"/>
  <c r="H191" i="89" s="1"/>
  <c r="G192" i="89"/>
  <c r="G191" i="89" s="1"/>
  <c r="E192" i="89"/>
  <c r="E191" i="89" s="1"/>
  <c r="D192" i="89"/>
  <c r="D191" i="89" s="1"/>
  <c r="J191" i="89"/>
  <c r="O190" i="89"/>
  <c r="L190" i="89"/>
  <c r="I190" i="89"/>
  <c r="F190" i="89"/>
  <c r="O189" i="89"/>
  <c r="O188" i="89" s="1"/>
  <c r="L189" i="89"/>
  <c r="L188" i="89" s="1"/>
  <c r="I189" i="89"/>
  <c r="I188" i="89" s="1"/>
  <c r="F189" i="89"/>
  <c r="N188" i="89"/>
  <c r="M188" i="89"/>
  <c r="K188" i="89"/>
  <c r="J188" i="89"/>
  <c r="H188" i="89"/>
  <c r="G188" i="89"/>
  <c r="F188" i="89"/>
  <c r="E188" i="89"/>
  <c r="E187" i="89" s="1"/>
  <c r="D188" i="89"/>
  <c r="O186" i="89"/>
  <c r="L186" i="89"/>
  <c r="I186" i="89"/>
  <c r="F186" i="89"/>
  <c r="O185" i="89"/>
  <c r="O184" i="89" s="1"/>
  <c r="L185" i="89"/>
  <c r="I185" i="89"/>
  <c r="I184" i="89" s="1"/>
  <c r="F185" i="89"/>
  <c r="N184" i="89"/>
  <c r="M184" i="89"/>
  <c r="K184" i="89"/>
  <c r="J184" i="89"/>
  <c r="H184" i="89"/>
  <c r="G184" i="89"/>
  <c r="F184" i="89"/>
  <c r="E184" i="89"/>
  <c r="D184" i="89"/>
  <c r="O183" i="89"/>
  <c r="L183" i="89"/>
  <c r="I183" i="89"/>
  <c r="F183" i="89"/>
  <c r="O182" i="89"/>
  <c r="L182" i="89"/>
  <c r="I182" i="89"/>
  <c r="F182" i="89"/>
  <c r="O181" i="89"/>
  <c r="L181" i="89"/>
  <c r="I181" i="89"/>
  <c r="F181" i="89"/>
  <c r="O180" i="89"/>
  <c r="O179" i="89" s="1"/>
  <c r="L180" i="89"/>
  <c r="I180" i="89"/>
  <c r="I179" i="89" s="1"/>
  <c r="F180" i="89"/>
  <c r="N179" i="89"/>
  <c r="M179" i="89"/>
  <c r="K179" i="89"/>
  <c r="J179" i="89"/>
  <c r="H179" i="89"/>
  <c r="G179" i="89"/>
  <c r="E179" i="89"/>
  <c r="D179" i="89"/>
  <c r="O178" i="89"/>
  <c r="L178" i="89"/>
  <c r="I178" i="89"/>
  <c r="F178" i="89"/>
  <c r="O177" i="89"/>
  <c r="L177" i="89"/>
  <c r="I177" i="89"/>
  <c r="F177" i="89"/>
  <c r="O176" i="89"/>
  <c r="L176" i="89"/>
  <c r="I176" i="89"/>
  <c r="F176" i="89"/>
  <c r="N175" i="89"/>
  <c r="N174" i="89" s="1"/>
  <c r="N173" i="89" s="1"/>
  <c r="M175" i="89"/>
  <c r="K175" i="89"/>
  <c r="J175" i="89"/>
  <c r="I175" i="89"/>
  <c r="H175" i="89"/>
  <c r="G175" i="89"/>
  <c r="E175" i="89"/>
  <c r="E174" i="89" s="1"/>
  <c r="E173" i="89" s="1"/>
  <c r="D175" i="89"/>
  <c r="D174" i="89" s="1"/>
  <c r="D173" i="89" s="1"/>
  <c r="J174" i="89"/>
  <c r="J173" i="89" s="1"/>
  <c r="O172" i="89"/>
  <c r="L172" i="89"/>
  <c r="I172" i="89"/>
  <c r="F172" i="89"/>
  <c r="O171" i="89"/>
  <c r="L171" i="89"/>
  <c r="I171" i="89"/>
  <c r="F171" i="89"/>
  <c r="O170" i="89"/>
  <c r="L170" i="89"/>
  <c r="I170" i="89"/>
  <c r="F170" i="89"/>
  <c r="O169" i="89"/>
  <c r="L169" i="89"/>
  <c r="I169" i="89"/>
  <c r="F169" i="89"/>
  <c r="O168" i="89"/>
  <c r="L168" i="89"/>
  <c r="I168" i="89"/>
  <c r="F168" i="89"/>
  <c r="O167" i="89"/>
  <c r="L167" i="89"/>
  <c r="I167" i="89"/>
  <c r="F167" i="89"/>
  <c r="N166" i="89"/>
  <c r="N165" i="89" s="1"/>
  <c r="M166" i="89"/>
  <c r="M165" i="89" s="1"/>
  <c r="K166" i="89"/>
  <c r="K165" i="89" s="1"/>
  <c r="J166" i="89"/>
  <c r="J165" i="89" s="1"/>
  <c r="H166" i="89"/>
  <c r="H165" i="89" s="1"/>
  <c r="G166" i="89"/>
  <c r="F166" i="89"/>
  <c r="E166" i="89"/>
  <c r="E165" i="89" s="1"/>
  <c r="D166" i="89"/>
  <c r="D165" i="89" s="1"/>
  <c r="G165" i="89"/>
  <c r="O164" i="89"/>
  <c r="L164" i="89"/>
  <c r="I164" i="89"/>
  <c r="F164" i="89"/>
  <c r="O163" i="89"/>
  <c r="L163" i="89"/>
  <c r="I163" i="89"/>
  <c r="F163" i="89"/>
  <c r="O162" i="89"/>
  <c r="L162" i="89"/>
  <c r="I162" i="89"/>
  <c r="F162" i="89"/>
  <c r="O161" i="89"/>
  <c r="O160" i="89" s="1"/>
  <c r="L161" i="89"/>
  <c r="I161" i="89"/>
  <c r="I160" i="89" s="1"/>
  <c r="F161" i="89"/>
  <c r="N160" i="89"/>
  <c r="M160" i="89"/>
  <c r="L160" i="89"/>
  <c r="K160" i="89"/>
  <c r="J160" i="89"/>
  <c r="H160" i="89"/>
  <c r="G160" i="89"/>
  <c r="E160" i="89"/>
  <c r="D160" i="89"/>
  <c r="O159" i="89"/>
  <c r="L159" i="89"/>
  <c r="I159" i="89"/>
  <c r="F159" i="89"/>
  <c r="O158" i="89"/>
  <c r="L158" i="89"/>
  <c r="I158" i="89"/>
  <c r="F158" i="89"/>
  <c r="O157" i="89"/>
  <c r="L157" i="89"/>
  <c r="I157" i="89"/>
  <c r="F157" i="89"/>
  <c r="O156" i="89"/>
  <c r="L156" i="89"/>
  <c r="I156" i="89"/>
  <c r="F156" i="89"/>
  <c r="O155" i="89"/>
  <c r="L155" i="89"/>
  <c r="I155" i="89"/>
  <c r="F155" i="89"/>
  <c r="O154" i="89"/>
  <c r="L154" i="89"/>
  <c r="I154" i="89"/>
  <c r="F154" i="89"/>
  <c r="O153" i="89"/>
  <c r="L153" i="89"/>
  <c r="I153" i="89"/>
  <c r="F153" i="89"/>
  <c r="C153" i="89" s="1"/>
  <c r="O152" i="89"/>
  <c r="L152" i="89"/>
  <c r="I152" i="89"/>
  <c r="I151" i="89" s="1"/>
  <c r="F152" i="89"/>
  <c r="N151" i="89"/>
  <c r="M151" i="89"/>
  <c r="K151" i="89"/>
  <c r="J151" i="89"/>
  <c r="H151" i="89"/>
  <c r="G151" i="89"/>
  <c r="E151" i="89"/>
  <c r="D151" i="89"/>
  <c r="O150" i="89"/>
  <c r="L150" i="89"/>
  <c r="I150" i="89"/>
  <c r="F150" i="89"/>
  <c r="O149" i="89"/>
  <c r="L149" i="89"/>
  <c r="I149" i="89"/>
  <c r="F149" i="89"/>
  <c r="O148" i="89"/>
  <c r="L148" i="89"/>
  <c r="I148" i="89"/>
  <c r="F148" i="89"/>
  <c r="O147" i="89"/>
  <c r="L147" i="89"/>
  <c r="I147" i="89"/>
  <c r="F147" i="89"/>
  <c r="O146" i="89"/>
  <c r="L146" i="89"/>
  <c r="I146" i="89"/>
  <c r="F146" i="89"/>
  <c r="O145" i="89"/>
  <c r="O144" i="89" s="1"/>
  <c r="L145" i="89"/>
  <c r="I145" i="89"/>
  <c r="F145" i="89"/>
  <c r="N144" i="89"/>
  <c r="M144" i="89"/>
  <c r="K144" i="89"/>
  <c r="J144" i="89"/>
  <c r="H144" i="89"/>
  <c r="G144" i="89"/>
  <c r="E144" i="89"/>
  <c r="D144" i="89"/>
  <c r="O143" i="89"/>
  <c r="L143" i="89"/>
  <c r="I143" i="89"/>
  <c r="F143" i="89"/>
  <c r="O142" i="89"/>
  <c r="L142" i="89"/>
  <c r="L141" i="89" s="1"/>
  <c r="I142" i="89"/>
  <c r="I141" i="89" s="1"/>
  <c r="F142" i="89"/>
  <c r="O141" i="89"/>
  <c r="N141" i="89"/>
  <c r="M141" i="89"/>
  <c r="K141" i="89"/>
  <c r="J141" i="89"/>
  <c r="H141" i="89"/>
  <c r="G141" i="89"/>
  <c r="F141" i="89"/>
  <c r="E141" i="89"/>
  <c r="D141" i="89"/>
  <c r="O140" i="89"/>
  <c r="L140" i="89"/>
  <c r="I140" i="89"/>
  <c r="F140" i="89"/>
  <c r="O139" i="89"/>
  <c r="L139" i="89"/>
  <c r="I139" i="89"/>
  <c r="F139" i="89"/>
  <c r="O138" i="89"/>
  <c r="L138" i="89"/>
  <c r="I138" i="89"/>
  <c r="F138" i="89"/>
  <c r="O137" i="89"/>
  <c r="O136" i="89" s="1"/>
  <c r="L137" i="89"/>
  <c r="I137" i="89"/>
  <c r="F137" i="89"/>
  <c r="N136" i="89"/>
  <c r="M136" i="89"/>
  <c r="L136" i="89"/>
  <c r="K136" i="89"/>
  <c r="J136" i="89"/>
  <c r="H136" i="89"/>
  <c r="G136" i="89"/>
  <c r="E136" i="89"/>
  <c r="D136" i="89"/>
  <c r="O135" i="89"/>
  <c r="L135" i="89"/>
  <c r="I135" i="89"/>
  <c r="F135" i="89"/>
  <c r="O134" i="89"/>
  <c r="L134" i="89"/>
  <c r="I134" i="89"/>
  <c r="F134" i="89"/>
  <c r="O133" i="89"/>
  <c r="L133" i="89"/>
  <c r="I133" i="89"/>
  <c r="F133" i="89"/>
  <c r="O132" i="89"/>
  <c r="L132" i="89"/>
  <c r="I132" i="89"/>
  <c r="I131" i="89" s="1"/>
  <c r="F132" i="89"/>
  <c r="N131" i="89"/>
  <c r="M131" i="89"/>
  <c r="K131" i="89"/>
  <c r="J131" i="89"/>
  <c r="H131" i="89"/>
  <c r="G131" i="89"/>
  <c r="E131" i="89"/>
  <c r="D131" i="89"/>
  <c r="O129" i="89"/>
  <c r="O128" i="89" s="1"/>
  <c r="L129" i="89"/>
  <c r="L128" i="89" s="1"/>
  <c r="I129" i="89"/>
  <c r="I128" i="89" s="1"/>
  <c r="F129" i="89"/>
  <c r="N128" i="89"/>
  <c r="M128" i="89"/>
  <c r="K128" i="89"/>
  <c r="J128" i="89"/>
  <c r="H128" i="89"/>
  <c r="G128" i="89"/>
  <c r="F128" i="89"/>
  <c r="E128" i="89"/>
  <c r="D128" i="89"/>
  <c r="O127" i="89"/>
  <c r="L127" i="89"/>
  <c r="I127" i="89"/>
  <c r="F127" i="89"/>
  <c r="O126" i="89"/>
  <c r="L126" i="89"/>
  <c r="I126" i="89"/>
  <c r="F126" i="89"/>
  <c r="O125" i="89"/>
  <c r="L125" i="89"/>
  <c r="I125" i="89"/>
  <c r="F125" i="89"/>
  <c r="O124" i="89"/>
  <c r="L124" i="89"/>
  <c r="I124" i="89"/>
  <c r="F124" i="89"/>
  <c r="O123" i="89"/>
  <c r="L123" i="89"/>
  <c r="I123" i="89"/>
  <c r="F123" i="89"/>
  <c r="N122" i="89"/>
  <c r="M122" i="89"/>
  <c r="K122" i="89"/>
  <c r="J122" i="89"/>
  <c r="H122" i="89"/>
  <c r="G122" i="89"/>
  <c r="E122" i="89"/>
  <c r="D122" i="89"/>
  <c r="O121" i="89"/>
  <c r="L121" i="89"/>
  <c r="I121" i="89"/>
  <c r="F121" i="89"/>
  <c r="O120" i="89"/>
  <c r="L120" i="89"/>
  <c r="I120" i="89"/>
  <c r="F120" i="89"/>
  <c r="O119" i="89"/>
  <c r="L119" i="89"/>
  <c r="I119" i="89"/>
  <c r="F119" i="89"/>
  <c r="O118" i="89"/>
  <c r="L118" i="89"/>
  <c r="I118" i="89"/>
  <c r="F118" i="89"/>
  <c r="O117" i="89"/>
  <c r="L117" i="89"/>
  <c r="I117" i="89"/>
  <c r="F117" i="89"/>
  <c r="N116" i="89"/>
  <c r="M116" i="89"/>
  <c r="K116" i="89"/>
  <c r="J116" i="89"/>
  <c r="H116" i="89"/>
  <c r="G116" i="89"/>
  <c r="E116" i="89"/>
  <c r="D116" i="89"/>
  <c r="O115" i="89"/>
  <c r="L115" i="89"/>
  <c r="I115" i="89"/>
  <c r="F115" i="89"/>
  <c r="O114" i="89"/>
  <c r="L114" i="89"/>
  <c r="I114" i="89"/>
  <c r="F114" i="89"/>
  <c r="O113" i="89"/>
  <c r="O112" i="89" s="1"/>
  <c r="L113" i="89"/>
  <c r="L112" i="89" s="1"/>
  <c r="I113" i="89"/>
  <c r="F113" i="89"/>
  <c r="F112" i="89" s="1"/>
  <c r="N112" i="89"/>
  <c r="M112" i="89"/>
  <c r="K112" i="89"/>
  <c r="J112" i="89"/>
  <c r="H112" i="89"/>
  <c r="G112" i="89"/>
  <c r="E112" i="89"/>
  <c r="D112" i="89"/>
  <c r="O111" i="89"/>
  <c r="L111" i="89"/>
  <c r="I111" i="89"/>
  <c r="F111" i="89"/>
  <c r="O110" i="89"/>
  <c r="L110" i="89"/>
  <c r="I110" i="89"/>
  <c r="F110" i="89"/>
  <c r="O109" i="89"/>
  <c r="L109" i="89"/>
  <c r="I109" i="89"/>
  <c r="F109" i="89"/>
  <c r="O108" i="89"/>
  <c r="L108" i="89"/>
  <c r="I108" i="89"/>
  <c r="F108" i="89"/>
  <c r="O107" i="89"/>
  <c r="L107" i="89"/>
  <c r="I107" i="89"/>
  <c r="F107" i="89"/>
  <c r="O106" i="89"/>
  <c r="L106" i="89"/>
  <c r="I106" i="89"/>
  <c r="F106" i="89"/>
  <c r="O105" i="89"/>
  <c r="L105" i="89"/>
  <c r="I105" i="89"/>
  <c r="F105" i="89"/>
  <c r="O104" i="89"/>
  <c r="L104" i="89"/>
  <c r="I104" i="89"/>
  <c r="I103" i="89" s="1"/>
  <c r="F104" i="89"/>
  <c r="N103" i="89"/>
  <c r="M103" i="89"/>
  <c r="K103" i="89"/>
  <c r="J103" i="89"/>
  <c r="H103" i="89"/>
  <c r="G103" i="89"/>
  <c r="E103" i="89"/>
  <c r="D103" i="89"/>
  <c r="O102" i="89"/>
  <c r="L102" i="89"/>
  <c r="I102" i="89"/>
  <c r="F102" i="89"/>
  <c r="O101" i="89"/>
  <c r="L101" i="89"/>
  <c r="I101" i="89"/>
  <c r="F101" i="89"/>
  <c r="O100" i="89"/>
  <c r="L100" i="89"/>
  <c r="I100" i="89"/>
  <c r="F100" i="89"/>
  <c r="O99" i="89"/>
  <c r="L99" i="89"/>
  <c r="I99" i="89"/>
  <c r="F99" i="89"/>
  <c r="O98" i="89"/>
  <c r="L98" i="89"/>
  <c r="I98" i="89"/>
  <c r="F98" i="89"/>
  <c r="O97" i="89"/>
  <c r="L97" i="89"/>
  <c r="I97" i="89"/>
  <c r="F97" i="89"/>
  <c r="O96" i="89"/>
  <c r="L96" i="89"/>
  <c r="I96" i="89"/>
  <c r="F96" i="89"/>
  <c r="N95" i="89"/>
  <c r="M95" i="89"/>
  <c r="K95" i="89"/>
  <c r="J95" i="89"/>
  <c r="H95" i="89"/>
  <c r="G95" i="89"/>
  <c r="E95" i="89"/>
  <c r="D95" i="89"/>
  <c r="O94" i="89"/>
  <c r="L94" i="89"/>
  <c r="I94" i="89"/>
  <c r="F94" i="89"/>
  <c r="O93" i="89"/>
  <c r="L93" i="89"/>
  <c r="I93" i="89"/>
  <c r="F93" i="89"/>
  <c r="O92" i="89"/>
  <c r="L92" i="89"/>
  <c r="I92" i="89"/>
  <c r="F92" i="89"/>
  <c r="O91" i="89"/>
  <c r="L91" i="89"/>
  <c r="I91" i="89"/>
  <c r="F91" i="89"/>
  <c r="O90" i="89"/>
  <c r="L90" i="89"/>
  <c r="I90" i="89"/>
  <c r="F90" i="89"/>
  <c r="N89" i="89"/>
  <c r="M89" i="89"/>
  <c r="K89" i="89"/>
  <c r="J89" i="89"/>
  <c r="H89" i="89"/>
  <c r="G89" i="89"/>
  <c r="E89" i="89"/>
  <c r="D89" i="89"/>
  <c r="O88" i="89"/>
  <c r="L88" i="89"/>
  <c r="I88" i="89"/>
  <c r="F88" i="89"/>
  <c r="O87" i="89"/>
  <c r="L87" i="89"/>
  <c r="I87" i="89"/>
  <c r="F87" i="89"/>
  <c r="O86" i="89"/>
  <c r="L86" i="89"/>
  <c r="I86" i="89"/>
  <c r="F86" i="89"/>
  <c r="O85" i="89"/>
  <c r="O84" i="89" s="1"/>
  <c r="L85" i="89"/>
  <c r="L84" i="89" s="1"/>
  <c r="I85" i="89"/>
  <c r="F85" i="89"/>
  <c r="N84" i="89"/>
  <c r="M84" i="89"/>
  <c r="K84" i="89"/>
  <c r="J84" i="89"/>
  <c r="H84" i="89"/>
  <c r="G84" i="89"/>
  <c r="E84" i="89"/>
  <c r="D84" i="89"/>
  <c r="H83" i="89"/>
  <c r="O82" i="89"/>
  <c r="L82" i="89"/>
  <c r="I82" i="89"/>
  <c r="F82" i="89"/>
  <c r="O81" i="89"/>
  <c r="L81" i="89"/>
  <c r="L80" i="89" s="1"/>
  <c r="I81" i="89"/>
  <c r="F81" i="89"/>
  <c r="O80" i="89"/>
  <c r="O76" i="89" s="1"/>
  <c r="N80" i="89"/>
  <c r="M80" i="89"/>
  <c r="K80" i="89"/>
  <c r="J80" i="89"/>
  <c r="H80" i="89"/>
  <c r="G80" i="89"/>
  <c r="F80" i="89"/>
  <c r="E80" i="89"/>
  <c r="D80" i="89"/>
  <c r="O79" i="89"/>
  <c r="L79" i="89"/>
  <c r="I79" i="89"/>
  <c r="F79" i="89"/>
  <c r="O78" i="89"/>
  <c r="O77" i="89" s="1"/>
  <c r="L78" i="89"/>
  <c r="L77" i="89" s="1"/>
  <c r="L76" i="89" s="1"/>
  <c r="I78" i="89"/>
  <c r="I77" i="89" s="1"/>
  <c r="F78" i="89"/>
  <c r="N77" i="89"/>
  <c r="N76" i="89" s="1"/>
  <c r="M77" i="89"/>
  <c r="M76" i="89" s="1"/>
  <c r="K77" i="89"/>
  <c r="J77" i="89"/>
  <c r="H77" i="89"/>
  <c r="H76" i="89" s="1"/>
  <c r="G77" i="89"/>
  <c r="E77" i="89"/>
  <c r="D77" i="89"/>
  <c r="D76" i="89" s="1"/>
  <c r="G76" i="89"/>
  <c r="O74" i="89"/>
  <c r="L74" i="89"/>
  <c r="I74" i="89"/>
  <c r="F74" i="89"/>
  <c r="O73" i="89"/>
  <c r="L73" i="89"/>
  <c r="I73" i="89"/>
  <c r="F73" i="89"/>
  <c r="O72" i="89"/>
  <c r="L72" i="89"/>
  <c r="I72" i="89"/>
  <c r="F72" i="89"/>
  <c r="C72" i="89" s="1"/>
  <c r="O71" i="89"/>
  <c r="L71" i="89"/>
  <c r="I71" i="89"/>
  <c r="F71" i="89"/>
  <c r="O70" i="89"/>
  <c r="L70" i="89"/>
  <c r="I70" i="89"/>
  <c r="I69" i="89" s="1"/>
  <c r="F70" i="89"/>
  <c r="N69" i="89"/>
  <c r="N67" i="89" s="1"/>
  <c r="M69" i="89"/>
  <c r="M67" i="89" s="1"/>
  <c r="K69" i="89"/>
  <c r="K67" i="89" s="1"/>
  <c r="J69" i="89"/>
  <c r="J67" i="89" s="1"/>
  <c r="H69" i="89"/>
  <c r="G69" i="89"/>
  <c r="E69" i="89"/>
  <c r="E67" i="89" s="1"/>
  <c r="D69" i="89"/>
  <c r="D67" i="89" s="1"/>
  <c r="O68" i="89"/>
  <c r="L68" i="89"/>
  <c r="I68" i="89"/>
  <c r="F68" i="89"/>
  <c r="H67" i="89"/>
  <c r="G67" i="89"/>
  <c r="O66" i="89"/>
  <c r="L66" i="89"/>
  <c r="I66" i="89"/>
  <c r="F66" i="89"/>
  <c r="O65" i="89"/>
  <c r="L65" i="89"/>
  <c r="I65" i="89"/>
  <c r="F65" i="89"/>
  <c r="O64" i="89"/>
  <c r="L64" i="89"/>
  <c r="I64" i="89"/>
  <c r="F64" i="89"/>
  <c r="C64" i="89"/>
  <c r="O63" i="89"/>
  <c r="L63" i="89"/>
  <c r="I63" i="89"/>
  <c r="F63" i="89"/>
  <c r="C63" i="89" s="1"/>
  <c r="O62" i="89"/>
  <c r="L62" i="89"/>
  <c r="I62" i="89"/>
  <c r="F62" i="89"/>
  <c r="O61" i="89"/>
  <c r="L61" i="89"/>
  <c r="I61" i="89"/>
  <c r="F61" i="89"/>
  <c r="O60" i="89"/>
  <c r="L60" i="89"/>
  <c r="I60" i="89"/>
  <c r="F60" i="89"/>
  <c r="C60" i="89" s="1"/>
  <c r="O59" i="89"/>
  <c r="L59" i="89"/>
  <c r="I59" i="89"/>
  <c r="F59" i="89"/>
  <c r="N58" i="89"/>
  <c r="M58" i="89"/>
  <c r="L58" i="89"/>
  <c r="K58" i="89"/>
  <c r="J58" i="89"/>
  <c r="H58" i="89"/>
  <c r="G58" i="89"/>
  <c r="E58" i="89"/>
  <c r="D58" i="89"/>
  <c r="O57" i="89"/>
  <c r="L57" i="89"/>
  <c r="I57" i="89"/>
  <c r="F57" i="89"/>
  <c r="O56" i="89"/>
  <c r="O55" i="89" s="1"/>
  <c r="L56" i="89"/>
  <c r="L55" i="89" s="1"/>
  <c r="L54" i="89" s="1"/>
  <c r="I56" i="89"/>
  <c r="F56" i="89"/>
  <c r="N55" i="89"/>
  <c r="M55" i="89"/>
  <c r="M54" i="89" s="1"/>
  <c r="K55" i="89"/>
  <c r="K54" i="89" s="1"/>
  <c r="J55" i="89"/>
  <c r="H55" i="89"/>
  <c r="G55" i="89"/>
  <c r="F55" i="89"/>
  <c r="E55" i="89"/>
  <c r="D55" i="89"/>
  <c r="N54" i="89"/>
  <c r="J54" i="89"/>
  <c r="D54" i="89"/>
  <c r="O47" i="89"/>
  <c r="C47" i="89" s="1"/>
  <c r="O46" i="89"/>
  <c r="N45" i="89"/>
  <c r="N20" i="89" s="1"/>
  <c r="M45" i="89"/>
  <c r="L44" i="89"/>
  <c r="I44" i="89"/>
  <c r="I43" i="89" s="1"/>
  <c r="F44" i="89"/>
  <c r="F43" i="89" s="1"/>
  <c r="C43" i="89" s="1"/>
  <c r="L43" i="89"/>
  <c r="K43" i="89"/>
  <c r="J43" i="89"/>
  <c r="H43" i="89"/>
  <c r="G43" i="89"/>
  <c r="E43" i="89"/>
  <c r="D43" i="89"/>
  <c r="F42" i="89"/>
  <c r="E41" i="89"/>
  <c r="D41" i="89"/>
  <c r="L40" i="89"/>
  <c r="C40" i="89" s="1"/>
  <c r="L39" i="89"/>
  <c r="C39" i="89" s="1"/>
  <c r="L38" i="89"/>
  <c r="C38" i="89" s="1"/>
  <c r="L37" i="89"/>
  <c r="K36" i="89"/>
  <c r="J36" i="89"/>
  <c r="L35" i="89"/>
  <c r="C35" i="89" s="1"/>
  <c r="L34" i="89"/>
  <c r="K33" i="89"/>
  <c r="J33" i="89"/>
  <c r="L32" i="89"/>
  <c r="C32" i="89" s="1"/>
  <c r="K31" i="89"/>
  <c r="J31" i="89"/>
  <c r="L30" i="89"/>
  <c r="C30" i="89" s="1"/>
  <c r="L29" i="89"/>
  <c r="C29" i="89" s="1"/>
  <c r="L28" i="89"/>
  <c r="K27" i="89"/>
  <c r="J27" i="89"/>
  <c r="F25" i="89"/>
  <c r="C25" i="89" s="1"/>
  <c r="I24" i="89"/>
  <c r="F24" i="89"/>
  <c r="O23" i="89"/>
  <c r="L23" i="89"/>
  <c r="I23" i="89"/>
  <c r="F23" i="89"/>
  <c r="C23" i="89" s="1"/>
  <c r="O22" i="89"/>
  <c r="L22" i="89"/>
  <c r="L21" i="89" s="1"/>
  <c r="I22" i="89"/>
  <c r="I21" i="89" s="1"/>
  <c r="F22" i="89"/>
  <c r="N21" i="89"/>
  <c r="N292" i="89" s="1"/>
  <c r="M21" i="89"/>
  <c r="M292" i="89" s="1"/>
  <c r="M291" i="89" s="1"/>
  <c r="K21" i="89"/>
  <c r="J21" i="89"/>
  <c r="J292" i="89" s="1"/>
  <c r="H21" i="89"/>
  <c r="H292" i="89" s="1"/>
  <c r="G21" i="89"/>
  <c r="G292" i="89" s="1"/>
  <c r="G291" i="89" s="1"/>
  <c r="E21" i="89"/>
  <c r="E292" i="89" s="1"/>
  <c r="E291" i="89" s="1"/>
  <c r="D21" i="89"/>
  <c r="D292" i="89" s="1"/>
  <c r="K76" i="89" l="1"/>
  <c r="C81" i="89"/>
  <c r="C161" i="89"/>
  <c r="M187" i="89"/>
  <c r="L187" i="89"/>
  <c r="M195" i="89"/>
  <c r="C218" i="89"/>
  <c r="C222" i="89"/>
  <c r="C254" i="89"/>
  <c r="C258" i="89"/>
  <c r="N269" i="89"/>
  <c r="L31" i="89"/>
  <c r="C31" i="89" s="1"/>
  <c r="C125" i="89"/>
  <c r="H187" i="89"/>
  <c r="E231" i="89"/>
  <c r="J231" i="89"/>
  <c r="O272" i="89"/>
  <c r="J26" i="89"/>
  <c r="J20" i="89" s="1"/>
  <c r="C68" i="89"/>
  <c r="E76" i="89"/>
  <c r="J76" i="89"/>
  <c r="C97" i="89"/>
  <c r="K83" i="89"/>
  <c r="C129" i="89"/>
  <c r="J130" i="89"/>
  <c r="C133" i="89"/>
  <c r="J187" i="89"/>
  <c r="C206" i="89"/>
  <c r="C210" i="89"/>
  <c r="C211" i="89"/>
  <c r="G204" i="89"/>
  <c r="C242" i="89"/>
  <c r="C274" i="89"/>
  <c r="D270" i="89"/>
  <c r="D269" i="89" s="1"/>
  <c r="J270" i="89"/>
  <c r="J269" i="89" s="1"/>
  <c r="I166" i="89"/>
  <c r="J53" i="89"/>
  <c r="C71" i="89"/>
  <c r="C85" i="89"/>
  <c r="I95" i="89"/>
  <c r="C137" i="89"/>
  <c r="N130" i="89"/>
  <c r="L166" i="89"/>
  <c r="L165" i="89" s="1"/>
  <c r="C177" i="89"/>
  <c r="C181" i="89"/>
  <c r="C189" i="89"/>
  <c r="D204" i="89"/>
  <c r="C226" i="89"/>
  <c r="C236" i="89"/>
  <c r="C237" i="89"/>
  <c r="O238" i="89"/>
  <c r="O231" i="89" s="1"/>
  <c r="C262" i="89"/>
  <c r="K259" i="89"/>
  <c r="C278" i="89"/>
  <c r="C280" i="89"/>
  <c r="O89" i="89"/>
  <c r="O187" i="89"/>
  <c r="G195" i="89"/>
  <c r="N204" i="89"/>
  <c r="N195" i="89" s="1"/>
  <c r="K292" i="89"/>
  <c r="K291" i="89" s="1"/>
  <c r="F21" i="89"/>
  <c r="C93" i="89"/>
  <c r="C185" i="89"/>
  <c r="K204" i="89"/>
  <c r="C214" i="89"/>
  <c r="C223" i="89"/>
  <c r="K26" i="89"/>
  <c r="K20" i="89" s="1"/>
  <c r="C101" i="89"/>
  <c r="C109" i="89"/>
  <c r="C117" i="89"/>
  <c r="C121" i="89"/>
  <c r="C123" i="89"/>
  <c r="C141" i="89"/>
  <c r="C149" i="89"/>
  <c r="C157" i="89"/>
  <c r="F160" i="89"/>
  <c r="C169" i="89"/>
  <c r="H174" i="89"/>
  <c r="L175" i="89"/>
  <c r="D187" i="89"/>
  <c r="C202" i="89"/>
  <c r="L238" i="89"/>
  <c r="C250" i="89"/>
  <c r="H270" i="89"/>
  <c r="H269" i="89" s="1"/>
  <c r="C282" i="89"/>
  <c r="D53" i="89"/>
  <c r="J83" i="89"/>
  <c r="J75" i="89" s="1"/>
  <c r="J52" i="89" s="1"/>
  <c r="L184" i="89"/>
  <c r="J204" i="89"/>
  <c r="J195" i="89" s="1"/>
  <c r="H54" i="89"/>
  <c r="H53" i="89" s="1"/>
  <c r="I58" i="89"/>
  <c r="F84" i="89"/>
  <c r="C100" i="89"/>
  <c r="C113" i="89"/>
  <c r="L116" i="89"/>
  <c r="C154" i="89"/>
  <c r="C155" i="89"/>
  <c r="C156" i="89"/>
  <c r="C162" i="89"/>
  <c r="C163" i="89"/>
  <c r="C164" i="89"/>
  <c r="C168" i="89"/>
  <c r="L205" i="89"/>
  <c r="C207" i="89"/>
  <c r="C219" i="89"/>
  <c r="C220" i="89"/>
  <c r="C221" i="89"/>
  <c r="C234" i="89"/>
  <c r="K231" i="89"/>
  <c r="K230" i="89" s="1"/>
  <c r="I238" i="89"/>
  <c r="C243" i="89"/>
  <c r="C245" i="89"/>
  <c r="O252" i="89"/>
  <c r="O251" i="89" s="1"/>
  <c r="I260" i="89"/>
  <c r="L260" i="89"/>
  <c r="I264" i="89"/>
  <c r="C275" i="89"/>
  <c r="I276" i="89"/>
  <c r="I270" i="89" s="1"/>
  <c r="I269" i="89" s="1"/>
  <c r="L276" i="89"/>
  <c r="I286" i="89"/>
  <c r="I292" i="89" s="1"/>
  <c r="I136" i="89"/>
  <c r="E204" i="89"/>
  <c r="E195" i="89" s="1"/>
  <c r="G20" i="89"/>
  <c r="D291" i="89"/>
  <c r="K53" i="89"/>
  <c r="M53" i="89"/>
  <c r="C78" i="89"/>
  <c r="C79" i="89"/>
  <c r="G83" i="89"/>
  <c r="C88" i="89"/>
  <c r="C90" i="89"/>
  <c r="M83" i="89"/>
  <c r="C105" i="89"/>
  <c r="C115" i="89"/>
  <c r="D83" i="89"/>
  <c r="H130" i="89"/>
  <c r="H75" i="89" s="1"/>
  <c r="M130" i="89"/>
  <c r="K130" i="89"/>
  <c r="K75" i="89" s="1"/>
  <c r="C142" i="89"/>
  <c r="C148" i="89"/>
  <c r="C170" i="89"/>
  <c r="C172" i="89"/>
  <c r="G174" i="89"/>
  <c r="G173" i="89" s="1"/>
  <c r="K174" i="89"/>
  <c r="K173" i="89" s="1"/>
  <c r="C178" i="89"/>
  <c r="L179" i="89"/>
  <c r="K187" i="89"/>
  <c r="H195" i="89"/>
  <c r="C213" i="89"/>
  <c r="C225" i="89"/>
  <c r="C229" i="89"/>
  <c r="D231" i="89"/>
  <c r="D230" i="89" s="1"/>
  <c r="H231" i="89"/>
  <c r="H230" i="89" s="1"/>
  <c r="G231" i="89"/>
  <c r="G230" i="89" s="1"/>
  <c r="G194" i="89" s="1"/>
  <c r="C255" i="89"/>
  <c r="C257" i="89"/>
  <c r="E259" i="89"/>
  <c r="C271" i="89"/>
  <c r="M270" i="89"/>
  <c r="M269" i="89" s="1"/>
  <c r="O276" i="89"/>
  <c r="O270" i="89" s="1"/>
  <c r="O269" i="89" s="1"/>
  <c r="C295" i="89"/>
  <c r="L252" i="89"/>
  <c r="L251" i="89" s="1"/>
  <c r="J291" i="89"/>
  <c r="N291" i="89"/>
  <c r="G54" i="89"/>
  <c r="G53" i="89" s="1"/>
  <c r="E54" i="89"/>
  <c r="E53" i="89" s="1"/>
  <c r="F58" i="89"/>
  <c r="F54" i="89" s="1"/>
  <c r="I67" i="89"/>
  <c r="N53" i="89"/>
  <c r="O69" i="89"/>
  <c r="O67" i="89" s="1"/>
  <c r="L69" i="89"/>
  <c r="L67" i="89" s="1"/>
  <c r="L53" i="89" s="1"/>
  <c r="I84" i="89"/>
  <c r="I89" i="89"/>
  <c r="C94" i="89"/>
  <c r="O95" i="89"/>
  <c r="L95" i="89"/>
  <c r="C102" i="89"/>
  <c r="C108" i="89"/>
  <c r="C120" i="89"/>
  <c r="N83" i="89"/>
  <c r="N75" i="89" s="1"/>
  <c r="L122" i="89"/>
  <c r="D130" i="89"/>
  <c r="I130" i="89"/>
  <c r="O131" i="89"/>
  <c r="L131" i="89"/>
  <c r="G130" i="89"/>
  <c r="C138" i="89"/>
  <c r="C139" i="89"/>
  <c r="C140" i="89"/>
  <c r="I144" i="89"/>
  <c r="G187" i="89"/>
  <c r="C190" i="89"/>
  <c r="K195" i="89"/>
  <c r="C201" i="89"/>
  <c r="D195" i="89"/>
  <c r="D194" i="89" s="1"/>
  <c r="C212" i="89"/>
  <c r="N231" i="89"/>
  <c r="N230" i="89" s="1"/>
  <c r="I252" i="89"/>
  <c r="I251" i="89" s="1"/>
  <c r="I293" i="89"/>
  <c r="C299" i="89"/>
  <c r="C300" i="89"/>
  <c r="C24" i="89"/>
  <c r="C37" i="89"/>
  <c r="L36" i="89"/>
  <c r="C36" i="89" s="1"/>
  <c r="C56" i="89"/>
  <c r="C301" i="89"/>
  <c r="D20" i="89"/>
  <c r="H20" i="89"/>
  <c r="M20" i="89"/>
  <c r="C22" i="89"/>
  <c r="O21" i="89"/>
  <c r="C21" i="89" s="1"/>
  <c r="C61" i="89"/>
  <c r="C62" i="89"/>
  <c r="F69" i="89"/>
  <c r="C70" i="89"/>
  <c r="E83" i="89"/>
  <c r="C42" i="89"/>
  <c r="F41" i="89"/>
  <c r="I80" i="89"/>
  <c r="C80" i="89" s="1"/>
  <c r="C104" i="89"/>
  <c r="F103" i="89"/>
  <c r="C145" i="89"/>
  <c r="E20" i="89"/>
  <c r="I20" i="89"/>
  <c r="H291" i="89"/>
  <c r="F292" i="89"/>
  <c r="C44" i="89"/>
  <c r="C57" i="89"/>
  <c r="I55" i="89"/>
  <c r="C124" i="89"/>
  <c r="F122" i="89"/>
  <c r="C188" i="89"/>
  <c r="I187" i="89"/>
  <c r="C193" i="89"/>
  <c r="F192" i="89"/>
  <c r="C28" i="89"/>
  <c r="L27" i="89"/>
  <c r="C34" i="89"/>
  <c r="L33" i="89"/>
  <c r="C33" i="89" s="1"/>
  <c r="C46" i="89"/>
  <c r="O45" i="89"/>
  <c r="C59" i="89"/>
  <c r="O58" i="89"/>
  <c r="O54" i="89" s="1"/>
  <c r="C65" i="89"/>
  <c r="C66" i="89"/>
  <c r="C73" i="89"/>
  <c r="C74" i="89"/>
  <c r="F77" i="89"/>
  <c r="C82" i="89"/>
  <c r="L144" i="89"/>
  <c r="C86" i="89"/>
  <c r="C87" i="89"/>
  <c r="L89" i="89"/>
  <c r="C96" i="89"/>
  <c r="F95" i="89"/>
  <c r="C107" i="89"/>
  <c r="C114" i="89"/>
  <c r="O116" i="89"/>
  <c r="I122" i="89"/>
  <c r="C126" i="89"/>
  <c r="C127" i="89"/>
  <c r="C128" i="89"/>
  <c r="E130" i="89"/>
  <c r="C132" i="89"/>
  <c r="F131" i="89"/>
  <c r="C146" i="89"/>
  <c r="C147" i="89"/>
  <c r="C158" i="89"/>
  <c r="C159" i="89"/>
  <c r="C160" i="89"/>
  <c r="O166" i="89"/>
  <c r="O165" i="89" s="1"/>
  <c r="H173" i="89"/>
  <c r="M174" i="89"/>
  <c r="M173" i="89" s="1"/>
  <c r="C180" i="89"/>
  <c r="F179" i="89"/>
  <c r="C179" i="89" s="1"/>
  <c r="C186" i="89"/>
  <c r="N187" i="89"/>
  <c r="C98" i="89"/>
  <c r="C99" i="89"/>
  <c r="C106" i="89"/>
  <c r="C111" i="89"/>
  <c r="C119" i="89"/>
  <c r="C134" i="89"/>
  <c r="C135" i="89"/>
  <c r="C150" i="89"/>
  <c r="O151" i="89"/>
  <c r="L151" i="89"/>
  <c r="C167" i="89"/>
  <c r="I174" i="89"/>
  <c r="I173" i="89" s="1"/>
  <c r="O175" i="89"/>
  <c r="O174" i="89" s="1"/>
  <c r="O173" i="89" s="1"/>
  <c r="C182" i="89"/>
  <c r="C183" i="89"/>
  <c r="C184" i="89"/>
  <c r="C261" i="89"/>
  <c r="F260" i="89"/>
  <c r="C91" i="89"/>
  <c r="C92" i="89"/>
  <c r="F89" i="89"/>
  <c r="O103" i="89"/>
  <c r="L103" i="89"/>
  <c r="C110" i="89"/>
  <c r="C118" i="89"/>
  <c r="O122" i="89"/>
  <c r="C143" i="89"/>
  <c r="C152" i="89"/>
  <c r="F151" i="89"/>
  <c r="F165" i="89"/>
  <c r="C166" i="89"/>
  <c r="I165" i="89"/>
  <c r="C171" i="89"/>
  <c r="C176" i="89"/>
  <c r="F175" i="89"/>
  <c r="C209" i="89"/>
  <c r="F205" i="89"/>
  <c r="C235" i="89"/>
  <c r="C277" i="89"/>
  <c r="F276" i="89"/>
  <c r="C276" i="89" s="1"/>
  <c r="I112" i="89"/>
  <c r="C112" i="89" s="1"/>
  <c r="I116" i="89"/>
  <c r="C200" i="89"/>
  <c r="I198" i="89"/>
  <c r="I196" i="89" s="1"/>
  <c r="C203" i="89"/>
  <c r="C208" i="89"/>
  <c r="I205" i="89"/>
  <c r="C224" i="89"/>
  <c r="C247" i="89"/>
  <c r="C249" i="89"/>
  <c r="F246" i="89"/>
  <c r="L264" i="89"/>
  <c r="L259" i="89" s="1"/>
  <c r="C267" i="89"/>
  <c r="E270" i="89"/>
  <c r="E269" i="89" s="1"/>
  <c r="C279" i="89"/>
  <c r="C285" i="89"/>
  <c r="F284" i="89"/>
  <c r="F116" i="89"/>
  <c r="F136" i="89"/>
  <c r="F144" i="89"/>
  <c r="C197" i="89"/>
  <c r="F196" i="89"/>
  <c r="C215" i="89"/>
  <c r="L216" i="89"/>
  <c r="L204" i="89" s="1"/>
  <c r="L195" i="89" s="1"/>
  <c r="I227" i="89"/>
  <c r="C227" i="89" s="1"/>
  <c r="C228" i="89"/>
  <c r="C232" i="89"/>
  <c r="C233" i="89"/>
  <c r="L231" i="89"/>
  <c r="C239" i="89"/>
  <c r="C240" i="89"/>
  <c r="C241" i="89"/>
  <c r="F238" i="89"/>
  <c r="C248" i="89"/>
  <c r="I246" i="89"/>
  <c r="I231" i="89" s="1"/>
  <c r="E230" i="89"/>
  <c r="C253" i="89"/>
  <c r="F252" i="89"/>
  <c r="M259" i="89"/>
  <c r="M230" i="89" s="1"/>
  <c r="C263" i="89"/>
  <c r="C265" i="89"/>
  <c r="F264" i="89"/>
  <c r="L270" i="89"/>
  <c r="L269" i="89" s="1"/>
  <c r="C273" i="89"/>
  <c r="F272" i="89"/>
  <c r="C287" i="89"/>
  <c r="L286" i="89"/>
  <c r="L292" i="89" s="1"/>
  <c r="L291" i="89" s="1"/>
  <c r="O293" i="89"/>
  <c r="O196" i="89"/>
  <c r="O205" i="89"/>
  <c r="C217" i="89"/>
  <c r="F216" i="89"/>
  <c r="O216" i="89"/>
  <c r="J230" i="89"/>
  <c r="C244" i="89"/>
  <c r="C256" i="89"/>
  <c r="O260" i="89"/>
  <c r="O259" i="89" s="1"/>
  <c r="C268" i="89"/>
  <c r="C281" i="89"/>
  <c r="C296" i="89"/>
  <c r="C297" i="89"/>
  <c r="F293" i="89"/>
  <c r="C199" i="89"/>
  <c r="L174" i="89" l="1"/>
  <c r="L173" i="89" s="1"/>
  <c r="H194" i="89"/>
  <c r="K289" i="89"/>
  <c r="M75" i="89"/>
  <c r="M52" i="89" s="1"/>
  <c r="I259" i="89"/>
  <c r="J289" i="89"/>
  <c r="O130" i="89"/>
  <c r="C238" i="89"/>
  <c r="N289" i="89"/>
  <c r="L83" i="89"/>
  <c r="I76" i="89"/>
  <c r="I291" i="89"/>
  <c r="C84" i="89"/>
  <c r="C89" i="89"/>
  <c r="K194" i="89"/>
  <c r="C293" i="89"/>
  <c r="C136" i="89"/>
  <c r="N194" i="89"/>
  <c r="G75" i="89"/>
  <c r="G289" i="89" s="1"/>
  <c r="H52" i="89"/>
  <c r="H51" i="89" s="1"/>
  <c r="E194" i="89"/>
  <c r="I204" i="89"/>
  <c r="I195" i="89" s="1"/>
  <c r="D75" i="89"/>
  <c r="D52" i="89" s="1"/>
  <c r="D51" i="89" s="1"/>
  <c r="F291" i="89"/>
  <c r="K52" i="89"/>
  <c r="C264" i="89"/>
  <c r="I230" i="89"/>
  <c r="H289" i="89"/>
  <c r="C95" i="89"/>
  <c r="O53" i="89"/>
  <c r="G52" i="89"/>
  <c r="G51" i="89" s="1"/>
  <c r="N52" i="89"/>
  <c r="C165" i="89"/>
  <c r="O83" i="89"/>
  <c r="O75" i="89" s="1"/>
  <c r="J194" i="89"/>
  <c r="J51" i="89" s="1"/>
  <c r="J50" i="89" s="1"/>
  <c r="C198" i="89"/>
  <c r="L130" i="89"/>
  <c r="L75" i="89" s="1"/>
  <c r="L52" i="89" s="1"/>
  <c r="E75" i="89"/>
  <c r="E52" i="89" s="1"/>
  <c r="E51" i="89" s="1"/>
  <c r="M194" i="89"/>
  <c r="M51" i="89" s="1"/>
  <c r="M289" i="89"/>
  <c r="I83" i="89"/>
  <c r="C216" i="89"/>
  <c r="F270" i="89"/>
  <c r="C272" i="89"/>
  <c r="C252" i="89"/>
  <c r="F251" i="89"/>
  <c r="C251" i="89" s="1"/>
  <c r="C196" i="89"/>
  <c r="C116" i="89"/>
  <c r="C151" i="89"/>
  <c r="C131" i="89"/>
  <c r="F130" i="89"/>
  <c r="C45" i="89"/>
  <c r="C27" i="89"/>
  <c r="L26" i="89"/>
  <c r="C58" i="89"/>
  <c r="F67" i="89"/>
  <c r="C67" i="89" s="1"/>
  <c r="C69" i="89"/>
  <c r="O292" i="89"/>
  <c r="O291" i="89" s="1"/>
  <c r="C291" i="89" s="1"/>
  <c r="O20" i="89"/>
  <c r="C246" i="89"/>
  <c r="F231" i="89"/>
  <c r="C260" i="89"/>
  <c r="F259" i="89"/>
  <c r="C259" i="89" s="1"/>
  <c r="F53" i="89"/>
  <c r="H290" i="89"/>
  <c r="H50" i="89"/>
  <c r="C286" i="89"/>
  <c r="L230" i="89"/>
  <c r="L194" i="89" s="1"/>
  <c r="C284" i="89"/>
  <c r="F283" i="89"/>
  <c r="C283" i="89" s="1"/>
  <c r="C77" i="89"/>
  <c r="F76" i="89"/>
  <c r="C192" i="89"/>
  <c r="F191" i="89"/>
  <c r="F83" i="89"/>
  <c r="I54" i="89"/>
  <c r="I53" i="89" s="1"/>
  <c r="C55" i="89"/>
  <c r="C103" i="89"/>
  <c r="D290" i="89"/>
  <c r="D50" i="89"/>
  <c r="O204" i="89"/>
  <c r="O195" i="89" s="1"/>
  <c r="C144" i="89"/>
  <c r="O230" i="89"/>
  <c r="C205" i="89"/>
  <c r="F204" i="89"/>
  <c r="C175" i="89"/>
  <c r="F174" i="89"/>
  <c r="C122" i="89"/>
  <c r="C41" i="89"/>
  <c r="F20" i="89"/>
  <c r="O52" i="89" l="1"/>
  <c r="I194" i="89"/>
  <c r="J290" i="89"/>
  <c r="K51" i="89"/>
  <c r="K50" i="89" s="1"/>
  <c r="I75" i="89"/>
  <c r="N51" i="89"/>
  <c r="K290" i="89"/>
  <c r="L289" i="89"/>
  <c r="C130" i="89"/>
  <c r="G50" i="89"/>
  <c r="G290" i="89"/>
  <c r="L51" i="89"/>
  <c r="L50" i="89" s="1"/>
  <c r="C204" i="89"/>
  <c r="O194" i="89"/>
  <c r="O51" i="89" s="1"/>
  <c r="D289" i="89"/>
  <c r="E289" i="89"/>
  <c r="C191" i="89"/>
  <c r="F187" i="89"/>
  <c r="C187" i="89" s="1"/>
  <c r="F230" i="89"/>
  <c r="C230" i="89" s="1"/>
  <c r="C231" i="89"/>
  <c r="C292" i="89"/>
  <c r="C54" i="89"/>
  <c r="F195" i="89"/>
  <c r="I289" i="89"/>
  <c r="C53" i="89"/>
  <c r="L290" i="89"/>
  <c r="C26" i="89"/>
  <c r="L20" i="89"/>
  <c r="C20" i="89" s="1"/>
  <c r="I52" i="89"/>
  <c r="I51" i="89" s="1"/>
  <c r="F75" i="89"/>
  <c r="C75" i="89" s="1"/>
  <c r="C76" i="89"/>
  <c r="F269" i="89"/>
  <c r="C270" i="89"/>
  <c r="E290" i="89"/>
  <c r="E50" i="89"/>
  <c r="F173" i="89"/>
  <c r="C173" i="89" s="1"/>
  <c r="C174" i="89"/>
  <c r="O289" i="89"/>
  <c r="C83" i="89"/>
  <c r="M50" i="89"/>
  <c r="M290" i="89"/>
  <c r="N290" i="89" l="1"/>
  <c r="N50" i="89"/>
  <c r="F194" i="89"/>
  <c r="C194" i="89" s="1"/>
  <c r="C195" i="89"/>
  <c r="I290" i="89"/>
  <c r="I50" i="89"/>
  <c r="F52" i="89"/>
  <c r="C269" i="89"/>
  <c r="F289" i="89"/>
  <c r="C289" i="89" s="1"/>
  <c r="O50" i="89"/>
  <c r="O290" i="89"/>
  <c r="F51" i="89" l="1"/>
  <c r="C52" i="89"/>
  <c r="F290" i="89" l="1"/>
  <c r="C290" i="89" s="1"/>
  <c r="F50" i="89"/>
  <c r="C50" i="89" s="1"/>
  <c r="C51" i="89"/>
  <c r="O301" i="88" l="1"/>
  <c r="L301" i="88"/>
  <c r="I301" i="88"/>
  <c r="F301" i="88"/>
  <c r="O300" i="88"/>
  <c r="L300" i="88"/>
  <c r="I300" i="88"/>
  <c r="F300" i="88"/>
  <c r="C300" i="88" s="1"/>
  <c r="O299" i="88"/>
  <c r="L299" i="88"/>
  <c r="I299" i="88"/>
  <c r="F299" i="88"/>
  <c r="O298" i="88"/>
  <c r="L298" i="88"/>
  <c r="I298" i="88"/>
  <c r="F298" i="88"/>
  <c r="C298" i="88" s="1"/>
  <c r="O297" i="88"/>
  <c r="L297" i="88"/>
  <c r="I297" i="88"/>
  <c r="F297" i="88"/>
  <c r="O296" i="88"/>
  <c r="L296" i="88"/>
  <c r="I296" i="88"/>
  <c r="F296" i="88"/>
  <c r="O295" i="88"/>
  <c r="L295" i="88"/>
  <c r="I295" i="88"/>
  <c r="F295" i="88"/>
  <c r="O294" i="88"/>
  <c r="O293" i="88" s="1"/>
  <c r="L294" i="88"/>
  <c r="I294" i="88"/>
  <c r="F294" i="88"/>
  <c r="N293" i="88"/>
  <c r="M293" i="88"/>
  <c r="K293" i="88"/>
  <c r="J293" i="88"/>
  <c r="H293" i="88"/>
  <c r="G293" i="88"/>
  <c r="E293" i="88"/>
  <c r="D293" i="88"/>
  <c r="O288" i="88"/>
  <c r="L288" i="88"/>
  <c r="I288" i="88"/>
  <c r="F288" i="88"/>
  <c r="O287" i="88"/>
  <c r="L287" i="88"/>
  <c r="I287" i="88"/>
  <c r="F287" i="88"/>
  <c r="O286" i="88"/>
  <c r="N286" i="88"/>
  <c r="M286" i="88"/>
  <c r="K286" i="88"/>
  <c r="J286" i="88"/>
  <c r="H286" i="88"/>
  <c r="G286" i="88"/>
  <c r="F286" i="88"/>
  <c r="E286" i="88"/>
  <c r="D286" i="88"/>
  <c r="O285" i="88"/>
  <c r="L285" i="88"/>
  <c r="L284" i="88" s="1"/>
  <c r="L283" i="88" s="1"/>
  <c r="I285" i="88"/>
  <c r="F285" i="88"/>
  <c r="O284" i="88"/>
  <c r="N284" i="88"/>
  <c r="N283" i="88" s="1"/>
  <c r="M284" i="88"/>
  <c r="M283" i="88" s="1"/>
  <c r="K284" i="88"/>
  <c r="J284" i="88"/>
  <c r="J283" i="88" s="1"/>
  <c r="I284" i="88"/>
  <c r="I283" i="88" s="1"/>
  <c r="H284" i="88"/>
  <c r="H283" i="88" s="1"/>
  <c r="G284" i="88"/>
  <c r="E284" i="88"/>
  <c r="E283" i="88" s="1"/>
  <c r="D284" i="88"/>
  <c r="D283" i="88" s="1"/>
  <c r="O283" i="88"/>
  <c r="K283" i="88"/>
  <c r="G283" i="88"/>
  <c r="O282" i="88"/>
  <c r="O281" i="88" s="1"/>
  <c r="L282" i="88"/>
  <c r="L281" i="88" s="1"/>
  <c r="I282" i="88"/>
  <c r="I281" i="88" s="1"/>
  <c r="F282" i="88"/>
  <c r="F281" i="88" s="1"/>
  <c r="N281" i="88"/>
  <c r="M281" i="88"/>
  <c r="K281" i="88"/>
  <c r="J281" i="88"/>
  <c r="H281" i="88"/>
  <c r="G281" i="88"/>
  <c r="E281" i="88"/>
  <c r="D281" i="88"/>
  <c r="O280" i="88"/>
  <c r="L280" i="88"/>
  <c r="I280" i="88"/>
  <c r="F280" i="88"/>
  <c r="O279" i="88"/>
  <c r="L279" i="88"/>
  <c r="I279" i="88"/>
  <c r="F279" i="88"/>
  <c r="O278" i="88"/>
  <c r="L278" i="88"/>
  <c r="I278" i="88"/>
  <c r="F278" i="88"/>
  <c r="O277" i="88"/>
  <c r="L277" i="88"/>
  <c r="I277" i="88"/>
  <c r="F277" i="88"/>
  <c r="N276" i="88"/>
  <c r="M276" i="88"/>
  <c r="K276" i="88"/>
  <c r="J276" i="88"/>
  <c r="I276" i="88"/>
  <c r="H276" i="88"/>
  <c r="G276" i="88"/>
  <c r="E276" i="88"/>
  <c r="D276" i="88"/>
  <c r="O275" i="88"/>
  <c r="L275" i="88"/>
  <c r="I275" i="88"/>
  <c r="F275" i="88"/>
  <c r="O274" i="88"/>
  <c r="L274" i="88"/>
  <c r="I274" i="88"/>
  <c r="F274" i="88"/>
  <c r="C274" i="88" s="1"/>
  <c r="O273" i="88"/>
  <c r="L273" i="88"/>
  <c r="I273" i="88"/>
  <c r="I272" i="88" s="1"/>
  <c r="F273" i="88"/>
  <c r="N272" i="88"/>
  <c r="M272" i="88"/>
  <c r="M270" i="88" s="1"/>
  <c r="M269" i="88" s="1"/>
  <c r="L272" i="88"/>
  <c r="K272" i="88"/>
  <c r="J272" i="88"/>
  <c r="J270" i="88" s="1"/>
  <c r="J269" i="88" s="1"/>
  <c r="H272" i="88"/>
  <c r="H270" i="88" s="1"/>
  <c r="H269" i="88" s="1"/>
  <c r="G272" i="88"/>
  <c r="E272" i="88"/>
  <c r="E270" i="88" s="1"/>
  <c r="E269" i="88" s="1"/>
  <c r="D272" i="88"/>
  <c r="O271" i="88"/>
  <c r="L271" i="88"/>
  <c r="I271" i="88"/>
  <c r="F271" i="88"/>
  <c r="K270" i="88"/>
  <c r="G270" i="88"/>
  <c r="D270" i="88"/>
  <c r="D269" i="88" s="1"/>
  <c r="O268" i="88"/>
  <c r="L268" i="88"/>
  <c r="I268" i="88"/>
  <c r="F268" i="88"/>
  <c r="O267" i="88"/>
  <c r="L267" i="88"/>
  <c r="I267" i="88"/>
  <c r="F267" i="88"/>
  <c r="O266" i="88"/>
  <c r="L266" i="88"/>
  <c r="I266" i="88"/>
  <c r="F266" i="88"/>
  <c r="C266" i="88" s="1"/>
  <c r="O265" i="88"/>
  <c r="L265" i="88"/>
  <c r="I265" i="88"/>
  <c r="F265" i="88"/>
  <c r="N264" i="88"/>
  <c r="M264" i="88"/>
  <c r="K264" i="88"/>
  <c r="J264" i="88"/>
  <c r="I264" i="88"/>
  <c r="H264" i="88"/>
  <c r="G264" i="88"/>
  <c r="E264" i="88"/>
  <c r="D264" i="88"/>
  <c r="O263" i="88"/>
  <c r="L263" i="88"/>
  <c r="I263" i="88"/>
  <c r="F263" i="88"/>
  <c r="O262" i="88"/>
  <c r="L262" i="88"/>
  <c r="I262" i="88"/>
  <c r="F262" i="88"/>
  <c r="O261" i="88"/>
  <c r="L261" i="88"/>
  <c r="I261" i="88"/>
  <c r="I260" i="88" s="1"/>
  <c r="I259" i="88" s="1"/>
  <c r="F261" i="88"/>
  <c r="N260" i="88"/>
  <c r="M260" i="88"/>
  <c r="K260" i="88"/>
  <c r="K259" i="88" s="1"/>
  <c r="J260" i="88"/>
  <c r="J259" i="88" s="1"/>
  <c r="H260" i="88"/>
  <c r="G260" i="88"/>
  <c r="G259" i="88" s="1"/>
  <c r="E260" i="88"/>
  <c r="E259" i="88" s="1"/>
  <c r="D260" i="88"/>
  <c r="H259" i="88"/>
  <c r="D259" i="88"/>
  <c r="O258" i="88"/>
  <c r="L258" i="88"/>
  <c r="I258" i="88"/>
  <c r="F258" i="88"/>
  <c r="O257" i="88"/>
  <c r="L257" i="88"/>
  <c r="I257" i="88"/>
  <c r="F257" i="88"/>
  <c r="O256" i="88"/>
  <c r="L256" i="88"/>
  <c r="I256" i="88"/>
  <c r="F256" i="88"/>
  <c r="O255" i="88"/>
  <c r="L255" i="88"/>
  <c r="I255" i="88"/>
  <c r="F255" i="88"/>
  <c r="O254" i="88"/>
  <c r="L254" i="88"/>
  <c r="I254" i="88"/>
  <c r="F254" i="88"/>
  <c r="O253" i="88"/>
  <c r="L253" i="88"/>
  <c r="I253" i="88"/>
  <c r="F253" i="88"/>
  <c r="N252" i="88"/>
  <c r="M252" i="88"/>
  <c r="M251" i="88" s="1"/>
  <c r="K252" i="88"/>
  <c r="K251" i="88" s="1"/>
  <c r="J252" i="88"/>
  <c r="H252" i="88"/>
  <c r="H251" i="88" s="1"/>
  <c r="G252" i="88"/>
  <c r="E252" i="88"/>
  <c r="E251" i="88" s="1"/>
  <c r="D252" i="88"/>
  <c r="N251" i="88"/>
  <c r="J251" i="88"/>
  <c r="G251" i="88"/>
  <c r="D251" i="88"/>
  <c r="O250" i="88"/>
  <c r="L250" i="88"/>
  <c r="I250" i="88"/>
  <c r="F250" i="88"/>
  <c r="O249" i="88"/>
  <c r="L249" i="88"/>
  <c r="I249" i="88"/>
  <c r="F249" i="88"/>
  <c r="O248" i="88"/>
  <c r="L248" i="88"/>
  <c r="I248" i="88"/>
  <c r="F248" i="88"/>
  <c r="O247" i="88"/>
  <c r="L247" i="88"/>
  <c r="I247" i="88"/>
  <c r="F247" i="88"/>
  <c r="N246" i="88"/>
  <c r="M246" i="88"/>
  <c r="K246" i="88"/>
  <c r="J246" i="88"/>
  <c r="H246" i="88"/>
  <c r="G246" i="88"/>
  <c r="E246" i="88"/>
  <c r="D246" i="88"/>
  <c r="O245" i="88"/>
  <c r="L245" i="88"/>
  <c r="I245" i="88"/>
  <c r="F245" i="88"/>
  <c r="O244" i="88"/>
  <c r="L244" i="88"/>
  <c r="I244" i="88"/>
  <c r="F244" i="88"/>
  <c r="O243" i="88"/>
  <c r="L243" i="88"/>
  <c r="I243" i="88"/>
  <c r="F243" i="88"/>
  <c r="O242" i="88"/>
  <c r="L242" i="88"/>
  <c r="I242" i="88"/>
  <c r="F242" i="88"/>
  <c r="O241" i="88"/>
  <c r="L241" i="88"/>
  <c r="I241" i="88"/>
  <c r="F241" i="88"/>
  <c r="O240" i="88"/>
  <c r="L240" i="88"/>
  <c r="I240" i="88"/>
  <c r="F240" i="88"/>
  <c r="O239" i="88"/>
  <c r="L239" i="88"/>
  <c r="I239" i="88"/>
  <c r="F239" i="88"/>
  <c r="O238" i="88"/>
  <c r="N238" i="88"/>
  <c r="M238" i="88"/>
  <c r="K238" i="88"/>
  <c r="J238" i="88"/>
  <c r="H238" i="88"/>
  <c r="G238" i="88"/>
  <c r="E238" i="88"/>
  <c r="D238" i="88"/>
  <c r="O237" i="88"/>
  <c r="L237" i="88"/>
  <c r="I237" i="88"/>
  <c r="F237" i="88"/>
  <c r="C237" i="88" s="1"/>
  <c r="O236" i="88"/>
  <c r="L236" i="88"/>
  <c r="L235" i="88" s="1"/>
  <c r="I236" i="88"/>
  <c r="I235" i="88" s="1"/>
  <c r="F236" i="88"/>
  <c r="O235" i="88"/>
  <c r="N235" i="88"/>
  <c r="M235" i="88"/>
  <c r="K235" i="88"/>
  <c r="J235" i="88"/>
  <c r="H235" i="88"/>
  <c r="G235" i="88"/>
  <c r="F235" i="88"/>
  <c r="E235" i="88"/>
  <c r="D235" i="88"/>
  <c r="O234" i="88"/>
  <c r="O233" i="88" s="1"/>
  <c r="L234" i="88"/>
  <c r="L233" i="88" s="1"/>
  <c r="I234" i="88"/>
  <c r="F234" i="88"/>
  <c r="F233" i="88" s="1"/>
  <c r="N233" i="88"/>
  <c r="N231" i="88" s="1"/>
  <c r="M233" i="88"/>
  <c r="K233" i="88"/>
  <c r="J233" i="88"/>
  <c r="I233" i="88"/>
  <c r="H233" i="88"/>
  <c r="H231" i="88" s="1"/>
  <c r="G233" i="88"/>
  <c r="E233" i="88"/>
  <c r="E231" i="88" s="1"/>
  <c r="E230" i="88" s="1"/>
  <c r="D233" i="88"/>
  <c r="O232" i="88"/>
  <c r="L232" i="88"/>
  <c r="I232" i="88"/>
  <c r="F232" i="88"/>
  <c r="O229" i="88"/>
  <c r="L229" i="88"/>
  <c r="I229" i="88"/>
  <c r="F229" i="88"/>
  <c r="O228" i="88"/>
  <c r="L228" i="88"/>
  <c r="L227" i="88" s="1"/>
  <c r="I228" i="88"/>
  <c r="I227" i="88" s="1"/>
  <c r="F228" i="88"/>
  <c r="O227" i="88"/>
  <c r="N227" i="88"/>
  <c r="M227" i="88"/>
  <c r="K227" i="88"/>
  <c r="J227" i="88"/>
  <c r="H227" i="88"/>
  <c r="G227" i="88"/>
  <c r="F227" i="88"/>
  <c r="E227" i="88"/>
  <c r="D227" i="88"/>
  <c r="O226" i="88"/>
  <c r="L226" i="88"/>
  <c r="I226" i="88"/>
  <c r="F226" i="88"/>
  <c r="O225" i="88"/>
  <c r="L225" i="88"/>
  <c r="I225" i="88"/>
  <c r="F225" i="88"/>
  <c r="O224" i="88"/>
  <c r="L224" i="88"/>
  <c r="I224" i="88"/>
  <c r="F224" i="88"/>
  <c r="O223" i="88"/>
  <c r="L223" i="88"/>
  <c r="I223" i="88"/>
  <c r="F223" i="88"/>
  <c r="O222" i="88"/>
  <c r="L222" i="88"/>
  <c r="I222" i="88"/>
  <c r="F222" i="88"/>
  <c r="O221" i="88"/>
  <c r="L221" i="88"/>
  <c r="I221" i="88"/>
  <c r="F221" i="88"/>
  <c r="O220" i="88"/>
  <c r="L220" i="88"/>
  <c r="I220" i="88"/>
  <c r="F220" i="88"/>
  <c r="O219" i="88"/>
  <c r="L219" i="88"/>
  <c r="I219" i="88"/>
  <c r="F219" i="88"/>
  <c r="O218" i="88"/>
  <c r="L218" i="88"/>
  <c r="I218" i="88"/>
  <c r="F218" i="88"/>
  <c r="O217" i="88"/>
  <c r="L217" i="88"/>
  <c r="I217" i="88"/>
  <c r="F217" i="88"/>
  <c r="N216" i="88"/>
  <c r="M216" i="88"/>
  <c r="K216" i="88"/>
  <c r="J216" i="88"/>
  <c r="H216" i="88"/>
  <c r="G216" i="88"/>
  <c r="E216" i="88"/>
  <c r="D216" i="88"/>
  <c r="O215" i="88"/>
  <c r="L215" i="88"/>
  <c r="I215" i="88"/>
  <c r="F215" i="88"/>
  <c r="O214" i="88"/>
  <c r="L214" i="88"/>
  <c r="I214" i="88"/>
  <c r="F214" i="88"/>
  <c r="O213" i="88"/>
  <c r="L213" i="88"/>
  <c r="I213" i="88"/>
  <c r="F213" i="88"/>
  <c r="O212" i="88"/>
  <c r="L212" i="88"/>
  <c r="I212" i="88"/>
  <c r="F212" i="88"/>
  <c r="O211" i="88"/>
  <c r="L211" i="88"/>
  <c r="I211" i="88"/>
  <c r="F211" i="88"/>
  <c r="O210" i="88"/>
  <c r="L210" i="88"/>
  <c r="I210" i="88"/>
  <c r="F210" i="88"/>
  <c r="O209" i="88"/>
  <c r="L209" i="88"/>
  <c r="I209" i="88"/>
  <c r="F209" i="88"/>
  <c r="O208" i="88"/>
  <c r="L208" i="88"/>
  <c r="I208" i="88"/>
  <c r="F208" i="88"/>
  <c r="O207" i="88"/>
  <c r="L207" i="88"/>
  <c r="I207" i="88"/>
  <c r="F207" i="88"/>
  <c r="O206" i="88"/>
  <c r="L206" i="88"/>
  <c r="I206" i="88"/>
  <c r="I205" i="88" s="1"/>
  <c r="F206" i="88"/>
  <c r="C206" i="88" s="1"/>
  <c r="N205" i="88"/>
  <c r="M205" i="88"/>
  <c r="M204" i="88" s="1"/>
  <c r="K205" i="88"/>
  <c r="J205" i="88"/>
  <c r="H205" i="88"/>
  <c r="H204" i="88" s="1"/>
  <c r="G205" i="88"/>
  <c r="E205" i="88"/>
  <c r="D205" i="88"/>
  <c r="N204" i="88"/>
  <c r="E204" i="88"/>
  <c r="O203" i="88"/>
  <c r="L203" i="88"/>
  <c r="I203" i="88"/>
  <c r="F203" i="88"/>
  <c r="O202" i="88"/>
  <c r="L202" i="88"/>
  <c r="I202" i="88"/>
  <c r="F202" i="88"/>
  <c r="O201" i="88"/>
  <c r="L201" i="88"/>
  <c r="I201" i="88"/>
  <c r="F201" i="88"/>
  <c r="O200" i="88"/>
  <c r="L200" i="88"/>
  <c r="I200" i="88"/>
  <c r="F200" i="88"/>
  <c r="O199" i="88"/>
  <c r="L199" i="88"/>
  <c r="I199" i="88"/>
  <c r="F199" i="88"/>
  <c r="F198" i="88" s="1"/>
  <c r="O198" i="88"/>
  <c r="N198" i="88"/>
  <c r="M198" i="88"/>
  <c r="K198" i="88"/>
  <c r="K196" i="88" s="1"/>
  <c r="J198" i="88"/>
  <c r="J196" i="88" s="1"/>
  <c r="H198" i="88"/>
  <c r="H196" i="88" s="1"/>
  <c r="G198" i="88"/>
  <c r="G196" i="88" s="1"/>
  <c r="E198" i="88"/>
  <c r="D198" i="88"/>
  <c r="D196" i="88" s="1"/>
  <c r="O197" i="88"/>
  <c r="L197" i="88"/>
  <c r="I197" i="88"/>
  <c r="F197" i="88"/>
  <c r="N196" i="88"/>
  <c r="M196" i="88"/>
  <c r="E196" i="88"/>
  <c r="E195" i="88" s="1"/>
  <c r="E194" i="88" s="1"/>
  <c r="O193" i="88"/>
  <c r="O192" i="88" s="1"/>
  <c r="O191" i="88" s="1"/>
  <c r="L193" i="88"/>
  <c r="L192" i="88" s="1"/>
  <c r="L191" i="88" s="1"/>
  <c r="I193" i="88"/>
  <c r="I192" i="88" s="1"/>
  <c r="I191" i="88" s="1"/>
  <c r="F193" i="88"/>
  <c r="C193" i="88" s="1"/>
  <c r="N192" i="88"/>
  <c r="N191" i="88" s="1"/>
  <c r="M192" i="88"/>
  <c r="K192" i="88"/>
  <c r="K191" i="88" s="1"/>
  <c r="J192" i="88"/>
  <c r="J191" i="88" s="1"/>
  <c r="H192" i="88"/>
  <c r="H191" i="88" s="1"/>
  <c r="G192" i="88"/>
  <c r="E192" i="88"/>
  <c r="E191" i="88" s="1"/>
  <c r="D192" i="88"/>
  <c r="D191" i="88" s="1"/>
  <c r="M191" i="88"/>
  <c r="G191" i="88"/>
  <c r="O190" i="88"/>
  <c r="L190" i="88"/>
  <c r="I190" i="88"/>
  <c r="F190" i="88"/>
  <c r="O189" i="88"/>
  <c r="O188" i="88" s="1"/>
  <c r="O187" i="88" s="1"/>
  <c r="L189" i="88"/>
  <c r="L188" i="88" s="1"/>
  <c r="I189" i="88"/>
  <c r="I188" i="88" s="1"/>
  <c r="F189" i="88"/>
  <c r="N188" i="88"/>
  <c r="M188" i="88"/>
  <c r="M187" i="88" s="1"/>
  <c r="K188" i="88"/>
  <c r="K187" i="88" s="1"/>
  <c r="J188" i="88"/>
  <c r="H188" i="88"/>
  <c r="H187" i="88" s="1"/>
  <c r="G188" i="88"/>
  <c r="G187" i="88" s="1"/>
  <c r="F188" i="88"/>
  <c r="E188" i="88"/>
  <c r="D188" i="88"/>
  <c r="D187" i="88" s="1"/>
  <c r="O186" i="88"/>
  <c r="L186" i="88"/>
  <c r="I186" i="88"/>
  <c r="F186" i="88"/>
  <c r="O185" i="88"/>
  <c r="O184" i="88" s="1"/>
  <c r="L185" i="88"/>
  <c r="L184" i="88" s="1"/>
  <c r="I185" i="88"/>
  <c r="I184" i="88" s="1"/>
  <c r="F185" i="88"/>
  <c r="F184" i="88" s="1"/>
  <c r="N184" i="88"/>
  <c r="M184" i="88"/>
  <c r="K184" i="88"/>
  <c r="J184" i="88"/>
  <c r="H184" i="88"/>
  <c r="G184" i="88"/>
  <c r="E184" i="88"/>
  <c r="D184" i="88"/>
  <c r="O183" i="88"/>
  <c r="L183" i="88"/>
  <c r="I183" i="88"/>
  <c r="F183" i="88"/>
  <c r="O182" i="88"/>
  <c r="L182" i="88"/>
  <c r="I182" i="88"/>
  <c r="F182" i="88"/>
  <c r="O181" i="88"/>
  <c r="L181" i="88"/>
  <c r="I181" i="88"/>
  <c r="F181" i="88"/>
  <c r="C181" i="88" s="1"/>
  <c r="O180" i="88"/>
  <c r="L180" i="88"/>
  <c r="I180" i="88"/>
  <c r="F180" i="88"/>
  <c r="N179" i="88"/>
  <c r="M179" i="88"/>
  <c r="K179" i="88"/>
  <c r="J179" i="88"/>
  <c r="H179" i="88"/>
  <c r="G179" i="88"/>
  <c r="E179" i="88"/>
  <c r="D179" i="88"/>
  <c r="O178" i="88"/>
  <c r="L178" i="88"/>
  <c r="I178" i="88"/>
  <c r="F178" i="88"/>
  <c r="O177" i="88"/>
  <c r="L177" i="88"/>
  <c r="I177" i="88"/>
  <c r="F177" i="88"/>
  <c r="C177" i="88" s="1"/>
  <c r="O176" i="88"/>
  <c r="L176" i="88"/>
  <c r="I176" i="88"/>
  <c r="F176" i="88"/>
  <c r="N175" i="88"/>
  <c r="M175" i="88"/>
  <c r="M174" i="88" s="1"/>
  <c r="M173" i="88" s="1"/>
  <c r="K175" i="88"/>
  <c r="K174" i="88" s="1"/>
  <c r="J175" i="88"/>
  <c r="J174" i="88" s="1"/>
  <c r="J173" i="88" s="1"/>
  <c r="I175" i="88"/>
  <c r="H175" i="88"/>
  <c r="G175" i="88"/>
  <c r="G174" i="88" s="1"/>
  <c r="E175" i="88"/>
  <c r="D175" i="88"/>
  <c r="H174" i="88"/>
  <c r="D174" i="88"/>
  <c r="D173" i="88" s="1"/>
  <c r="G173" i="88"/>
  <c r="O172" i="88"/>
  <c r="L172" i="88"/>
  <c r="I172" i="88"/>
  <c r="F172" i="88"/>
  <c r="O171" i="88"/>
  <c r="L171" i="88"/>
  <c r="I171" i="88"/>
  <c r="F171" i="88"/>
  <c r="O170" i="88"/>
  <c r="L170" i="88"/>
  <c r="I170" i="88"/>
  <c r="F170" i="88"/>
  <c r="O169" i="88"/>
  <c r="L169" i="88"/>
  <c r="I169" i="88"/>
  <c r="F169" i="88"/>
  <c r="C169" i="88" s="1"/>
  <c r="O168" i="88"/>
  <c r="L168" i="88"/>
  <c r="I168" i="88"/>
  <c r="F168" i="88"/>
  <c r="C168" i="88" s="1"/>
  <c r="O167" i="88"/>
  <c r="L167" i="88"/>
  <c r="I167" i="88"/>
  <c r="F167" i="88"/>
  <c r="F166" i="88" s="1"/>
  <c r="N166" i="88"/>
  <c r="N165" i="88" s="1"/>
  <c r="M166" i="88"/>
  <c r="K166" i="88"/>
  <c r="K165" i="88" s="1"/>
  <c r="J166" i="88"/>
  <c r="J165" i="88" s="1"/>
  <c r="H166" i="88"/>
  <c r="H165" i="88" s="1"/>
  <c r="G166" i="88"/>
  <c r="E166" i="88"/>
  <c r="E165" i="88" s="1"/>
  <c r="D166" i="88"/>
  <c r="D165" i="88" s="1"/>
  <c r="M165" i="88"/>
  <c r="G165" i="88"/>
  <c r="O164" i="88"/>
  <c r="L164" i="88"/>
  <c r="I164" i="88"/>
  <c r="F164" i="88"/>
  <c r="O163" i="88"/>
  <c r="L163" i="88"/>
  <c r="I163" i="88"/>
  <c r="F163" i="88"/>
  <c r="O162" i="88"/>
  <c r="L162" i="88"/>
  <c r="I162" i="88"/>
  <c r="F162" i="88"/>
  <c r="O161" i="88"/>
  <c r="O160" i="88" s="1"/>
  <c r="L161" i="88"/>
  <c r="L160" i="88" s="1"/>
  <c r="I161" i="88"/>
  <c r="I160" i="88" s="1"/>
  <c r="F161" i="88"/>
  <c r="F160" i="88" s="1"/>
  <c r="N160" i="88"/>
  <c r="M160" i="88"/>
  <c r="K160" i="88"/>
  <c r="J160" i="88"/>
  <c r="H160" i="88"/>
  <c r="G160" i="88"/>
  <c r="E160" i="88"/>
  <c r="D160" i="88"/>
  <c r="O159" i="88"/>
  <c r="L159" i="88"/>
  <c r="I159" i="88"/>
  <c r="F159" i="88"/>
  <c r="O158" i="88"/>
  <c r="L158" i="88"/>
  <c r="I158" i="88"/>
  <c r="F158" i="88"/>
  <c r="O157" i="88"/>
  <c r="L157" i="88"/>
  <c r="I157" i="88"/>
  <c r="F157" i="88"/>
  <c r="C157" i="88" s="1"/>
  <c r="O156" i="88"/>
  <c r="L156" i="88"/>
  <c r="I156" i="88"/>
  <c r="F156" i="88"/>
  <c r="O155" i="88"/>
  <c r="L155" i="88"/>
  <c r="I155" i="88"/>
  <c r="F155" i="88"/>
  <c r="O154" i="88"/>
  <c r="L154" i="88"/>
  <c r="I154" i="88"/>
  <c r="F154" i="88"/>
  <c r="O153" i="88"/>
  <c r="L153" i="88"/>
  <c r="I153" i="88"/>
  <c r="F153" i="88"/>
  <c r="C153" i="88" s="1"/>
  <c r="O152" i="88"/>
  <c r="L152" i="88"/>
  <c r="I152" i="88"/>
  <c r="F152" i="88"/>
  <c r="N151" i="88"/>
  <c r="M151" i="88"/>
  <c r="K151" i="88"/>
  <c r="J151" i="88"/>
  <c r="H151" i="88"/>
  <c r="G151" i="88"/>
  <c r="E151" i="88"/>
  <c r="D151" i="88"/>
  <c r="O150" i="88"/>
  <c r="L150" i="88"/>
  <c r="I150" i="88"/>
  <c r="F150" i="88"/>
  <c r="O149" i="88"/>
  <c r="L149" i="88"/>
  <c r="I149" i="88"/>
  <c r="F149" i="88"/>
  <c r="C149" i="88" s="1"/>
  <c r="O148" i="88"/>
  <c r="L148" i="88"/>
  <c r="I148" i="88"/>
  <c r="F148" i="88"/>
  <c r="O147" i="88"/>
  <c r="L147" i="88"/>
  <c r="I147" i="88"/>
  <c r="F147" i="88"/>
  <c r="O146" i="88"/>
  <c r="L146" i="88"/>
  <c r="I146" i="88"/>
  <c r="F146" i="88"/>
  <c r="O145" i="88"/>
  <c r="L145" i="88"/>
  <c r="I145" i="88"/>
  <c r="I144" i="88" s="1"/>
  <c r="F145" i="88"/>
  <c r="C145" i="88" s="1"/>
  <c r="N144" i="88"/>
  <c r="M144" i="88"/>
  <c r="K144" i="88"/>
  <c r="J144" i="88"/>
  <c r="H144" i="88"/>
  <c r="G144" i="88"/>
  <c r="E144" i="88"/>
  <c r="D144" i="88"/>
  <c r="O143" i="88"/>
  <c r="L143" i="88"/>
  <c r="I143" i="88"/>
  <c r="F143" i="88"/>
  <c r="O142" i="88"/>
  <c r="L142" i="88"/>
  <c r="L141" i="88" s="1"/>
  <c r="I142" i="88"/>
  <c r="F142" i="88"/>
  <c r="F141" i="88" s="1"/>
  <c r="O141" i="88"/>
  <c r="N141" i="88"/>
  <c r="M141" i="88"/>
  <c r="K141" i="88"/>
  <c r="J141" i="88"/>
  <c r="H141" i="88"/>
  <c r="G141" i="88"/>
  <c r="E141" i="88"/>
  <c r="D141" i="88"/>
  <c r="O140" i="88"/>
  <c r="L140" i="88"/>
  <c r="I140" i="88"/>
  <c r="F140" i="88"/>
  <c r="O139" i="88"/>
  <c r="L139" i="88"/>
  <c r="I139" i="88"/>
  <c r="F139" i="88"/>
  <c r="O138" i="88"/>
  <c r="L138" i="88"/>
  <c r="I138" i="88"/>
  <c r="F138" i="88"/>
  <c r="O137" i="88"/>
  <c r="O136" i="88" s="1"/>
  <c r="L137" i="88"/>
  <c r="L136" i="88" s="1"/>
  <c r="I137" i="88"/>
  <c r="I136" i="88" s="1"/>
  <c r="F137" i="88"/>
  <c r="N136" i="88"/>
  <c r="M136" i="88"/>
  <c r="K136" i="88"/>
  <c r="J136" i="88"/>
  <c r="H136" i="88"/>
  <c r="G136" i="88"/>
  <c r="F136" i="88"/>
  <c r="E136" i="88"/>
  <c r="D136" i="88"/>
  <c r="O135" i="88"/>
  <c r="L135" i="88"/>
  <c r="I135" i="88"/>
  <c r="F135" i="88"/>
  <c r="O134" i="88"/>
  <c r="L134" i="88"/>
  <c r="I134" i="88"/>
  <c r="F134" i="88"/>
  <c r="O133" i="88"/>
  <c r="L133" i="88"/>
  <c r="I133" i="88"/>
  <c r="E133" i="88"/>
  <c r="O132" i="88"/>
  <c r="O131" i="88" s="1"/>
  <c r="L132" i="88"/>
  <c r="I132" i="88"/>
  <c r="F132" i="88"/>
  <c r="N131" i="88"/>
  <c r="M131" i="88"/>
  <c r="K131" i="88"/>
  <c r="J131" i="88"/>
  <c r="H131" i="88"/>
  <c r="G131" i="88"/>
  <c r="D131" i="88"/>
  <c r="O129" i="88"/>
  <c r="L129" i="88"/>
  <c r="I129" i="88"/>
  <c r="I128" i="88" s="1"/>
  <c r="F129" i="88"/>
  <c r="F128" i="88" s="1"/>
  <c r="O128" i="88"/>
  <c r="N128" i="88"/>
  <c r="M128" i="88"/>
  <c r="K128" i="88"/>
  <c r="J128" i="88"/>
  <c r="H128" i="88"/>
  <c r="G128" i="88"/>
  <c r="E128" i="88"/>
  <c r="D128" i="88"/>
  <c r="O127" i="88"/>
  <c r="L127" i="88"/>
  <c r="I127" i="88"/>
  <c r="F127" i="88"/>
  <c r="O126" i="88"/>
  <c r="L126" i="88"/>
  <c r="I126" i="88"/>
  <c r="F126" i="88"/>
  <c r="O125" i="88"/>
  <c r="L125" i="88"/>
  <c r="I125" i="88"/>
  <c r="F125" i="88"/>
  <c r="O124" i="88"/>
  <c r="L124" i="88"/>
  <c r="I124" i="88"/>
  <c r="F124" i="88"/>
  <c r="O123" i="88"/>
  <c r="L123" i="88"/>
  <c r="I123" i="88"/>
  <c r="F123" i="88"/>
  <c r="N122" i="88"/>
  <c r="M122" i="88"/>
  <c r="K122" i="88"/>
  <c r="J122" i="88"/>
  <c r="H122" i="88"/>
  <c r="G122" i="88"/>
  <c r="E122" i="88"/>
  <c r="D122" i="88"/>
  <c r="O121" i="88"/>
  <c r="L121" i="88"/>
  <c r="I121" i="88"/>
  <c r="F121" i="88"/>
  <c r="O120" i="88"/>
  <c r="L120" i="88"/>
  <c r="I120" i="88"/>
  <c r="F120" i="88"/>
  <c r="O119" i="88"/>
  <c r="L119" i="88"/>
  <c r="I119" i="88"/>
  <c r="F119" i="88"/>
  <c r="O118" i="88"/>
  <c r="L118" i="88"/>
  <c r="C118" i="88" s="1"/>
  <c r="I118" i="88"/>
  <c r="F118" i="88"/>
  <c r="O117" i="88"/>
  <c r="L117" i="88"/>
  <c r="I117" i="88"/>
  <c r="F117" i="88"/>
  <c r="F116" i="88" s="1"/>
  <c r="N116" i="88"/>
  <c r="M116" i="88"/>
  <c r="K116" i="88"/>
  <c r="J116" i="88"/>
  <c r="H116" i="88"/>
  <c r="G116" i="88"/>
  <c r="E116" i="88"/>
  <c r="D116" i="88"/>
  <c r="O115" i="88"/>
  <c r="L115" i="88"/>
  <c r="I115" i="88"/>
  <c r="F115" i="88"/>
  <c r="O114" i="88"/>
  <c r="L114" i="88"/>
  <c r="I114" i="88"/>
  <c r="F114" i="88"/>
  <c r="O113" i="88"/>
  <c r="O112" i="88" s="1"/>
  <c r="L113" i="88"/>
  <c r="L112" i="88" s="1"/>
  <c r="I113" i="88"/>
  <c r="F113" i="88"/>
  <c r="F112" i="88" s="1"/>
  <c r="N112" i="88"/>
  <c r="M112" i="88"/>
  <c r="K112" i="88"/>
  <c r="J112" i="88"/>
  <c r="H112" i="88"/>
  <c r="G112" i="88"/>
  <c r="E112" i="88"/>
  <c r="D112" i="88"/>
  <c r="O111" i="88"/>
  <c r="L111" i="88"/>
  <c r="I111" i="88"/>
  <c r="F111" i="88"/>
  <c r="O110" i="88"/>
  <c r="L110" i="88"/>
  <c r="I110" i="88"/>
  <c r="F110" i="88"/>
  <c r="O109" i="88"/>
  <c r="L109" i="88"/>
  <c r="I109" i="88"/>
  <c r="F109" i="88"/>
  <c r="O108" i="88"/>
  <c r="L108" i="88"/>
  <c r="I108" i="88"/>
  <c r="F108" i="88"/>
  <c r="O107" i="88"/>
  <c r="L107" i="88"/>
  <c r="I107" i="88"/>
  <c r="F107" i="88"/>
  <c r="O106" i="88"/>
  <c r="L106" i="88"/>
  <c r="I106" i="88"/>
  <c r="F106" i="88"/>
  <c r="O105" i="88"/>
  <c r="L105" i="88"/>
  <c r="I105" i="88"/>
  <c r="F105" i="88"/>
  <c r="O104" i="88"/>
  <c r="L104" i="88"/>
  <c r="I104" i="88"/>
  <c r="F104" i="88"/>
  <c r="N103" i="88"/>
  <c r="M103" i="88"/>
  <c r="K103" i="88"/>
  <c r="J103" i="88"/>
  <c r="H103" i="88"/>
  <c r="G103" i="88"/>
  <c r="E103" i="88"/>
  <c r="D103" i="88"/>
  <c r="O102" i="88"/>
  <c r="L102" i="88"/>
  <c r="I102" i="88"/>
  <c r="F102" i="88"/>
  <c r="O101" i="88"/>
  <c r="L101" i="88"/>
  <c r="I101" i="88"/>
  <c r="F101" i="88"/>
  <c r="C101" i="88" s="1"/>
  <c r="O100" i="88"/>
  <c r="L100" i="88"/>
  <c r="I100" i="88"/>
  <c r="F100" i="88"/>
  <c r="C100" i="88" s="1"/>
  <c r="O99" i="88"/>
  <c r="L99" i="88"/>
  <c r="I99" i="88"/>
  <c r="F99" i="88"/>
  <c r="O98" i="88"/>
  <c r="L98" i="88"/>
  <c r="I98" i="88"/>
  <c r="F98" i="88"/>
  <c r="O97" i="88"/>
  <c r="L97" i="88"/>
  <c r="I97" i="88"/>
  <c r="F97" i="88"/>
  <c r="O96" i="88"/>
  <c r="L96" i="88"/>
  <c r="I96" i="88"/>
  <c r="I95" i="88" s="1"/>
  <c r="F96" i="88"/>
  <c r="C96" i="88" s="1"/>
  <c r="N95" i="88"/>
  <c r="M95" i="88"/>
  <c r="K95" i="88"/>
  <c r="J95" i="88"/>
  <c r="H95" i="88"/>
  <c r="G95" i="88"/>
  <c r="E95" i="88"/>
  <c r="D95" i="88"/>
  <c r="O94" i="88"/>
  <c r="L94" i="88"/>
  <c r="I94" i="88"/>
  <c r="F94" i="88"/>
  <c r="O93" i="88"/>
  <c r="L93" i="88"/>
  <c r="I93" i="88"/>
  <c r="F93" i="88"/>
  <c r="C93" i="88" s="1"/>
  <c r="O92" i="88"/>
  <c r="L92" i="88"/>
  <c r="I92" i="88"/>
  <c r="F92" i="88"/>
  <c r="O91" i="88"/>
  <c r="L91" i="88"/>
  <c r="I91" i="88"/>
  <c r="F91" i="88"/>
  <c r="O90" i="88"/>
  <c r="L90" i="88"/>
  <c r="I90" i="88"/>
  <c r="I89" i="88" s="1"/>
  <c r="F90" i="88"/>
  <c r="N89" i="88"/>
  <c r="M89" i="88"/>
  <c r="K89" i="88"/>
  <c r="J89" i="88"/>
  <c r="H89" i="88"/>
  <c r="G89" i="88"/>
  <c r="E89" i="88"/>
  <c r="D89" i="88"/>
  <c r="O88" i="88"/>
  <c r="L88" i="88"/>
  <c r="I88" i="88"/>
  <c r="F88" i="88"/>
  <c r="O87" i="88"/>
  <c r="L87" i="88"/>
  <c r="I87" i="88"/>
  <c r="F87" i="88"/>
  <c r="O86" i="88"/>
  <c r="L86" i="88"/>
  <c r="I86" i="88"/>
  <c r="F86" i="88"/>
  <c r="O85" i="88"/>
  <c r="O84" i="88" s="1"/>
  <c r="L85" i="88"/>
  <c r="I85" i="88"/>
  <c r="I84" i="88" s="1"/>
  <c r="F85" i="88"/>
  <c r="N84" i="88"/>
  <c r="M84" i="88"/>
  <c r="M83" i="88" s="1"/>
  <c r="K84" i="88"/>
  <c r="J84" i="88"/>
  <c r="H84" i="88"/>
  <c r="G84" i="88"/>
  <c r="G83" i="88" s="1"/>
  <c r="E84" i="88"/>
  <c r="D84" i="88"/>
  <c r="N83" i="88"/>
  <c r="O82" i="88"/>
  <c r="L82" i="88"/>
  <c r="I82" i="88"/>
  <c r="F82" i="88"/>
  <c r="O81" i="88"/>
  <c r="O80" i="88" s="1"/>
  <c r="L81" i="88"/>
  <c r="I81" i="88"/>
  <c r="I80" i="88" s="1"/>
  <c r="F81" i="88"/>
  <c r="F80" i="88" s="1"/>
  <c r="N80" i="88"/>
  <c r="M80" i="88"/>
  <c r="M76" i="88" s="1"/>
  <c r="K80" i="88"/>
  <c r="J80" i="88"/>
  <c r="H80" i="88"/>
  <c r="G80" i="88"/>
  <c r="E80" i="88"/>
  <c r="D80" i="88"/>
  <c r="O79" i="88"/>
  <c r="L79" i="88"/>
  <c r="I79" i="88"/>
  <c r="F79" i="88"/>
  <c r="O78" i="88"/>
  <c r="L78" i="88"/>
  <c r="I78" i="88"/>
  <c r="I77" i="88" s="1"/>
  <c r="F78" i="88"/>
  <c r="O77" i="88"/>
  <c r="O76" i="88" s="1"/>
  <c r="N77" i="88"/>
  <c r="N76" i="88" s="1"/>
  <c r="M77" i="88"/>
  <c r="K77" i="88"/>
  <c r="J77" i="88"/>
  <c r="J76" i="88" s="1"/>
  <c r="H77" i="88"/>
  <c r="G77" i="88"/>
  <c r="F77" i="88"/>
  <c r="F76" i="88" s="1"/>
  <c r="E77" i="88"/>
  <c r="E76" i="88" s="1"/>
  <c r="D77" i="88"/>
  <c r="D76" i="88" s="1"/>
  <c r="O74" i="88"/>
  <c r="L74" i="88"/>
  <c r="I74" i="88"/>
  <c r="E74" i="88"/>
  <c r="F74" i="88" s="1"/>
  <c r="O73" i="88"/>
  <c r="L73" i="88"/>
  <c r="I73" i="88"/>
  <c r="F73" i="88"/>
  <c r="O72" i="88"/>
  <c r="L72" i="88"/>
  <c r="I72" i="88"/>
  <c r="F72" i="88"/>
  <c r="O71" i="88"/>
  <c r="L71" i="88"/>
  <c r="I71" i="88"/>
  <c r="F71" i="88"/>
  <c r="O70" i="88"/>
  <c r="L70" i="88"/>
  <c r="I70" i="88"/>
  <c r="I69" i="88" s="1"/>
  <c r="E70" i="88"/>
  <c r="F70" i="88" s="1"/>
  <c r="N69" i="88"/>
  <c r="N67" i="88" s="1"/>
  <c r="M69" i="88"/>
  <c r="M67" i="88" s="1"/>
  <c r="K69" i="88"/>
  <c r="K67" i="88" s="1"/>
  <c r="J69" i="88"/>
  <c r="J67" i="88" s="1"/>
  <c r="H69" i="88"/>
  <c r="G69" i="88"/>
  <c r="D69" i="88"/>
  <c r="D67" i="88" s="1"/>
  <c r="O68" i="88"/>
  <c r="L68" i="88"/>
  <c r="I68" i="88"/>
  <c r="F68" i="88"/>
  <c r="H67" i="88"/>
  <c r="G67" i="88"/>
  <c r="O66" i="88"/>
  <c r="L66" i="88"/>
  <c r="I66" i="88"/>
  <c r="F66" i="88"/>
  <c r="O65" i="88"/>
  <c r="L65" i="88"/>
  <c r="I65" i="88"/>
  <c r="F65" i="88"/>
  <c r="O64" i="88"/>
  <c r="L64" i="88"/>
  <c r="I64" i="88"/>
  <c r="F64" i="88"/>
  <c r="O63" i="88"/>
  <c r="L63" i="88"/>
  <c r="I63" i="88"/>
  <c r="F63" i="88"/>
  <c r="O62" i="88"/>
  <c r="L62" i="88"/>
  <c r="I62" i="88"/>
  <c r="F62" i="88"/>
  <c r="O61" i="88"/>
  <c r="L61" i="88"/>
  <c r="I61" i="88"/>
  <c r="F61" i="88"/>
  <c r="O60" i="88"/>
  <c r="L60" i="88"/>
  <c r="I60" i="88"/>
  <c r="F60" i="88"/>
  <c r="O59" i="88"/>
  <c r="O58" i="88" s="1"/>
  <c r="L59" i="88"/>
  <c r="I59" i="88"/>
  <c r="I58" i="88" s="1"/>
  <c r="F59" i="88"/>
  <c r="N58" i="88"/>
  <c r="M58" i="88"/>
  <c r="K58" i="88"/>
  <c r="J58" i="88"/>
  <c r="H58" i="88"/>
  <c r="G58" i="88"/>
  <c r="E58" i="88"/>
  <c r="D58" i="88"/>
  <c r="O57" i="88"/>
  <c r="L57" i="88"/>
  <c r="I57" i="88"/>
  <c r="I55" i="88" s="1"/>
  <c r="H57" i="88"/>
  <c r="F57" i="88"/>
  <c r="O56" i="88"/>
  <c r="L56" i="88"/>
  <c r="L55" i="88" s="1"/>
  <c r="I56" i="88"/>
  <c r="F56" i="88"/>
  <c r="N55" i="88"/>
  <c r="N54" i="88" s="1"/>
  <c r="N53" i="88" s="1"/>
  <c r="M55" i="88"/>
  <c r="M54" i="88" s="1"/>
  <c r="K55" i="88"/>
  <c r="J55" i="88"/>
  <c r="H55" i="88"/>
  <c r="H54" i="88" s="1"/>
  <c r="G55" i="88"/>
  <c r="G54" i="88" s="1"/>
  <c r="G53" i="88" s="1"/>
  <c r="E55" i="88"/>
  <c r="D55" i="88"/>
  <c r="K54" i="88"/>
  <c r="J54" i="88"/>
  <c r="O47" i="88"/>
  <c r="O46" i="88"/>
  <c r="C46" i="88" s="1"/>
  <c r="N45" i="88"/>
  <c r="M45" i="88"/>
  <c r="L44" i="88"/>
  <c r="I44" i="88"/>
  <c r="F44" i="88"/>
  <c r="F43" i="88" s="1"/>
  <c r="L43" i="88"/>
  <c r="K43" i="88"/>
  <c r="J43" i="88"/>
  <c r="H43" i="88"/>
  <c r="G43" i="88"/>
  <c r="E43" i="88"/>
  <c r="D43" i="88"/>
  <c r="F42" i="88"/>
  <c r="C42" i="88" s="1"/>
  <c r="E41" i="88"/>
  <c r="D41" i="88"/>
  <c r="L40" i="88"/>
  <c r="C40" i="88" s="1"/>
  <c r="L39" i="88"/>
  <c r="C39" i="88" s="1"/>
  <c r="L38" i="88"/>
  <c r="C38" i="88" s="1"/>
  <c r="L37" i="88"/>
  <c r="C37" i="88" s="1"/>
  <c r="K36" i="88"/>
  <c r="J36" i="88"/>
  <c r="L35" i="88"/>
  <c r="C35" i="88" s="1"/>
  <c r="L34" i="88"/>
  <c r="C34" i="88" s="1"/>
  <c r="K33" i="88"/>
  <c r="J33" i="88"/>
  <c r="L32" i="88"/>
  <c r="C32" i="88" s="1"/>
  <c r="K31" i="88"/>
  <c r="J31" i="88"/>
  <c r="L30" i="88"/>
  <c r="C30" i="88" s="1"/>
  <c r="L29" i="88"/>
  <c r="C29" i="88" s="1"/>
  <c r="L28" i="88"/>
  <c r="C28" i="88" s="1"/>
  <c r="K27" i="88"/>
  <c r="J27" i="88"/>
  <c r="K26" i="88"/>
  <c r="F25" i="88"/>
  <c r="C25" i="88" s="1"/>
  <c r="I24" i="88"/>
  <c r="F24" i="88"/>
  <c r="O23" i="88"/>
  <c r="L23" i="88"/>
  <c r="I23" i="88"/>
  <c r="F23" i="88"/>
  <c r="C23" i="88" s="1"/>
  <c r="O22" i="88"/>
  <c r="O21" i="88" s="1"/>
  <c r="L22" i="88"/>
  <c r="I22" i="88"/>
  <c r="I21" i="88" s="1"/>
  <c r="F22" i="88"/>
  <c r="C22" i="88" s="1"/>
  <c r="N21" i="88"/>
  <c r="M21" i="88"/>
  <c r="M292" i="88" s="1"/>
  <c r="L21" i="88"/>
  <c r="K21" i="88"/>
  <c r="K292" i="88" s="1"/>
  <c r="K291" i="88" s="1"/>
  <c r="J21" i="88"/>
  <c r="J292" i="88" s="1"/>
  <c r="J291" i="88" s="1"/>
  <c r="H21" i="88"/>
  <c r="G21" i="88"/>
  <c r="G292" i="88" s="1"/>
  <c r="G291" i="88" s="1"/>
  <c r="E21" i="88"/>
  <c r="E292" i="88" s="1"/>
  <c r="E291" i="88" s="1"/>
  <c r="D21" i="88"/>
  <c r="M20" i="88"/>
  <c r="I54" i="88" l="1"/>
  <c r="C59" i="88"/>
  <c r="C121" i="88"/>
  <c r="K130" i="88"/>
  <c r="C137" i="88"/>
  <c r="C197" i="88"/>
  <c r="O55" i="88"/>
  <c r="C189" i="88"/>
  <c r="C210" i="88"/>
  <c r="C243" i="88"/>
  <c r="C282" i="88"/>
  <c r="E20" i="88"/>
  <c r="J26" i="88"/>
  <c r="O45" i="88"/>
  <c r="C57" i="88"/>
  <c r="C68" i="88"/>
  <c r="C126" i="88"/>
  <c r="C127" i="88"/>
  <c r="G130" i="88"/>
  <c r="M130" i="88"/>
  <c r="K173" i="88"/>
  <c r="C185" i="88"/>
  <c r="E187" i="88"/>
  <c r="N195" i="88"/>
  <c r="C214" i="88"/>
  <c r="C250" i="88"/>
  <c r="C254" i="88"/>
  <c r="C258" i="88"/>
  <c r="C262" i="88"/>
  <c r="N259" i="88"/>
  <c r="C278" i="88"/>
  <c r="K20" i="88"/>
  <c r="L31" i="88"/>
  <c r="C31" i="88" s="1"/>
  <c r="L33" i="88"/>
  <c r="C33" i="88" s="1"/>
  <c r="E54" i="88"/>
  <c r="C64" i="88"/>
  <c r="C74" i="88"/>
  <c r="I76" i="88"/>
  <c r="C85" i="88"/>
  <c r="J83" i="88"/>
  <c r="C159" i="88"/>
  <c r="C161" i="88"/>
  <c r="O175" i="88"/>
  <c r="N174" i="88"/>
  <c r="N173" i="88" s="1"/>
  <c r="C203" i="88"/>
  <c r="C213" i="88"/>
  <c r="C218" i="88"/>
  <c r="C222" i="88"/>
  <c r="C226" i="88"/>
  <c r="I252" i="88"/>
  <c r="I251" i="88" s="1"/>
  <c r="C294" i="88"/>
  <c r="K53" i="88"/>
  <c r="E83" i="88"/>
  <c r="C135" i="88"/>
  <c r="O196" i="88"/>
  <c r="C63" i="88"/>
  <c r="L69" i="88"/>
  <c r="C105" i="88"/>
  <c r="C113" i="88"/>
  <c r="C146" i="88"/>
  <c r="L175" i="88"/>
  <c r="C202" i="88"/>
  <c r="C242" i="88"/>
  <c r="C267" i="88"/>
  <c r="N230" i="88"/>
  <c r="G20" i="88"/>
  <c r="D292" i="88"/>
  <c r="D291" i="88" s="1"/>
  <c r="H292" i="88"/>
  <c r="H291" i="88" s="1"/>
  <c r="M291" i="88"/>
  <c r="C24" i="88"/>
  <c r="F55" i="88"/>
  <c r="C55" i="88" s="1"/>
  <c r="C62" i="88"/>
  <c r="K76" i="88"/>
  <c r="C82" i="88"/>
  <c r="D83" i="88"/>
  <c r="C86" i="88"/>
  <c r="C90" i="88"/>
  <c r="I103" i="88"/>
  <c r="C110" i="88"/>
  <c r="C115" i="88"/>
  <c r="C117" i="88"/>
  <c r="L122" i="88"/>
  <c r="L131" i="88"/>
  <c r="C136" i="88"/>
  <c r="C147" i="88"/>
  <c r="C170" i="88"/>
  <c r="C172" i="88"/>
  <c r="O179" i="88"/>
  <c r="C186" i="88"/>
  <c r="J187" i="88"/>
  <c r="N187" i="88"/>
  <c r="F192" i="88"/>
  <c r="C201" i="88"/>
  <c r="D204" i="88"/>
  <c r="J204" i="88"/>
  <c r="J195" i="88" s="1"/>
  <c r="C217" i="88"/>
  <c r="O216" i="88"/>
  <c r="C223" i="88"/>
  <c r="C234" i="88"/>
  <c r="O264" i="88"/>
  <c r="G269" i="88"/>
  <c r="O276" i="88"/>
  <c r="C295" i="88"/>
  <c r="N292" i="88"/>
  <c r="N291" i="88" s="1"/>
  <c r="L36" i="88"/>
  <c r="C36" i="88" s="1"/>
  <c r="F41" i="88"/>
  <c r="C41" i="88" s="1"/>
  <c r="H53" i="88"/>
  <c r="C65" i="88"/>
  <c r="C66" i="88"/>
  <c r="J53" i="88"/>
  <c r="C72" i="88"/>
  <c r="C73" i="88"/>
  <c r="G76" i="88"/>
  <c r="G75" i="88" s="1"/>
  <c r="G52" i="88" s="1"/>
  <c r="C81" i="88"/>
  <c r="C94" i="88"/>
  <c r="L95" i="88"/>
  <c r="C104" i="88"/>
  <c r="C109" i="88"/>
  <c r="I112" i="88"/>
  <c r="C119" i="88"/>
  <c r="C120" i="88"/>
  <c r="H130" i="88"/>
  <c r="N130" i="88"/>
  <c r="N75" i="88" s="1"/>
  <c r="C138" i="88"/>
  <c r="C140" i="88"/>
  <c r="C154" i="88"/>
  <c r="C156" i="88"/>
  <c r="C162" i="88"/>
  <c r="C164" i="88"/>
  <c r="C171" i="88"/>
  <c r="C182" i="88"/>
  <c r="M195" i="88"/>
  <c r="C211" i="88"/>
  <c r="I216" i="88"/>
  <c r="I204" i="88" s="1"/>
  <c r="C221" i="88"/>
  <c r="K204" i="88"/>
  <c r="K195" i="88" s="1"/>
  <c r="C229" i="88"/>
  <c r="H230" i="88"/>
  <c r="G231" i="88"/>
  <c r="G230" i="88" s="1"/>
  <c r="I238" i="88"/>
  <c r="C245" i="88"/>
  <c r="C248" i="88"/>
  <c r="O246" i="88"/>
  <c r="O231" i="88" s="1"/>
  <c r="O252" i="88"/>
  <c r="N270" i="88"/>
  <c r="N269" i="88" s="1"/>
  <c r="C275" i="88"/>
  <c r="C280" i="88"/>
  <c r="C288" i="88"/>
  <c r="C299" i="88"/>
  <c r="I293" i="88"/>
  <c r="F21" i="88"/>
  <c r="F292" i="88" s="1"/>
  <c r="M53" i="88"/>
  <c r="C60" i="88"/>
  <c r="I67" i="88"/>
  <c r="I53" i="88" s="1"/>
  <c r="H76" i="88"/>
  <c r="C78" i="88"/>
  <c r="K83" i="88"/>
  <c r="C87" i="88"/>
  <c r="C88" i="88"/>
  <c r="C91" i="88"/>
  <c r="O89" i="88"/>
  <c r="C97" i="88"/>
  <c r="C102" i="88"/>
  <c r="C107" i="88"/>
  <c r="C108" i="88"/>
  <c r="C114" i="88"/>
  <c r="I116" i="88"/>
  <c r="C125" i="88"/>
  <c r="O122" i="88"/>
  <c r="J130" i="88"/>
  <c r="J75" i="88" s="1"/>
  <c r="J52" i="88" s="1"/>
  <c r="C139" i="88"/>
  <c r="O144" i="88"/>
  <c r="L144" i="88"/>
  <c r="L151" i="88"/>
  <c r="C155" i="88"/>
  <c r="C158" i="88"/>
  <c r="C163" i="88"/>
  <c r="O166" i="88"/>
  <c r="O165" i="88" s="1"/>
  <c r="L166" i="88"/>
  <c r="L165" i="88" s="1"/>
  <c r="L179" i="88"/>
  <c r="L174" i="88" s="1"/>
  <c r="L173" i="88" s="1"/>
  <c r="C183" i="88"/>
  <c r="L187" i="88"/>
  <c r="C190" i="88"/>
  <c r="H195" i="88"/>
  <c r="H194" i="88" s="1"/>
  <c r="C209" i="88"/>
  <c r="C215" i="88"/>
  <c r="C224" i="88"/>
  <c r="C225" i="88"/>
  <c r="G204" i="88"/>
  <c r="G195" i="88" s="1"/>
  <c r="C232" i="88"/>
  <c r="D231" i="88"/>
  <c r="D230" i="88" s="1"/>
  <c r="M231" i="88"/>
  <c r="J231" i="88"/>
  <c r="J230" i="88" s="1"/>
  <c r="C244" i="88"/>
  <c r="I246" i="88"/>
  <c r="I231" i="88" s="1"/>
  <c r="I230" i="88" s="1"/>
  <c r="C256" i="88"/>
  <c r="C257" i="88"/>
  <c r="O260" i="88"/>
  <c r="O259" i="88" s="1"/>
  <c r="C268" i="88"/>
  <c r="K269" i="88"/>
  <c r="O272" i="88"/>
  <c r="O270" i="88" s="1"/>
  <c r="O269" i="88" s="1"/>
  <c r="I286" i="88"/>
  <c r="I292" i="88" s="1"/>
  <c r="I291" i="88" s="1"/>
  <c r="F293" i="88"/>
  <c r="F291" i="88" s="1"/>
  <c r="C297" i="88"/>
  <c r="C70" i="88"/>
  <c r="F69" i="88"/>
  <c r="M75" i="88"/>
  <c r="C45" i="88"/>
  <c r="O292" i="88"/>
  <c r="O291" i="88" s="1"/>
  <c r="O20" i="88"/>
  <c r="M52" i="88"/>
  <c r="F95" i="88"/>
  <c r="F165" i="88"/>
  <c r="I166" i="88"/>
  <c r="I165" i="88" s="1"/>
  <c r="C167" i="88"/>
  <c r="C301" i="88"/>
  <c r="J20" i="88"/>
  <c r="N20" i="88"/>
  <c r="C47" i="88"/>
  <c r="D54" i="88"/>
  <c r="D53" i="88" s="1"/>
  <c r="L58" i="88"/>
  <c r="L54" i="88" s="1"/>
  <c r="F58" i="88"/>
  <c r="L67" i="88"/>
  <c r="E69" i="88"/>
  <c r="E67" i="88" s="1"/>
  <c r="E53" i="88" s="1"/>
  <c r="L77" i="88"/>
  <c r="L80" i="88"/>
  <c r="C80" i="88" s="1"/>
  <c r="C98" i="88"/>
  <c r="O103" i="88"/>
  <c r="O116" i="88"/>
  <c r="F122" i="88"/>
  <c r="I122" i="88"/>
  <c r="C124" i="88"/>
  <c r="C129" i="88"/>
  <c r="L128" i="88"/>
  <c r="C128" i="88" s="1"/>
  <c r="C180" i="88"/>
  <c r="F179" i="88"/>
  <c r="I187" i="88"/>
  <c r="C44" i="88"/>
  <c r="I43" i="88"/>
  <c r="C43" i="88" s="1"/>
  <c r="C99" i="88"/>
  <c r="F103" i="88"/>
  <c r="L103" i="88"/>
  <c r="C111" i="88"/>
  <c r="L116" i="88"/>
  <c r="C116" i="88" s="1"/>
  <c r="C143" i="88"/>
  <c r="I141" i="88"/>
  <c r="C141" i="88" s="1"/>
  <c r="C92" i="88"/>
  <c r="F89" i="88"/>
  <c r="C112" i="88"/>
  <c r="L27" i="88"/>
  <c r="F54" i="88"/>
  <c r="C61" i="88"/>
  <c r="O69" i="88"/>
  <c r="O67" i="88" s="1"/>
  <c r="C79" i="88"/>
  <c r="D20" i="88"/>
  <c r="H20" i="88"/>
  <c r="C56" i="88"/>
  <c r="O54" i="88"/>
  <c r="C71" i="88"/>
  <c r="H83" i="88"/>
  <c r="L84" i="88"/>
  <c r="F84" i="88"/>
  <c r="L89" i="88"/>
  <c r="O95" i="88"/>
  <c r="O83" i="88" s="1"/>
  <c r="C106" i="88"/>
  <c r="L130" i="88"/>
  <c r="L276" i="88"/>
  <c r="L270" i="88" s="1"/>
  <c r="L269" i="88" s="1"/>
  <c r="C279" i="88"/>
  <c r="C148" i="88"/>
  <c r="F144" i="88"/>
  <c r="C144" i="88" s="1"/>
  <c r="C207" i="88"/>
  <c r="L205" i="88"/>
  <c r="C123" i="88"/>
  <c r="D130" i="88"/>
  <c r="D75" i="88" s="1"/>
  <c r="E131" i="88"/>
  <c r="E130" i="88" s="1"/>
  <c r="E75" i="88" s="1"/>
  <c r="F133" i="88"/>
  <c r="C134" i="88"/>
  <c r="C150" i="88"/>
  <c r="I151" i="88"/>
  <c r="H173" i="88"/>
  <c r="E174" i="88"/>
  <c r="E173" i="88" s="1"/>
  <c r="C176" i="88"/>
  <c r="F175" i="88"/>
  <c r="O174" i="88"/>
  <c r="O173" i="88" s="1"/>
  <c r="O205" i="88"/>
  <c r="L260" i="88"/>
  <c r="C263" i="88"/>
  <c r="I131" i="88"/>
  <c r="C132" i="88"/>
  <c r="C152" i="88"/>
  <c r="F151" i="88"/>
  <c r="O151" i="88"/>
  <c r="O130" i="88" s="1"/>
  <c r="C160" i="88"/>
  <c r="C178" i="88"/>
  <c r="I179" i="88"/>
  <c r="I174" i="88" s="1"/>
  <c r="I173" i="88" s="1"/>
  <c r="C184" i="88"/>
  <c r="C188" i="88"/>
  <c r="C192" i="88"/>
  <c r="C199" i="88"/>
  <c r="L198" i="88"/>
  <c r="L196" i="88" s="1"/>
  <c r="F216" i="88"/>
  <c r="C247" i="88"/>
  <c r="L246" i="88"/>
  <c r="C142" i="88"/>
  <c r="F191" i="88"/>
  <c r="C191" i="88" s="1"/>
  <c r="F196" i="88"/>
  <c r="F205" i="88"/>
  <c r="C212" i="88"/>
  <c r="C220" i="88"/>
  <c r="C227" i="88"/>
  <c r="C228" i="88"/>
  <c r="C235" i="88"/>
  <c r="C236" i="88"/>
  <c r="C239" i="88"/>
  <c r="L238" i="88"/>
  <c r="C261" i="88"/>
  <c r="F260" i="88"/>
  <c r="L264" i="88"/>
  <c r="I270" i="88"/>
  <c r="I269" i="88" s="1"/>
  <c r="C277" i="88"/>
  <c r="F276" i="88"/>
  <c r="C281" i="88"/>
  <c r="C285" i="88"/>
  <c r="F284" i="88"/>
  <c r="N194" i="88"/>
  <c r="C249" i="88"/>
  <c r="F246" i="88"/>
  <c r="L252" i="88"/>
  <c r="L251" i="88" s="1"/>
  <c r="C255" i="88"/>
  <c r="C287" i="88"/>
  <c r="L286" i="88"/>
  <c r="L292" i="88" s="1"/>
  <c r="D195" i="88"/>
  <c r="C200" i="88"/>
  <c r="I198" i="88"/>
  <c r="C208" i="88"/>
  <c r="L216" i="88"/>
  <c r="C219" i="88"/>
  <c r="C233" i="88"/>
  <c r="K231" i="88"/>
  <c r="K230" i="88" s="1"/>
  <c r="C240" i="88"/>
  <c r="C241" i="88"/>
  <c r="F238" i="88"/>
  <c r="C253" i="88"/>
  <c r="F252" i="88"/>
  <c r="O251" i="88"/>
  <c r="M259" i="88"/>
  <c r="M230" i="88" s="1"/>
  <c r="C265" i="88"/>
  <c r="F264" i="88"/>
  <c r="C264" i="88" s="1"/>
  <c r="C271" i="88"/>
  <c r="C273" i="88"/>
  <c r="F272" i="88"/>
  <c r="L293" i="88"/>
  <c r="C296" i="88"/>
  <c r="O53" i="88" l="1"/>
  <c r="G289" i="88"/>
  <c r="N52" i="88"/>
  <c r="N289" i="88"/>
  <c r="L259" i="88"/>
  <c r="C122" i="88"/>
  <c r="C58" i="88"/>
  <c r="O230" i="88"/>
  <c r="I83" i="88"/>
  <c r="J194" i="88"/>
  <c r="J289" i="88"/>
  <c r="G194" i="88"/>
  <c r="G51" i="88" s="1"/>
  <c r="D194" i="88"/>
  <c r="O204" i="88"/>
  <c r="O195" i="88" s="1"/>
  <c r="C95" i="88"/>
  <c r="I20" i="88"/>
  <c r="K75" i="88"/>
  <c r="K52" i="88" s="1"/>
  <c r="K289" i="88"/>
  <c r="L291" i="88"/>
  <c r="N51" i="88"/>
  <c r="N50" i="88" s="1"/>
  <c r="L231" i="88"/>
  <c r="L230" i="88" s="1"/>
  <c r="L83" i="88"/>
  <c r="C89" i="88"/>
  <c r="C293" i="88"/>
  <c r="C151" i="88"/>
  <c r="H75" i="88"/>
  <c r="H52" i="88" s="1"/>
  <c r="H51" i="88" s="1"/>
  <c r="H50" i="88" s="1"/>
  <c r="C21" i="88"/>
  <c r="E52" i="88"/>
  <c r="E51" i="88" s="1"/>
  <c r="E290" i="88" s="1"/>
  <c r="F20" i="88"/>
  <c r="C292" i="88"/>
  <c r="M194" i="88"/>
  <c r="M289" i="88"/>
  <c r="H290" i="88"/>
  <c r="E50" i="88"/>
  <c r="E289" i="88"/>
  <c r="O194" i="88"/>
  <c r="O75" i="88"/>
  <c r="O52" i="88" s="1"/>
  <c r="K194" i="88"/>
  <c r="K51" i="88" s="1"/>
  <c r="C54" i="88"/>
  <c r="C133" i="88"/>
  <c r="F131" i="88"/>
  <c r="C27" i="88"/>
  <c r="L26" i="88"/>
  <c r="L53" i="88"/>
  <c r="C179" i="88"/>
  <c r="L76" i="88"/>
  <c r="C77" i="88"/>
  <c r="M51" i="88"/>
  <c r="J51" i="88"/>
  <c r="C276" i="88"/>
  <c r="C205" i="88"/>
  <c r="F204" i="88"/>
  <c r="C216" i="88"/>
  <c r="C175" i="88"/>
  <c r="F174" i="88"/>
  <c r="L204" i="88"/>
  <c r="L195" i="88" s="1"/>
  <c r="C103" i="88"/>
  <c r="C291" i="88"/>
  <c r="C166" i="88"/>
  <c r="C238" i="88"/>
  <c r="F231" i="88"/>
  <c r="C198" i="88"/>
  <c r="I196" i="88"/>
  <c r="I195" i="88" s="1"/>
  <c r="C286" i="88"/>
  <c r="F187" i="88"/>
  <c r="C187" i="88" s="1"/>
  <c r="F270" i="88"/>
  <c r="C272" i="88"/>
  <c r="C252" i="88"/>
  <c r="F251" i="88"/>
  <c r="C251" i="88" s="1"/>
  <c r="C246" i="88"/>
  <c r="C284" i="88"/>
  <c r="F283" i="88"/>
  <c r="C283" i="88" s="1"/>
  <c r="C260" i="88"/>
  <c r="F259" i="88"/>
  <c r="C259" i="88" s="1"/>
  <c r="I130" i="88"/>
  <c r="I75" i="88" s="1"/>
  <c r="I52" i="88" s="1"/>
  <c r="C84" i="88"/>
  <c r="F83" i="88"/>
  <c r="D289" i="88"/>
  <c r="D52" i="88"/>
  <c r="D51" i="88" s="1"/>
  <c r="C165" i="88"/>
  <c r="F67" i="88"/>
  <c r="C67" i="88" s="1"/>
  <c r="C69" i="88"/>
  <c r="N290" i="88" l="1"/>
  <c r="C196" i="88"/>
  <c r="O51" i="88"/>
  <c r="O290" i="88" s="1"/>
  <c r="G290" i="88"/>
  <c r="G50" i="88"/>
  <c r="H289" i="88"/>
  <c r="L194" i="88"/>
  <c r="O50" i="88"/>
  <c r="C204" i="88"/>
  <c r="C131" i="88"/>
  <c r="F130" i="88"/>
  <c r="C130" i="88" s="1"/>
  <c r="K50" i="88"/>
  <c r="K290" i="88"/>
  <c r="D290" i="88"/>
  <c r="D50" i="88"/>
  <c r="F269" i="88"/>
  <c r="C270" i="88"/>
  <c r="C26" i="88"/>
  <c r="L20" i="88"/>
  <c r="C20" i="88" s="1"/>
  <c r="F53" i="88"/>
  <c r="O289" i="88"/>
  <c r="C83" i="88"/>
  <c r="M50" i="88"/>
  <c r="M290" i="88"/>
  <c r="I194" i="88"/>
  <c r="I51" i="88" s="1"/>
  <c r="I289" i="88"/>
  <c r="F173" i="88"/>
  <c r="C173" i="88" s="1"/>
  <c r="C174" i="88"/>
  <c r="F195" i="88"/>
  <c r="F230" i="88"/>
  <c r="C230" i="88" s="1"/>
  <c r="C231" i="88"/>
  <c r="J50" i="88"/>
  <c r="J290" i="88"/>
  <c r="L75" i="88"/>
  <c r="L289" i="88" s="1"/>
  <c r="C76" i="88"/>
  <c r="L52" i="88" l="1"/>
  <c r="L51" i="88" s="1"/>
  <c r="L50" i="88" s="1"/>
  <c r="I290" i="88"/>
  <c r="I50" i="88"/>
  <c r="C269" i="88"/>
  <c r="C53" i="88"/>
  <c r="F194" i="88"/>
  <c r="C194" i="88" s="1"/>
  <c r="C195" i="88"/>
  <c r="F75" i="88"/>
  <c r="C75" i="88" s="1"/>
  <c r="L290" i="88" l="1"/>
  <c r="F289" i="88"/>
  <c r="C289" i="88" s="1"/>
  <c r="F52" i="88"/>
  <c r="F51" i="88" l="1"/>
  <c r="C52" i="88"/>
  <c r="F290" i="88" l="1"/>
  <c r="C290" i="88" s="1"/>
  <c r="C51" i="88"/>
  <c r="F50" i="88"/>
  <c r="C50" i="88" s="1"/>
  <c r="H57" i="15" l="1"/>
  <c r="H68" i="15"/>
  <c r="H125" i="15"/>
  <c r="O301" i="87"/>
  <c r="L301" i="87"/>
  <c r="I301" i="87"/>
  <c r="F301" i="87"/>
  <c r="O300" i="87"/>
  <c r="L300" i="87"/>
  <c r="I300" i="87"/>
  <c r="F300" i="87"/>
  <c r="O299" i="87"/>
  <c r="L299" i="87"/>
  <c r="I299" i="87"/>
  <c r="F299" i="87"/>
  <c r="O298" i="87"/>
  <c r="L298" i="87"/>
  <c r="I298" i="87"/>
  <c r="F298" i="87"/>
  <c r="O297" i="87"/>
  <c r="L297" i="87"/>
  <c r="I297" i="87"/>
  <c r="F297" i="87"/>
  <c r="O296" i="87"/>
  <c r="L296" i="87"/>
  <c r="I296" i="87"/>
  <c r="F296" i="87"/>
  <c r="O295" i="87"/>
  <c r="L295" i="87"/>
  <c r="I295" i="87"/>
  <c r="F295" i="87"/>
  <c r="O294" i="87"/>
  <c r="L294" i="87"/>
  <c r="L293" i="87" s="1"/>
  <c r="I294" i="87"/>
  <c r="F294" i="87"/>
  <c r="N293" i="87"/>
  <c r="M293" i="87"/>
  <c r="K293" i="87"/>
  <c r="J293" i="87"/>
  <c r="H293" i="87"/>
  <c r="G293" i="87"/>
  <c r="E293" i="87"/>
  <c r="D293" i="87"/>
  <c r="O288" i="87"/>
  <c r="L288" i="87"/>
  <c r="I288" i="87"/>
  <c r="F288" i="87"/>
  <c r="O287" i="87"/>
  <c r="O286" i="87" s="1"/>
  <c r="L287" i="87"/>
  <c r="L286" i="87" s="1"/>
  <c r="I287" i="87"/>
  <c r="I286" i="87" s="1"/>
  <c r="F287" i="87"/>
  <c r="N286" i="87"/>
  <c r="M286" i="87"/>
  <c r="K286" i="87"/>
  <c r="J286" i="87"/>
  <c r="H286" i="87"/>
  <c r="G286" i="87"/>
  <c r="F286" i="87"/>
  <c r="E286" i="87"/>
  <c r="D286" i="87"/>
  <c r="O285" i="87"/>
  <c r="O284" i="87" s="1"/>
  <c r="O283" i="87" s="1"/>
  <c r="L285" i="87"/>
  <c r="L284" i="87" s="1"/>
  <c r="L283" i="87" s="1"/>
  <c r="I285" i="87"/>
  <c r="F285" i="87"/>
  <c r="N284" i="87"/>
  <c r="N283" i="87" s="1"/>
  <c r="M284" i="87"/>
  <c r="M283" i="87" s="1"/>
  <c r="K284" i="87"/>
  <c r="K283" i="87" s="1"/>
  <c r="J284" i="87"/>
  <c r="J283" i="87" s="1"/>
  <c r="H284" i="87"/>
  <c r="H283" i="87" s="1"/>
  <c r="G284" i="87"/>
  <c r="G283" i="87" s="1"/>
  <c r="F284" i="87"/>
  <c r="E284" i="87"/>
  <c r="D284" i="87"/>
  <c r="D283" i="87" s="1"/>
  <c r="E283" i="87"/>
  <c r="O282" i="87"/>
  <c r="L282" i="87"/>
  <c r="L281" i="87" s="1"/>
  <c r="I282" i="87"/>
  <c r="I281" i="87" s="1"/>
  <c r="F282" i="87"/>
  <c r="O281" i="87"/>
  <c r="N281" i="87"/>
  <c r="M281" i="87"/>
  <c r="K281" i="87"/>
  <c r="J281" i="87"/>
  <c r="H281" i="87"/>
  <c r="G281" i="87"/>
  <c r="E281" i="87"/>
  <c r="D281" i="87"/>
  <c r="O280" i="87"/>
  <c r="L280" i="87"/>
  <c r="I280" i="87"/>
  <c r="F280" i="87"/>
  <c r="O279" i="87"/>
  <c r="L279" i="87"/>
  <c r="I279" i="87"/>
  <c r="F279" i="87"/>
  <c r="O278" i="87"/>
  <c r="L278" i="87"/>
  <c r="I278" i="87"/>
  <c r="F278" i="87"/>
  <c r="O277" i="87"/>
  <c r="O276" i="87" s="1"/>
  <c r="L277" i="87"/>
  <c r="L276" i="87" s="1"/>
  <c r="I277" i="87"/>
  <c r="F277" i="87"/>
  <c r="F276" i="87" s="1"/>
  <c r="N276" i="87"/>
  <c r="M276" i="87"/>
  <c r="K276" i="87"/>
  <c r="J276" i="87"/>
  <c r="H276" i="87"/>
  <c r="G276" i="87"/>
  <c r="E276" i="87"/>
  <c r="D276" i="87"/>
  <c r="O275" i="87"/>
  <c r="L275" i="87"/>
  <c r="I275" i="87"/>
  <c r="F275" i="87"/>
  <c r="O274" i="87"/>
  <c r="L274" i="87"/>
  <c r="I274" i="87"/>
  <c r="F274" i="87"/>
  <c r="O273" i="87"/>
  <c r="L273" i="87"/>
  <c r="L272" i="87" s="1"/>
  <c r="I273" i="87"/>
  <c r="F273" i="87"/>
  <c r="O272" i="87"/>
  <c r="N272" i="87"/>
  <c r="N270" i="87" s="1"/>
  <c r="M272" i="87"/>
  <c r="M270" i="87" s="1"/>
  <c r="M269" i="87" s="1"/>
  <c r="K272" i="87"/>
  <c r="J272" i="87"/>
  <c r="H272" i="87"/>
  <c r="H270" i="87" s="1"/>
  <c r="H269" i="87" s="1"/>
  <c r="G272" i="87"/>
  <c r="G270" i="87" s="1"/>
  <c r="E272" i="87"/>
  <c r="D272" i="87"/>
  <c r="D270" i="87" s="1"/>
  <c r="O271" i="87"/>
  <c r="L271" i="87"/>
  <c r="I271" i="87"/>
  <c r="F271" i="87"/>
  <c r="K270" i="87"/>
  <c r="O268" i="87"/>
  <c r="L268" i="87"/>
  <c r="I268" i="87"/>
  <c r="F268" i="87"/>
  <c r="O267" i="87"/>
  <c r="L267" i="87"/>
  <c r="I267" i="87"/>
  <c r="F267" i="87"/>
  <c r="O266" i="87"/>
  <c r="L266" i="87"/>
  <c r="I266" i="87"/>
  <c r="F266" i="87"/>
  <c r="O265" i="87"/>
  <c r="L265" i="87"/>
  <c r="I265" i="87"/>
  <c r="I264" i="87" s="1"/>
  <c r="F265" i="87"/>
  <c r="N264" i="87"/>
  <c r="M264" i="87"/>
  <c r="K264" i="87"/>
  <c r="J264" i="87"/>
  <c r="H264" i="87"/>
  <c r="G264" i="87"/>
  <c r="E264" i="87"/>
  <c r="D264" i="87"/>
  <c r="O263" i="87"/>
  <c r="L263" i="87"/>
  <c r="I263" i="87"/>
  <c r="F263" i="87"/>
  <c r="O262" i="87"/>
  <c r="L262" i="87"/>
  <c r="I262" i="87"/>
  <c r="F262" i="87"/>
  <c r="O261" i="87"/>
  <c r="L261" i="87"/>
  <c r="I261" i="87"/>
  <c r="F261" i="87"/>
  <c r="F260" i="87" s="1"/>
  <c r="N260" i="87"/>
  <c r="M260" i="87"/>
  <c r="M259" i="87" s="1"/>
  <c r="K260" i="87"/>
  <c r="K259" i="87" s="1"/>
  <c r="J260" i="87"/>
  <c r="H260" i="87"/>
  <c r="H259" i="87" s="1"/>
  <c r="G260" i="87"/>
  <c r="G259" i="87" s="1"/>
  <c r="E260" i="87"/>
  <c r="D260" i="87"/>
  <c r="D259" i="87" s="1"/>
  <c r="O258" i="87"/>
  <c r="L258" i="87"/>
  <c r="I258" i="87"/>
  <c r="F258" i="87"/>
  <c r="O257" i="87"/>
  <c r="L257" i="87"/>
  <c r="I257" i="87"/>
  <c r="F257" i="87"/>
  <c r="O256" i="87"/>
  <c r="L256" i="87"/>
  <c r="I256" i="87"/>
  <c r="F256" i="87"/>
  <c r="O255" i="87"/>
  <c r="L255" i="87"/>
  <c r="I255" i="87"/>
  <c r="F255" i="87"/>
  <c r="O254" i="87"/>
  <c r="L254" i="87"/>
  <c r="I254" i="87"/>
  <c r="F254" i="87"/>
  <c r="O253" i="87"/>
  <c r="L253" i="87"/>
  <c r="I253" i="87"/>
  <c r="I252" i="87" s="1"/>
  <c r="I251" i="87" s="1"/>
  <c r="F253" i="87"/>
  <c r="F252" i="87" s="1"/>
  <c r="N252" i="87"/>
  <c r="N251" i="87" s="1"/>
  <c r="M252" i="87"/>
  <c r="M251" i="87" s="1"/>
  <c r="K252" i="87"/>
  <c r="J252" i="87"/>
  <c r="J251" i="87" s="1"/>
  <c r="H252" i="87"/>
  <c r="G252" i="87"/>
  <c r="E252" i="87"/>
  <c r="E251" i="87" s="1"/>
  <c r="D252" i="87"/>
  <c r="K251" i="87"/>
  <c r="H251" i="87"/>
  <c r="G251" i="87"/>
  <c r="D251" i="87"/>
  <c r="O250" i="87"/>
  <c r="L250" i="87"/>
  <c r="I250" i="87"/>
  <c r="F250" i="87"/>
  <c r="O249" i="87"/>
  <c r="L249" i="87"/>
  <c r="I249" i="87"/>
  <c r="F249" i="87"/>
  <c r="O248" i="87"/>
  <c r="L248" i="87"/>
  <c r="I248" i="87"/>
  <c r="F248" i="87"/>
  <c r="O247" i="87"/>
  <c r="O246" i="87" s="1"/>
  <c r="L247" i="87"/>
  <c r="L246" i="87" s="1"/>
  <c r="I247" i="87"/>
  <c r="F247" i="87"/>
  <c r="N246" i="87"/>
  <c r="M246" i="87"/>
  <c r="K246" i="87"/>
  <c r="J246" i="87"/>
  <c r="H246" i="87"/>
  <c r="G246" i="87"/>
  <c r="E246" i="87"/>
  <c r="D246" i="87"/>
  <c r="O245" i="87"/>
  <c r="L245" i="87"/>
  <c r="I245" i="87"/>
  <c r="F245" i="87"/>
  <c r="C245" i="87" s="1"/>
  <c r="O244" i="87"/>
  <c r="L244" i="87"/>
  <c r="I244" i="87"/>
  <c r="F244" i="87"/>
  <c r="O243" i="87"/>
  <c r="L243" i="87"/>
  <c r="I243" i="87"/>
  <c r="F243" i="87"/>
  <c r="C243" i="87" s="1"/>
  <c r="O242" i="87"/>
  <c r="L242" i="87"/>
  <c r="I242" i="87"/>
  <c r="F242" i="87"/>
  <c r="O241" i="87"/>
  <c r="L241" i="87"/>
  <c r="I241" i="87"/>
  <c r="F241" i="87"/>
  <c r="O240" i="87"/>
  <c r="L240" i="87"/>
  <c r="I240" i="87"/>
  <c r="F240" i="87"/>
  <c r="O239" i="87"/>
  <c r="O238" i="87" s="1"/>
  <c r="L239" i="87"/>
  <c r="I239" i="87"/>
  <c r="F239" i="87"/>
  <c r="N238" i="87"/>
  <c r="M238" i="87"/>
  <c r="L238" i="87"/>
  <c r="K238" i="87"/>
  <c r="J238" i="87"/>
  <c r="H238" i="87"/>
  <c r="G238" i="87"/>
  <c r="E238" i="87"/>
  <c r="D238" i="87"/>
  <c r="O237" i="87"/>
  <c r="L237" i="87"/>
  <c r="I237" i="87"/>
  <c r="F237" i="87"/>
  <c r="O236" i="87"/>
  <c r="L236" i="87"/>
  <c r="L235" i="87" s="1"/>
  <c r="I236" i="87"/>
  <c r="I235" i="87" s="1"/>
  <c r="F236" i="87"/>
  <c r="O235" i="87"/>
  <c r="N235" i="87"/>
  <c r="M235" i="87"/>
  <c r="K235" i="87"/>
  <c r="J235" i="87"/>
  <c r="H235" i="87"/>
  <c r="G235" i="87"/>
  <c r="F235" i="87"/>
  <c r="E235" i="87"/>
  <c r="D235" i="87"/>
  <c r="O234" i="87"/>
  <c r="O233" i="87" s="1"/>
  <c r="L234" i="87"/>
  <c r="L233" i="87" s="1"/>
  <c r="I234" i="87"/>
  <c r="F234" i="87"/>
  <c r="N233" i="87"/>
  <c r="M233" i="87"/>
  <c r="K233" i="87"/>
  <c r="J233" i="87"/>
  <c r="I233" i="87"/>
  <c r="H233" i="87"/>
  <c r="G233" i="87"/>
  <c r="E233" i="87"/>
  <c r="D233" i="87"/>
  <c r="D231" i="87" s="1"/>
  <c r="O232" i="87"/>
  <c r="L232" i="87"/>
  <c r="I232" i="87"/>
  <c r="F232" i="87"/>
  <c r="O229" i="87"/>
  <c r="L229" i="87"/>
  <c r="I229" i="87"/>
  <c r="F229" i="87"/>
  <c r="O228" i="87"/>
  <c r="L228" i="87"/>
  <c r="L227" i="87" s="1"/>
  <c r="I228" i="87"/>
  <c r="I227" i="87" s="1"/>
  <c r="F228" i="87"/>
  <c r="O227" i="87"/>
  <c r="N227" i="87"/>
  <c r="M227" i="87"/>
  <c r="K227" i="87"/>
  <c r="J227" i="87"/>
  <c r="H227" i="87"/>
  <c r="G227" i="87"/>
  <c r="F227" i="87"/>
  <c r="C227" i="87" s="1"/>
  <c r="E227" i="87"/>
  <c r="D227" i="87"/>
  <c r="O226" i="87"/>
  <c r="L226" i="87"/>
  <c r="I226" i="87"/>
  <c r="F226" i="87"/>
  <c r="O225" i="87"/>
  <c r="L225" i="87"/>
  <c r="I225" i="87"/>
  <c r="F225" i="87"/>
  <c r="O224" i="87"/>
  <c r="L224" i="87"/>
  <c r="I224" i="87"/>
  <c r="F224" i="87"/>
  <c r="O223" i="87"/>
  <c r="L223" i="87"/>
  <c r="I223" i="87"/>
  <c r="F223" i="87"/>
  <c r="O222" i="87"/>
  <c r="L222" i="87"/>
  <c r="I222" i="87"/>
  <c r="F222" i="87"/>
  <c r="O221" i="87"/>
  <c r="L221" i="87"/>
  <c r="I221" i="87"/>
  <c r="F221" i="87"/>
  <c r="O220" i="87"/>
  <c r="L220" i="87"/>
  <c r="I220" i="87"/>
  <c r="F220" i="87"/>
  <c r="O219" i="87"/>
  <c r="L219" i="87"/>
  <c r="I219" i="87"/>
  <c r="F219" i="87"/>
  <c r="O218" i="87"/>
  <c r="L218" i="87"/>
  <c r="I218" i="87"/>
  <c r="F218" i="87"/>
  <c r="O217" i="87"/>
  <c r="L217" i="87"/>
  <c r="I217" i="87"/>
  <c r="F217" i="87"/>
  <c r="N216" i="87"/>
  <c r="M216" i="87"/>
  <c r="K216" i="87"/>
  <c r="J216" i="87"/>
  <c r="H216" i="87"/>
  <c r="G216" i="87"/>
  <c r="E216" i="87"/>
  <c r="D216" i="87"/>
  <c r="O215" i="87"/>
  <c r="L215" i="87"/>
  <c r="I215" i="87"/>
  <c r="F215" i="87"/>
  <c r="O214" i="87"/>
  <c r="L214" i="87"/>
  <c r="I214" i="87"/>
  <c r="F214" i="87"/>
  <c r="O213" i="87"/>
  <c r="L213" i="87"/>
  <c r="I213" i="87"/>
  <c r="F213" i="87"/>
  <c r="O212" i="87"/>
  <c r="L212" i="87"/>
  <c r="I212" i="87"/>
  <c r="F212" i="87"/>
  <c r="O211" i="87"/>
  <c r="L211" i="87"/>
  <c r="I211" i="87"/>
  <c r="F211" i="87"/>
  <c r="O210" i="87"/>
  <c r="L210" i="87"/>
  <c r="I210" i="87"/>
  <c r="F210" i="87"/>
  <c r="O209" i="87"/>
  <c r="L209" i="87"/>
  <c r="I209" i="87"/>
  <c r="F209" i="87"/>
  <c r="O208" i="87"/>
  <c r="L208" i="87"/>
  <c r="I208" i="87"/>
  <c r="F208" i="87"/>
  <c r="O207" i="87"/>
  <c r="L207" i="87"/>
  <c r="I207" i="87"/>
  <c r="F207" i="87"/>
  <c r="O206" i="87"/>
  <c r="L206" i="87"/>
  <c r="I206" i="87"/>
  <c r="F206" i="87"/>
  <c r="N205" i="87"/>
  <c r="M205" i="87"/>
  <c r="K205" i="87"/>
  <c r="J205" i="87"/>
  <c r="J204" i="87" s="1"/>
  <c r="H205" i="87"/>
  <c r="H204" i="87" s="1"/>
  <c r="G205" i="87"/>
  <c r="E205" i="87"/>
  <c r="D205" i="87"/>
  <c r="O203" i="87"/>
  <c r="L203" i="87"/>
  <c r="I203" i="87"/>
  <c r="F203" i="87"/>
  <c r="O202" i="87"/>
  <c r="L202" i="87"/>
  <c r="I202" i="87"/>
  <c r="F202" i="87"/>
  <c r="O201" i="87"/>
  <c r="L201" i="87"/>
  <c r="I201" i="87"/>
  <c r="F201" i="87"/>
  <c r="O200" i="87"/>
  <c r="L200" i="87"/>
  <c r="I200" i="87"/>
  <c r="F200" i="87"/>
  <c r="O199" i="87"/>
  <c r="L199" i="87"/>
  <c r="I199" i="87"/>
  <c r="F199" i="87"/>
  <c r="O198" i="87"/>
  <c r="N198" i="87"/>
  <c r="M198" i="87"/>
  <c r="M196" i="87" s="1"/>
  <c r="K198" i="87"/>
  <c r="K196" i="87" s="1"/>
  <c r="J198" i="87"/>
  <c r="H198" i="87"/>
  <c r="H196" i="87" s="1"/>
  <c r="G198" i="87"/>
  <c r="G196" i="87" s="1"/>
  <c r="F198" i="87"/>
  <c r="E198" i="87"/>
  <c r="D198" i="87"/>
  <c r="D196" i="87" s="1"/>
  <c r="O197" i="87"/>
  <c r="L197" i="87"/>
  <c r="I197" i="87"/>
  <c r="F197" i="87"/>
  <c r="N196" i="87"/>
  <c r="J196" i="87"/>
  <c r="E196" i="87"/>
  <c r="O193" i="87"/>
  <c r="L193" i="87"/>
  <c r="L192" i="87" s="1"/>
  <c r="L191" i="87" s="1"/>
  <c r="I193" i="87"/>
  <c r="F193" i="87"/>
  <c r="O192" i="87"/>
  <c r="O191" i="87" s="1"/>
  <c r="N192" i="87"/>
  <c r="N191" i="87" s="1"/>
  <c r="M192" i="87"/>
  <c r="M191" i="87" s="1"/>
  <c r="K192" i="87"/>
  <c r="J192" i="87"/>
  <c r="J191" i="87" s="1"/>
  <c r="I192" i="87"/>
  <c r="I191" i="87" s="1"/>
  <c r="H192" i="87"/>
  <c r="G192" i="87"/>
  <c r="F192" i="87"/>
  <c r="E192" i="87"/>
  <c r="E191" i="87" s="1"/>
  <c r="D192" i="87"/>
  <c r="D191" i="87" s="1"/>
  <c r="K191" i="87"/>
  <c r="H191" i="87"/>
  <c r="G191" i="87"/>
  <c r="O190" i="87"/>
  <c r="L190" i="87"/>
  <c r="I190" i="87"/>
  <c r="F190" i="87"/>
  <c r="O189" i="87"/>
  <c r="L189" i="87"/>
  <c r="L188" i="87" s="1"/>
  <c r="I189" i="87"/>
  <c r="F189" i="87"/>
  <c r="F188" i="87" s="1"/>
  <c r="N188" i="87"/>
  <c r="M188" i="87"/>
  <c r="K188" i="87"/>
  <c r="J188" i="87"/>
  <c r="H188" i="87"/>
  <c r="H187" i="87" s="1"/>
  <c r="G188" i="87"/>
  <c r="E188" i="87"/>
  <c r="D188" i="87"/>
  <c r="O186" i="87"/>
  <c r="L186" i="87"/>
  <c r="I186" i="87"/>
  <c r="F186" i="87"/>
  <c r="O185" i="87"/>
  <c r="L185" i="87"/>
  <c r="L184" i="87" s="1"/>
  <c r="I185" i="87"/>
  <c r="F185" i="87"/>
  <c r="F184" i="87" s="1"/>
  <c r="O184" i="87"/>
  <c r="N184" i="87"/>
  <c r="M184" i="87"/>
  <c r="K184" i="87"/>
  <c r="J184" i="87"/>
  <c r="I184" i="87"/>
  <c r="H184" i="87"/>
  <c r="G184" i="87"/>
  <c r="E184" i="87"/>
  <c r="D184" i="87"/>
  <c r="O183" i="87"/>
  <c r="L183" i="87"/>
  <c r="I183" i="87"/>
  <c r="F183" i="87"/>
  <c r="O182" i="87"/>
  <c r="L182" i="87"/>
  <c r="I182" i="87"/>
  <c r="F182" i="87"/>
  <c r="O181" i="87"/>
  <c r="L181" i="87"/>
  <c r="I181" i="87"/>
  <c r="F181" i="87"/>
  <c r="O180" i="87"/>
  <c r="L180" i="87"/>
  <c r="I180" i="87"/>
  <c r="F180" i="87"/>
  <c r="N179" i="87"/>
  <c r="M179" i="87"/>
  <c r="K179" i="87"/>
  <c r="J179" i="87"/>
  <c r="H179" i="87"/>
  <c r="G179" i="87"/>
  <c r="E179" i="87"/>
  <c r="D179" i="87"/>
  <c r="O178" i="87"/>
  <c r="L178" i="87"/>
  <c r="I178" i="87"/>
  <c r="F178" i="87"/>
  <c r="O177" i="87"/>
  <c r="L177" i="87"/>
  <c r="I177" i="87"/>
  <c r="F177" i="87"/>
  <c r="O176" i="87"/>
  <c r="O175" i="87" s="1"/>
  <c r="L176" i="87"/>
  <c r="L175" i="87" s="1"/>
  <c r="I176" i="87"/>
  <c r="F176" i="87"/>
  <c r="N175" i="87"/>
  <c r="M175" i="87"/>
  <c r="K175" i="87"/>
  <c r="J175" i="87"/>
  <c r="H175" i="87"/>
  <c r="G175" i="87"/>
  <c r="F175" i="87"/>
  <c r="E175" i="87"/>
  <c r="D175" i="87"/>
  <c r="K174" i="87"/>
  <c r="K173" i="87" s="1"/>
  <c r="E174" i="87"/>
  <c r="O172" i="87"/>
  <c r="L172" i="87"/>
  <c r="I172" i="87"/>
  <c r="F172" i="87"/>
  <c r="O171" i="87"/>
  <c r="L171" i="87"/>
  <c r="I171" i="87"/>
  <c r="F171" i="87"/>
  <c r="O170" i="87"/>
  <c r="L170" i="87"/>
  <c r="I170" i="87"/>
  <c r="F170" i="87"/>
  <c r="O169" i="87"/>
  <c r="L169" i="87"/>
  <c r="I169" i="87"/>
  <c r="F169" i="87"/>
  <c r="O168" i="87"/>
  <c r="L168" i="87"/>
  <c r="I168" i="87"/>
  <c r="F168" i="87"/>
  <c r="O167" i="87"/>
  <c r="O166" i="87" s="1"/>
  <c r="L167" i="87"/>
  <c r="I167" i="87"/>
  <c r="F167" i="87"/>
  <c r="N166" i="87"/>
  <c r="M166" i="87"/>
  <c r="M165" i="87" s="1"/>
  <c r="K166" i="87"/>
  <c r="K165" i="87" s="1"/>
  <c r="J166" i="87"/>
  <c r="J165" i="87" s="1"/>
  <c r="H166" i="87"/>
  <c r="H165" i="87" s="1"/>
  <c r="G166" i="87"/>
  <c r="G165" i="87" s="1"/>
  <c r="E166" i="87"/>
  <c r="E165" i="87" s="1"/>
  <c r="D166" i="87"/>
  <c r="D165" i="87" s="1"/>
  <c r="N165" i="87"/>
  <c r="O164" i="87"/>
  <c r="L164" i="87"/>
  <c r="I164" i="87"/>
  <c r="F164" i="87"/>
  <c r="O163" i="87"/>
  <c r="L163" i="87"/>
  <c r="I163" i="87"/>
  <c r="F163" i="87"/>
  <c r="O162" i="87"/>
  <c r="L162" i="87"/>
  <c r="I162" i="87"/>
  <c r="F162" i="87"/>
  <c r="O161" i="87"/>
  <c r="L161" i="87"/>
  <c r="I161" i="87"/>
  <c r="I160" i="87" s="1"/>
  <c r="F161" i="87"/>
  <c r="O160" i="87"/>
  <c r="N160" i="87"/>
  <c r="M160" i="87"/>
  <c r="K160" i="87"/>
  <c r="J160" i="87"/>
  <c r="H160" i="87"/>
  <c r="G160" i="87"/>
  <c r="E160" i="87"/>
  <c r="D160" i="87"/>
  <c r="O159" i="87"/>
  <c r="L159" i="87"/>
  <c r="C159" i="87" s="1"/>
  <c r="I159" i="87"/>
  <c r="F159" i="87"/>
  <c r="O158" i="87"/>
  <c r="L158" i="87"/>
  <c r="I158" i="87"/>
  <c r="F158" i="87"/>
  <c r="C158" i="87" s="1"/>
  <c r="O157" i="87"/>
  <c r="L157" i="87"/>
  <c r="I157" i="87"/>
  <c r="F157" i="87"/>
  <c r="O156" i="87"/>
  <c r="L156" i="87"/>
  <c r="I156" i="87"/>
  <c r="F156" i="87"/>
  <c r="O155" i="87"/>
  <c r="L155" i="87"/>
  <c r="I155" i="87"/>
  <c r="F155" i="87"/>
  <c r="O154" i="87"/>
  <c r="L154" i="87"/>
  <c r="I154" i="87"/>
  <c r="F154" i="87"/>
  <c r="C154" i="87" s="1"/>
  <c r="O153" i="87"/>
  <c r="L153" i="87"/>
  <c r="I153" i="87"/>
  <c r="F153" i="87"/>
  <c r="O152" i="87"/>
  <c r="L152" i="87"/>
  <c r="I152" i="87"/>
  <c r="F152" i="87"/>
  <c r="N151" i="87"/>
  <c r="M151" i="87"/>
  <c r="K151" i="87"/>
  <c r="J151" i="87"/>
  <c r="H151" i="87"/>
  <c r="G151" i="87"/>
  <c r="E151" i="87"/>
  <c r="D151" i="87"/>
  <c r="O150" i="87"/>
  <c r="L150" i="87"/>
  <c r="I150" i="87"/>
  <c r="F150" i="87"/>
  <c r="O149" i="87"/>
  <c r="L149" i="87"/>
  <c r="I149" i="87"/>
  <c r="F149" i="87"/>
  <c r="O148" i="87"/>
  <c r="L148" i="87"/>
  <c r="I148" i="87"/>
  <c r="F148" i="87"/>
  <c r="O147" i="87"/>
  <c r="L147" i="87"/>
  <c r="I147" i="87"/>
  <c r="F147" i="87"/>
  <c r="O146" i="87"/>
  <c r="L146" i="87"/>
  <c r="I146" i="87"/>
  <c r="F146" i="87"/>
  <c r="O145" i="87"/>
  <c r="L145" i="87"/>
  <c r="L144" i="87" s="1"/>
  <c r="I145" i="87"/>
  <c r="F145" i="87"/>
  <c r="N144" i="87"/>
  <c r="M144" i="87"/>
  <c r="K144" i="87"/>
  <c r="J144" i="87"/>
  <c r="H144" i="87"/>
  <c r="G144" i="87"/>
  <c r="E144" i="87"/>
  <c r="D144" i="87"/>
  <c r="O143" i="87"/>
  <c r="L143" i="87"/>
  <c r="I143" i="87"/>
  <c r="F143" i="87"/>
  <c r="O142" i="87"/>
  <c r="O141" i="87" s="1"/>
  <c r="L142" i="87"/>
  <c r="I142" i="87"/>
  <c r="F142" i="87"/>
  <c r="N141" i="87"/>
  <c r="M141" i="87"/>
  <c r="K141" i="87"/>
  <c r="J141" i="87"/>
  <c r="I141" i="87"/>
  <c r="H141" i="87"/>
  <c r="G141" i="87"/>
  <c r="F141" i="87"/>
  <c r="E141" i="87"/>
  <c r="D141" i="87"/>
  <c r="O140" i="87"/>
  <c r="L140" i="87"/>
  <c r="I140" i="87"/>
  <c r="F140" i="87"/>
  <c r="O139" i="87"/>
  <c r="L139" i="87"/>
  <c r="I139" i="87"/>
  <c r="F139" i="87"/>
  <c r="O138" i="87"/>
  <c r="L138" i="87"/>
  <c r="I138" i="87"/>
  <c r="F138" i="87"/>
  <c r="O137" i="87"/>
  <c r="L137" i="87"/>
  <c r="L136" i="87" s="1"/>
  <c r="I137" i="87"/>
  <c r="F137" i="87"/>
  <c r="N136" i="87"/>
  <c r="M136" i="87"/>
  <c r="K136" i="87"/>
  <c r="J136" i="87"/>
  <c r="H136" i="87"/>
  <c r="G136" i="87"/>
  <c r="E136" i="87"/>
  <c r="D136" i="87"/>
  <c r="O135" i="87"/>
  <c r="L135" i="87"/>
  <c r="C135" i="87" s="1"/>
  <c r="I135" i="87"/>
  <c r="F135" i="87"/>
  <c r="O134" i="87"/>
  <c r="L134" i="87"/>
  <c r="I134" i="87"/>
  <c r="F134" i="87"/>
  <c r="O133" i="87"/>
  <c r="L133" i="87"/>
  <c r="I133" i="87"/>
  <c r="F133" i="87"/>
  <c r="O132" i="87"/>
  <c r="O131" i="87" s="1"/>
  <c r="L132" i="87"/>
  <c r="I132" i="87"/>
  <c r="F132" i="87"/>
  <c r="N131" i="87"/>
  <c r="M131" i="87"/>
  <c r="K131" i="87"/>
  <c r="J131" i="87"/>
  <c r="H131" i="87"/>
  <c r="G131" i="87"/>
  <c r="E131" i="87"/>
  <c r="D131" i="87"/>
  <c r="O129" i="87"/>
  <c r="O128" i="87" s="1"/>
  <c r="L129" i="87"/>
  <c r="L128" i="87" s="1"/>
  <c r="I129" i="87"/>
  <c r="I128" i="87" s="1"/>
  <c r="F129" i="87"/>
  <c r="N128" i="87"/>
  <c r="M128" i="87"/>
  <c r="K128" i="87"/>
  <c r="J128" i="87"/>
  <c r="H128" i="87"/>
  <c r="G128" i="87"/>
  <c r="F128" i="87"/>
  <c r="E128" i="87"/>
  <c r="D128" i="87"/>
  <c r="O127" i="87"/>
  <c r="L127" i="87"/>
  <c r="I127" i="87"/>
  <c r="F127" i="87"/>
  <c r="O126" i="87"/>
  <c r="L126" i="87"/>
  <c r="I126" i="87"/>
  <c r="F126" i="87"/>
  <c r="O125" i="87"/>
  <c r="L125" i="87"/>
  <c r="I125" i="87"/>
  <c r="F125" i="87"/>
  <c r="O124" i="87"/>
  <c r="L124" i="87"/>
  <c r="I124" i="87"/>
  <c r="F124" i="87"/>
  <c r="O123" i="87"/>
  <c r="L123" i="87"/>
  <c r="I123" i="87"/>
  <c r="F123" i="87"/>
  <c r="O122" i="87"/>
  <c r="N122" i="87"/>
  <c r="M122" i="87"/>
  <c r="K122" i="87"/>
  <c r="J122" i="87"/>
  <c r="H122" i="87"/>
  <c r="G122" i="87"/>
  <c r="E122" i="87"/>
  <c r="D122" i="87"/>
  <c r="O121" i="87"/>
  <c r="L121" i="87"/>
  <c r="I121" i="87"/>
  <c r="F121" i="87"/>
  <c r="O120" i="87"/>
  <c r="L120" i="87"/>
  <c r="I120" i="87"/>
  <c r="F120" i="87"/>
  <c r="O119" i="87"/>
  <c r="L119" i="87"/>
  <c r="I119" i="87"/>
  <c r="F119" i="87"/>
  <c r="O118" i="87"/>
  <c r="L118" i="87"/>
  <c r="I118" i="87"/>
  <c r="F118" i="87"/>
  <c r="C118" i="87" s="1"/>
  <c r="O117" i="87"/>
  <c r="L117" i="87"/>
  <c r="I117" i="87"/>
  <c r="F117" i="87"/>
  <c r="C117" i="87" s="1"/>
  <c r="N116" i="87"/>
  <c r="M116" i="87"/>
  <c r="K116" i="87"/>
  <c r="J116" i="87"/>
  <c r="H116" i="87"/>
  <c r="G116" i="87"/>
  <c r="E116" i="87"/>
  <c r="D116" i="87"/>
  <c r="O115" i="87"/>
  <c r="L115" i="87"/>
  <c r="I115" i="87"/>
  <c r="F115" i="87"/>
  <c r="O114" i="87"/>
  <c r="L114" i="87"/>
  <c r="I114" i="87"/>
  <c r="F114" i="87"/>
  <c r="C114" i="87" s="1"/>
  <c r="O113" i="87"/>
  <c r="L113" i="87"/>
  <c r="I113" i="87"/>
  <c r="F113" i="87"/>
  <c r="F112" i="87" s="1"/>
  <c r="N112" i="87"/>
  <c r="M112" i="87"/>
  <c r="K112" i="87"/>
  <c r="J112" i="87"/>
  <c r="H112" i="87"/>
  <c r="G112" i="87"/>
  <c r="E112" i="87"/>
  <c r="D112" i="87"/>
  <c r="O111" i="87"/>
  <c r="L111" i="87"/>
  <c r="I111" i="87"/>
  <c r="F111" i="87"/>
  <c r="O110" i="87"/>
  <c r="L110" i="87"/>
  <c r="I110" i="87"/>
  <c r="F110" i="87"/>
  <c r="O109" i="87"/>
  <c r="L109" i="87"/>
  <c r="I109" i="87"/>
  <c r="F109" i="87"/>
  <c r="O108" i="87"/>
  <c r="L108" i="87"/>
  <c r="I108" i="87"/>
  <c r="F108" i="87"/>
  <c r="O107" i="87"/>
  <c r="L107" i="87"/>
  <c r="I107" i="87"/>
  <c r="F107" i="87"/>
  <c r="O106" i="87"/>
  <c r="L106" i="87"/>
  <c r="I106" i="87"/>
  <c r="F106" i="87"/>
  <c r="O105" i="87"/>
  <c r="L105" i="87"/>
  <c r="I105" i="87"/>
  <c r="F105" i="87"/>
  <c r="O104" i="87"/>
  <c r="L104" i="87"/>
  <c r="L103" i="87" s="1"/>
  <c r="I104" i="87"/>
  <c r="F104" i="87"/>
  <c r="N103" i="87"/>
  <c r="M103" i="87"/>
  <c r="K103" i="87"/>
  <c r="J103" i="87"/>
  <c r="H103" i="87"/>
  <c r="G103" i="87"/>
  <c r="E103" i="87"/>
  <c r="D103" i="87"/>
  <c r="O102" i="87"/>
  <c r="L102" i="87"/>
  <c r="I102" i="87"/>
  <c r="C102" i="87" s="1"/>
  <c r="F102" i="87"/>
  <c r="O101" i="87"/>
  <c r="L101" i="87"/>
  <c r="I101" i="87"/>
  <c r="F101" i="87"/>
  <c r="O100" i="87"/>
  <c r="L100" i="87"/>
  <c r="I100" i="87"/>
  <c r="F100" i="87"/>
  <c r="O99" i="87"/>
  <c r="L99" i="87"/>
  <c r="I99" i="87"/>
  <c r="F99" i="87"/>
  <c r="O98" i="87"/>
  <c r="L98" i="87"/>
  <c r="I98" i="87"/>
  <c r="F98" i="87"/>
  <c r="O97" i="87"/>
  <c r="L97" i="87"/>
  <c r="I97" i="87"/>
  <c r="F97" i="87"/>
  <c r="O96" i="87"/>
  <c r="L96" i="87"/>
  <c r="I96" i="87"/>
  <c r="F96" i="87"/>
  <c r="N95" i="87"/>
  <c r="M95" i="87"/>
  <c r="K95" i="87"/>
  <c r="J95" i="87"/>
  <c r="H95" i="87"/>
  <c r="G95" i="87"/>
  <c r="F95" i="87"/>
  <c r="E95" i="87"/>
  <c r="D95" i="87"/>
  <c r="O94" i="87"/>
  <c r="L94" i="87"/>
  <c r="I94" i="87"/>
  <c r="F94" i="87"/>
  <c r="C94" i="87" s="1"/>
  <c r="O93" i="87"/>
  <c r="L93" i="87"/>
  <c r="I93" i="87"/>
  <c r="F93" i="87"/>
  <c r="O92" i="87"/>
  <c r="L92" i="87"/>
  <c r="I92" i="87"/>
  <c r="F92" i="87"/>
  <c r="O91" i="87"/>
  <c r="L91" i="87"/>
  <c r="I91" i="87"/>
  <c r="F91" i="87"/>
  <c r="O90" i="87"/>
  <c r="L90" i="87"/>
  <c r="I90" i="87"/>
  <c r="F90" i="87"/>
  <c r="N89" i="87"/>
  <c r="M89" i="87"/>
  <c r="K89" i="87"/>
  <c r="J89" i="87"/>
  <c r="I89" i="87"/>
  <c r="H89" i="87"/>
  <c r="G89" i="87"/>
  <c r="E89" i="87"/>
  <c r="D89" i="87"/>
  <c r="O88" i="87"/>
  <c r="L88" i="87"/>
  <c r="I88" i="87"/>
  <c r="F88" i="87"/>
  <c r="O87" i="87"/>
  <c r="L87" i="87"/>
  <c r="I87" i="87"/>
  <c r="F87" i="87"/>
  <c r="O86" i="87"/>
  <c r="L86" i="87"/>
  <c r="I86" i="87"/>
  <c r="F86" i="87"/>
  <c r="O85" i="87"/>
  <c r="L85" i="87"/>
  <c r="I85" i="87"/>
  <c r="I84" i="87" s="1"/>
  <c r="F85" i="87"/>
  <c r="N84" i="87"/>
  <c r="M84" i="87"/>
  <c r="K84" i="87"/>
  <c r="J84" i="87"/>
  <c r="H84" i="87"/>
  <c r="G84" i="87"/>
  <c r="F84" i="87"/>
  <c r="E84" i="87"/>
  <c r="D84" i="87"/>
  <c r="O82" i="87"/>
  <c r="L82" i="87"/>
  <c r="C82" i="87" s="1"/>
  <c r="I82" i="87"/>
  <c r="F82" i="87"/>
  <c r="O81" i="87"/>
  <c r="L81" i="87"/>
  <c r="I81" i="87"/>
  <c r="I80" i="87" s="1"/>
  <c r="F81" i="87"/>
  <c r="N80" i="87"/>
  <c r="M80" i="87"/>
  <c r="K80" i="87"/>
  <c r="J80" i="87"/>
  <c r="H80" i="87"/>
  <c r="G80" i="87"/>
  <c r="F80" i="87"/>
  <c r="E80" i="87"/>
  <c r="D80" i="87"/>
  <c r="O79" i="87"/>
  <c r="L79" i="87"/>
  <c r="I79" i="87"/>
  <c r="F79" i="87"/>
  <c r="O78" i="87"/>
  <c r="O77" i="87" s="1"/>
  <c r="L78" i="87"/>
  <c r="I78" i="87"/>
  <c r="F78" i="87"/>
  <c r="F77" i="87" s="1"/>
  <c r="N77" i="87"/>
  <c r="M77" i="87"/>
  <c r="K77" i="87"/>
  <c r="K76" i="87" s="1"/>
  <c r="J77" i="87"/>
  <c r="I77" i="87"/>
  <c r="H77" i="87"/>
  <c r="G77" i="87"/>
  <c r="E77" i="87"/>
  <c r="D77" i="87"/>
  <c r="E76" i="87"/>
  <c r="O74" i="87"/>
  <c r="L74" i="87"/>
  <c r="I74" i="87"/>
  <c r="F74" i="87"/>
  <c r="O73" i="87"/>
  <c r="L73" i="87"/>
  <c r="I73" i="87"/>
  <c r="F73" i="87"/>
  <c r="O72" i="87"/>
  <c r="L72" i="87"/>
  <c r="I72" i="87"/>
  <c r="F72" i="87"/>
  <c r="O71" i="87"/>
  <c r="L71" i="87"/>
  <c r="I71" i="87"/>
  <c r="F71" i="87"/>
  <c r="O70" i="87"/>
  <c r="L70" i="87"/>
  <c r="I70" i="87"/>
  <c r="F70" i="87"/>
  <c r="F69" i="87" s="1"/>
  <c r="N69" i="87"/>
  <c r="N67" i="87" s="1"/>
  <c r="M69" i="87"/>
  <c r="M67" i="87" s="1"/>
  <c r="K69" i="87"/>
  <c r="J69" i="87"/>
  <c r="J67" i="87" s="1"/>
  <c r="I69" i="87"/>
  <c r="H69" i="87"/>
  <c r="G69" i="87"/>
  <c r="E69" i="87"/>
  <c r="E67" i="87" s="1"/>
  <c r="D69" i="87"/>
  <c r="D67" i="87" s="1"/>
  <c r="O68" i="87"/>
  <c r="L68" i="87"/>
  <c r="H68" i="87"/>
  <c r="I68" i="87" s="1"/>
  <c r="F68" i="87"/>
  <c r="K67" i="87"/>
  <c r="G67" i="87"/>
  <c r="O66" i="87"/>
  <c r="L66" i="87"/>
  <c r="I66" i="87"/>
  <c r="F66" i="87"/>
  <c r="O65" i="87"/>
  <c r="L65" i="87"/>
  <c r="I65" i="87"/>
  <c r="F65" i="87"/>
  <c r="O64" i="87"/>
  <c r="L64" i="87"/>
  <c r="I64" i="87"/>
  <c r="F64" i="87"/>
  <c r="O63" i="87"/>
  <c r="L63" i="87"/>
  <c r="I63" i="87"/>
  <c r="F63" i="87"/>
  <c r="O62" i="87"/>
  <c r="L62" i="87"/>
  <c r="I62" i="87"/>
  <c r="F62" i="87"/>
  <c r="O61" i="87"/>
  <c r="L61" i="87"/>
  <c r="I61" i="87"/>
  <c r="F61" i="87"/>
  <c r="O60" i="87"/>
  <c r="L60" i="87"/>
  <c r="I60" i="87"/>
  <c r="F60" i="87"/>
  <c r="O59" i="87"/>
  <c r="L59" i="87"/>
  <c r="I59" i="87"/>
  <c r="F59" i="87"/>
  <c r="N58" i="87"/>
  <c r="M58" i="87"/>
  <c r="K58" i="87"/>
  <c r="J58" i="87"/>
  <c r="H58" i="87"/>
  <c r="G58" i="87"/>
  <c r="E58" i="87"/>
  <c r="D58" i="87"/>
  <c r="O57" i="87"/>
  <c r="L57" i="87"/>
  <c r="H57" i="87"/>
  <c r="I57" i="87" s="1"/>
  <c r="F57" i="87"/>
  <c r="O56" i="87"/>
  <c r="O55" i="87" s="1"/>
  <c r="L56" i="87"/>
  <c r="I56" i="87"/>
  <c r="F56" i="87"/>
  <c r="F55" i="87" s="1"/>
  <c r="N55" i="87"/>
  <c r="N54" i="87" s="1"/>
  <c r="N53" i="87" s="1"/>
  <c r="M55" i="87"/>
  <c r="K55" i="87"/>
  <c r="J55" i="87"/>
  <c r="H55" i="87"/>
  <c r="H54" i="87" s="1"/>
  <c r="G55" i="87"/>
  <c r="G54" i="87" s="1"/>
  <c r="G53" i="87" s="1"/>
  <c r="E55" i="87"/>
  <c r="D55" i="87"/>
  <c r="D54" i="87" s="1"/>
  <c r="M54" i="87"/>
  <c r="M53" i="87" s="1"/>
  <c r="J54" i="87"/>
  <c r="J53" i="87" s="1"/>
  <c r="O47" i="87"/>
  <c r="C47" i="87" s="1"/>
  <c r="O46" i="87"/>
  <c r="C46" i="87" s="1"/>
  <c r="N45" i="87"/>
  <c r="M45" i="87"/>
  <c r="L44" i="87"/>
  <c r="L43" i="87" s="1"/>
  <c r="I44" i="87"/>
  <c r="F44" i="87"/>
  <c r="F43" i="87" s="1"/>
  <c r="K43" i="87"/>
  <c r="J43" i="87"/>
  <c r="H43" i="87"/>
  <c r="G43" i="87"/>
  <c r="E43" i="87"/>
  <c r="D43" i="87"/>
  <c r="F42" i="87"/>
  <c r="C42" i="87" s="1"/>
  <c r="E41" i="87"/>
  <c r="D41" i="87"/>
  <c r="L40" i="87"/>
  <c r="C40" i="87"/>
  <c r="L39" i="87"/>
  <c r="C39" i="87" s="1"/>
  <c r="L38" i="87"/>
  <c r="C38" i="87"/>
  <c r="L37" i="87"/>
  <c r="C37" i="87" s="1"/>
  <c r="K36" i="87"/>
  <c r="J36" i="87"/>
  <c r="L35" i="87"/>
  <c r="C35" i="87" s="1"/>
  <c r="L34" i="87"/>
  <c r="C34" i="87" s="1"/>
  <c r="K33" i="87"/>
  <c r="J33" i="87"/>
  <c r="L32" i="87"/>
  <c r="L31" i="87" s="1"/>
  <c r="C31" i="87" s="1"/>
  <c r="K31" i="87"/>
  <c r="J31" i="87"/>
  <c r="L30" i="87"/>
  <c r="C30" i="87" s="1"/>
  <c r="L29" i="87"/>
  <c r="C29" i="87" s="1"/>
  <c r="L28" i="87"/>
  <c r="C28" i="87" s="1"/>
  <c r="K27" i="87"/>
  <c r="K26" i="87" s="1"/>
  <c r="J27" i="87"/>
  <c r="F25" i="87"/>
  <c r="C25" i="87" s="1"/>
  <c r="H24" i="87"/>
  <c r="I24" i="87" s="1"/>
  <c r="F24" i="87"/>
  <c r="O23" i="87"/>
  <c r="L23" i="87"/>
  <c r="I23" i="87"/>
  <c r="F23" i="87"/>
  <c r="O22" i="87"/>
  <c r="O21" i="87" s="1"/>
  <c r="L22" i="87"/>
  <c r="L21" i="87" s="1"/>
  <c r="I22" i="87"/>
  <c r="I21" i="87" s="1"/>
  <c r="F22" i="87"/>
  <c r="N21" i="87"/>
  <c r="M21" i="87"/>
  <c r="M292" i="87" s="1"/>
  <c r="K21" i="87"/>
  <c r="J21" i="87"/>
  <c r="H21" i="87"/>
  <c r="H292" i="87" s="1"/>
  <c r="G21" i="87"/>
  <c r="G292" i="87" s="1"/>
  <c r="E21" i="87"/>
  <c r="E292" i="87" s="1"/>
  <c r="E291" i="87" s="1"/>
  <c r="D21" i="87"/>
  <c r="D292" i="87" s="1"/>
  <c r="D291" i="87" s="1"/>
  <c r="N187" i="87" l="1"/>
  <c r="C287" i="87"/>
  <c r="L292" i="87"/>
  <c r="O116" i="87"/>
  <c r="K231" i="87"/>
  <c r="C255" i="87"/>
  <c r="G187" i="87"/>
  <c r="C206" i="87"/>
  <c r="C214" i="87"/>
  <c r="C218" i="87"/>
  <c r="C222" i="87"/>
  <c r="C225" i="87"/>
  <c r="C226" i="87"/>
  <c r="L27" i="87"/>
  <c r="C27" i="87" s="1"/>
  <c r="C74" i="87"/>
  <c r="I116" i="87"/>
  <c r="C176" i="87"/>
  <c r="J195" i="87"/>
  <c r="G204" i="87"/>
  <c r="G195" i="87" s="1"/>
  <c r="L36" i="87"/>
  <c r="C36" i="87" s="1"/>
  <c r="C64" i="87"/>
  <c r="M76" i="87"/>
  <c r="C86" i="87"/>
  <c r="G130" i="87"/>
  <c r="C279" i="87"/>
  <c r="M174" i="87"/>
  <c r="M173" i="87" s="1"/>
  <c r="C183" i="87"/>
  <c r="E270" i="87"/>
  <c r="C123" i="87"/>
  <c r="C132" i="87"/>
  <c r="D187" i="87"/>
  <c r="C190" i="87"/>
  <c r="C254" i="87"/>
  <c r="D230" i="87"/>
  <c r="M20" i="87"/>
  <c r="H291" i="87"/>
  <c r="N20" i="87"/>
  <c r="O45" i="87"/>
  <c r="D53" i="87"/>
  <c r="H67" i="87"/>
  <c r="C73" i="87"/>
  <c r="N76" i="87"/>
  <c r="C90" i="87"/>
  <c r="C93" i="87"/>
  <c r="C99" i="87"/>
  <c r="D130" i="87"/>
  <c r="C147" i="87"/>
  <c r="C150" i="87"/>
  <c r="K130" i="87"/>
  <c r="K187" i="87"/>
  <c r="C210" i="87"/>
  <c r="I216" i="87"/>
  <c r="C239" i="87"/>
  <c r="C240" i="87"/>
  <c r="C267" i="87"/>
  <c r="N269" i="87"/>
  <c r="C295" i="87"/>
  <c r="C299" i="87"/>
  <c r="C300" i="87"/>
  <c r="J83" i="87"/>
  <c r="C24" i="87"/>
  <c r="F41" i="87"/>
  <c r="C41" i="87" s="1"/>
  <c r="E20" i="87"/>
  <c r="C59" i="87"/>
  <c r="C63" i="87"/>
  <c r="G76" i="87"/>
  <c r="C87" i="87"/>
  <c r="O103" i="87"/>
  <c r="C126" i="87"/>
  <c r="C134" i="87"/>
  <c r="C162" i="87"/>
  <c r="C171" i="87"/>
  <c r="C172" i="87"/>
  <c r="G174" i="87"/>
  <c r="G173" i="87" s="1"/>
  <c r="J231" i="87"/>
  <c r="C235" i="87"/>
  <c r="C263" i="87"/>
  <c r="C271" i="87"/>
  <c r="D269" i="87"/>
  <c r="J270" i="87"/>
  <c r="J269" i="87" s="1"/>
  <c r="C297" i="87"/>
  <c r="J187" i="87"/>
  <c r="L33" i="87"/>
  <c r="C33" i="87" s="1"/>
  <c r="L55" i="87"/>
  <c r="C57" i="87"/>
  <c r="E54" i="87"/>
  <c r="E53" i="87" s="1"/>
  <c r="K54" i="87"/>
  <c r="C68" i="87"/>
  <c r="E83" i="87"/>
  <c r="N83" i="87"/>
  <c r="C106" i="87"/>
  <c r="C109" i="87"/>
  <c r="O112" i="87"/>
  <c r="C139" i="87"/>
  <c r="C182" i="87"/>
  <c r="L187" i="87"/>
  <c r="C203" i="87"/>
  <c r="M231" i="87"/>
  <c r="N231" i="87"/>
  <c r="C275" i="87"/>
  <c r="L270" i="87"/>
  <c r="L269" i="87" s="1"/>
  <c r="K292" i="87"/>
  <c r="K291" i="87" s="1"/>
  <c r="C22" i="87"/>
  <c r="J26" i="87"/>
  <c r="C56" i="87"/>
  <c r="C61" i="87"/>
  <c r="C66" i="87"/>
  <c r="H76" i="87"/>
  <c r="J76" i="87"/>
  <c r="C81" i="87"/>
  <c r="O80" i="87"/>
  <c r="C85" i="87"/>
  <c r="O84" i="87"/>
  <c r="C92" i="87"/>
  <c r="O95" i="87"/>
  <c r="C108" i="87"/>
  <c r="C115" i="87"/>
  <c r="F116" i="87"/>
  <c r="C121" i="87"/>
  <c r="C127" i="87"/>
  <c r="C140" i="87"/>
  <c r="I144" i="87"/>
  <c r="C148" i="87"/>
  <c r="L160" i="87"/>
  <c r="C164" i="87"/>
  <c r="C170" i="87"/>
  <c r="D174" i="87"/>
  <c r="D173" i="87" s="1"/>
  <c r="O179" i="87"/>
  <c r="H195" i="87"/>
  <c r="D204" i="87"/>
  <c r="D195" i="87" s="1"/>
  <c r="D194" i="87" s="1"/>
  <c r="C211" i="87"/>
  <c r="E204" i="87"/>
  <c r="E195" i="87" s="1"/>
  <c r="N204" i="87"/>
  <c r="N195" i="87" s="1"/>
  <c r="E231" i="87"/>
  <c r="C247" i="87"/>
  <c r="C256" i="87"/>
  <c r="C257" i="87"/>
  <c r="C258" i="87"/>
  <c r="O260" i="87"/>
  <c r="L260" i="87"/>
  <c r="K269" i="87"/>
  <c r="C278" i="87"/>
  <c r="C288" i="87"/>
  <c r="N292" i="87"/>
  <c r="N291" i="87" s="1"/>
  <c r="C110" i="87"/>
  <c r="G291" i="87"/>
  <c r="C23" i="87"/>
  <c r="C60" i="87"/>
  <c r="C65" i="87"/>
  <c r="F67" i="87"/>
  <c r="C71" i="87"/>
  <c r="D76" i="87"/>
  <c r="C79" i="87"/>
  <c r="I76" i="87"/>
  <c r="D83" i="87"/>
  <c r="C91" i="87"/>
  <c r="C97" i="87"/>
  <c r="C101" i="87"/>
  <c r="C107" i="87"/>
  <c r="C113" i="87"/>
  <c r="F122" i="87"/>
  <c r="C125" i="87"/>
  <c r="I131" i="87"/>
  <c r="O136" i="87"/>
  <c r="O144" i="87"/>
  <c r="C155" i="87"/>
  <c r="C163" i="87"/>
  <c r="C178" i="87"/>
  <c r="C186" i="87"/>
  <c r="C189" i="87"/>
  <c r="O188" i="87"/>
  <c r="O187" i="87" s="1"/>
  <c r="C208" i="87"/>
  <c r="C209" i="87"/>
  <c r="C215" i="87"/>
  <c r="F216" i="87"/>
  <c r="C217" i="87"/>
  <c r="O216" i="87"/>
  <c r="C223" i="87"/>
  <c r="L231" i="87"/>
  <c r="G231" i="87"/>
  <c r="G230" i="87" s="1"/>
  <c r="O231" i="87"/>
  <c r="C249" i="87"/>
  <c r="C250" i="87"/>
  <c r="E259" i="87"/>
  <c r="C262" i="87"/>
  <c r="O264" i="87"/>
  <c r="O259" i="87" s="1"/>
  <c r="K53" i="87"/>
  <c r="G83" i="87"/>
  <c r="G75" i="87" s="1"/>
  <c r="G52" i="87" s="1"/>
  <c r="O174" i="87"/>
  <c r="O173" i="87" s="1"/>
  <c r="C32" i="87"/>
  <c r="O69" i="87"/>
  <c r="O67" i="87" s="1"/>
  <c r="C78" i="87"/>
  <c r="O76" i="87"/>
  <c r="L80" i="87"/>
  <c r="M83" i="87"/>
  <c r="L84" i="87"/>
  <c r="C84" i="87" s="1"/>
  <c r="C88" i="87"/>
  <c r="K83" i="87"/>
  <c r="C105" i="87"/>
  <c r="C111" i="87"/>
  <c r="I112" i="87"/>
  <c r="C119" i="87"/>
  <c r="H130" i="87"/>
  <c r="E130" i="87"/>
  <c r="E75" i="87" s="1"/>
  <c r="I136" i="87"/>
  <c r="O151" i="87"/>
  <c r="F160" i="87"/>
  <c r="C160" i="87" s="1"/>
  <c r="C161" i="87"/>
  <c r="C167" i="87"/>
  <c r="I188" i="87"/>
  <c r="I187" i="87" s="1"/>
  <c r="C202" i="87"/>
  <c r="M204" i="87"/>
  <c r="I205" i="87"/>
  <c r="C213" i="87"/>
  <c r="C221" i="87"/>
  <c r="K204" i="87"/>
  <c r="K195" i="87" s="1"/>
  <c r="H231" i="87"/>
  <c r="H230" i="87" s="1"/>
  <c r="C241" i="87"/>
  <c r="C242" i="87"/>
  <c r="C248" i="87"/>
  <c r="O252" i="87"/>
  <c r="O251" i="87" s="1"/>
  <c r="L252" i="87"/>
  <c r="L251" i="87" s="1"/>
  <c r="I260" i="87"/>
  <c r="I259" i="87" s="1"/>
  <c r="C265" i="87"/>
  <c r="C266" i="87"/>
  <c r="G269" i="87"/>
  <c r="O270" i="87"/>
  <c r="O269" i="87" s="1"/>
  <c r="E269" i="87"/>
  <c r="C298" i="87"/>
  <c r="K20" i="87"/>
  <c r="O292" i="87"/>
  <c r="O20" i="87"/>
  <c r="C70" i="87"/>
  <c r="C98" i="87"/>
  <c r="C138" i="87"/>
  <c r="F136" i="87"/>
  <c r="C200" i="87"/>
  <c r="I198" i="87"/>
  <c r="L264" i="87"/>
  <c r="G20" i="87"/>
  <c r="O58" i="87"/>
  <c r="L77" i="87"/>
  <c r="L76" i="87" s="1"/>
  <c r="L122" i="87"/>
  <c r="C168" i="87"/>
  <c r="I166" i="87"/>
  <c r="I165" i="87" s="1"/>
  <c r="H174" i="87"/>
  <c r="H173" i="87" s="1"/>
  <c r="C181" i="87"/>
  <c r="F179" i="87"/>
  <c r="F283" i="87"/>
  <c r="I293" i="87"/>
  <c r="I55" i="87"/>
  <c r="C55" i="87" s="1"/>
  <c r="F58" i="87"/>
  <c r="O89" i="87"/>
  <c r="O83" i="87" s="1"/>
  <c r="L95" i="87"/>
  <c r="F103" i="87"/>
  <c r="L112" i="87"/>
  <c r="L116" i="87"/>
  <c r="C116" i="87" s="1"/>
  <c r="C128" i="87"/>
  <c r="L131" i="87"/>
  <c r="C133" i="87"/>
  <c r="F131" i="87"/>
  <c r="M130" i="87"/>
  <c r="M75" i="87" s="1"/>
  <c r="C146" i="87"/>
  <c r="F144" i="87"/>
  <c r="L151" i="87"/>
  <c r="O165" i="87"/>
  <c r="I179" i="87"/>
  <c r="C180" i="87"/>
  <c r="C192" i="87"/>
  <c r="F191" i="87"/>
  <c r="C191" i="87" s="1"/>
  <c r="F233" i="87"/>
  <c r="C234" i="87"/>
  <c r="O230" i="87"/>
  <c r="F251" i="87"/>
  <c r="F281" i="87"/>
  <c r="C281" i="87" s="1"/>
  <c r="C282" i="87"/>
  <c r="O54" i="87"/>
  <c r="C80" i="87"/>
  <c r="C142" i="87"/>
  <c r="C153" i="87"/>
  <c r="F151" i="87"/>
  <c r="L216" i="87"/>
  <c r="C219" i="87"/>
  <c r="H53" i="87"/>
  <c r="L69" i="87"/>
  <c r="L67" i="87" s="1"/>
  <c r="I95" i="87"/>
  <c r="C96" i="87"/>
  <c r="I151" i="87"/>
  <c r="C152" i="87"/>
  <c r="C184" i="87"/>
  <c r="I204" i="87"/>
  <c r="C273" i="87"/>
  <c r="I272" i="87"/>
  <c r="C301" i="87"/>
  <c r="H20" i="87"/>
  <c r="J292" i="87"/>
  <c r="J291" i="87" s="1"/>
  <c r="J20" i="87"/>
  <c r="I292" i="87"/>
  <c r="I291" i="87" s="1"/>
  <c r="L58" i="87"/>
  <c r="L54" i="87" s="1"/>
  <c r="D20" i="87"/>
  <c r="F21" i="87"/>
  <c r="L26" i="87"/>
  <c r="C44" i="87"/>
  <c r="I43" i="87"/>
  <c r="C43" i="87" s="1"/>
  <c r="C45" i="87"/>
  <c r="I58" i="87"/>
  <c r="C62" i="87"/>
  <c r="I67" i="87"/>
  <c r="C72" i="87"/>
  <c r="F76" i="87"/>
  <c r="H83" i="87"/>
  <c r="H75" i="87" s="1"/>
  <c r="H289" i="87" s="1"/>
  <c r="L89" i="87"/>
  <c r="F89" i="87"/>
  <c r="C100" i="87"/>
  <c r="I103" i="87"/>
  <c r="C104" i="87"/>
  <c r="C120" i="87"/>
  <c r="I122" i="87"/>
  <c r="C124" i="87"/>
  <c r="C143" i="87"/>
  <c r="L141" i="87"/>
  <c r="C141" i="87" s="1"/>
  <c r="C156" i="87"/>
  <c r="L166" i="87"/>
  <c r="L165" i="87" s="1"/>
  <c r="E173" i="87"/>
  <c r="F174" i="87"/>
  <c r="L179" i="87"/>
  <c r="L174" i="87" s="1"/>
  <c r="L173" i="87" s="1"/>
  <c r="M195" i="87"/>
  <c r="C201" i="87"/>
  <c r="F196" i="87"/>
  <c r="C149" i="87"/>
  <c r="F166" i="87"/>
  <c r="C177" i="87"/>
  <c r="C185" i="87"/>
  <c r="M187" i="87"/>
  <c r="C199" i="87"/>
  <c r="L198" i="87"/>
  <c r="L196" i="87" s="1"/>
  <c r="C207" i="87"/>
  <c r="L205" i="87"/>
  <c r="C129" i="87"/>
  <c r="J130" i="87"/>
  <c r="N130" i="87"/>
  <c r="N75" i="87" s="1"/>
  <c r="M291" i="87"/>
  <c r="C137" i="87"/>
  <c r="C145" i="87"/>
  <c r="C157" i="87"/>
  <c r="C169" i="87"/>
  <c r="J174" i="87"/>
  <c r="J173" i="87" s="1"/>
  <c r="N174" i="87"/>
  <c r="N173" i="87" s="1"/>
  <c r="I175" i="87"/>
  <c r="E187" i="87"/>
  <c r="I196" i="87"/>
  <c r="O196" i="87"/>
  <c r="O205" i="87"/>
  <c r="C220" i="87"/>
  <c r="C229" i="87"/>
  <c r="C232" i="87"/>
  <c r="M230" i="87"/>
  <c r="N259" i="87"/>
  <c r="N230" i="87" s="1"/>
  <c r="F264" i="87"/>
  <c r="C264" i="87" s="1"/>
  <c r="C274" i="87"/>
  <c r="F272" i="87"/>
  <c r="C277" i="87"/>
  <c r="I276" i="87"/>
  <c r="C276" i="87" s="1"/>
  <c r="C280" i="87"/>
  <c r="C296" i="87"/>
  <c r="C193" i="87"/>
  <c r="C197" i="87"/>
  <c r="F205" i="87"/>
  <c r="C212" i="87"/>
  <c r="C224" i="87"/>
  <c r="K230" i="87"/>
  <c r="C236" i="87"/>
  <c r="C237" i="87"/>
  <c r="C244" i="87"/>
  <c r="C253" i="87"/>
  <c r="J259" i="87"/>
  <c r="J230" i="87" s="1"/>
  <c r="C261" i="87"/>
  <c r="C268" i="87"/>
  <c r="C285" i="87"/>
  <c r="I284" i="87"/>
  <c r="I283" i="87" s="1"/>
  <c r="F293" i="87"/>
  <c r="C294" i="87"/>
  <c r="O293" i="87"/>
  <c r="L291" i="87"/>
  <c r="C286" i="87"/>
  <c r="C228" i="87"/>
  <c r="I238" i="87"/>
  <c r="I231" i="87" s="1"/>
  <c r="I230" i="87" s="1"/>
  <c r="I246" i="87"/>
  <c r="F238" i="87"/>
  <c r="F246" i="87"/>
  <c r="C188" i="87" l="1"/>
  <c r="M52" i="87"/>
  <c r="M194" i="87"/>
  <c r="E52" i="87"/>
  <c r="G194" i="87"/>
  <c r="G51" i="87" s="1"/>
  <c r="O130" i="87"/>
  <c r="D75" i="87"/>
  <c r="D52" i="87" s="1"/>
  <c r="D51" i="87" s="1"/>
  <c r="G289" i="87"/>
  <c r="K194" i="87"/>
  <c r="C246" i="87"/>
  <c r="N52" i="87"/>
  <c r="C136" i="87"/>
  <c r="K75" i="87"/>
  <c r="J75" i="87"/>
  <c r="J52" i="87" s="1"/>
  <c r="L259" i="87"/>
  <c r="L230" i="87" s="1"/>
  <c r="C112" i="87"/>
  <c r="H194" i="87"/>
  <c r="I130" i="87"/>
  <c r="D289" i="87"/>
  <c r="O75" i="87"/>
  <c r="I195" i="87"/>
  <c r="C67" i="87"/>
  <c r="C144" i="87"/>
  <c r="M51" i="87"/>
  <c r="M50" i="87" s="1"/>
  <c r="C238" i="87"/>
  <c r="C293" i="87"/>
  <c r="L53" i="87"/>
  <c r="I83" i="87"/>
  <c r="I75" i="87" s="1"/>
  <c r="C251" i="87"/>
  <c r="C103" i="87"/>
  <c r="C69" i="87"/>
  <c r="F187" i="87"/>
  <c r="C187" i="87" s="1"/>
  <c r="K52" i="87"/>
  <c r="K51" i="87" s="1"/>
  <c r="L83" i="87"/>
  <c r="C216" i="87"/>
  <c r="O204" i="87"/>
  <c r="O195" i="87" s="1"/>
  <c r="C122" i="87"/>
  <c r="C260" i="87"/>
  <c r="C77" i="87"/>
  <c r="O53" i="87"/>
  <c r="O52" i="87" s="1"/>
  <c r="C252" i="87"/>
  <c r="C283" i="87"/>
  <c r="E230" i="87"/>
  <c r="E289" i="87" s="1"/>
  <c r="N194" i="87"/>
  <c r="N289" i="87"/>
  <c r="J289" i="87"/>
  <c r="J194" i="87"/>
  <c r="J51" i="87" s="1"/>
  <c r="N51" i="87"/>
  <c r="C175" i="87"/>
  <c r="I174" i="87"/>
  <c r="I173" i="87" s="1"/>
  <c r="C26" i="87"/>
  <c r="M289" i="87"/>
  <c r="F130" i="87"/>
  <c r="C131" i="87"/>
  <c r="C58" i="87"/>
  <c r="O291" i="87"/>
  <c r="C205" i="87"/>
  <c r="F204" i="87"/>
  <c r="F195" i="87" s="1"/>
  <c r="K289" i="87"/>
  <c r="C196" i="87"/>
  <c r="F292" i="87"/>
  <c r="F20" i="87"/>
  <c r="C21" i="87"/>
  <c r="I270" i="87"/>
  <c r="I269" i="87" s="1"/>
  <c r="I194" i="87" s="1"/>
  <c r="H52" i="87"/>
  <c r="H51" i="87" s="1"/>
  <c r="C233" i="87"/>
  <c r="F231" i="87"/>
  <c r="I54" i="87"/>
  <c r="I53" i="87" s="1"/>
  <c r="C198" i="87"/>
  <c r="C95" i="87"/>
  <c r="L20" i="87"/>
  <c r="F270" i="87"/>
  <c r="C272" i="87"/>
  <c r="F165" i="87"/>
  <c r="C165" i="87" s="1"/>
  <c r="C166" i="87"/>
  <c r="F173" i="87"/>
  <c r="C76" i="87"/>
  <c r="I20" i="87"/>
  <c r="L130" i="87"/>
  <c r="L204" i="87"/>
  <c r="L195" i="87" s="1"/>
  <c r="C89" i="87"/>
  <c r="F83" i="87"/>
  <c r="F54" i="87"/>
  <c r="F259" i="87"/>
  <c r="C151" i="87"/>
  <c r="C284" i="87"/>
  <c r="C179" i="87"/>
  <c r="G50" i="87" l="1"/>
  <c r="G290" i="87"/>
  <c r="D50" i="87"/>
  <c r="D290" i="87"/>
  <c r="C259" i="87"/>
  <c r="M290" i="87"/>
  <c r="L75" i="87"/>
  <c r="L52" i="87" s="1"/>
  <c r="K50" i="87"/>
  <c r="K290" i="87"/>
  <c r="C130" i="87"/>
  <c r="C83" i="87"/>
  <c r="C20" i="87"/>
  <c r="E194" i="87"/>
  <c r="E51" i="87" s="1"/>
  <c r="L194" i="87"/>
  <c r="L289" i="87"/>
  <c r="C54" i="87"/>
  <c r="F53" i="87"/>
  <c r="C173" i="87"/>
  <c r="I52" i="87"/>
  <c r="I51" i="87" s="1"/>
  <c r="C292" i="87"/>
  <c r="F291" i="87"/>
  <c r="C291" i="87" s="1"/>
  <c r="C174" i="87"/>
  <c r="F269" i="87"/>
  <c r="C270" i="87"/>
  <c r="F230" i="87"/>
  <c r="C230" i="87" s="1"/>
  <c r="C231" i="87"/>
  <c r="I289" i="87"/>
  <c r="C195" i="87"/>
  <c r="O194" i="87"/>
  <c r="O51" i="87" s="1"/>
  <c r="O289" i="87"/>
  <c r="N50" i="87"/>
  <c r="N290" i="87"/>
  <c r="H50" i="87"/>
  <c r="H290" i="87"/>
  <c r="J50" i="87"/>
  <c r="J290" i="87"/>
  <c r="F75" i="87"/>
  <c r="C75" i="87" s="1"/>
  <c r="C204" i="87"/>
  <c r="L51" i="87" l="1"/>
  <c r="E50" i="87"/>
  <c r="E290" i="87"/>
  <c r="L50" i="87"/>
  <c r="L290" i="87"/>
  <c r="C269" i="87"/>
  <c r="F289" i="87"/>
  <c r="C289" i="87" s="1"/>
  <c r="I290" i="87"/>
  <c r="I50" i="87"/>
  <c r="O50" i="87"/>
  <c r="O290" i="87"/>
  <c r="F52" i="87"/>
  <c r="C53" i="87"/>
  <c r="F194" i="87"/>
  <c r="C194" i="87" s="1"/>
  <c r="F51" i="87" l="1"/>
  <c r="C52" i="87"/>
  <c r="F290" i="87" l="1"/>
  <c r="C290" i="87" s="1"/>
  <c r="C51" i="87"/>
  <c r="F50" i="87"/>
  <c r="C50" i="87" s="1"/>
  <c r="H24" i="86" l="1"/>
  <c r="H68" i="86"/>
  <c r="H57" i="86"/>
  <c r="O301" i="86"/>
  <c r="L301" i="86"/>
  <c r="I301" i="86"/>
  <c r="F301" i="86"/>
  <c r="O300" i="86"/>
  <c r="L300" i="86"/>
  <c r="I300" i="86"/>
  <c r="F300" i="86"/>
  <c r="O299" i="86"/>
  <c r="L299" i="86"/>
  <c r="I299" i="86"/>
  <c r="F299" i="86"/>
  <c r="O298" i="86"/>
  <c r="L298" i="86"/>
  <c r="L293" i="86" s="1"/>
  <c r="I298" i="86"/>
  <c r="F298" i="86"/>
  <c r="O297" i="86"/>
  <c r="L297" i="86"/>
  <c r="I297" i="86"/>
  <c r="F297" i="86"/>
  <c r="O296" i="86"/>
  <c r="L296" i="86"/>
  <c r="I296" i="86"/>
  <c r="F296" i="86"/>
  <c r="O295" i="86"/>
  <c r="L295" i="86"/>
  <c r="I295" i="86"/>
  <c r="F295" i="86"/>
  <c r="O294" i="86"/>
  <c r="L294" i="86"/>
  <c r="I294" i="86"/>
  <c r="F294" i="86"/>
  <c r="N293" i="86"/>
  <c r="M293" i="86"/>
  <c r="K293" i="86"/>
  <c r="J293" i="86"/>
  <c r="H293" i="86"/>
  <c r="G293" i="86"/>
  <c r="E293" i="86"/>
  <c r="D293" i="86"/>
  <c r="O288" i="86"/>
  <c r="L288" i="86"/>
  <c r="I288" i="86"/>
  <c r="F288" i="86"/>
  <c r="O287" i="86"/>
  <c r="L287" i="86"/>
  <c r="L286" i="86" s="1"/>
  <c r="I287" i="86"/>
  <c r="F287" i="86"/>
  <c r="O286" i="86"/>
  <c r="N286" i="86"/>
  <c r="M286" i="86"/>
  <c r="K286" i="86"/>
  <c r="J286" i="86"/>
  <c r="H286" i="86"/>
  <c r="G286" i="86"/>
  <c r="F286" i="86"/>
  <c r="E286" i="86"/>
  <c r="D286" i="86"/>
  <c r="O285" i="86"/>
  <c r="L285" i="86"/>
  <c r="L284" i="86" s="1"/>
  <c r="L283" i="86" s="1"/>
  <c r="I285" i="86"/>
  <c r="F285" i="86"/>
  <c r="O284" i="86"/>
  <c r="O283" i="86" s="1"/>
  <c r="N284" i="86"/>
  <c r="N283" i="86" s="1"/>
  <c r="M284" i="86"/>
  <c r="M283" i="86" s="1"/>
  <c r="K284" i="86"/>
  <c r="J284" i="86"/>
  <c r="J283" i="86" s="1"/>
  <c r="I284" i="86"/>
  <c r="I283" i="86" s="1"/>
  <c r="H284" i="86"/>
  <c r="H283" i="86" s="1"/>
  <c r="G284" i="86"/>
  <c r="E284" i="86"/>
  <c r="E283" i="86" s="1"/>
  <c r="D284" i="86"/>
  <c r="D283" i="86" s="1"/>
  <c r="K283" i="86"/>
  <c r="G283" i="86"/>
  <c r="O282" i="86"/>
  <c r="O281" i="86" s="1"/>
  <c r="L282" i="86"/>
  <c r="I282" i="86"/>
  <c r="I281" i="86" s="1"/>
  <c r="F282" i="86"/>
  <c r="N281" i="86"/>
  <c r="M281" i="86"/>
  <c r="L281" i="86"/>
  <c r="K281" i="86"/>
  <c r="J281" i="86"/>
  <c r="H281" i="86"/>
  <c r="G281" i="86"/>
  <c r="E281" i="86"/>
  <c r="D281" i="86"/>
  <c r="O280" i="86"/>
  <c r="L280" i="86"/>
  <c r="I280" i="86"/>
  <c r="F280" i="86"/>
  <c r="O279" i="86"/>
  <c r="L279" i="86"/>
  <c r="I279" i="86"/>
  <c r="F279" i="86"/>
  <c r="O278" i="86"/>
  <c r="L278" i="86"/>
  <c r="I278" i="86"/>
  <c r="F278" i="86"/>
  <c r="C278" i="86" s="1"/>
  <c r="O277" i="86"/>
  <c r="L277" i="86"/>
  <c r="I277" i="86"/>
  <c r="I276" i="86" s="1"/>
  <c r="F277" i="86"/>
  <c r="N276" i="86"/>
  <c r="M276" i="86"/>
  <c r="K276" i="86"/>
  <c r="J276" i="86"/>
  <c r="H276" i="86"/>
  <c r="G276" i="86"/>
  <c r="E276" i="86"/>
  <c r="D276" i="86"/>
  <c r="O275" i="86"/>
  <c r="L275" i="86"/>
  <c r="I275" i="86"/>
  <c r="F275" i="86"/>
  <c r="O274" i="86"/>
  <c r="L274" i="86"/>
  <c r="I274" i="86"/>
  <c r="F274" i="86"/>
  <c r="O273" i="86"/>
  <c r="L273" i="86"/>
  <c r="L272" i="86" s="1"/>
  <c r="I273" i="86"/>
  <c r="F273" i="86"/>
  <c r="N272" i="86"/>
  <c r="N270" i="86" s="1"/>
  <c r="N269" i="86" s="1"/>
  <c r="M272" i="86"/>
  <c r="M270" i="86" s="1"/>
  <c r="M269" i="86" s="1"/>
  <c r="K272" i="86"/>
  <c r="J272" i="86"/>
  <c r="I272" i="86"/>
  <c r="H272" i="86"/>
  <c r="G272" i="86"/>
  <c r="G270" i="86" s="1"/>
  <c r="G269" i="86" s="1"/>
  <c r="E272" i="86"/>
  <c r="D272" i="86"/>
  <c r="D270" i="86" s="1"/>
  <c r="D269" i="86" s="1"/>
  <c r="O271" i="86"/>
  <c r="L271" i="86"/>
  <c r="I271" i="86"/>
  <c r="F271" i="86"/>
  <c r="J270" i="86"/>
  <c r="J269" i="86" s="1"/>
  <c r="H270" i="86"/>
  <c r="H269" i="86" s="1"/>
  <c r="O268" i="86"/>
  <c r="L268" i="86"/>
  <c r="I268" i="86"/>
  <c r="F268" i="86"/>
  <c r="O267" i="86"/>
  <c r="L267" i="86"/>
  <c r="I267" i="86"/>
  <c r="F267" i="86"/>
  <c r="O266" i="86"/>
  <c r="L266" i="86"/>
  <c r="I266" i="86"/>
  <c r="F266" i="86"/>
  <c r="O265" i="86"/>
  <c r="L265" i="86"/>
  <c r="I265" i="86"/>
  <c r="F265" i="86"/>
  <c r="N264" i="86"/>
  <c r="M264" i="86"/>
  <c r="K264" i="86"/>
  <c r="J264" i="86"/>
  <c r="H264" i="86"/>
  <c r="G264" i="86"/>
  <c r="E264" i="86"/>
  <c r="D264" i="86"/>
  <c r="O263" i="86"/>
  <c r="L263" i="86"/>
  <c r="I263" i="86"/>
  <c r="F263" i="86"/>
  <c r="O262" i="86"/>
  <c r="L262" i="86"/>
  <c r="I262" i="86"/>
  <c r="F262" i="86"/>
  <c r="O261" i="86"/>
  <c r="L261" i="86"/>
  <c r="I261" i="86"/>
  <c r="I260" i="86" s="1"/>
  <c r="F261" i="86"/>
  <c r="N260" i="86"/>
  <c r="M260" i="86"/>
  <c r="K260" i="86"/>
  <c r="J260" i="86"/>
  <c r="H260" i="86"/>
  <c r="H259" i="86" s="1"/>
  <c r="G260" i="86"/>
  <c r="G259" i="86" s="1"/>
  <c r="E260" i="86"/>
  <c r="E259" i="86" s="1"/>
  <c r="D260" i="86"/>
  <c r="D259" i="86" s="1"/>
  <c r="K259" i="86"/>
  <c r="O258" i="86"/>
  <c r="L258" i="86"/>
  <c r="I258" i="86"/>
  <c r="F258" i="86"/>
  <c r="O257" i="86"/>
  <c r="L257" i="86"/>
  <c r="I257" i="86"/>
  <c r="F257" i="86"/>
  <c r="O256" i="86"/>
  <c r="L256" i="86"/>
  <c r="I256" i="86"/>
  <c r="F256" i="86"/>
  <c r="O255" i="86"/>
  <c r="L255" i="86"/>
  <c r="I255" i="86"/>
  <c r="F255" i="86"/>
  <c r="O254" i="86"/>
  <c r="L254" i="86"/>
  <c r="I254" i="86"/>
  <c r="F254" i="86"/>
  <c r="O253" i="86"/>
  <c r="L253" i="86"/>
  <c r="I253" i="86"/>
  <c r="F253" i="86"/>
  <c r="N252" i="86"/>
  <c r="M252" i="86"/>
  <c r="M251" i="86" s="1"/>
  <c r="K252" i="86"/>
  <c r="J252" i="86"/>
  <c r="H252" i="86"/>
  <c r="H251" i="86" s="1"/>
  <c r="G252" i="86"/>
  <c r="G251" i="86" s="1"/>
  <c r="E252" i="86"/>
  <c r="E251" i="86" s="1"/>
  <c r="D252" i="86"/>
  <c r="N251" i="86"/>
  <c r="K251" i="86"/>
  <c r="J251" i="86"/>
  <c r="D251" i="86"/>
  <c r="O250" i="86"/>
  <c r="L250" i="86"/>
  <c r="I250" i="86"/>
  <c r="F250" i="86"/>
  <c r="O249" i="86"/>
  <c r="L249" i="86"/>
  <c r="I249" i="86"/>
  <c r="F249" i="86"/>
  <c r="O248" i="86"/>
  <c r="L248" i="86"/>
  <c r="I248" i="86"/>
  <c r="F248" i="86"/>
  <c r="O247" i="86"/>
  <c r="L247" i="86"/>
  <c r="L246" i="86" s="1"/>
  <c r="I247" i="86"/>
  <c r="F247" i="86"/>
  <c r="N246" i="86"/>
  <c r="M246" i="86"/>
  <c r="K246" i="86"/>
  <c r="J246" i="86"/>
  <c r="H246" i="86"/>
  <c r="G246" i="86"/>
  <c r="E246" i="86"/>
  <c r="D246" i="86"/>
  <c r="O245" i="86"/>
  <c r="L245" i="86"/>
  <c r="I245" i="86"/>
  <c r="F245" i="86"/>
  <c r="O244" i="86"/>
  <c r="L244" i="86"/>
  <c r="I244" i="86"/>
  <c r="F244" i="86"/>
  <c r="O243" i="86"/>
  <c r="L243" i="86"/>
  <c r="I243" i="86"/>
  <c r="F243" i="86"/>
  <c r="O242" i="86"/>
  <c r="L242" i="86"/>
  <c r="I242" i="86"/>
  <c r="F242" i="86"/>
  <c r="O241" i="86"/>
  <c r="L241" i="86"/>
  <c r="I241" i="86"/>
  <c r="F241" i="86"/>
  <c r="O240" i="86"/>
  <c r="L240" i="86"/>
  <c r="I240" i="86"/>
  <c r="F240" i="86"/>
  <c r="O239" i="86"/>
  <c r="O238" i="86" s="1"/>
  <c r="L239" i="86"/>
  <c r="I239" i="86"/>
  <c r="F239" i="86"/>
  <c r="N238" i="86"/>
  <c r="M238" i="86"/>
  <c r="K238" i="86"/>
  <c r="J238" i="86"/>
  <c r="H238" i="86"/>
  <c r="G238" i="86"/>
  <c r="E238" i="86"/>
  <c r="D238" i="86"/>
  <c r="O237" i="86"/>
  <c r="L237" i="86"/>
  <c r="I237" i="86"/>
  <c r="F237" i="86"/>
  <c r="O236" i="86"/>
  <c r="O235" i="86" s="1"/>
  <c r="L236" i="86"/>
  <c r="I236" i="86"/>
  <c r="I235" i="86" s="1"/>
  <c r="F236" i="86"/>
  <c r="N235" i="86"/>
  <c r="M235" i="86"/>
  <c r="L235" i="86"/>
  <c r="K235" i="86"/>
  <c r="J235" i="86"/>
  <c r="H235" i="86"/>
  <c r="G235" i="86"/>
  <c r="F235" i="86"/>
  <c r="E235" i="86"/>
  <c r="D235" i="86"/>
  <c r="O234" i="86"/>
  <c r="O233" i="86" s="1"/>
  <c r="L234" i="86"/>
  <c r="L233" i="86" s="1"/>
  <c r="I234" i="86"/>
  <c r="F234" i="86"/>
  <c r="N233" i="86"/>
  <c r="M233" i="86"/>
  <c r="M231" i="86" s="1"/>
  <c r="K233" i="86"/>
  <c r="J233" i="86"/>
  <c r="I233" i="86"/>
  <c r="H233" i="86"/>
  <c r="G233" i="86"/>
  <c r="F233" i="86"/>
  <c r="E233" i="86"/>
  <c r="D233" i="86"/>
  <c r="O232" i="86"/>
  <c r="L232" i="86"/>
  <c r="I232" i="86"/>
  <c r="F232" i="86"/>
  <c r="J231" i="86"/>
  <c r="E231" i="86"/>
  <c r="O229" i="86"/>
  <c r="L229" i="86"/>
  <c r="I229" i="86"/>
  <c r="F229" i="86"/>
  <c r="O228" i="86"/>
  <c r="L228" i="86"/>
  <c r="L227" i="86" s="1"/>
  <c r="I228" i="86"/>
  <c r="I227" i="86" s="1"/>
  <c r="F228" i="86"/>
  <c r="O227" i="86"/>
  <c r="N227" i="86"/>
  <c r="M227" i="86"/>
  <c r="K227" i="86"/>
  <c r="J227" i="86"/>
  <c r="H227" i="86"/>
  <c r="G227" i="86"/>
  <c r="F227" i="86"/>
  <c r="E227" i="86"/>
  <c r="D227" i="86"/>
  <c r="O226" i="86"/>
  <c r="L226" i="86"/>
  <c r="I226" i="86"/>
  <c r="F226" i="86"/>
  <c r="O225" i="86"/>
  <c r="L225" i="86"/>
  <c r="I225" i="86"/>
  <c r="F225" i="86"/>
  <c r="O224" i="86"/>
  <c r="L224" i="86"/>
  <c r="I224" i="86"/>
  <c r="F224" i="86"/>
  <c r="O223" i="86"/>
  <c r="L223" i="86"/>
  <c r="I223" i="86"/>
  <c r="F223" i="86"/>
  <c r="O222" i="86"/>
  <c r="L222" i="86"/>
  <c r="I222" i="86"/>
  <c r="F222" i="86"/>
  <c r="O221" i="86"/>
  <c r="L221" i="86"/>
  <c r="I221" i="86"/>
  <c r="F221" i="86"/>
  <c r="O220" i="86"/>
  <c r="L220" i="86"/>
  <c r="I220" i="86"/>
  <c r="F220" i="86"/>
  <c r="O219" i="86"/>
  <c r="L219" i="86"/>
  <c r="I219" i="86"/>
  <c r="F219" i="86"/>
  <c r="O218" i="86"/>
  <c r="L218" i="86"/>
  <c r="I218" i="86"/>
  <c r="F218" i="86"/>
  <c r="C218" i="86" s="1"/>
  <c r="O217" i="86"/>
  <c r="L217" i="86"/>
  <c r="I217" i="86"/>
  <c r="I216" i="86" s="1"/>
  <c r="F217" i="86"/>
  <c r="N216" i="86"/>
  <c r="M216" i="86"/>
  <c r="K216" i="86"/>
  <c r="J216" i="86"/>
  <c r="H216" i="86"/>
  <c r="G216" i="86"/>
  <c r="E216" i="86"/>
  <c r="D216" i="86"/>
  <c r="O215" i="86"/>
  <c r="L215" i="86"/>
  <c r="I215" i="86"/>
  <c r="F215" i="86"/>
  <c r="O214" i="86"/>
  <c r="L214" i="86"/>
  <c r="I214" i="86"/>
  <c r="F214" i="86"/>
  <c r="O213" i="86"/>
  <c r="L213" i="86"/>
  <c r="I213" i="86"/>
  <c r="F213" i="86"/>
  <c r="O212" i="86"/>
  <c r="L212" i="86"/>
  <c r="I212" i="86"/>
  <c r="F212" i="86"/>
  <c r="O211" i="86"/>
  <c r="L211" i="86"/>
  <c r="I211" i="86"/>
  <c r="F211" i="86"/>
  <c r="O210" i="86"/>
  <c r="L210" i="86"/>
  <c r="I210" i="86"/>
  <c r="C210" i="86" s="1"/>
  <c r="F210" i="86"/>
  <c r="O209" i="86"/>
  <c r="L209" i="86"/>
  <c r="I209" i="86"/>
  <c r="F209" i="86"/>
  <c r="O208" i="86"/>
  <c r="L208" i="86"/>
  <c r="I208" i="86"/>
  <c r="F208" i="86"/>
  <c r="O207" i="86"/>
  <c r="L207" i="86"/>
  <c r="I207" i="86"/>
  <c r="F207" i="86"/>
  <c r="O206" i="86"/>
  <c r="L206" i="86"/>
  <c r="L205" i="86" s="1"/>
  <c r="I206" i="86"/>
  <c r="F206" i="86"/>
  <c r="N205" i="86"/>
  <c r="M205" i="86"/>
  <c r="K205" i="86"/>
  <c r="K204" i="86" s="1"/>
  <c r="J205" i="86"/>
  <c r="H205" i="86"/>
  <c r="G205" i="86"/>
  <c r="E205" i="86"/>
  <c r="D205" i="86"/>
  <c r="D204" i="86" s="1"/>
  <c r="G204" i="86"/>
  <c r="O203" i="86"/>
  <c r="L203" i="86"/>
  <c r="I203" i="86"/>
  <c r="F203" i="86"/>
  <c r="O202" i="86"/>
  <c r="L202" i="86"/>
  <c r="I202" i="86"/>
  <c r="F202" i="86"/>
  <c r="C202" i="86" s="1"/>
  <c r="O201" i="86"/>
  <c r="L201" i="86"/>
  <c r="I201" i="86"/>
  <c r="F201" i="86"/>
  <c r="O200" i="86"/>
  <c r="L200" i="86"/>
  <c r="I200" i="86"/>
  <c r="F200" i="86"/>
  <c r="O199" i="86"/>
  <c r="L199" i="86"/>
  <c r="L198" i="86" s="1"/>
  <c r="I199" i="86"/>
  <c r="F199" i="86"/>
  <c r="F198" i="86" s="1"/>
  <c r="O198" i="86"/>
  <c r="N198" i="86"/>
  <c r="M198" i="86"/>
  <c r="K198" i="86"/>
  <c r="K196" i="86" s="1"/>
  <c r="J198" i="86"/>
  <c r="H198" i="86"/>
  <c r="H196" i="86" s="1"/>
  <c r="G198" i="86"/>
  <c r="G196" i="86" s="1"/>
  <c r="G195" i="86" s="1"/>
  <c r="E198" i="86"/>
  <c r="E196" i="86" s="1"/>
  <c r="D198" i="86"/>
  <c r="O197" i="86"/>
  <c r="L197" i="86"/>
  <c r="I197" i="86"/>
  <c r="F197" i="86"/>
  <c r="N196" i="86"/>
  <c r="M196" i="86"/>
  <c r="J196" i="86"/>
  <c r="D196" i="86"/>
  <c r="O193" i="86"/>
  <c r="L193" i="86"/>
  <c r="L192" i="86" s="1"/>
  <c r="L191" i="86" s="1"/>
  <c r="I193" i="86"/>
  <c r="I192" i="86" s="1"/>
  <c r="I191" i="86" s="1"/>
  <c r="F193" i="86"/>
  <c r="O192" i="86"/>
  <c r="N192" i="86"/>
  <c r="M192" i="86"/>
  <c r="M191" i="86" s="1"/>
  <c r="K192" i="86"/>
  <c r="K191" i="86" s="1"/>
  <c r="J192" i="86"/>
  <c r="H192" i="86"/>
  <c r="H191" i="86" s="1"/>
  <c r="G192" i="86"/>
  <c r="G191" i="86" s="1"/>
  <c r="E192" i="86"/>
  <c r="E191" i="86" s="1"/>
  <c r="D192" i="86"/>
  <c r="O191" i="86"/>
  <c r="N191" i="86"/>
  <c r="J191" i="86"/>
  <c r="D191" i="86"/>
  <c r="O190" i="86"/>
  <c r="L190" i="86"/>
  <c r="I190" i="86"/>
  <c r="F190" i="86"/>
  <c r="O189" i="86"/>
  <c r="L189" i="86"/>
  <c r="I189" i="86"/>
  <c r="F189" i="86"/>
  <c r="N188" i="86"/>
  <c r="M188" i="86"/>
  <c r="K188" i="86"/>
  <c r="J188" i="86"/>
  <c r="I188" i="86"/>
  <c r="H188" i="86"/>
  <c r="G188" i="86"/>
  <c r="E188" i="86"/>
  <c r="D188" i="86"/>
  <c r="D187" i="86" s="1"/>
  <c r="M187" i="86"/>
  <c r="E187" i="86"/>
  <c r="O186" i="86"/>
  <c r="L186" i="86"/>
  <c r="I186" i="86"/>
  <c r="F186" i="86"/>
  <c r="O185" i="86"/>
  <c r="O184" i="86" s="1"/>
  <c r="L185" i="86"/>
  <c r="I185" i="86"/>
  <c r="F185" i="86"/>
  <c r="F184" i="86" s="1"/>
  <c r="N184" i="86"/>
  <c r="M184" i="86"/>
  <c r="K184" i="86"/>
  <c r="J184" i="86"/>
  <c r="H184" i="86"/>
  <c r="G184" i="86"/>
  <c r="E184" i="86"/>
  <c r="D184" i="86"/>
  <c r="O183" i="86"/>
  <c r="L183" i="86"/>
  <c r="I183" i="86"/>
  <c r="F183" i="86"/>
  <c r="O182" i="86"/>
  <c r="L182" i="86"/>
  <c r="I182" i="86"/>
  <c r="F182" i="86"/>
  <c r="O181" i="86"/>
  <c r="L181" i="86"/>
  <c r="I181" i="86"/>
  <c r="F181" i="86"/>
  <c r="O180" i="86"/>
  <c r="L180" i="86"/>
  <c r="I180" i="86"/>
  <c r="F180" i="86"/>
  <c r="N179" i="86"/>
  <c r="M179" i="86"/>
  <c r="K179" i="86"/>
  <c r="J179" i="86"/>
  <c r="H179" i="86"/>
  <c r="G179" i="86"/>
  <c r="E179" i="86"/>
  <c r="D179" i="86"/>
  <c r="O178" i="86"/>
  <c r="L178" i="86"/>
  <c r="I178" i="86"/>
  <c r="F178" i="86"/>
  <c r="O177" i="86"/>
  <c r="L177" i="86"/>
  <c r="I177" i="86"/>
  <c r="F177" i="86"/>
  <c r="O176" i="86"/>
  <c r="L176" i="86"/>
  <c r="I176" i="86"/>
  <c r="F176" i="86"/>
  <c r="N175" i="86"/>
  <c r="N174" i="86" s="1"/>
  <c r="N173" i="86" s="1"/>
  <c r="M175" i="86"/>
  <c r="K175" i="86"/>
  <c r="K174" i="86" s="1"/>
  <c r="J175" i="86"/>
  <c r="I175" i="86"/>
  <c r="H175" i="86"/>
  <c r="G175" i="86"/>
  <c r="E175" i="86"/>
  <c r="E174" i="86" s="1"/>
  <c r="E173" i="86" s="1"/>
  <c r="D175" i="86"/>
  <c r="D174" i="86" s="1"/>
  <c r="J174" i="86"/>
  <c r="J173" i="86" s="1"/>
  <c r="G174" i="86"/>
  <c r="G173" i="86" s="1"/>
  <c r="O172" i="86"/>
  <c r="L172" i="86"/>
  <c r="I172" i="86"/>
  <c r="F172" i="86"/>
  <c r="O171" i="86"/>
  <c r="L171" i="86"/>
  <c r="I171" i="86"/>
  <c r="F171" i="86"/>
  <c r="O170" i="86"/>
  <c r="L170" i="86"/>
  <c r="I170" i="86"/>
  <c r="F170" i="86"/>
  <c r="O169" i="86"/>
  <c r="L169" i="86"/>
  <c r="I169" i="86"/>
  <c r="F169" i="86"/>
  <c r="O168" i="86"/>
  <c r="L168" i="86"/>
  <c r="I168" i="86"/>
  <c r="F168" i="86"/>
  <c r="O167" i="86"/>
  <c r="L167" i="86"/>
  <c r="I167" i="86"/>
  <c r="I166" i="86" s="1"/>
  <c r="F167" i="86"/>
  <c r="F166" i="86" s="1"/>
  <c r="N166" i="86"/>
  <c r="N165" i="86" s="1"/>
  <c r="M166" i="86"/>
  <c r="M165" i="86" s="1"/>
  <c r="K166" i="86"/>
  <c r="J166" i="86"/>
  <c r="J165" i="86" s="1"/>
  <c r="H166" i="86"/>
  <c r="H165" i="86" s="1"/>
  <c r="G166" i="86"/>
  <c r="E166" i="86"/>
  <c r="E165" i="86" s="1"/>
  <c r="D166" i="86"/>
  <c r="D165" i="86" s="1"/>
  <c r="K165" i="86"/>
  <c r="G165" i="86"/>
  <c r="O164" i="86"/>
  <c r="L164" i="86"/>
  <c r="I164" i="86"/>
  <c r="F164" i="86"/>
  <c r="O163" i="86"/>
  <c r="L163" i="86"/>
  <c r="I163" i="86"/>
  <c r="F163" i="86"/>
  <c r="O162" i="86"/>
  <c r="L162" i="86"/>
  <c r="I162" i="86"/>
  <c r="F162" i="86"/>
  <c r="O161" i="86"/>
  <c r="O160" i="86" s="1"/>
  <c r="L161" i="86"/>
  <c r="I161" i="86"/>
  <c r="F161" i="86"/>
  <c r="N160" i="86"/>
  <c r="M160" i="86"/>
  <c r="K160" i="86"/>
  <c r="J160" i="86"/>
  <c r="H160" i="86"/>
  <c r="G160" i="86"/>
  <c r="E160" i="86"/>
  <c r="D160" i="86"/>
  <c r="O159" i="86"/>
  <c r="L159" i="86"/>
  <c r="I159" i="86"/>
  <c r="F159" i="86"/>
  <c r="O158" i="86"/>
  <c r="L158" i="86"/>
  <c r="I158" i="86"/>
  <c r="F158" i="86"/>
  <c r="O157" i="86"/>
  <c r="L157" i="86"/>
  <c r="I157" i="86"/>
  <c r="F157" i="86"/>
  <c r="O156" i="86"/>
  <c r="L156" i="86"/>
  <c r="I156" i="86"/>
  <c r="F156" i="86"/>
  <c r="O155" i="86"/>
  <c r="L155" i="86"/>
  <c r="I155" i="86"/>
  <c r="F155" i="86"/>
  <c r="O154" i="86"/>
  <c r="L154" i="86"/>
  <c r="I154" i="86"/>
  <c r="F154" i="86"/>
  <c r="O153" i="86"/>
  <c r="L153" i="86"/>
  <c r="I153" i="86"/>
  <c r="F153" i="86"/>
  <c r="C153" i="86" s="1"/>
  <c r="O152" i="86"/>
  <c r="L152" i="86"/>
  <c r="I152" i="86"/>
  <c r="I151" i="86" s="1"/>
  <c r="F152" i="86"/>
  <c r="N151" i="86"/>
  <c r="M151" i="86"/>
  <c r="K151" i="86"/>
  <c r="J151" i="86"/>
  <c r="H151" i="86"/>
  <c r="G151" i="86"/>
  <c r="E151" i="86"/>
  <c r="D151" i="86"/>
  <c r="O150" i="86"/>
  <c r="L150" i="86"/>
  <c r="I150" i="86"/>
  <c r="F150" i="86"/>
  <c r="O149" i="86"/>
  <c r="L149" i="86"/>
  <c r="I149" i="86"/>
  <c r="F149" i="86"/>
  <c r="O148" i="86"/>
  <c r="L148" i="86"/>
  <c r="I148" i="86"/>
  <c r="F148" i="86"/>
  <c r="O147" i="86"/>
  <c r="L147" i="86"/>
  <c r="I147" i="86"/>
  <c r="F147" i="86"/>
  <c r="O146" i="86"/>
  <c r="L146" i="86"/>
  <c r="I146" i="86"/>
  <c r="F146" i="86"/>
  <c r="O145" i="86"/>
  <c r="L145" i="86"/>
  <c r="I145" i="86"/>
  <c r="F145" i="86"/>
  <c r="C145" i="86" s="1"/>
  <c r="N144" i="86"/>
  <c r="M144" i="86"/>
  <c r="L144" i="86"/>
  <c r="K144" i="86"/>
  <c r="J144" i="86"/>
  <c r="H144" i="86"/>
  <c r="G144" i="86"/>
  <c r="E144" i="86"/>
  <c r="D144" i="86"/>
  <c r="O143" i="86"/>
  <c r="L143" i="86"/>
  <c r="I143" i="86"/>
  <c r="F143" i="86"/>
  <c r="O142" i="86"/>
  <c r="L142" i="86"/>
  <c r="L141" i="86" s="1"/>
  <c r="I142" i="86"/>
  <c r="F142" i="86"/>
  <c r="O141" i="86"/>
  <c r="N141" i="86"/>
  <c r="M141" i="86"/>
  <c r="K141" i="86"/>
  <c r="J141" i="86"/>
  <c r="H141" i="86"/>
  <c r="G141" i="86"/>
  <c r="F141" i="86"/>
  <c r="E141" i="86"/>
  <c r="D141" i="86"/>
  <c r="O140" i="86"/>
  <c r="L140" i="86"/>
  <c r="I140" i="86"/>
  <c r="F140" i="86"/>
  <c r="C140" i="86" s="1"/>
  <c r="O139" i="86"/>
  <c r="L139" i="86"/>
  <c r="I139" i="86"/>
  <c r="F139" i="86"/>
  <c r="O138" i="86"/>
  <c r="L138" i="86"/>
  <c r="I138" i="86"/>
  <c r="F138" i="86"/>
  <c r="O137" i="86"/>
  <c r="O136" i="86" s="1"/>
  <c r="L137" i="86"/>
  <c r="I137" i="86"/>
  <c r="F137" i="86"/>
  <c r="C137" i="86" s="1"/>
  <c r="N136" i="86"/>
  <c r="M136" i="86"/>
  <c r="K136" i="86"/>
  <c r="J136" i="86"/>
  <c r="H136" i="86"/>
  <c r="G136" i="86"/>
  <c r="E136" i="86"/>
  <c r="D136" i="86"/>
  <c r="O135" i="86"/>
  <c r="L135" i="86"/>
  <c r="I135" i="86"/>
  <c r="F135" i="86"/>
  <c r="O134" i="86"/>
  <c r="L134" i="86"/>
  <c r="I134" i="86"/>
  <c r="F134" i="86"/>
  <c r="O133" i="86"/>
  <c r="L133" i="86"/>
  <c r="I133" i="86"/>
  <c r="F133" i="86"/>
  <c r="C133" i="86" s="1"/>
  <c r="O132" i="86"/>
  <c r="L132" i="86"/>
  <c r="I132" i="86"/>
  <c r="F132" i="86"/>
  <c r="N131" i="86"/>
  <c r="M131" i="86"/>
  <c r="K131" i="86"/>
  <c r="J131" i="86"/>
  <c r="J130" i="86" s="1"/>
  <c r="H131" i="86"/>
  <c r="G131" i="86"/>
  <c r="E131" i="86"/>
  <c r="D131" i="86"/>
  <c r="O129" i="86"/>
  <c r="O128" i="86" s="1"/>
  <c r="L129" i="86"/>
  <c r="L128" i="86" s="1"/>
  <c r="I129" i="86"/>
  <c r="F129" i="86"/>
  <c r="N128" i="86"/>
  <c r="M128" i="86"/>
  <c r="K128" i="86"/>
  <c r="J128" i="86"/>
  <c r="I128" i="86"/>
  <c r="H128" i="86"/>
  <c r="G128" i="86"/>
  <c r="E128" i="86"/>
  <c r="D128" i="86"/>
  <c r="O127" i="86"/>
  <c r="L127" i="86"/>
  <c r="I127" i="86"/>
  <c r="F127" i="86"/>
  <c r="O126" i="86"/>
  <c r="L126" i="86"/>
  <c r="I126" i="86"/>
  <c r="F126" i="86"/>
  <c r="O125" i="86"/>
  <c r="L125" i="86"/>
  <c r="I125" i="86"/>
  <c r="F125" i="86"/>
  <c r="O124" i="86"/>
  <c r="L124" i="86"/>
  <c r="I124" i="86"/>
  <c r="F124" i="86"/>
  <c r="O123" i="86"/>
  <c r="L123" i="86"/>
  <c r="I123" i="86"/>
  <c r="F123" i="86"/>
  <c r="F122" i="86" s="1"/>
  <c r="N122" i="86"/>
  <c r="M122" i="86"/>
  <c r="K122" i="86"/>
  <c r="J122" i="86"/>
  <c r="H122" i="86"/>
  <c r="G122" i="86"/>
  <c r="E122" i="86"/>
  <c r="D122" i="86"/>
  <c r="O121" i="86"/>
  <c r="L121" i="86"/>
  <c r="I121" i="86"/>
  <c r="F121" i="86"/>
  <c r="O120" i="86"/>
  <c r="L120" i="86"/>
  <c r="I120" i="86"/>
  <c r="F120" i="86"/>
  <c r="O119" i="86"/>
  <c r="L119" i="86"/>
  <c r="I119" i="86"/>
  <c r="F119" i="86"/>
  <c r="O118" i="86"/>
  <c r="L118" i="86"/>
  <c r="I118" i="86"/>
  <c r="F118" i="86"/>
  <c r="O117" i="86"/>
  <c r="L117" i="86"/>
  <c r="I117" i="86"/>
  <c r="F117" i="86"/>
  <c r="N116" i="86"/>
  <c r="M116" i="86"/>
  <c r="L116" i="86"/>
  <c r="K116" i="86"/>
  <c r="J116" i="86"/>
  <c r="H116" i="86"/>
  <c r="G116" i="86"/>
  <c r="E116" i="86"/>
  <c r="D116" i="86"/>
  <c r="O115" i="86"/>
  <c r="L115" i="86"/>
  <c r="I115" i="86"/>
  <c r="F115" i="86"/>
  <c r="O114" i="86"/>
  <c r="L114" i="86"/>
  <c r="I114" i="86"/>
  <c r="F114" i="86"/>
  <c r="O113" i="86"/>
  <c r="O112" i="86" s="1"/>
  <c r="L113" i="86"/>
  <c r="I113" i="86"/>
  <c r="I112" i="86" s="1"/>
  <c r="F113" i="86"/>
  <c r="F112" i="86" s="1"/>
  <c r="N112" i="86"/>
  <c r="M112" i="86"/>
  <c r="K112" i="86"/>
  <c r="J112" i="86"/>
  <c r="H112" i="86"/>
  <c r="G112" i="86"/>
  <c r="E112" i="86"/>
  <c r="D112" i="86"/>
  <c r="O111" i="86"/>
  <c r="L111" i="86"/>
  <c r="I111" i="86"/>
  <c r="F111" i="86"/>
  <c r="O110" i="86"/>
  <c r="L110" i="86"/>
  <c r="I110" i="86"/>
  <c r="F110" i="86"/>
  <c r="O109" i="86"/>
  <c r="L109" i="86"/>
  <c r="I109" i="86"/>
  <c r="F109" i="86"/>
  <c r="C109" i="86" s="1"/>
  <c r="O108" i="86"/>
  <c r="L108" i="86"/>
  <c r="I108" i="86"/>
  <c r="F108" i="86"/>
  <c r="O107" i="86"/>
  <c r="L107" i="86"/>
  <c r="I107" i="86"/>
  <c r="F107" i="86"/>
  <c r="O106" i="86"/>
  <c r="L106" i="86"/>
  <c r="I106" i="86"/>
  <c r="F106" i="86"/>
  <c r="O105" i="86"/>
  <c r="L105" i="86"/>
  <c r="I105" i="86"/>
  <c r="F105" i="86"/>
  <c r="O104" i="86"/>
  <c r="L104" i="86"/>
  <c r="I104" i="86"/>
  <c r="I103" i="86" s="1"/>
  <c r="F104" i="86"/>
  <c r="N103" i="86"/>
  <c r="M103" i="86"/>
  <c r="K103" i="86"/>
  <c r="J103" i="86"/>
  <c r="H103" i="86"/>
  <c r="G103" i="86"/>
  <c r="E103" i="86"/>
  <c r="D103" i="86"/>
  <c r="O102" i="86"/>
  <c r="L102" i="86"/>
  <c r="I102" i="86"/>
  <c r="F102" i="86"/>
  <c r="O101" i="86"/>
  <c r="L101" i="86"/>
  <c r="I101" i="86"/>
  <c r="F101" i="86"/>
  <c r="O100" i="86"/>
  <c r="L100" i="86"/>
  <c r="I100" i="86"/>
  <c r="F100" i="86"/>
  <c r="O99" i="86"/>
  <c r="L99" i="86"/>
  <c r="I99" i="86"/>
  <c r="F99" i="86"/>
  <c r="O98" i="86"/>
  <c r="L98" i="86"/>
  <c r="I98" i="86"/>
  <c r="F98" i="86"/>
  <c r="O97" i="86"/>
  <c r="L97" i="86"/>
  <c r="I97" i="86"/>
  <c r="F97" i="86"/>
  <c r="O96" i="86"/>
  <c r="L96" i="86"/>
  <c r="I96" i="86"/>
  <c r="F96" i="86"/>
  <c r="N95" i="86"/>
  <c r="M95" i="86"/>
  <c r="K95" i="86"/>
  <c r="J95" i="86"/>
  <c r="H95" i="86"/>
  <c r="G95" i="86"/>
  <c r="E95" i="86"/>
  <c r="D95" i="86"/>
  <c r="O94" i="86"/>
  <c r="L94" i="86"/>
  <c r="I94" i="86"/>
  <c r="F94" i="86"/>
  <c r="O93" i="86"/>
  <c r="L93" i="86"/>
  <c r="I93" i="86"/>
  <c r="E93" i="86"/>
  <c r="O92" i="86"/>
  <c r="L92" i="86"/>
  <c r="I92" i="86"/>
  <c r="F92" i="86"/>
  <c r="O91" i="86"/>
  <c r="L91" i="86"/>
  <c r="I91" i="86"/>
  <c r="F91" i="86"/>
  <c r="O90" i="86"/>
  <c r="O89" i="86" s="1"/>
  <c r="L90" i="86"/>
  <c r="I90" i="86"/>
  <c r="I89" i="86" s="1"/>
  <c r="F90" i="86"/>
  <c r="N89" i="86"/>
  <c r="M89" i="86"/>
  <c r="L89" i="86"/>
  <c r="K89" i="86"/>
  <c r="J89" i="86"/>
  <c r="H89" i="86"/>
  <c r="G89" i="86"/>
  <c r="D89" i="86"/>
  <c r="O88" i="86"/>
  <c r="L88" i="86"/>
  <c r="I88" i="86"/>
  <c r="F88" i="86"/>
  <c r="O87" i="86"/>
  <c r="L87" i="86"/>
  <c r="I87" i="86"/>
  <c r="F87" i="86"/>
  <c r="O86" i="86"/>
  <c r="L86" i="86"/>
  <c r="I86" i="86"/>
  <c r="F86" i="86"/>
  <c r="O85" i="86"/>
  <c r="L85" i="86"/>
  <c r="I85" i="86"/>
  <c r="F85" i="86"/>
  <c r="N84" i="86"/>
  <c r="M84" i="86"/>
  <c r="K84" i="86"/>
  <c r="K83" i="86" s="1"/>
  <c r="J84" i="86"/>
  <c r="H84" i="86"/>
  <c r="G84" i="86"/>
  <c r="G83" i="86" s="1"/>
  <c r="E84" i="86"/>
  <c r="D84" i="86"/>
  <c r="J83" i="86"/>
  <c r="O82" i="86"/>
  <c r="L82" i="86"/>
  <c r="I82" i="86"/>
  <c r="F82" i="86"/>
  <c r="O81" i="86"/>
  <c r="L81" i="86"/>
  <c r="I81" i="86"/>
  <c r="I80" i="86" s="1"/>
  <c r="F81" i="86"/>
  <c r="O80" i="86"/>
  <c r="N80" i="86"/>
  <c r="M80" i="86"/>
  <c r="K80" i="86"/>
  <c r="J80" i="86"/>
  <c r="H80" i="86"/>
  <c r="G80" i="86"/>
  <c r="F80" i="86"/>
  <c r="E80" i="86"/>
  <c r="D80" i="86"/>
  <c r="O79" i="86"/>
  <c r="L79" i="86"/>
  <c r="I79" i="86"/>
  <c r="F79" i="86"/>
  <c r="O78" i="86"/>
  <c r="O77" i="86" s="1"/>
  <c r="L78" i="86"/>
  <c r="L77" i="86" s="1"/>
  <c r="I78" i="86"/>
  <c r="I77" i="86" s="1"/>
  <c r="F78" i="86"/>
  <c r="F77" i="86" s="1"/>
  <c r="N77" i="86"/>
  <c r="M77" i="86"/>
  <c r="K77" i="86"/>
  <c r="J77" i="86"/>
  <c r="J76" i="86" s="1"/>
  <c r="H77" i="86"/>
  <c r="G77" i="86"/>
  <c r="E77" i="86"/>
  <c r="E76" i="86" s="1"/>
  <c r="D77" i="86"/>
  <c r="D76" i="86" s="1"/>
  <c r="O74" i="86"/>
  <c r="L74" i="86"/>
  <c r="I74" i="86"/>
  <c r="F74" i="86"/>
  <c r="O73" i="86"/>
  <c r="L73" i="86"/>
  <c r="I73" i="86"/>
  <c r="F73" i="86"/>
  <c r="O72" i="86"/>
  <c r="L72" i="86"/>
  <c r="I72" i="86"/>
  <c r="F72" i="86"/>
  <c r="O71" i="86"/>
  <c r="L71" i="86"/>
  <c r="I71" i="86"/>
  <c r="F71" i="86"/>
  <c r="O70" i="86"/>
  <c r="L70" i="86"/>
  <c r="L69" i="86" s="1"/>
  <c r="I70" i="86"/>
  <c r="I69" i="86" s="1"/>
  <c r="F70" i="86"/>
  <c r="N69" i="86"/>
  <c r="M69" i="86"/>
  <c r="M67" i="86" s="1"/>
  <c r="K69" i="86"/>
  <c r="K67" i="86" s="1"/>
  <c r="J69" i="86"/>
  <c r="J67" i="86" s="1"/>
  <c r="H69" i="86"/>
  <c r="G69" i="86"/>
  <c r="G67" i="86" s="1"/>
  <c r="E69" i="86"/>
  <c r="E67" i="86" s="1"/>
  <c r="D69" i="86"/>
  <c r="O68" i="86"/>
  <c r="L68" i="86"/>
  <c r="F68" i="86"/>
  <c r="N67" i="86"/>
  <c r="D67" i="86"/>
  <c r="O66" i="86"/>
  <c r="L66" i="86"/>
  <c r="I66" i="86"/>
  <c r="F66" i="86"/>
  <c r="C66" i="86" s="1"/>
  <c r="O65" i="86"/>
  <c r="L65" i="86"/>
  <c r="H65" i="86"/>
  <c r="I65" i="86" s="1"/>
  <c r="F65" i="86"/>
  <c r="O64" i="86"/>
  <c r="L64" i="86"/>
  <c r="I64" i="86"/>
  <c r="F64" i="86"/>
  <c r="O63" i="86"/>
  <c r="L63" i="86"/>
  <c r="H63" i="86"/>
  <c r="I63" i="86" s="1"/>
  <c r="F63" i="86"/>
  <c r="O62" i="86"/>
  <c r="L62" i="86"/>
  <c r="I62" i="86"/>
  <c r="F62" i="86"/>
  <c r="O61" i="86"/>
  <c r="L61" i="86"/>
  <c r="I61" i="86"/>
  <c r="F61" i="86"/>
  <c r="O60" i="86"/>
  <c r="L60" i="86"/>
  <c r="I60" i="86"/>
  <c r="F60" i="86"/>
  <c r="O59" i="86"/>
  <c r="O58" i="86" s="1"/>
  <c r="L59" i="86"/>
  <c r="I59" i="86"/>
  <c r="F59" i="86"/>
  <c r="N58" i="86"/>
  <c r="M58" i="86"/>
  <c r="K58" i="86"/>
  <c r="J58" i="86"/>
  <c r="G58" i="86"/>
  <c r="E58" i="86"/>
  <c r="D58" i="86"/>
  <c r="O57" i="86"/>
  <c r="L57" i="86"/>
  <c r="I57" i="86"/>
  <c r="F57" i="86"/>
  <c r="O56" i="86"/>
  <c r="O55" i="86" s="1"/>
  <c r="L56" i="86"/>
  <c r="L55" i="86" s="1"/>
  <c r="I56" i="86"/>
  <c r="F56" i="86"/>
  <c r="F55" i="86" s="1"/>
  <c r="N55" i="86"/>
  <c r="N54" i="86" s="1"/>
  <c r="N53" i="86" s="1"/>
  <c r="M55" i="86"/>
  <c r="K55" i="86"/>
  <c r="K54" i="86" s="1"/>
  <c r="K53" i="86" s="1"/>
  <c r="J55" i="86"/>
  <c r="J54" i="86" s="1"/>
  <c r="J53" i="86" s="1"/>
  <c r="H55" i="86"/>
  <c r="G55" i="86"/>
  <c r="E55" i="86"/>
  <c r="E54" i="86" s="1"/>
  <c r="D55" i="86"/>
  <c r="M54" i="86"/>
  <c r="O47" i="86"/>
  <c r="C47" i="86" s="1"/>
  <c r="O46" i="86"/>
  <c r="C46" i="86" s="1"/>
  <c r="N45" i="86"/>
  <c r="M45" i="86"/>
  <c r="L44" i="86"/>
  <c r="L43" i="86" s="1"/>
  <c r="I44" i="86"/>
  <c r="I43" i="86" s="1"/>
  <c r="F44" i="86"/>
  <c r="F43" i="86" s="1"/>
  <c r="C43" i="86" s="1"/>
  <c r="K43" i="86"/>
  <c r="J43" i="86"/>
  <c r="H43" i="86"/>
  <c r="G43" i="86"/>
  <c r="E43" i="86"/>
  <c r="D43" i="86"/>
  <c r="F42" i="86"/>
  <c r="C42" i="86" s="1"/>
  <c r="E41" i="86"/>
  <c r="D41" i="86"/>
  <c r="L40" i="86"/>
  <c r="C40" i="86" s="1"/>
  <c r="L39" i="86"/>
  <c r="C39" i="86" s="1"/>
  <c r="L38" i="86"/>
  <c r="C38" i="86" s="1"/>
  <c r="L37" i="86"/>
  <c r="C37" i="86" s="1"/>
  <c r="K36" i="86"/>
  <c r="J36" i="86"/>
  <c r="L35" i="86"/>
  <c r="C35" i="86" s="1"/>
  <c r="L34" i="86"/>
  <c r="C34" i="86" s="1"/>
  <c r="K33" i="86"/>
  <c r="J33" i="86"/>
  <c r="L32" i="86"/>
  <c r="C32" i="86" s="1"/>
  <c r="K31" i="86"/>
  <c r="J31" i="86"/>
  <c r="L30" i="86"/>
  <c r="C30" i="86" s="1"/>
  <c r="L29" i="86"/>
  <c r="C29" i="86" s="1"/>
  <c r="L28" i="86"/>
  <c r="C28" i="86" s="1"/>
  <c r="K27" i="86"/>
  <c r="J27" i="86"/>
  <c r="F25" i="86"/>
  <c r="C25" i="86"/>
  <c r="I24" i="86"/>
  <c r="F24" i="86"/>
  <c r="O23" i="86"/>
  <c r="L23" i="86"/>
  <c r="I23" i="86"/>
  <c r="F23" i="86"/>
  <c r="O22" i="86"/>
  <c r="L22" i="86"/>
  <c r="L21" i="86" s="1"/>
  <c r="L292" i="86" s="1"/>
  <c r="I22" i="86"/>
  <c r="F22" i="86"/>
  <c r="N21" i="86"/>
  <c r="N292" i="86" s="1"/>
  <c r="N291" i="86" s="1"/>
  <c r="M21" i="86"/>
  <c r="M20" i="86" s="1"/>
  <c r="K21" i="86"/>
  <c r="K292" i="86" s="1"/>
  <c r="K291" i="86" s="1"/>
  <c r="J21" i="86"/>
  <c r="J292" i="86" s="1"/>
  <c r="J291" i="86" s="1"/>
  <c r="I21" i="86"/>
  <c r="H21" i="86"/>
  <c r="H292" i="86" s="1"/>
  <c r="H291" i="86" s="1"/>
  <c r="G21" i="86"/>
  <c r="G292" i="86" s="1"/>
  <c r="E21" i="86"/>
  <c r="E292" i="86" s="1"/>
  <c r="E291" i="86" s="1"/>
  <c r="D21" i="86"/>
  <c r="D292" i="86" s="1"/>
  <c r="D291" i="86" s="1"/>
  <c r="E20" i="86"/>
  <c r="C59" i="86" l="1"/>
  <c r="C177" i="86"/>
  <c r="C181" i="86"/>
  <c r="C190" i="86"/>
  <c r="C242" i="86"/>
  <c r="C266" i="86"/>
  <c r="C274" i="86"/>
  <c r="C294" i="86"/>
  <c r="C298" i="86"/>
  <c r="L291" i="86"/>
  <c r="E53" i="86"/>
  <c r="C97" i="86"/>
  <c r="C101" i="86"/>
  <c r="C105" i="86"/>
  <c r="C108" i="86"/>
  <c r="C168" i="86"/>
  <c r="L31" i="86"/>
  <c r="C31" i="86" s="1"/>
  <c r="I187" i="86"/>
  <c r="C23" i="86"/>
  <c r="C125" i="86"/>
  <c r="N130" i="86"/>
  <c r="C149" i="86"/>
  <c r="C157" i="86"/>
  <c r="C158" i="86"/>
  <c r="C206" i="86"/>
  <c r="C226" i="86"/>
  <c r="C236" i="86"/>
  <c r="C237" i="86"/>
  <c r="H58" i="86"/>
  <c r="C127" i="86"/>
  <c r="L188" i="86"/>
  <c r="L187" i="86" s="1"/>
  <c r="C222" i="86"/>
  <c r="O260" i="86"/>
  <c r="N259" i="86"/>
  <c r="O276" i="86"/>
  <c r="C73" i="86"/>
  <c r="K76" i="86"/>
  <c r="C121" i="86"/>
  <c r="C129" i="86"/>
  <c r="L131" i="86"/>
  <c r="F136" i="86"/>
  <c r="C161" i="86"/>
  <c r="C189" i="86"/>
  <c r="O188" i="86"/>
  <c r="O187" i="86" s="1"/>
  <c r="C214" i="86"/>
  <c r="C262" i="86"/>
  <c r="J259" i="86"/>
  <c r="O264" i="86"/>
  <c r="C280" i="86"/>
  <c r="C24" i="86"/>
  <c r="K26" i="86"/>
  <c r="G54" i="86"/>
  <c r="G53" i="86" s="1"/>
  <c r="H76" i="86"/>
  <c r="N76" i="86"/>
  <c r="O76" i="86"/>
  <c r="G76" i="86"/>
  <c r="C86" i="86"/>
  <c r="C90" i="86"/>
  <c r="C91" i="86"/>
  <c r="C92" i="86"/>
  <c r="C94" i="86"/>
  <c r="C117" i="86"/>
  <c r="C118" i="86"/>
  <c r="O122" i="86"/>
  <c r="F160" i="86"/>
  <c r="L166" i="86"/>
  <c r="L165" i="86" s="1"/>
  <c r="K173" i="86"/>
  <c r="M204" i="86"/>
  <c r="C234" i="86"/>
  <c r="O246" i="86"/>
  <c r="K270" i="86"/>
  <c r="K269" i="86" s="1"/>
  <c r="J75" i="86"/>
  <c r="I84" i="86"/>
  <c r="L112" i="86"/>
  <c r="C146" i="86"/>
  <c r="L160" i="86"/>
  <c r="C169" i="86"/>
  <c r="L179" i="86"/>
  <c r="J187" i="86"/>
  <c r="N204" i="86"/>
  <c r="N195" i="86" s="1"/>
  <c r="C250" i="86"/>
  <c r="C254" i="86"/>
  <c r="C258" i="86"/>
  <c r="C275" i="86"/>
  <c r="C282" i="86"/>
  <c r="K187" i="86"/>
  <c r="G291" i="86"/>
  <c r="C22" i="86"/>
  <c r="L33" i="86"/>
  <c r="C33" i="86" s="1"/>
  <c r="M53" i="86"/>
  <c r="I55" i="86"/>
  <c r="C63" i="86"/>
  <c r="L67" i="86"/>
  <c r="F76" i="86"/>
  <c r="C78" i="86"/>
  <c r="C79" i="86"/>
  <c r="C81" i="86"/>
  <c r="L84" i="86"/>
  <c r="C100" i="86"/>
  <c r="H83" i="86"/>
  <c r="I116" i="86"/>
  <c r="N83" i="86"/>
  <c r="N75" i="86" s="1"/>
  <c r="L122" i="86"/>
  <c r="F128" i="86"/>
  <c r="C128" i="86" s="1"/>
  <c r="O131" i="86"/>
  <c r="I136" i="86"/>
  <c r="I144" i="86"/>
  <c r="O151" i="86"/>
  <c r="L151" i="86"/>
  <c r="C172" i="86"/>
  <c r="L184" i="86"/>
  <c r="H187" i="86"/>
  <c r="C207" i="86"/>
  <c r="C208" i="86"/>
  <c r="C219" i="86"/>
  <c r="C221" i="86"/>
  <c r="C227" i="86"/>
  <c r="K231" i="86"/>
  <c r="K230" i="86" s="1"/>
  <c r="L252" i="86"/>
  <c r="L251" i="86" s="1"/>
  <c r="O272" i="86"/>
  <c r="C287" i="86"/>
  <c r="C288" i="86"/>
  <c r="M292" i="86"/>
  <c r="M291" i="86" s="1"/>
  <c r="I293" i="86"/>
  <c r="C299" i="86"/>
  <c r="C300" i="86"/>
  <c r="E204" i="86"/>
  <c r="E195" i="86" s="1"/>
  <c r="N20" i="86"/>
  <c r="H54" i="86"/>
  <c r="I58" i="86"/>
  <c r="C64" i="86"/>
  <c r="C65" i="86"/>
  <c r="O69" i="86"/>
  <c r="M76" i="86"/>
  <c r="M83" i="86"/>
  <c r="I95" i="86"/>
  <c r="C102" i="86"/>
  <c r="L103" i="86"/>
  <c r="C124" i="86"/>
  <c r="E130" i="86"/>
  <c r="C134" i="86"/>
  <c r="C135" i="86"/>
  <c r="D130" i="86"/>
  <c r="L136" i="86"/>
  <c r="L130" i="86" s="1"/>
  <c r="K130" i="86"/>
  <c r="C164" i="86"/>
  <c r="C170" i="86"/>
  <c r="H174" i="86"/>
  <c r="H173" i="86" s="1"/>
  <c r="C183" i="86"/>
  <c r="C185" i="86"/>
  <c r="H204" i="86"/>
  <c r="H195" i="86" s="1"/>
  <c r="C213" i="86"/>
  <c r="C220" i="86"/>
  <c r="C225" i="86"/>
  <c r="C229" i="86"/>
  <c r="D231" i="86"/>
  <c r="D230" i="86" s="1"/>
  <c r="H231" i="86"/>
  <c r="H230" i="86" s="1"/>
  <c r="G231" i="86"/>
  <c r="G230" i="86" s="1"/>
  <c r="G194" i="86" s="1"/>
  <c r="C243" i="86"/>
  <c r="C245" i="86"/>
  <c r="O252" i="86"/>
  <c r="L260" i="86"/>
  <c r="I264" i="86"/>
  <c r="F281" i="86"/>
  <c r="C281" i="86" s="1"/>
  <c r="I286" i="86"/>
  <c r="C286" i="86" s="1"/>
  <c r="C295" i="86"/>
  <c r="G187" i="86"/>
  <c r="M195" i="86"/>
  <c r="J204" i="86"/>
  <c r="J195" i="86" s="1"/>
  <c r="J26" i="86"/>
  <c r="D54" i="86"/>
  <c r="D53" i="86" s="1"/>
  <c r="C60" i="86"/>
  <c r="C72" i="86"/>
  <c r="K75" i="86"/>
  <c r="K52" i="86" s="1"/>
  <c r="C87" i="86"/>
  <c r="C88" i="86"/>
  <c r="D83" i="86"/>
  <c r="L95" i="86"/>
  <c r="O103" i="86"/>
  <c r="I131" i="86"/>
  <c r="G130" i="86"/>
  <c r="G75" i="86" s="1"/>
  <c r="I141" i="86"/>
  <c r="C156" i="86"/>
  <c r="O166" i="86"/>
  <c r="O165" i="86" s="1"/>
  <c r="L175" i="86"/>
  <c r="L174" i="86" s="1"/>
  <c r="C182" i="86"/>
  <c r="I179" i="86"/>
  <c r="I174" i="86" s="1"/>
  <c r="N187" i="86"/>
  <c r="K195" i="86"/>
  <c r="C201" i="86"/>
  <c r="D195" i="86"/>
  <c r="N231" i="86"/>
  <c r="N230" i="86" s="1"/>
  <c r="N289" i="86" s="1"/>
  <c r="L238" i="86"/>
  <c r="C244" i="86"/>
  <c r="F246" i="86"/>
  <c r="C249" i="86"/>
  <c r="C255" i="86"/>
  <c r="C257" i="86"/>
  <c r="O259" i="86"/>
  <c r="C271" i="86"/>
  <c r="I270" i="86"/>
  <c r="I269" i="86" s="1"/>
  <c r="O270" i="86"/>
  <c r="O269" i="86" s="1"/>
  <c r="I20" i="86"/>
  <c r="C57" i="86"/>
  <c r="J20" i="86"/>
  <c r="I54" i="86"/>
  <c r="L58" i="86"/>
  <c r="L54" i="86" s="1"/>
  <c r="L53" i="86" s="1"/>
  <c r="C74" i="86"/>
  <c r="L80" i="86"/>
  <c r="F93" i="86"/>
  <c r="E89" i="86"/>
  <c r="E83" i="86" s="1"/>
  <c r="E75" i="86" s="1"/>
  <c r="C104" i="86"/>
  <c r="F103" i="86"/>
  <c r="H130" i="86"/>
  <c r="C301" i="86"/>
  <c r="F58" i="86"/>
  <c r="H67" i="86"/>
  <c r="H53" i="86" s="1"/>
  <c r="I68" i="86"/>
  <c r="I67" i="86" s="1"/>
  <c r="G20" i="86"/>
  <c r="K20" i="86"/>
  <c r="F21" i="86"/>
  <c r="L36" i="86"/>
  <c r="C36" i="86" s="1"/>
  <c r="C44" i="86"/>
  <c r="C61" i="86"/>
  <c r="C62" i="86"/>
  <c r="C77" i="86"/>
  <c r="I76" i="86"/>
  <c r="C82" i="86"/>
  <c r="M130" i="86"/>
  <c r="C162" i="86"/>
  <c r="D173" i="86"/>
  <c r="O175" i="86"/>
  <c r="L173" i="86"/>
  <c r="C55" i="86"/>
  <c r="C113" i="86"/>
  <c r="D20" i="86"/>
  <c r="H20" i="86"/>
  <c r="O21" i="86"/>
  <c r="L27" i="86"/>
  <c r="F41" i="86"/>
  <c r="C41" i="86" s="1"/>
  <c r="O45" i="86"/>
  <c r="J52" i="86"/>
  <c r="C56" i="86"/>
  <c r="O54" i="86"/>
  <c r="O67" i="86"/>
  <c r="F69" i="86"/>
  <c r="C69" i="86" s="1"/>
  <c r="C70" i="86"/>
  <c r="C71" i="86"/>
  <c r="C119" i="86"/>
  <c r="C120" i="86"/>
  <c r="F116" i="86"/>
  <c r="C141" i="86"/>
  <c r="C147" i="86"/>
  <c r="C148" i="86"/>
  <c r="F144" i="86"/>
  <c r="C159" i="86"/>
  <c r="C176" i="86"/>
  <c r="F175" i="86"/>
  <c r="O84" i="86"/>
  <c r="L83" i="86"/>
  <c r="C96" i="86"/>
  <c r="F95" i="86"/>
  <c r="O95" i="86"/>
  <c r="C106" i="86"/>
  <c r="C107" i="86"/>
  <c r="C114" i="86"/>
  <c r="C115" i="86"/>
  <c r="C123" i="86"/>
  <c r="C142" i="86"/>
  <c r="C143" i="86"/>
  <c r="C150" i="86"/>
  <c r="C152" i="86"/>
  <c r="F151" i="86"/>
  <c r="C151" i="86" s="1"/>
  <c r="C167" i="86"/>
  <c r="C178" i="86"/>
  <c r="O179" i="86"/>
  <c r="C209" i="86"/>
  <c r="F205" i="86"/>
  <c r="C235" i="86"/>
  <c r="C261" i="86"/>
  <c r="F260" i="86"/>
  <c r="C85" i="86"/>
  <c r="F84" i="86"/>
  <c r="C98" i="86"/>
  <c r="C99" i="86"/>
  <c r="C110" i="86"/>
  <c r="C111" i="86"/>
  <c r="C112" i="86"/>
  <c r="O116" i="86"/>
  <c r="I122" i="86"/>
  <c r="C122" i="86" s="1"/>
  <c r="C126" i="86"/>
  <c r="C132" i="86"/>
  <c r="F131" i="86"/>
  <c r="C138" i="86"/>
  <c r="C139" i="86"/>
  <c r="O144" i="86"/>
  <c r="O130" i="86" s="1"/>
  <c r="C154" i="86"/>
  <c r="C155" i="86"/>
  <c r="C163" i="86"/>
  <c r="F165" i="86"/>
  <c r="C166" i="86"/>
  <c r="I165" i="86"/>
  <c r="C171" i="86"/>
  <c r="M174" i="86"/>
  <c r="M173" i="86" s="1"/>
  <c r="C180" i="86"/>
  <c r="F179" i="86"/>
  <c r="C186" i="86"/>
  <c r="C193" i="86"/>
  <c r="F192" i="86"/>
  <c r="C256" i="86"/>
  <c r="I252" i="86"/>
  <c r="I251" i="86" s="1"/>
  <c r="C277" i="86"/>
  <c r="F276" i="86"/>
  <c r="I160" i="86"/>
  <c r="C160" i="86" s="1"/>
  <c r="I184" i="86"/>
  <c r="C184" i="86" s="1"/>
  <c r="C200" i="86"/>
  <c r="I198" i="86"/>
  <c r="I196" i="86" s="1"/>
  <c r="C203" i="86"/>
  <c r="H194" i="86"/>
  <c r="I205" i="86"/>
  <c r="I204" i="86" s="1"/>
  <c r="C211" i="86"/>
  <c r="C212" i="86"/>
  <c r="C223" i="86"/>
  <c r="C224" i="86"/>
  <c r="C228" i="86"/>
  <c r="O231" i="86"/>
  <c r="L264" i="86"/>
  <c r="C267" i="86"/>
  <c r="E270" i="86"/>
  <c r="E269" i="86" s="1"/>
  <c r="C285" i="86"/>
  <c r="F284" i="86"/>
  <c r="F188" i="86"/>
  <c r="C197" i="86"/>
  <c r="F196" i="86"/>
  <c r="L196" i="86"/>
  <c r="C215" i="86"/>
  <c r="L216" i="86"/>
  <c r="L204" i="86" s="1"/>
  <c r="C232" i="86"/>
  <c r="C233" i="86"/>
  <c r="L231" i="86"/>
  <c r="C239" i="86"/>
  <c r="C241" i="86"/>
  <c r="F238" i="86"/>
  <c r="C248" i="86"/>
  <c r="I246" i="86"/>
  <c r="C246" i="86" s="1"/>
  <c r="E230" i="86"/>
  <c r="C253" i="86"/>
  <c r="F252" i="86"/>
  <c r="O251" i="86"/>
  <c r="M259" i="86"/>
  <c r="M230" i="86" s="1"/>
  <c r="C263" i="86"/>
  <c r="C265" i="86"/>
  <c r="F264" i="86"/>
  <c r="C273" i="86"/>
  <c r="F272" i="86"/>
  <c r="O293" i="86"/>
  <c r="O196" i="86"/>
  <c r="O205" i="86"/>
  <c r="C217" i="86"/>
  <c r="F216" i="86"/>
  <c r="O216" i="86"/>
  <c r="J230" i="86"/>
  <c r="J194" i="86" s="1"/>
  <c r="C240" i="86"/>
  <c r="I238" i="86"/>
  <c r="I231" i="86" s="1"/>
  <c r="I259" i="86"/>
  <c r="C268" i="86"/>
  <c r="L276" i="86"/>
  <c r="L270" i="86" s="1"/>
  <c r="L269" i="86" s="1"/>
  <c r="C279" i="86"/>
  <c r="C296" i="86"/>
  <c r="C297" i="86"/>
  <c r="F293" i="86"/>
  <c r="C199" i="86"/>
  <c r="C247" i="86"/>
  <c r="J289" i="86" l="1"/>
  <c r="C216" i="86"/>
  <c r="D75" i="86"/>
  <c r="I292" i="86"/>
  <c r="I291" i="86" s="1"/>
  <c r="I83" i="86"/>
  <c r="O230" i="86"/>
  <c r="C179" i="86"/>
  <c r="I173" i="86"/>
  <c r="L259" i="86"/>
  <c r="K289" i="86"/>
  <c r="N52" i="86"/>
  <c r="N51" i="86" s="1"/>
  <c r="N290" i="86" s="1"/>
  <c r="C264" i="86"/>
  <c r="C165" i="86"/>
  <c r="N194" i="86"/>
  <c r="G52" i="86"/>
  <c r="G51" i="86" s="1"/>
  <c r="G289" i="86"/>
  <c r="C136" i="86"/>
  <c r="M75" i="86"/>
  <c r="M52" i="86" s="1"/>
  <c r="H75" i="86"/>
  <c r="H52" i="86" s="1"/>
  <c r="H51" i="86" s="1"/>
  <c r="K194" i="86"/>
  <c r="K51" i="86" s="1"/>
  <c r="F67" i="86"/>
  <c r="C67" i="86" s="1"/>
  <c r="C68" i="86"/>
  <c r="C103" i="86"/>
  <c r="I195" i="86"/>
  <c r="D289" i="86"/>
  <c r="D194" i="86"/>
  <c r="M194" i="86"/>
  <c r="M51" i="86" s="1"/>
  <c r="E289" i="86"/>
  <c r="E52" i="86"/>
  <c r="N50" i="86"/>
  <c r="H289" i="86"/>
  <c r="C196" i="86"/>
  <c r="I230" i="86"/>
  <c r="C260" i="86"/>
  <c r="F259" i="86"/>
  <c r="C259" i="86" s="1"/>
  <c r="C93" i="86"/>
  <c r="F89" i="86"/>
  <c r="C89" i="86" s="1"/>
  <c r="O204" i="86"/>
  <c r="O195" i="86" s="1"/>
  <c r="O194" i="86" s="1"/>
  <c r="F270" i="86"/>
  <c r="C272" i="86"/>
  <c r="C252" i="86"/>
  <c r="F251" i="86"/>
  <c r="C251" i="86" s="1"/>
  <c r="L230" i="86"/>
  <c r="C188" i="86"/>
  <c r="C276" i="86"/>
  <c r="O53" i="86"/>
  <c r="J51" i="86"/>
  <c r="C58" i="86"/>
  <c r="F54" i="86"/>
  <c r="C80" i="86"/>
  <c r="L76" i="86"/>
  <c r="C205" i="86"/>
  <c r="F204" i="86"/>
  <c r="C95" i="86"/>
  <c r="C175" i="86"/>
  <c r="F174" i="86"/>
  <c r="C27" i="86"/>
  <c r="L26" i="86"/>
  <c r="F292" i="86"/>
  <c r="C21" i="86"/>
  <c r="F20" i="86"/>
  <c r="C293" i="86"/>
  <c r="C238" i="86"/>
  <c r="L195" i="86"/>
  <c r="L194" i="86" s="1"/>
  <c r="C284" i="86"/>
  <c r="F283" i="86"/>
  <c r="C283" i="86" s="1"/>
  <c r="C192" i="86"/>
  <c r="F191" i="86"/>
  <c r="C191" i="86" s="1"/>
  <c r="C84" i="86"/>
  <c r="F83" i="86"/>
  <c r="F231" i="86"/>
  <c r="C45" i="86"/>
  <c r="O292" i="86"/>
  <c r="O291" i="86" s="1"/>
  <c r="O20" i="86"/>
  <c r="O174" i="86"/>
  <c r="O173" i="86" s="1"/>
  <c r="I130" i="86"/>
  <c r="I75" i="86" s="1"/>
  <c r="I53" i="86"/>
  <c r="C131" i="86"/>
  <c r="F130" i="86"/>
  <c r="E194" i="86"/>
  <c r="O83" i="86"/>
  <c r="O75" i="86" s="1"/>
  <c r="C198" i="86"/>
  <c r="C144" i="86"/>
  <c r="C116" i="86"/>
  <c r="D52" i="86"/>
  <c r="D51" i="86" s="1"/>
  <c r="H290" i="86" l="1"/>
  <c r="H50" i="86"/>
  <c r="M289" i="86"/>
  <c r="K50" i="86"/>
  <c r="K290" i="86"/>
  <c r="G290" i="86"/>
  <c r="G50" i="86"/>
  <c r="C204" i="86"/>
  <c r="M50" i="86"/>
  <c r="M290" i="86"/>
  <c r="C26" i="86"/>
  <c r="L20" i="86"/>
  <c r="C20" i="86" s="1"/>
  <c r="J50" i="86"/>
  <c r="J290" i="86"/>
  <c r="I289" i="86"/>
  <c r="C130" i="86"/>
  <c r="C54" i="86"/>
  <c r="F53" i="86"/>
  <c r="O52" i="86"/>
  <c r="O51" i="86" s="1"/>
  <c r="F269" i="86"/>
  <c r="C270" i="86"/>
  <c r="F195" i="86"/>
  <c r="F230" i="86"/>
  <c r="C230" i="86" s="1"/>
  <c r="C231" i="86"/>
  <c r="F173" i="86"/>
  <c r="C173" i="86" s="1"/>
  <c r="C174" i="86"/>
  <c r="E51" i="86"/>
  <c r="D290" i="86"/>
  <c r="D50" i="86"/>
  <c r="I52" i="86"/>
  <c r="C83" i="86"/>
  <c r="F75" i="86"/>
  <c r="C292" i="86"/>
  <c r="F291" i="86"/>
  <c r="C291" i="86" s="1"/>
  <c r="L75" i="86"/>
  <c r="L52" i="86" s="1"/>
  <c r="L51" i="86" s="1"/>
  <c r="L50" i="86" s="1"/>
  <c r="C76" i="86"/>
  <c r="F187" i="86"/>
  <c r="C187" i="86" s="1"/>
  <c r="I194" i="86"/>
  <c r="O289" i="86"/>
  <c r="L289" i="86" l="1"/>
  <c r="L290" i="86"/>
  <c r="I51" i="86"/>
  <c r="F194" i="86"/>
  <c r="C194" i="86" s="1"/>
  <c r="C195" i="86"/>
  <c r="C75" i="86"/>
  <c r="C269" i="86"/>
  <c r="F289" i="86"/>
  <c r="C289" i="86" s="1"/>
  <c r="E290" i="86"/>
  <c r="E50" i="86"/>
  <c r="O50" i="86"/>
  <c r="O290" i="86"/>
  <c r="F52" i="86"/>
  <c r="C53" i="86"/>
  <c r="I290" i="86" l="1"/>
  <c r="I50" i="86"/>
  <c r="F51" i="86"/>
  <c r="C52" i="86"/>
  <c r="F290" i="86" l="1"/>
  <c r="C290" i="86" s="1"/>
  <c r="C51" i="86"/>
  <c r="F50" i="86"/>
  <c r="C50" i="86" s="1"/>
  <c r="O301" i="85" l="1"/>
  <c r="L301" i="85"/>
  <c r="I301" i="85"/>
  <c r="F301" i="85"/>
  <c r="O300" i="85"/>
  <c r="L300" i="85"/>
  <c r="I300" i="85"/>
  <c r="F300" i="85"/>
  <c r="O299" i="85"/>
  <c r="L299" i="85"/>
  <c r="I299" i="85"/>
  <c r="F299" i="85"/>
  <c r="O298" i="85"/>
  <c r="L298" i="85"/>
  <c r="I298" i="85"/>
  <c r="F298" i="85"/>
  <c r="O297" i="85"/>
  <c r="L297" i="85"/>
  <c r="I297" i="85"/>
  <c r="F297" i="85"/>
  <c r="O296" i="85"/>
  <c r="L296" i="85"/>
  <c r="I296" i="85"/>
  <c r="F296" i="85"/>
  <c r="O295" i="85"/>
  <c r="L295" i="85"/>
  <c r="I295" i="85"/>
  <c r="F295" i="85"/>
  <c r="O294" i="85"/>
  <c r="O293" i="85" s="1"/>
  <c r="L294" i="85"/>
  <c r="I294" i="85"/>
  <c r="F294" i="85"/>
  <c r="N293" i="85"/>
  <c r="M293" i="85"/>
  <c r="K293" i="85"/>
  <c r="J293" i="85"/>
  <c r="H293" i="85"/>
  <c r="G293" i="85"/>
  <c r="E293" i="85"/>
  <c r="D293" i="85"/>
  <c r="O288" i="85"/>
  <c r="L288" i="85"/>
  <c r="I288" i="85"/>
  <c r="F288" i="85"/>
  <c r="O287" i="85"/>
  <c r="L287" i="85"/>
  <c r="I287" i="85"/>
  <c r="F287" i="85"/>
  <c r="O286" i="85"/>
  <c r="N286" i="85"/>
  <c r="M286" i="85"/>
  <c r="K286" i="85"/>
  <c r="J286" i="85"/>
  <c r="H286" i="85"/>
  <c r="G286" i="85"/>
  <c r="F286" i="85"/>
  <c r="E286" i="85"/>
  <c r="D286" i="85"/>
  <c r="O285" i="85"/>
  <c r="L285" i="85"/>
  <c r="L284" i="85" s="1"/>
  <c r="L283" i="85" s="1"/>
  <c r="I285" i="85"/>
  <c r="I284" i="85" s="1"/>
  <c r="I283" i="85" s="1"/>
  <c r="F285" i="85"/>
  <c r="O284" i="85"/>
  <c r="N284" i="85"/>
  <c r="N283" i="85" s="1"/>
  <c r="M284" i="85"/>
  <c r="M283" i="85" s="1"/>
  <c r="K284" i="85"/>
  <c r="K283" i="85" s="1"/>
  <c r="J284" i="85"/>
  <c r="J283" i="85" s="1"/>
  <c r="H284" i="85"/>
  <c r="H283" i="85" s="1"/>
  <c r="G284" i="85"/>
  <c r="G283" i="85" s="1"/>
  <c r="F284" i="85"/>
  <c r="E284" i="85"/>
  <c r="E283" i="85" s="1"/>
  <c r="D284" i="85"/>
  <c r="D283" i="85" s="1"/>
  <c r="O283" i="85"/>
  <c r="O282" i="85"/>
  <c r="O281" i="85" s="1"/>
  <c r="L282" i="85"/>
  <c r="L281" i="85" s="1"/>
  <c r="I282" i="85"/>
  <c r="I281" i="85" s="1"/>
  <c r="F282" i="85"/>
  <c r="F281" i="85" s="1"/>
  <c r="N281" i="85"/>
  <c r="M281" i="85"/>
  <c r="K281" i="85"/>
  <c r="J281" i="85"/>
  <c r="H281" i="85"/>
  <c r="G281" i="85"/>
  <c r="E281" i="85"/>
  <c r="D281" i="85"/>
  <c r="O280" i="85"/>
  <c r="L280" i="85"/>
  <c r="I280" i="85"/>
  <c r="F280" i="85"/>
  <c r="O279" i="85"/>
  <c r="L279" i="85"/>
  <c r="I279" i="85"/>
  <c r="F279" i="85"/>
  <c r="O278" i="85"/>
  <c r="L278" i="85"/>
  <c r="I278" i="85"/>
  <c r="F278" i="85"/>
  <c r="O277" i="85"/>
  <c r="L277" i="85"/>
  <c r="I277" i="85"/>
  <c r="F277" i="85"/>
  <c r="N276" i="85"/>
  <c r="M276" i="85"/>
  <c r="K276" i="85"/>
  <c r="J276" i="85"/>
  <c r="H276" i="85"/>
  <c r="G276" i="85"/>
  <c r="E276" i="85"/>
  <c r="D276" i="85"/>
  <c r="O275" i="85"/>
  <c r="L275" i="85"/>
  <c r="I275" i="85"/>
  <c r="F275" i="85"/>
  <c r="O274" i="85"/>
  <c r="L274" i="85"/>
  <c r="I274" i="85"/>
  <c r="F274" i="85"/>
  <c r="O273" i="85"/>
  <c r="L273" i="85"/>
  <c r="L272" i="85" s="1"/>
  <c r="I273" i="85"/>
  <c r="I272" i="85" s="1"/>
  <c r="F273" i="85"/>
  <c r="N272" i="85"/>
  <c r="N270" i="85" s="1"/>
  <c r="M272" i="85"/>
  <c r="K272" i="85"/>
  <c r="J272" i="85"/>
  <c r="H272" i="85"/>
  <c r="H270" i="85" s="1"/>
  <c r="G272" i="85"/>
  <c r="E272" i="85"/>
  <c r="E270" i="85" s="1"/>
  <c r="D272" i="85"/>
  <c r="O271" i="85"/>
  <c r="L271" i="85"/>
  <c r="I271" i="85"/>
  <c r="F271" i="85"/>
  <c r="K270" i="85"/>
  <c r="K269" i="85" s="1"/>
  <c r="O268" i="85"/>
  <c r="L268" i="85"/>
  <c r="I268" i="85"/>
  <c r="F268" i="85"/>
  <c r="O267" i="85"/>
  <c r="L267" i="85"/>
  <c r="I267" i="85"/>
  <c r="F267" i="85"/>
  <c r="O266" i="85"/>
  <c r="L266" i="85"/>
  <c r="I266" i="85"/>
  <c r="F266" i="85"/>
  <c r="O265" i="85"/>
  <c r="L265" i="85"/>
  <c r="I265" i="85"/>
  <c r="F265" i="85"/>
  <c r="N264" i="85"/>
  <c r="M264" i="85"/>
  <c r="K264" i="85"/>
  <c r="J264" i="85"/>
  <c r="H264" i="85"/>
  <c r="G264" i="85"/>
  <c r="E264" i="85"/>
  <c r="D264" i="85"/>
  <c r="O263" i="85"/>
  <c r="L263" i="85"/>
  <c r="I263" i="85"/>
  <c r="F263" i="85"/>
  <c r="O262" i="85"/>
  <c r="L262" i="85"/>
  <c r="I262" i="85"/>
  <c r="F262" i="85"/>
  <c r="O261" i="85"/>
  <c r="L261" i="85"/>
  <c r="I261" i="85"/>
  <c r="F261" i="85"/>
  <c r="F260" i="85" s="1"/>
  <c r="N260" i="85"/>
  <c r="N259" i="85" s="1"/>
  <c r="M260" i="85"/>
  <c r="M259" i="85" s="1"/>
  <c r="K260" i="85"/>
  <c r="K259" i="85" s="1"/>
  <c r="J260" i="85"/>
  <c r="H260" i="85"/>
  <c r="H259" i="85" s="1"/>
  <c r="G260" i="85"/>
  <c r="G259" i="85" s="1"/>
  <c r="E260" i="85"/>
  <c r="D260" i="85"/>
  <c r="D259" i="85" s="1"/>
  <c r="O258" i="85"/>
  <c r="L258" i="85"/>
  <c r="I258" i="85"/>
  <c r="F258" i="85"/>
  <c r="O257" i="85"/>
  <c r="L257" i="85"/>
  <c r="I257" i="85"/>
  <c r="F257" i="85"/>
  <c r="O256" i="85"/>
  <c r="L256" i="85"/>
  <c r="I256" i="85"/>
  <c r="F256" i="85"/>
  <c r="O255" i="85"/>
  <c r="L255" i="85"/>
  <c r="I255" i="85"/>
  <c r="F255" i="85"/>
  <c r="O254" i="85"/>
  <c r="L254" i="85"/>
  <c r="I254" i="85"/>
  <c r="F254" i="85"/>
  <c r="O253" i="85"/>
  <c r="L253" i="85"/>
  <c r="I253" i="85"/>
  <c r="I252" i="85" s="1"/>
  <c r="F253" i="85"/>
  <c r="N252" i="85"/>
  <c r="M252" i="85"/>
  <c r="M251" i="85" s="1"/>
  <c r="K252" i="85"/>
  <c r="K251" i="85" s="1"/>
  <c r="J252" i="85"/>
  <c r="H252" i="85"/>
  <c r="H251" i="85" s="1"/>
  <c r="G252" i="85"/>
  <c r="E252" i="85"/>
  <c r="E251" i="85" s="1"/>
  <c r="D252" i="85"/>
  <c r="N251" i="85"/>
  <c r="J251" i="85"/>
  <c r="G251" i="85"/>
  <c r="D251" i="85"/>
  <c r="O250" i="85"/>
  <c r="L250" i="85"/>
  <c r="I250" i="85"/>
  <c r="F250" i="85"/>
  <c r="O249" i="85"/>
  <c r="L249" i="85"/>
  <c r="I249" i="85"/>
  <c r="F249" i="85"/>
  <c r="O248" i="85"/>
  <c r="L248" i="85"/>
  <c r="I248" i="85"/>
  <c r="F248" i="85"/>
  <c r="O247" i="85"/>
  <c r="L247" i="85"/>
  <c r="I247" i="85"/>
  <c r="F247" i="85"/>
  <c r="O246" i="85"/>
  <c r="N246" i="85"/>
  <c r="M246" i="85"/>
  <c r="K246" i="85"/>
  <c r="J246" i="85"/>
  <c r="H246" i="85"/>
  <c r="G246" i="85"/>
  <c r="E246" i="85"/>
  <c r="D246" i="85"/>
  <c r="O245" i="85"/>
  <c r="L245" i="85"/>
  <c r="I245" i="85"/>
  <c r="F245" i="85"/>
  <c r="O244" i="85"/>
  <c r="L244" i="85"/>
  <c r="I244" i="85"/>
  <c r="F244" i="85"/>
  <c r="O243" i="85"/>
  <c r="L243" i="85"/>
  <c r="I243" i="85"/>
  <c r="F243" i="85"/>
  <c r="O242" i="85"/>
  <c r="L242" i="85"/>
  <c r="I242" i="85"/>
  <c r="F242" i="85"/>
  <c r="O241" i="85"/>
  <c r="L241" i="85"/>
  <c r="I241" i="85"/>
  <c r="F241" i="85"/>
  <c r="O240" i="85"/>
  <c r="L240" i="85"/>
  <c r="I240" i="85"/>
  <c r="F240" i="85"/>
  <c r="O239" i="85"/>
  <c r="L239" i="85"/>
  <c r="L238" i="85" s="1"/>
  <c r="I239" i="85"/>
  <c r="F239" i="85"/>
  <c r="N238" i="85"/>
  <c r="M238" i="85"/>
  <c r="K238" i="85"/>
  <c r="J238" i="85"/>
  <c r="H238" i="85"/>
  <c r="G238" i="85"/>
  <c r="E238" i="85"/>
  <c r="D238" i="85"/>
  <c r="O237" i="85"/>
  <c r="L237" i="85"/>
  <c r="I237" i="85"/>
  <c r="F237" i="85"/>
  <c r="C237" i="85" s="1"/>
  <c r="O236" i="85"/>
  <c r="L236" i="85"/>
  <c r="L235" i="85" s="1"/>
  <c r="I236" i="85"/>
  <c r="I235" i="85" s="1"/>
  <c r="F236" i="85"/>
  <c r="C236" i="85" s="1"/>
  <c r="O235" i="85"/>
  <c r="N235" i="85"/>
  <c r="M235" i="85"/>
  <c r="K235" i="85"/>
  <c r="K231" i="85" s="1"/>
  <c r="J235" i="85"/>
  <c r="H235" i="85"/>
  <c r="G235" i="85"/>
  <c r="F235" i="85"/>
  <c r="E235" i="85"/>
  <c r="D235" i="85"/>
  <c r="O234" i="85"/>
  <c r="O233" i="85" s="1"/>
  <c r="L234" i="85"/>
  <c r="L233" i="85" s="1"/>
  <c r="I234" i="85"/>
  <c r="F234" i="85"/>
  <c r="F233" i="85" s="1"/>
  <c r="N233" i="85"/>
  <c r="M233" i="85"/>
  <c r="K233" i="85"/>
  <c r="J233" i="85"/>
  <c r="I233" i="85"/>
  <c r="H233" i="85"/>
  <c r="G233" i="85"/>
  <c r="E233" i="85"/>
  <c r="E231" i="85" s="1"/>
  <c r="D233" i="85"/>
  <c r="O232" i="85"/>
  <c r="L232" i="85"/>
  <c r="I232" i="85"/>
  <c r="F232" i="85"/>
  <c r="O229" i="85"/>
  <c r="L229" i="85"/>
  <c r="I229" i="85"/>
  <c r="F229" i="85"/>
  <c r="O228" i="85"/>
  <c r="O227" i="85" s="1"/>
  <c r="L228" i="85"/>
  <c r="L227" i="85" s="1"/>
  <c r="I228" i="85"/>
  <c r="I227" i="85" s="1"/>
  <c r="F228" i="85"/>
  <c r="N227" i="85"/>
  <c r="M227" i="85"/>
  <c r="K227" i="85"/>
  <c r="J227" i="85"/>
  <c r="H227" i="85"/>
  <c r="G227" i="85"/>
  <c r="F227" i="85"/>
  <c r="E227" i="85"/>
  <c r="D227" i="85"/>
  <c r="O226" i="85"/>
  <c r="L226" i="85"/>
  <c r="I226" i="85"/>
  <c r="F226" i="85"/>
  <c r="O225" i="85"/>
  <c r="L225" i="85"/>
  <c r="I225" i="85"/>
  <c r="F225" i="85"/>
  <c r="O224" i="85"/>
  <c r="L224" i="85"/>
  <c r="I224" i="85"/>
  <c r="F224" i="85"/>
  <c r="O223" i="85"/>
  <c r="L223" i="85"/>
  <c r="I223" i="85"/>
  <c r="F223" i="85"/>
  <c r="O222" i="85"/>
  <c r="L222" i="85"/>
  <c r="I222" i="85"/>
  <c r="F222" i="85"/>
  <c r="O221" i="85"/>
  <c r="L221" i="85"/>
  <c r="I221" i="85"/>
  <c r="F221" i="85"/>
  <c r="O220" i="85"/>
  <c r="L220" i="85"/>
  <c r="I220" i="85"/>
  <c r="F220" i="85"/>
  <c r="O219" i="85"/>
  <c r="L219" i="85"/>
  <c r="I219" i="85"/>
  <c r="F219" i="85"/>
  <c r="O218" i="85"/>
  <c r="L218" i="85"/>
  <c r="I218" i="85"/>
  <c r="F218" i="85"/>
  <c r="O217" i="85"/>
  <c r="L217" i="85"/>
  <c r="I217" i="85"/>
  <c r="I216" i="85" s="1"/>
  <c r="F217" i="85"/>
  <c r="F216" i="85" s="1"/>
  <c r="N216" i="85"/>
  <c r="M216" i="85"/>
  <c r="K216" i="85"/>
  <c r="J216" i="85"/>
  <c r="H216" i="85"/>
  <c r="G216" i="85"/>
  <c r="E216" i="85"/>
  <c r="D216" i="85"/>
  <c r="O215" i="85"/>
  <c r="L215" i="85"/>
  <c r="I215" i="85"/>
  <c r="F215" i="85"/>
  <c r="O214" i="85"/>
  <c r="L214" i="85"/>
  <c r="I214" i="85"/>
  <c r="F214" i="85"/>
  <c r="O213" i="85"/>
  <c r="L213" i="85"/>
  <c r="I213" i="85"/>
  <c r="F213" i="85"/>
  <c r="O212" i="85"/>
  <c r="L212" i="85"/>
  <c r="I212" i="85"/>
  <c r="F212" i="85"/>
  <c r="O211" i="85"/>
  <c r="L211" i="85"/>
  <c r="I211" i="85"/>
  <c r="F211" i="85"/>
  <c r="O210" i="85"/>
  <c r="L210" i="85"/>
  <c r="I210" i="85"/>
  <c r="F210" i="85"/>
  <c r="O209" i="85"/>
  <c r="L209" i="85"/>
  <c r="I209" i="85"/>
  <c r="F209" i="85"/>
  <c r="O208" i="85"/>
  <c r="L208" i="85"/>
  <c r="I208" i="85"/>
  <c r="F208" i="85"/>
  <c r="O207" i="85"/>
  <c r="L207" i="85"/>
  <c r="I207" i="85"/>
  <c r="F207" i="85"/>
  <c r="O206" i="85"/>
  <c r="L206" i="85"/>
  <c r="I206" i="85"/>
  <c r="F206" i="85"/>
  <c r="N205" i="85"/>
  <c r="M205" i="85"/>
  <c r="M204" i="85" s="1"/>
  <c r="K205" i="85"/>
  <c r="J205" i="85"/>
  <c r="H205" i="85"/>
  <c r="G205" i="85"/>
  <c r="E205" i="85"/>
  <c r="D205" i="85"/>
  <c r="D204" i="85" s="1"/>
  <c r="O203" i="85"/>
  <c r="L203" i="85"/>
  <c r="I203" i="85"/>
  <c r="F203" i="85"/>
  <c r="O202" i="85"/>
  <c r="L202" i="85"/>
  <c r="I202" i="85"/>
  <c r="F202" i="85"/>
  <c r="O201" i="85"/>
  <c r="L201" i="85"/>
  <c r="I201" i="85"/>
  <c r="F201" i="85"/>
  <c r="O200" i="85"/>
  <c r="L200" i="85"/>
  <c r="I200" i="85"/>
  <c r="F200" i="85"/>
  <c r="O199" i="85"/>
  <c r="L199" i="85"/>
  <c r="I199" i="85"/>
  <c r="F199" i="85"/>
  <c r="O198" i="85"/>
  <c r="N198" i="85"/>
  <c r="N196" i="85" s="1"/>
  <c r="M198" i="85"/>
  <c r="K198" i="85"/>
  <c r="K196" i="85" s="1"/>
  <c r="J198" i="85"/>
  <c r="H198" i="85"/>
  <c r="H196" i="85" s="1"/>
  <c r="G198" i="85"/>
  <c r="G196" i="85" s="1"/>
  <c r="F198" i="85"/>
  <c r="E198" i="85"/>
  <c r="D198" i="85"/>
  <c r="D196" i="85" s="1"/>
  <c r="O197" i="85"/>
  <c r="L197" i="85"/>
  <c r="I197" i="85"/>
  <c r="F197" i="85"/>
  <c r="F196" i="85" s="1"/>
  <c r="M196" i="85"/>
  <c r="J196" i="85"/>
  <c r="E196" i="85"/>
  <c r="O193" i="85"/>
  <c r="O192" i="85" s="1"/>
  <c r="O191" i="85" s="1"/>
  <c r="L193" i="85"/>
  <c r="L192" i="85" s="1"/>
  <c r="L191" i="85" s="1"/>
  <c r="I193" i="85"/>
  <c r="I192" i="85" s="1"/>
  <c r="F193" i="85"/>
  <c r="F192" i="85" s="1"/>
  <c r="F191" i="85" s="1"/>
  <c r="N192" i="85"/>
  <c r="N191" i="85" s="1"/>
  <c r="M192" i="85"/>
  <c r="K192" i="85"/>
  <c r="K191" i="85" s="1"/>
  <c r="J192" i="85"/>
  <c r="J191" i="85" s="1"/>
  <c r="H192" i="85"/>
  <c r="H191" i="85" s="1"/>
  <c r="G192" i="85"/>
  <c r="G191" i="85" s="1"/>
  <c r="E192" i="85"/>
  <c r="E191" i="85" s="1"/>
  <c r="D192" i="85"/>
  <c r="D191" i="85" s="1"/>
  <c r="M191" i="85"/>
  <c r="I191" i="85"/>
  <c r="O190" i="85"/>
  <c r="L190" i="85"/>
  <c r="I190" i="85"/>
  <c r="F190" i="85"/>
  <c r="O189" i="85"/>
  <c r="L189" i="85"/>
  <c r="I189" i="85"/>
  <c r="I188" i="85" s="1"/>
  <c r="I187" i="85" s="1"/>
  <c r="F189" i="85"/>
  <c r="O188" i="85"/>
  <c r="O187" i="85" s="1"/>
  <c r="N188" i="85"/>
  <c r="M188" i="85"/>
  <c r="K188" i="85"/>
  <c r="K187" i="85" s="1"/>
  <c r="J188" i="85"/>
  <c r="H188" i="85"/>
  <c r="G188" i="85"/>
  <c r="F188" i="85"/>
  <c r="E188" i="85"/>
  <c r="D188" i="85"/>
  <c r="M187" i="85"/>
  <c r="O186" i="85"/>
  <c r="L186" i="85"/>
  <c r="I186" i="85"/>
  <c r="F186" i="85"/>
  <c r="O185" i="85"/>
  <c r="L185" i="85"/>
  <c r="I185" i="85"/>
  <c r="I184" i="85" s="1"/>
  <c r="F185" i="85"/>
  <c r="O184" i="85"/>
  <c r="N184" i="85"/>
  <c r="M184" i="85"/>
  <c r="K184" i="85"/>
  <c r="J184" i="85"/>
  <c r="H184" i="85"/>
  <c r="G184" i="85"/>
  <c r="F184" i="85"/>
  <c r="E184" i="85"/>
  <c r="D184" i="85"/>
  <c r="O183" i="85"/>
  <c r="L183" i="85"/>
  <c r="I183" i="85"/>
  <c r="F183" i="85"/>
  <c r="O182" i="85"/>
  <c r="L182" i="85"/>
  <c r="I182" i="85"/>
  <c r="F182" i="85"/>
  <c r="O181" i="85"/>
  <c r="L181" i="85"/>
  <c r="I181" i="85"/>
  <c r="F181" i="85"/>
  <c r="O180" i="85"/>
  <c r="O179" i="85" s="1"/>
  <c r="L180" i="85"/>
  <c r="I180" i="85"/>
  <c r="F180" i="85"/>
  <c r="F179" i="85" s="1"/>
  <c r="N179" i="85"/>
  <c r="M179" i="85"/>
  <c r="K179" i="85"/>
  <c r="J179" i="85"/>
  <c r="H179" i="85"/>
  <c r="G179" i="85"/>
  <c r="E179" i="85"/>
  <c r="D179" i="85"/>
  <c r="O178" i="85"/>
  <c r="L178" i="85"/>
  <c r="I178" i="85"/>
  <c r="F178" i="85"/>
  <c r="O177" i="85"/>
  <c r="L177" i="85"/>
  <c r="I177" i="85"/>
  <c r="F177" i="85"/>
  <c r="O176" i="85"/>
  <c r="O175" i="85" s="1"/>
  <c r="L176" i="85"/>
  <c r="I176" i="85"/>
  <c r="F176" i="85"/>
  <c r="F175" i="85" s="1"/>
  <c r="N175" i="85"/>
  <c r="M175" i="85"/>
  <c r="K175" i="85"/>
  <c r="J175" i="85"/>
  <c r="H175" i="85"/>
  <c r="H174" i="85" s="1"/>
  <c r="G175" i="85"/>
  <c r="E175" i="85"/>
  <c r="E174" i="85" s="1"/>
  <c r="E173" i="85" s="1"/>
  <c r="D175" i="85"/>
  <c r="D174" i="85" s="1"/>
  <c r="N174" i="85"/>
  <c r="M174" i="85"/>
  <c r="K174" i="85"/>
  <c r="J174" i="85"/>
  <c r="J173" i="85" s="1"/>
  <c r="G174" i="85"/>
  <c r="G173" i="85" s="1"/>
  <c r="O172" i="85"/>
  <c r="L172" i="85"/>
  <c r="I172" i="85"/>
  <c r="F172" i="85"/>
  <c r="O171" i="85"/>
  <c r="L171" i="85"/>
  <c r="I171" i="85"/>
  <c r="F171" i="85"/>
  <c r="O170" i="85"/>
  <c r="L170" i="85"/>
  <c r="I170" i="85"/>
  <c r="F170" i="85"/>
  <c r="O169" i="85"/>
  <c r="L169" i="85"/>
  <c r="I169" i="85"/>
  <c r="F169" i="85"/>
  <c r="O168" i="85"/>
  <c r="L168" i="85"/>
  <c r="I168" i="85"/>
  <c r="F168" i="85"/>
  <c r="O167" i="85"/>
  <c r="L167" i="85"/>
  <c r="I167" i="85"/>
  <c r="I166" i="85" s="1"/>
  <c r="I165" i="85" s="1"/>
  <c r="F167" i="85"/>
  <c r="N166" i="85"/>
  <c r="M166" i="85"/>
  <c r="M165" i="85" s="1"/>
  <c r="K166" i="85"/>
  <c r="J166" i="85"/>
  <c r="J165" i="85" s="1"/>
  <c r="H166" i="85"/>
  <c r="G166" i="85"/>
  <c r="G165" i="85" s="1"/>
  <c r="F166" i="85"/>
  <c r="E166" i="85"/>
  <c r="E165" i="85" s="1"/>
  <c r="D166" i="85"/>
  <c r="N165" i="85"/>
  <c r="K165" i="85"/>
  <c r="H165" i="85"/>
  <c r="D165" i="85"/>
  <c r="O164" i="85"/>
  <c r="L164" i="85"/>
  <c r="I164" i="85"/>
  <c r="C164" i="85" s="1"/>
  <c r="F164" i="85"/>
  <c r="O163" i="85"/>
  <c r="L163" i="85"/>
  <c r="I163" i="85"/>
  <c r="F163" i="85"/>
  <c r="O162" i="85"/>
  <c r="L162" i="85"/>
  <c r="I162" i="85"/>
  <c r="F162" i="85"/>
  <c r="O161" i="85"/>
  <c r="O160" i="85" s="1"/>
  <c r="L161" i="85"/>
  <c r="L160" i="85" s="1"/>
  <c r="I161" i="85"/>
  <c r="I160" i="85" s="1"/>
  <c r="F161" i="85"/>
  <c r="N160" i="85"/>
  <c r="M160" i="85"/>
  <c r="K160" i="85"/>
  <c r="J160" i="85"/>
  <c r="H160" i="85"/>
  <c r="G160" i="85"/>
  <c r="E160" i="85"/>
  <c r="D160" i="85"/>
  <c r="O159" i="85"/>
  <c r="L159" i="85"/>
  <c r="I159" i="85"/>
  <c r="F159" i="85"/>
  <c r="O158" i="85"/>
  <c r="L158" i="85"/>
  <c r="I158" i="85"/>
  <c r="F158" i="85"/>
  <c r="O157" i="85"/>
  <c r="L157" i="85"/>
  <c r="I157" i="85"/>
  <c r="F157" i="85"/>
  <c r="O156" i="85"/>
  <c r="L156" i="85"/>
  <c r="I156" i="85"/>
  <c r="F156" i="85"/>
  <c r="O155" i="85"/>
  <c r="L155" i="85"/>
  <c r="I155" i="85"/>
  <c r="F155" i="85"/>
  <c r="O154" i="85"/>
  <c r="L154" i="85"/>
  <c r="I154" i="85"/>
  <c r="F154" i="85"/>
  <c r="O153" i="85"/>
  <c r="L153" i="85"/>
  <c r="I153" i="85"/>
  <c r="F153" i="85"/>
  <c r="O152" i="85"/>
  <c r="L152" i="85"/>
  <c r="L151" i="85" s="1"/>
  <c r="I152" i="85"/>
  <c r="F152" i="85"/>
  <c r="N151" i="85"/>
  <c r="M151" i="85"/>
  <c r="K151" i="85"/>
  <c r="J151" i="85"/>
  <c r="H151" i="85"/>
  <c r="G151" i="85"/>
  <c r="E151" i="85"/>
  <c r="D151" i="85"/>
  <c r="O150" i="85"/>
  <c r="L150" i="85"/>
  <c r="I150" i="85"/>
  <c r="F150" i="85"/>
  <c r="O149" i="85"/>
  <c r="L149" i="85"/>
  <c r="I149" i="85"/>
  <c r="F149" i="85"/>
  <c r="O148" i="85"/>
  <c r="L148" i="85"/>
  <c r="I148" i="85"/>
  <c r="F148" i="85"/>
  <c r="O147" i="85"/>
  <c r="L147" i="85"/>
  <c r="I147" i="85"/>
  <c r="F147" i="85"/>
  <c r="O146" i="85"/>
  <c r="L146" i="85"/>
  <c r="I146" i="85"/>
  <c r="F146" i="85"/>
  <c r="O145" i="85"/>
  <c r="L145" i="85"/>
  <c r="I145" i="85"/>
  <c r="F145" i="85"/>
  <c r="N144" i="85"/>
  <c r="M144" i="85"/>
  <c r="K144" i="85"/>
  <c r="J144" i="85"/>
  <c r="H144" i="85"/>
  <c r="G144" i="85"/>
  <c r="E144" i="85"/>
  <c r="D144" i="85"/>
  <c r="O143" i="85"/>
  <c r="L143" i="85"/>
  <c r="I143" i="85"/>
  <c r="F143" i="85"/>
  <c r="O142" i="85"/>
  <c r="L142" i="85"/>
  <c r="L141" i="85" s="1"/>
  <c r="I142" i="85"/>
  <c r="I141" i="85" s="1"/>
  <c r="F142" i="85"/>
  <c r="O141" i="85"/>
  <c r="N141" i="85"/>
  <c r="M141" i="85"/>
  <c r="K141" i="85"/>
  <c r="J141" i="85"/>
  <c r="H141" i="85"/>
  <c r="G141" i="85"/>
  <c r="F141" i="85"/>
  <c r="E141" i="85"/>
  <c r="D141" i="85"/>
  <c r="O140" i="85"/>
  <c r="L140" i="85"/>
  <c r="I140" i="85"/>
  <c r="F140" i="85"/>
  <c r="O139" i="85"/>
  <c r="L139" i="85"/>
  <c r="I139" i="85"/>
  <c r="F139" i="85"/>
  <c r="O138" i="85"/>
  <c r="L138" i="85"/>
  <c r="I138" i="85"/>
  <c r="F138" i="85"/>
  <c r="O137" i="85"/>
  <c r="L137" i="85"/>
  <c r="I137" i="85"/>
  <c r="F137" i="85"/>
  <c r="O136" i="85"/>
  <c r="N136" i="85"/>
  <c r="M136" i="85"/>
  <c r="K136" i="85"/>
  <c r="J136" i="85"/>
  <c r="H136" i="85"/>
  <c r="G136" i="85"/>
  <c r="E136" i="85"/>
  <c r="D136" i="85"/>
  <c r="O135" i="85"/>
  <c r="L135" i="85"/>
  <c r="I135" i="85"/>
  <c r="F135" i="85"/>
  <c r="O134" i="85"/>
  <c r="L134" i="85"/>
  <c r="I134" i="85"/>
  <c r="F134" i="85"/>
  <c r="O133" i="85"/>
  <c r="L133" i="85"/>
  <c r="I133" i="85"/>
  <c r="F133" i="85"/>
  <c r="O132" i="85"/>
  <c r="L132" i="85"/>
  <c r="I132" i="85"/>
  <c r="I131" i="85" s="1"/>
  <c r="F132" i="85"/>
  <c r="O131" i="85"/>
  <c r="N131" i="85"/>
  <c r="M131" i="85"/>
  <c r="K131" i="85"/>
  <c r="J131" i="85"/>
  <c r="H131" i="85"/>
  <c r="G131" i="85"/>
  <c r="F131" i="85"/>
  <c r="E131" i="85"/>
  <c r="D131" i="85"/>
  <c r="D130" i="85" s="1"/>
  <c r="O129" i="85"/>
  <c r="L129" i="85"/>
  <c r="L128" i="85" s="1"/>
  <c r="I129" i="85"/>
  <c r="F129" i="85"/>
  <c r="O128" i="85"/>
  <c r="N128" i="85"/>
  <c r="M128" i="85"/>
  <c r="K128" i="85"/>
  <c r="J128" i="85"/>
  <c r="H128" i="85"/>
  <c r="G128" i="85"/>
  <c r="F128" i="85"/>
  <c r="E128" i="85"/>
  <c r="D128" i="85"/>
  <c r="O127" i="85"/>
  <c r="L127" i="85"/>
  <c r="I127" i="85"/>
  <c r="F127" i="85"/>
  <c r="O126" i="85"/>
  <c r="L126" i="85"/>
  <c r="I126" i="85"/>
  <c r="F126" i="85"/>
  <c r="O125" i="85"/>
  <c r="L125" i="85"/>
  <c r="I125" i="85"/>
  <c r="F125" i="85"/>
  <c r="O124" i="85"/>
  <c r="L124" i="85"/>
  <c r="I124" i="85"/>
  <c r="F124" i="85"/>
  <c r="O123" i="85"/>
  <c r="O122" i="85" s="1"/>
  <c r="L123" i="85"/>
  <c r="I123" i="85"/>
  <c r="F123" i="85"/>
  <c r="F122" i="85" s="1"/>
  <c r="N122" i="85"/>
  <c r="M122" i="85"/>
  <c r="K122" i="85"/>
  <c r="J122" i="85"/>
  <c r="H122" i="85"/>
  <c r="G122" i="85"/>
  <c r="E122" i="85"/>
  <c r="D122" i="85"/>
  <c r="O121" i="85"/>
  <c r="L121" i="85"/>
  <c r="I121" i="85"/>
  <c r="F121" i="85"/>
  <c r="O120" i="85"/>
  <c r="L120" i="85"/>
  <c r="I120" i="85"/>
  <c r="F120" i="85"/>
  <c r="O119" i="85"/>
  <c r="L119" i="85"/>
  <c r="I119" i="85"/>
  <c r="F119" i="85"/>
  <c r="O118" i="85"/>
  <c r="L118" i="85"/>
  <c r="I118" i="85"/>
  <c r="F118" i="85"/>
  <c r="O117" i="85"/>
  <c r="L117" i="85"/>
  <c r="L116" i="85" s="1"/>
  <c r="I117" i="85"/>
  <c r="I116" i="85" s="1"/>
  <c r="F117" i="85"/>
  <c r="F116" i="85" s="1"/>
  <c r="N116" i="85"/>
  <c r="M116" i="85"/>
  <c r="K116" i="85"/>
  <c r="J116" i="85"/>
  <c r="H116" i="85"/>
  <c r="G116" i="85"/>
  <c r="E116" i="85"/>
  <c r="D116" i="85"/>
  <c r="O115" i="85"/>
  <c r="L115" i="85"/>
  <c r="I115" i="85"/>
  <c r="F115" i="85"/>
  <c r="O114" i="85"/>
  <c r="L114" i="85"/>
  <c r="I114" i="85"/>
  <c r="F114" i="85"/>
  <c r="O113" i="85"/>
  <c r="L113" i="85"/>
  <c r="I113" i="85"/>
  <c r="I112" i="85" s="1"/>
  <c r="F113" i="85"/>
  <c r="N112" i="85"/>
  <c r="M112" i="85"/>
  <c r="K112" i="85"/>
  <c r="J112" i="85"/>
  <c r="H112" i="85"/>
  <c r="G112" i="85"/>
  <c r="E112" i="85"/>
  <c r="D112" i="85"/>
  <c r="O111" i="85"/>
  <c r="L111" i="85"/>
  <c r="I111" i="85"/>
  <c r="C111" i="85" s="1"/>
  <c r="F111" i="85"/>
  <c r="O110" i="85"/>
  <c r="L110" i="85"/>
  <c r="I110" i="85"/>
  <c r="F110" i="85"/>
  <c r="O109" i="85"/>
  <c r="L109" i="85"/>
  <c r="I109" i="85"/>
  <c r="F109" i="85"/>
  <c r="O108" i="85"/>
  <c r="L108" i="85"/>
  <c r="I108" i="85"/>
  <c r="F108" i="85"/>
  <c r="O107" i="85"/>
  <c r="L107" i="85"/>
  <c r="I107" i="85"/>
  <c r="F107" i="85"/>
  <c r="O106" i="85"/>
  <c r="L106" i="85"/>
  <c r="I106" i="85"/>
  <c r="F106" i="85"/>
  <c r="O105" i="85"/>
  <c r="L105" i="85"/>
  <c r="I105" i="85"/>
  <c r="F105" i="85"/>
  <c r="O104" i="85"/>
  <c r="L104" i="85"/>
  <c r="I104" i="85"/>
  <c r="F104" i="85"/>
  <c r="N103" i="85"/>
  <c r="M103" i="85"/>
  <c r="K103" i="85"/>
  <c r="J103" i="85"/>
  <c r="H103" i="85"/>
  <c r="G103" i="85"/>
  <c r="E103" i="85"/>
  <c r="D103" i="85"/>
  <c r="O102" i="85"/>
  <c r="L102" i="85"/>
  <c r="I102" i="85"/>
  <c r="F102" i="85"/>
  <c r="O101" i="85"/>
  <c r="L101" i="85"/>
  <c r="I101" i="85"/>
  <c r="F101" i="85"/>
  <c r="O100" i="85"/>
  <c r="L100" i="85"/>
  <c r="I100" i="85"/>
  <c r="F100" i="85"/>
  <c r="O99" i="85"/>
  <c r="L99" i="85"/>
  <c r="I99" i="85"/>
  <c r="F99" i="85"/>
  <c r="O98" i="85"/>
  <c r="L98" i="85"/>
  <c r="I98" i="85"/>
  <c r="F98" i="85"/>
  <c r="O97" i="85"/>
  <c r="L97" i="85"/>
  <c r="I97" i="85"/>
  <c r="F97" i="85"/>
  <c r="O96" i="85"/>
  <c r="L96" i="85"/>
  <c r="I96" i="85"/>
  <c r="F96" i="85"/>
  <c r="O95" i="85"/>
  <c r="N95" i="85"/>
  <c r="M95" i="85"/>
  <c r="K95" i="85"/>
  <c r="J95" i="85"/>
  <c r="H95" i="85"/>
  <c r="G95" i="85"/>
  <c r="E95" i="85"/>
  <c r="D95" i="85"/>
  <c r="O94" i="85"/>
  <c r="L94" i="85"/>
  <c r="I94" i="85"/>
  <c r="F94" i="85"/>
  <c r="O93" i="85"/>
  <c r="L93" i="85"/>
  <c r="I93" i="85"/>
  <c r="F93" i="85"/>
  <c r="C93" i="85" s="1"/>
  <c r="O92" i="85"/>
  <c r="L92" i="85"/>
  <c r="I92" i="85"/>
  <c r="F92" i="85"/>
  <c r="O91" i="85"/>
  <c r="L91" i="85"/>
  <c r="I91" i="85"/>
  <c r="F91" i="85"/>
  <c r="C91" i="85" s="1"/>
  <c r="O90" i="85"/>
  <c r="L90" i="85"/>
  <c r="I90" i="85"/>
  <c r="F90" i="85"/>
  <c r="N89" i="85"/>
  <c r="M89" i="85"/>
  <c r="K89" i="85"/>
  <c r="J89" i="85"/>
  <c r="H89" i="85"/>
  <c r="G89" i="85"/>
  <c r="E89" i="85"/>
  <c r="D89" i="85"/>
  <c r="O88" i="85"/>
  <c r="L88" i="85"/>
  <c r="I88" i="85"/>
  <c r="F88" i="85"/>
  <c r="O87" i="85"/>
  <c r="L87" i="85"/>
  <c r="I87" i="85"/>
  <c r="F87" i="85"/>
  <c r="O86" i="85"/>
  <c r="L86" i="85"/>
  <c r="I86" i="85"/>
  <c r="F86" i="85"/>
  <c r="O85" i="85"/>
  <c r="L85" i="85"/>
  <c r="L84" i="85" s="1"/>
  <c r="I85" i="85"/>
  <c r="F85" i="85"/>
  <c r="N84" i="85"/>
  <c r="M84" i="85"/>
  <c r="K84" i="85"/>
  <c r="K83" i="85" s="1"/>
  <c r="J84" i="85"/>
  <c r="H84" i="85"/>
  <c r="G84" i="85"/>
  <c r="E84" i="85"/>
  <c r="D84" i="85"/>
  <c r="O82" i="85"/>
  <c r="L82" i="85"/>
  <c r="I82" i="85"/>
  <c r="F82" i="85"/>
  <c r="O81" i="85"/>
  <c r="L81" i="85"/>
  <c r="L80" i="85" s="1"/>
  <c r="I81" i="85"/>
  <c r="I80" i="85" s="1"/>
  <c r="F81" i="85"/>
  <c r="O80" i="85"/>
  <c r="N80" i="85"/>
  <c r="M80" i="85"/>
  <c r="K80" i="85"/>
  <c r="J80" i="85"/>
  <c r="H80" i="85"/>
  <c r="G80" i="85"/>
  <c r="F80" i="85"/>
  <c r="E80" i="85"/>
  <c r="D80" i="85"/>
  <c r="O79" i="85"/>
  <c r="L79" i="85"/>
  <c r="I79" i="85"/>
  <c r="F79" i="85"/>
  <c r="O78" i="85"/>
  <c r="L78" i="85"/>
  <c r="I78" i="85"/>
  <c r="I77" i="85" s="1"/>
  <c r="I76" i="85" s="1"/>
  <c r="F78" i="85"/>
  <c r="N77" i="85"/>
  <c r="N76" i="85" s="1"/>
  <c r="M77" i="85"/>
  <c r="K77" i="85"/>
  <c r="J77" i="85"/>
  <c r="H77" i="85"/>
  <c r="G77" i="85"/>
  <c r="E77" i="85"/>
  <c r="E76" i="85" s="1"/>
  <c r="D77" i="85"/>
  <c r="D76" i="85" s="1"/>
  <c r="H76" i="85"/>
  <c r="O74" i="85"/>
  <c r="L74" i="85"/>
  <c r="I74" i="85"/>
  <c r="F74" i="85"/>
  <c r="O73" i="85"/>
  <c r="L73" i="85"/>
  <c r="I73" i="85"/>
  <c r="F73" i="85"/>
  <c r="O72" i="85"/>
  <c r="L72" i="85"/>
  <c r="I72" i="85"/>
  <c r="F72" i="85"/>
  <c r="O71" i="85"/>
  <c r="L71" i="85"/>
  <c r="I71" i="85"/>
  <c r="F71" i="85"/>
  <c r="O70" i="85"/>
  <c r="L70" i="85"/>
  <c r="I70" i="85"/>
  <c r="F70" i="85"/>
  <c r="N69" i="85"/>
  <c r="N67" i="85" s="1"/>
  <c r="M69" i="85"/>
  <c r="M67" i="85" s="1"/>
  <c r="K69" i="85"/>
  <c r="K67" i="85" s="1"/>
  <c r="J69" i="85"/>
  <c r="J67" i="85" s="1"/>
  <c r="H69" i="85"/>
  <c r="H67" i="85" s="1"/>
  <c r="G69" i="85"/>
  <c r="E69" i="85"/>
  <c r="E67" i="85" s="1"/>
  <c r="D69" i="85"/>
  <c r="O68" i="85"/>
  <c r="L68" i="85"/>
  <c r="I68" i="85"/>
  <c r="F68" i="85"/>
  <c r="G67" i="85"/>
  <c r="D67" i="85"/>
  <c r="O66" i="85"/>
  <c r="L66" i="85"/>
  <c r="I66" i="85"/>
  <c r="F66" i="85"/>
  <c r="O65" i="85"/>
  <c r="L65" i="85"/>
  <c r="I65" i="85"/>
  <c r="F65" i="85"/>
  <c r="O64" i="85"/>
  <c r="L64" i="85"/>
  <c r="I64" i="85"/>
  <c r="F64" i="85"/>
  <c r="O63" i="85"/>
  <c r="L63" i="85"/>
  <c r="I63" i="85"/>
  <c r="F63" i="85"/>
  <c r="O62" i="85"/>
  <c r="L62" i="85"/>
  <c r="I62" i="85"/>
  <c r="F62" i="85"/>
  <c r="O61" i="85"/>
  <c r="L61" i="85"/>
  <c r="I61" i="85"/>
  <c r="F61" i="85"/>
  <c r="O60" i="85"/>
  <c r="L60" i="85"/>
  <c r="I60" i="85"/>
  <c r="F60" i="85"/>
  <c r="O59" i="85"/>
  <c r="L59" i="85"/>
  <c r="L58" i="85" s="1"/>
  <c r="I59" i="85"/>
  <c r="F59" i="85"/>
  <c r="N58" i="85"/>
  <c r="M58" i="85"/>
  <c r="K58" i="85"/>
  <c r="J58" i="85"/>
  <c r="H58" i="85"/>
  <c r="G58" i="85"/>
  <c r="E58" i="85"/>
  <c r="D58" i="85"/>
  <c r="O57" i="85"/>
  <c r="L57" i="85"/>
  <c r="H57" i="85"/>
  <c r="I57" i="85" s="1"/>
  <c r="F57" i="85"/>
  <c r="O56" i="85"/>
  <c r="L56" i="85"/>
  <c r="I56" i="85"/>
  <c r="F56" i="85"/>
  <c r="F55" i="85" s="1"/>
  <c r="N55" i="85"/>
  <c r="M55" i="85"/>
  <c r="K55" i="85"/>
  <c r="K54" i="85" s="1"/>
  <c r="J55" i="85"/>
  <c r="J54" i="85" s="1"/>
  <c r="G55" i="85"/>
  <c r="E55" i="85"/>
  <c r="E54" i="85" s="1"/>
  <c r="E53" i="85" s="1"/>
  <c r="D55" i="85"/>
  <c r="N54" i="85"/>
  <c r="N53" i="85"/>
  <c r="O47" i="85"/>
  <c r="C47" i="85" s="1"/>
  <c r="O46" i="85"/>
  <c r="O45" i="85" s="1"/>
  <c r="N45" i="85"/>
  <c r="M45" i="85"/>
  <c r="L44" i="85"/>
  <c r="L43" i="85" s="1"/>
  <c r="I44" i="85"/>
  <c r="I43" i="85" s="1"/>
  <c r="F44" i="85"/>
  <c r="F43" i="85" s="1"/>
  <c r="K43" i="85"/>
  <c r="J43" i="85"/>
  <c r="H43" i="85"/>
  <c r="G43" i="85"/>
  <c r="E43" i="85"/>
  <c r="D43" i="85"/>
  <c r="F42" i="85"/>
  <c r="C42" i="85" s="1"/>
  <c r="E41" i="85"/>
  <c r="D41" i="85"/>
  <c r="L40" i="85"/>
  <c r="C40" i="85" s="1"/>
  <c r="L39" i="85"/>
  <c r="C39" i="85" s="1"/>
  <c r="L38" i="85"/>
  <c r="C38" i="85" s="1"/>
  <c r="L37" i="85"/>
  <c r="C37" i="85" s="1"/>
  <c r="K36" i="85"/>
  <c r="J36" i="85"/>
  <c r="L35" i="85"/>
  <c r="C35" i="85" s="1"/>
  <c r="L34" i="85"/>
  <c r="C34" i="85" s="1"/>
  <c r="K33" i="85"/>
  <c r="J33" i="85"/>
  <c r="L32" i="85"/>
  <c r="L31" i="85" s="1"/>
  <c r="C31" i="85" s="1"/>
  <c r="K31" i="85"/>
  <c r="J31" i="85"/>
  <c r="L30" i="85"/>
  <c r="C30" i="85" s="1"/>
  <c r="L29" i="85"/>
  <c r="C29" i="85" s="1"/>
  <c r="L28" i="85"/>
  <c r="C28" i="85" s="1"/>
  <c r="K27" i="85"/>
  <c r="J27" i="85"/>
  <c r="F25" i="85"/>
  <c r="C25" i="85" s="1"/>
  <c r="I24" i="85"/>
  <c r="F24" i="85"/>
  <c r="O23" i="85"/>
  <c r="L23" i="85"/>
  <c r="I23" i="85"/>
  <c r="F23" i="85"/>
  <c r="O22" i="85"/>
  <c r="L22" i="85"/>
  <c r="L21" i="85" s="1"/>
  <c r="I22" i="85"/>
  <c r="I21" i="85" s="1"/>
  <c r="F22" i="85"/>
  <c r="N21" i="85"/>
  <c r="N292" i="85" s="1"/>
  <c r="N291" i="85" s="1"/>
  <c r="M21" i="85"/>
  <c r="K21" i="85"/>
  <c r="J21" i="85"/>
  <c r="H21" i="85"/>
  <c r="H292" i="85" s="1"/>
  <c r="H291" i="85" s="1"/>
  <c r="G21" i="85"/>
  <c r="G292" i="85" s="1"/>
  <c r="G291" i="85" s="1"/>
  <c r="E21" i="85"/>
  <c r="D21" i="85"/>
  <c r="D292" i="85" s="1"/>
  <c r="N20" i="85"/>
  <c r="C298" i="85" l="1"/>
  <c r="C24" i="85"/>
  <c r="L55" i="85"/>
  <c r="K76" i="85"/>
  <c r="C161" i="85"/>
  <c r="C162" i="85"/>
  <c r="C163" i="85"/>
  <c r="H187" i="85"/>
  <c r="G76" i="85"/>
  <c r="C206" i="85"/>
  <c r="C266" i="85"/>
  <c r="C63" i="85"/>
  <c r="F41" i="85"/>
  <c r="C41" i="85" s="1"/>
  <c r="H55" i="85"/>
  <c r="M54" i="85"/>
  <c r="M53" i="85" s="1"/>
  <c r="C278" i="85"/>
  <c r="E269" i="85"/>
  <c r="C94" i="85"/>
  <c r="M130" i="85"/>
  <c r="J130" i="85"/>
  <c r="C239" i="85"/>
  <c r="O276" i="85"/>
  <c r="C127" i="85"/>
  <c r="C153" i="85"/>
  <c r="C223" i="85"/>
  <c r="M195" i="85"/>
  <c r="D291" i="85"/>
  <c r="C87" i="85"/>
  <c r="E83" i="85"/>
  <c r="C99" i="85"/>
  <c r="C107" i="85"/>
  <c r="C110" i="85"/>
  <c r="O103" i="85"/>
  <c r="C149" i="85"/>
  <c r="F187" i="85"/>
  <c r="E187" i="85"/>
  <c r="D195" i="85"/>
  <c r="C211" i="85"/>
  <c r="C214" i="85"/>
  <c r="N231" i="85"/>
  <c r="C255" i="85"/>
  <c r="C265" i="85"/>
  <c r="O264" i="85"/>
  <c r="C271" i="85"/>
  <c r="D270" i="85"/>
  <c r="D269" i="85" s="1"/>
  <c r="N269" i="85"/>
  <c r="C294" i="85"/>
  <c r="K292" i="85"/>
  <c r="K291" i="85" s="1"/>
  <c r="C23" i="85"/>
  <c r="C46" i="85"/>
  <c r="C59" i="85"/>
  <c r="C62" i="85"/>
  <c r="O116" i="85"/>
  <c r="E130" i="85"/>
  <c r="C156" i="85"/>
  <c r="C168" i="85"/>
  <c r="C172" i="85"/>
  <c r="N204" i="85"/>
  <c r="N195" i="85" s="1"/>
  <c r="C243" i="85"/>
  <c r="I246" i="85"/>
  <c r="C258" i="85"/>
  <c r="C262" i="85"/>
  <c r="C275" i="85"/>
  <c r="C277" i="85"/>
  <c r="H269" i="85"/>
  <c r="C43" i="85"/>
  <c r="C56" i="85"/>
  <c r="O55" i="85"/>
  <c r="G54" i="85"/>
  <c r="M76" i="85"/>
  <c r="L77" i="85"/>
  <c r="C80" i="85"/>
  <c r="C81" i="85"/>
  <c r="C82" i="85"/>
  <c r="C100" i="85"/>
  <c r="C115" i="85"/>
  <c r="C119" i="85"/>
  <c r="C121" i="85"/>
  <c r="C123" i="85"/>
  <c r="C141" i="85"/>
  <c r="C145" i="85"/>
  <c r="N173" i="85"/>
  <c r="H173" i="85"/>
  <c r="C203" i="85"/>
  <c r="C218" i="85"/>
  <c r="C226" i="85"/>
  <c r="L252" i="85"/>
  <c r="L251" i="85" s="1"/>
  <c r="G270" i="85"/>
  <c r="G269" i="85" s="1"/>
  <c r="O69" i="85"/>
  <c r="O67" i="85" s="1"/>
  <c r="L27" i="85"/>
  <c r="C32" i="85"/>
  <c r="L33" i="85"/>
  <c r="C33" i="85" s="1"/>
  <c r="C65" i="85"/>
  <c r="C66" i="85"/>
  <c r="J53" i="85"/>
  <c r="C73" i="85"/>
  <c r="C74" i="85"/>
  <c r="C79" i="85"/>
  <c r="O77" i="85"/>
  <c r="O76" i="85" s="1"/>
  <c r="C88" i="85"/>
  <c r="M83" i="85"/>
  <c r="I89" i="85"/>
  <c r="C113" i="85"/>
  <c r="C114" i="85"/>
  <c r="O112" i="85"/>
  <c r="C125" i="85"/>
  <c r="C126" i="85"/>
  <c r="C137" i="85"/>
  <c r="C154" i="85"/>
  <c r="C155" i="85"/>
  <c r="H130" i="85"/>
  <c r="I175" i="85"/>
  <c r="C185" i="85"/>
  <c r="N187" i="85"/>
  <c r="C193" i="85"/>
  <c r="E204" i="85"/>
  <c r="C210" i="85"/>
  <c r="C215" i="85"/>
  <c r="J204" i="85"/>
  <c r="J195" i="85" s="1"/>
  <c r="C217" i="85"/>
  <c r="O216" i="85"/>
  <c r="C234" i="85"/>
  <c r="C242" i="85"/>
  <c r="E259" i="85"/>
  <c r="E230" i="85" s="1"/>
  <c r="I260" i="85"/>
  <c r="F264" i="85"/>
  <c r="F259" i="85" s="1"/>
  <c r="M270" i="85"/>
  <c r="M269" i="85" s="1"/>
  <c r="I276" i="85"/>
  <c r="I270" i="85" s="1"/>
  <c r="I269" i="85" s="1"/>
  <c r="I293" i="85"/>
  <c r="C295" i="85"/>
  <c r="L293" i="85"/>
  <c r="D83" i="85"/>
  <c r="D75" i="85" s="1"/>
  <c r="N130" i="85"/>
  <c r="J292" i="85"/>
  <c r="J291" i="85" s="1"/>
  <c r="K26" i="85"/>
  <c r="G20" i="85"/>
  <c r="C44" i="85"/>
  <c r="C60" i="85"/>
  <c r="G53" i="85"/>
  <c r="I69" i="85"/>
  <c r="I67" i="85" s="1"/>
  <c r="L76" i="85"/>
  <c r="C85" i="85"/>
  <c r="C86" i="85"/>
  <c r="O84" i="85"/>
  <c r="G83" i="85"/>
  <c r="I95" i="85"/>
  <c r="C102" i="85"/>
  <c r="C108" i="85"/>
  <c r="C120" i="85"/>
  <c r="I122" i="85"/>
  <c r="K130" i="85"/>
  <c r="K75" i="85" s="1"/>
  <c r="C133" i="85"/>
  <c r="C148" i="85"/>
  <c r="O144" i="85"/>
  <c r="I151" i="85"/>
  <c r="M173" i="85"/>
  <c r="I179" i="85"/>
  <c r="J187" i="85"/>
  <c r="C202" i="85"/>
  <c r="I205" i="85"/>
  <c r="I204" i="85" s="1"/>
  <c r="C212" i="85"/>
  <c r="C213" i="85"/>
  <c r="C222" i="85"/>
  <c r="K204" i="85"/>
  <c r="K195" i="85" s="1"/>
  <c r="C228" i="85"/>
  <c r="C229" i="85"/>
  <c r="G231" i="85"/>
  <c r="G230" i="85" s="1"/>
  <c r="I251" i="85"/>
  <c r="C256" i="85"/>
  <c r="C257" i="85"/>
  <c r="J259" i="85"/>
  <c r="C261" i="85"/>
  <c r="I264" i="85"/>
  <c r="O272" i="85"/>
  <c r="O270" i="85" s="1"/>
  <c r="O269" i="85" s="1"/>
  <c r="C299" i="85"/>
  <c r="K53" i="85"/>
  <c r="C116" i="85"/>
  <c r="C180" i="85"/>
  <c r="J26" i="85"/>
  <c r="J20" i="85" s="1"/>
  <c r="L36" i="85"/>
  <c r="C36" i="85" s="1"/>
  <c r="D20" i="85"/>
  <c r="H20" i="85"/>
  <c r="C64" i="85"/>
  <c r="J76" i="85"/>
  <c r="I84" i="85"/>
  <c r="O89" i="85"/>
  <c r="C101" i="85"/>
  <c r="C105" i="85"/>
  <c r="L112" i="85"/>
  <c r="C118" i="85"/>
  <c r="H83" i="85"/>
  <c r="C124" i="85"/>
  <c r="G130" i="85"/>
  <c r="C140" i="85"/>
  <c r="I144" i="85"/>
  <c r="C150" i="85"/>
  <c r="C157" i="85"/>
  <c r="F160" i="85"/>
  <c r="C160" i="85" s="1"/>
  <c r="C167" i="85"/>
  <c r="O166" i="85"/>
  <c r="O165" i="85" s="1"/>
  <c r="O174" i="85"/>
  <c r="O173" i="85" s="1"/>
  <c r="K173" i="85"/>
  <c r="D187" i="85"/>
  <c r="I198" i="85"/>
  <c r="H204" i="85"/>
  <c r="H195" i="85" s="1"/>
  <c r="C224" i="85"/>
  <c r="C225" i="85"/>
  <c r="G204" i="85"/>
  <c r="G195" i="85" s="1"/>
  <c r="M231" i="85"/>
  <c r="M230" i="85" s="1"/>
  <c r="J231" i="85"/>
  <c r="C250" i="85"/>
  <c r="C274" i="85"/>
  <c r="L276" i="85"/>
  <c r="L270" i="85" s="1"/>
  <c r="L269" i="85" s="1"/>
  <c r="C282" i="85"/>
  <c r="C287" i="85"/>
  <c r="F293" i="85"/>
  <c r="C297" i="85"/>
  <c r="K20" i="85"/>
  <c r="C22" i="85"/>
  <c r="F21" i="85"/>
  <c r="F58" i="85"/>
  <c r="F54" i="85" s="1"/>
  <c r="C90" i="85"/>
  <c r="F89" i="85"/>
  <c r="L131" i="85"/>
  <c r="C132" i="85"/>
  <c r="F165" i="85"/>
  <c r="C177" i="85"/>
  <c r="L175" i="85"/>
  <c r="C241" i="85"/>
  <c r="F238" i="85"/>
  <c r="L54" i="85"/>
  <c r="C68" i="85"/>
  <c r="C192" i="85"/>
  <c r="I20" i="85"/>
  <c r="H54" i="85"/>
  <c r="H53" i="85" s="1"/>
  <c r="C78" i="85"/>
  <c r="F77" i="85"/>
  <c r="J83" i="85"/>
  <c r="J75" i="85" s="1"/>
  <c r="C106" i="85"/>
  <c r="F103" i="85"/>
  <c r="F112" i="85"/>
  <c r="L122" i="85"/>
  <c r="I128" i="85"/>
  <c r="C128" i="85" s="1"/>
  <c r="C129" i="85"/>
  <c r="L166" i="85"/>
  <c r="L165" i="85" s="1"/>
  <c r="C169" i="85"/>
  <c r="K230" i="85"/>
  <c r="C70" i="85"/>
  <c r="F69" i="85"/>
  <c r="C71" i="85"/>
  <c r="L103" i="85"/>
  <c r="C104" i="85"/>
  <c r="C138" i="85"/>
  <c r="I136" i="85"/>
  <c r="F151" i="85"/>
  <c r="C152" i="85"/>
  <c r="C247" i="85"/>
  <c r="L246" i="85"/>
  <c r="C61" i="85"/>
  <c r="I58" i="85"/>
  <c r="E75" i="85"/>
  <c r="E52" i="85" s="1"/>
  <c r="N83" i="85"/>
  <c r="C96" i="85"/>
  <c r="L95" i="85"/>
  <c r="C176" i="85"/>
  <c r="C181" i="85"/>
  <c r="L179" i="85"/>
  <c r="C179" i="85" s="1"/>
  <c r="M20" i="85"/>
  <c r="M292" i="85"/>
  <c r="M291" i="85" s="1"/>
  <c r="E292" i="85"/>
  <c r="E291" i="85" s="1"/>
  <c r="E20" i="85"/>
  <c r="O21" i="85"/>
  <c r="C27" i="85"/>
  <c r="D54" i="85"/>
  <c r="D53" i="85" s="1"/>
  <c r="C57" i="85"/>
  <c r="I55" i="85"/>
  <c r="O58" i="85"/>
  <c r="O54" i="85" s="1"/>
  <c r="L69" i="85"/>
  <c r="L67" i="85" s="1"/>
  <c r="C72" i="85"/>
  <c r="N75" i="85"/>
  <c r="N52" i="85" s="1"/>
  <c r="F84" i="85"/>
  <c r="L89" i="85"/>
  <c r="C92" i="85"/>
  <c r="C97" i="85"/>
  <c r="C98" i="85"/>
  <c r="F95" i="85"/>
  <c r="I103" i="85"/>
  <c r="C109" i="85"/>
  <c r="C117" i="85"/>
  <c r="H75" i="85"/>
  <c r="I130" i="85"/>
  <c r="I174" i="85"/>
  <c r="I173" i="85" s="1"/>
  <c r="L188" i="85"/>
  <c r="C189" i="85"/>
  <c r="E195" i="85"/>
  <c r="C301" i="85"/>
  <c r="G187" i="85"/>
  <c r="C227" i="85"/>
  <c r="C45" i="85"/>
  <c r="L136" i="85"/>
  <c r="L144" i="85"/>
  <c r="C170" i="85"/>
  <c r="C171" i="85"/>
  <c r="D173" i="85"/>
  <c r="C178" i="85"/>
  <c r="C182" i="85"/>
  <c r="C183" i="85"/>
  <c r="L184" i="85"/>
  <c r="C184" i="85" s="1"/>
  <c r="C190" i="85"/>
  <c r="I196" i="85"/>
  <c r="I195" i="85" s="1"/>
  <c r="O196" i="85"/>
  <c r="C207" i="85"/>
  <c r="L205" i="85"/>
  <c r="C220" i="85"/>
  <c r="L231" i="85"/>
  <c r="C254" i="85"/>
  <c r="F252" i="85"/>
  <c r="L264" i="85"/>
  <c r="C264" i="85" s="1"/>
  <c r="C267" i="85"/>
  <c r="C288" i="85"/>
  <c r="I286" i="85"/>
  <c r="I292" i="85" s="1"/>
  <c r="I291" i="85" s="1"/>
  <c r="C293" i="85"/>
  <c r="C199" i="85"/>
  <c r="L198" i="85"/>
  <c r="L196" i="85" s="1"/>
  <c r="C235" i="85"/>
  <c r="C284" i="85"/>
  <c r="F283" i="85"/>
  <c r="C283" i="85" s="1"/>
  <c r="C300" i="85"/>
  <c r="C134" i="85"/>
  <c r="C135" i="85"/>
  <c r="C139" i="85"/>
  <c r="F136" i="85"/>
  <c r="C142" i="85"/>
  <c r="C143" i="85"/>
  <c r="C146" i="85"/>
  <c r="C147" i="85"/>
  <c r="F144" i="85"/>
  <c r="O151" i="85"/>
  <c r="C158" i="85"/>
  <c r="C159" i="85"/>
  <c r="F174" i="85"/>
  <c r="C186" i="85"/>
  <c r="C191" i="85"/>
  <c r="O205" i="85"/>
  <c r="O204" i="85" s="1"/>
  <c r="L216" i="85"/>
  <c r="C216" i="85" s="1"/>
  <c r="C219" i="85"/>
  <c r="N230" i="85"/>
  <c r="O238" i="85"/>
  <c r="O231" i="85" s="1"/>
  <c r="I259" i="85"/>
  <c r="O260" i="85"/>
  <c r="O259" i="85" s="1"/>
  <c r="L260" i="85"/>
  <c r="L259" i="85" s="1"/>
  <c r="C263" i="85"/>
  <c r="C273" i="85"/>
  <c r="F272" i="85"/>
  <c r="F276" i="85"/>
  <c r="C279" i="85"/>
  <c r="C281" i="85"/>
  <c r="C197" i="85"/>
  <c r="F205" i="85"/>
  <c r="H231" i="85"/>
  <c r="H230" i="85" s="1"/>
  <c r="C233" i="85"/>
  <c r="C240" i="85"/>
  <c r="I238" i="85"/>
  <c r="I231" i="85" s="1"/>
  <c r="C280" i="85"/>
  <c r="C200" i="85"/>
  <c r="C201" i="85"/>
  <c r="C208" i="85"/>
  <c r="C209" i="85"/>
  <c r="C221" i="85"/>
  <c r="C232" i="85"/>
  <c r="D231" i="85"/>
  <c r="D230" i="85" s="1"/>
  <c r="C244" i="85"/>
  <c r="C245" i="85"/>
  <c r="C248" i="85"/>
  <c r="C249" i="85"/>
  <c r="F246" i="85"/>
  <c r="C246" i="85" s="1"/>
  <c r="C253" i="85"/>
  <c r="O252" i="85"/>
  <c r="O251" i="85" s="1"/>
  <c r="C268" i="85"/>
  <c r="J270" i="85"/>
  <c r="J269" i="85" s="1"/>
  <c r="C285" i="85"/>
  <c r="L286" i="85"/>
  <c r="C296" i="85"/>
  <c r="G194" i="85" l="1"/>
  <c r="J230" i="85"/>
  <c r="J194" i="85" s="1"/>
  <c r="C122" i="85"/>
  <c r="L26" i="85"/>
  <c r="M75" i="85"/>
  <c r="M52" i="85" s="1"/>
  <c r="M289" i="85"/>
  <c r="N289" i="85"/>
  <c r="N194" i="85"/>
  <c r="N51" i="85" s="1"/>
  <c r="C112" i="85"/>
  <c r="K194" i="85"/>
  <c r="K289" i="85"/>
  <c r="C276" i="85"/>
  <c r="O230" i="85"/>
  <c r="I83" i="85"/>
  <c r="J52" i="85"/>
  <c r="L174" i="85"/>
  <c r="C174" i="85" s="1"/>
  <c r="C260" i="85"/>
  <c r="D52" i="85"/>
  <c r="L83" i="85"/>
  <c r="H194" i="85"/>
  <c r="O130" i="85"/>
  <c r="C196" i="85"/>
  <c r="O53" i="85"/>
  <c r="C165" i="85"/>
  <c r="G75" i="85"/>
  <c r="G52" i="85" s="1"/>
  <c r="G51" i="85" s="1"/>
  <c r="G50" i="85" s="1"/>
  <c r="K52" i="85"/>
  <c r="K51" i="85" s="1"/>
  <c r="O83" i="85"/>
  <c r="E194" i="85"/>
  <c r="I75" i="85"/>
  <c r="L204" i="85"/>
  <c r="L195" i="85" s="1"/>
  <c r="F83" i="85"/>
  <c r="C84" i="85"/>
  <c r="O292" i="85"/>
  <c r="O291" i="85" s="1"/>
  <c r="O20" i="85"/>
  <c r="C77" i="85"/>
  <c r="F76" i="85"/>
  <c r="L53" i="85"/>
  <c r="C21" i="85"/>
  <c r="F292" i="85"/>
  <c r="F20" i="85"/>
  <c r="G290" i="85"/>
  <c r="F173" i="85"/>
  <c r="C144" i="85"/>
  <c r="C175" i="85"/>
  <c r="J289" i="85"/>
  <c r="C151" i="85"/>
  <c r="E51" i="85"/>
  <c r="C103" i="85"/>
  <c r="C131" i="85"/>
  <c r="L130" i="85"/>
  <c r="H289" i="85"/>
  <c r="F270" i="85"/>
  <c r="C272" i="85"/>
  <c r="M194" i="85"/>
  <c r="M51" i="85" s="1"/>
  <c r="C136" i="85"/>
  <c r="F130" i="85"/>
  <c r="I230" i="85"/>
  <c r="L230" i="85"/>
  <c r="O195" i="85"/>
  <c r="O194" i="85" s="1"/>
  <c r="C95" i="85"/>
  <c r="I54" i="85"/>
  <c r="I53" i="85" s="1"/>
  <c r="I52" i="85" s="1"/>
  <c r="C26" i="85"/>
  <c r="L20" i="85"/>
  <c r="H52" i="85"/>
  <c r="H51" i="85" s="1"/>
  <c r="E289" i="85"/>
  <c r="C238" i="85"/>
  <c r="F231" i="85"/>
  <c r="C89" i="85"/>
  <c r="C58" i="85"/>
  <c r="D194" i="85"/>
  <c r="D289" i="85"/>
  <c r="C205" i="85"/>
  <c r="F204" i="85"/>
  <c r="L292" i="85"/>
  <c r="L291" i="85" s="1"/>
  <c r="C286" i="85"/>
  <c r="C252" i="85"/>
  <c r="F251" i="85"/>
  <c r="C251" i="85" s="1"/>
  <c r="C198" i="85"/>
  <c r="L187" i="85"/>
  <c r="C187" i="85" s="1"/>
  <c r="C188" i="85"/>
  <c r="C55" i="85"/>
  <c r="F67" i="85"/>
  <c r="C67" i="85" s="1"/>
  <c r="C69" i="85"/>
  <c r="C259" i="85"/>
  <c r="C166" i="85"/>
  <c r="L173" i="85" l="1"/>
  <c r="C173" i="85" s="1"/>
  <c r="J51" i="85"/>
  <c r="D51" i="85"/>
  <c r="I289" i="85"/>
  <c r="K50" i="85"/>
  <c r="K290" i="85"/>
  <c r="L75" i="85"/>
  <c r="L289" i="85" s="1"/>
  <c r="G289" i="85"/>
  <c r="I194" i="85"/>
  <c r="C54" i="85"/>
  <c r="C130" i="85"/>
  <c r="C83" i="85"/>
  <c r="L194" i="85"/>
  <c r="O75" i="85"/>
  <c r="O52" i="85" s="1"/>
  <c r="O51" i="85" s="1"/>
  <c r="O290" i="85" s="1"/>
  <c r="M50" i="85"/>
  <c r="M290" i="85"/>
  <c r="C204" i="85"/>
  <c r="F195" i="85"/>
  <c r="F269" i="85"/>
  <c r="C270" i="85"/>
  <c r="C20" i="85"/>
  <c r="F75" i="85"/>
  <c r="C76" i="85"/>
  <c r="H50" i="85"/>
  <c r="H290" i="85"/>
  <c r="N50" i="85"/>
  <c r="N290" i="85"/>
  <c r="C292" i="85"/>
  <c r="F291" i="85"/>
  <c r="C291" i="85" s="1"/>
  <c r="D290" i="85"/>
  <c r="D50" i="85"/>
  <c r="O289" i="85"/>
  <c r="F230" i="85"/>
  <c r="C230" i="85" s="1"/>
  <c r="C231" i="85"/>
  <c r="F53" i="85"/>
  <c r="E290" i="85"/>
  <c r="E50" i="85"/>
  <c r="I51" i="85"/>
  <c r="L52" i="85"/>
  <c r="L51" i="85" s="1"/>
  <c r="J290" i="85" l="1"/>
  <c r="J50" i="85"/>
  <c r="O50" i="85"/>
  <c r="C75" i="85"/>
  <c r="L50" i="85"/>
  <c r="L290" i="85"/>
  <c r="F52" i="85"/>
  <c r="C53" i="85"/>
  <c r="C269" i="85"/>
  <c r="F289" i="85"/>
  <c r="C289" i="85" s="1"/>
  <c r="F194" i="85"/>
  <c r="C194" i="85" s="1"/>
  <c r="C195" i="85"/>
  <c r="I290" i="85"/>
  <c r="I50" i="85"/>
  <c r="F51" i="85" l="1"/>
  <c r="C52" i="85"/>
  <c r="F290" i="85" l="1"/>
  <c r="C290" i="85" s="1"/>
  <c r="C51" i="85"/>
  <c r="F50" i="85"/>
  <c r="C50" i="85" s="1"/>
  <c r="O301" i="84" l="1"/>
  <c r="L301" i="84"/>
  <c r="I301" i="84"/>
  <c r="F301" i="84"/>
  <c r="O300" i="84"/>
  <c r="L300" i="84"/>
  <c r="I300" i="84"/>
  <c r="F300" i="84"/>
  <c r="O299" i="84"/>
  <c r="L299" i="84"/>
  <c r="I299" i="84"/>
  <c r="F299" i="84"/>
  <c r="O298" i="84"/>
  <c r="L298" i="84"/>
  <c r="I298" i="84"/>
  <c r="F298" i="84"/>
  <c r="O297" i="84"/>
  <c r="L297" i="84"/>
  <c r="I297" i="84"/>
  <c r="F297" i="84"/>
  <c r="O296" i="84"/>
  <c r="L296" i="84"/>
  <c r="I296" i="84"/>
  <c r="F296" i="84"/>
  <c r="O295" i="84"/>
  <c r="L295" i="84"/>
  <c r="I295" i="84"/>
  <c r="F295" i="84"/>
  <c r="O294" i="84"/>
  <c r="L294" i="84"/>
  <c r="I294" i="84"/>
  <c r="F294" i="84"/>
  <c r="N293" i="84"/>
  <c r="M293" i="84"/>
  <c r="K293" i="84"/>
  <c r="J293" i="84"/>
  <c r="H293" i="84"/>
  <c r="G293" i="84"/>
  <c r="E293" i="84"/>
  <c r="D293" i="84"/>
  <c r="O288" i="84"/>
  <c r="L288" i="84"/>
  <c r="I288" i="84"/>
  <c r="F288" i="84"/>
  <c r="O287" i="84"/>
  <c r="L287" i="84"/>
  <c r="L286" i="84" s="1"/>
  <c r="I287" i="84"/>
  <c r="I286" i="84" s="1"/>
  <c r="F287" i="84"/>
  <c r="O286" i="84"/>
  <c r="N286" i="84"/>
  <c r="M286" i="84"/>
  <c r="K286" i="84"/>
  <c r="J286" i="84"/>
  <c r="H286" i="84"/>
  <c r="G286" i="84"/>
  <c r="F286" i="84"/>
  <c r="E286" i="84"/>
  <c r="D286" i="84"/>
  <c r="O285" i="84"/>
  <c r="O284" i="84" s="1"/>
  <c r="O283" i="84" s="1"/>
  <c r="L285" i="84"/>
  <c r="L284" i="84" s="1"/>
  <c r="L283" i="84" s="1"/>
  <c r="I285" i="84"/>
  <c r="I284" i="84" s="1"/>
  <c r="I283" i="84" s="1"/>
  <c r="F285" i="84"/>
  <c r="N284" i="84"/>
  <c r="M284" i="84"/>
  <c r="M283" i="84" s="1"/>
  <c r="K284" i="84"/>
  <c r="K283" i="84" s="1"/>
  <c r="J284" i="84"/>
  <c r="J283" i="84" s="1"/>
  <c r="H284" i="84"/>
  <c r="H283" i="84" s="1"/>
  <c r="G284" i="84"/>
  <c r="G283" i="84" s="1"/>
  <c r="E284" i="84"/>
  <c r="E283" i="84" s="1"/>
  <c r="D284" i="84"/>
  <c r="D283" i="84" s="1"/>
  <c r="N283" i="84"/>
  <c r="O282" i="84"/>
  <c r="O281" i="84" s="1"/>
  <c r="L282" i="84"/>
  <c r="I282" i="84"/>
  <c r="I281" i="84" s="1"/>
  <c r="F282" i="84"/>
  <c r="F281" i="84" s="1"/>
  <c r="N281" i="84"/>
  <c r="M281" i="84"/>
  <c r="K281" i="84"/>
  <c r="J281" i="84"/>
  <c r="H281" i="84"/>
  <c r="G281" i="84"/>
  <c r="E281" i="84"/>
  <c r="D281" i="84"/>
  <c r="O280" i="84"/>
  <c r="L280" i="84"/>
  <c r="I280" i="84"/>
  <c r="F280" i="84"/>
  <c r="O279" i="84"/>
  <c r="L279" i="84"/>
  <c r="I279" i="84"/>
  <c r="F279" i="84"/>
  <c r="O278" i="84"/>
  <c r="L278" i="84"/>
  <c r="I278" i="84"/>
  <c r="F278" i="84"/>
  <c r="O277" i="84"/>
  <c r="O276" i="84" s="1"/>
  <c r="L277" i="84"/>
  <c r="I277" i="84"/>
  <c r="F277" i="84"/>
  <c r="N276" i="84"/>
  <c r="N270" i="84" s="1"/>
  <c r="M276" i="84"/>
  <c r="K276" i="84"/>
  <c r="J276" i="84"/>
  <c r="I276" i="84"/>
  <c r="H276" i="84"/>
  <c r="G276" i="84"/>
  <c r="E276" i="84"/>
  <c r="D276" i="84"/>
  <c r="O275" i="84"/>
  <c r="L275" i="84"/>
  <c r="I275" i="84"/>
  <c r="F275" i="84"/>
  <c r="C275" i="84" s="1"/>
  <c r="O274" i="84"/>
  <c r="L274" i="84"/>
  <c r="I274" i="84"/>
  <c r="F274" i="84"/>
  <c r="C274" i="84" s="1"/>
  <c r="O273" i="84"/>
  <c r="L273" i="84"/>
  <c r="I273" i="84"/>
  <c r="I272" i="84" s="1"/>
  <c r="F273" i="84"/>
  <c r="N272" i="84"/>
  <c r="M272" i="84"/>
  <c r="M270" i="84" s="1"/>
  <c r="M269" i="84" s="1"/>
  <c r="L272" i="84"/>
  <c r="K272" i="84"/>
  <c r="K270" i="84" s="1"/>
  <c r="J272" i="84"/>
  <c r="H272" i="84"/>
  <c r="H270" i="84" s="1"/>
  <c r="G272" i="84"/>
  <c r="E272" i="84"/>
  <c r="D272" i="84"/>
  <c r="O271" i="84"/>
  <c r="L271" i="84"/>
  <c r="I271" i="84"/>
  <c r="F271" i="84"/>
  <c r="J270" i="84"/>
  <c r="J269" i="84" s="1"/>
  <c r="G270" i="84"/>
  <c r="O268" i="84"/>
  <c r="L268" i="84"/>
  <c r="I268" i="84"/>
  <c r="F268" i="84"/>
  <c r="O267" i="84"/>
  <c r="L267" i="84"/>
  <c r="I267" i="84"/>
  <c r="F267" i="84"/>
  <c r="O266" i="84"/>
  <c r="L266" i="84"/>
  <c r="I266" i="84"/>
  <c r="F266" i="84"/>
  <c r="O265" i="84"/>
  <c r="L265" i="84"/>
  <c r="I265" i="84"/>
  <c r="F265" i="84"/>
  <c r="N264" i="84"/>
  <c r="M264" i="84"/>
  <c r="K264" i="84"/>
  <c r="J264" i="84"/>
  <c r="H264" i="84"/>
  <c r="G264" i="84"/>
  <c r="E264" i="84"/>
  <c r="D264" i="84"/>
  <c r="O263" i="84"/>
  <c r="L263" i="84"/>
  <c r="I263" i="84"/>
  <c r="F263" i="84"/>
  <c r="O262" i="84"/>
  <c r="L262" i="84"/>
  <c r="I262" i="84"/>
  <c r="F262" i="84"/>
  <c r="O261" i="84"/>
  <c r="L261" i="84"/>
  <c r="I261" i="84"/>
  <c r="F261" i="84"/>
  <c r="N260" i="84"/>
  <c r="M260" i="84"/>
  <c r="K260" i="84"/>
  <c r="J260" i="84"/>
  <c r="H260" i="84"/>
  <c r="G260" i="84"/>
  <c r="G259" i="84" s="1"/>
  <c r="E260" i="84"/>
  <c r="D260" i="84"/>
  <c r="D259" i="84" s="1"/>
  <c r="J259" i="84"/>
  <c r="O258" i="84"/>
  <c r="L258" i="84"/>
  <c r="I258" i="84"/>
  <c r="F258" i="84"/>
  <c r="O257" i="84"/>
  <c r="L257" i="84"/>
  <c r="I257" i="84"/>
  <c r="F257" i="84"/>
  <c r="O256" i="84"/>
  <c r="L256" i="84"/>
  <c r="I256" i="84"/>
  <c r="F256" i="84"/>
  <c r="O255" i="84"/>
  <c r="L255" i="84"/>
  <c r="I255" i="84"/>
  <c r="F255" i="84"/>
  <c r="O254" i="84"/>
  <c r="L254" i="84"/>
  <c r="I254" i="84"/>
  <c r="F254" i="84"/>
  <c r="O253" i="84"/>
  <c r="L253" i="84"/>
  <c r="I253" i="84"/>
  <c r="F253" i="84"/>
  <c r="N252" i="84"/>
  <c r="M252" i="84"/>
  <c r="M251" i="84" s="1"/>
  <c r="K252" i="84"/>
  <c r="J252" i="84"/>
  <c r="J251" i="84" s="1"/>
  <c r="H252" i="84"/>
  <c r="G252" i="84"/>
  <c r="G251" i="84" s="1"/>
  <c r="E252" i="84"/>
  <c r="E251" i="84" s="1"/>
  <c r="D252" i="84"/>
  <c r="N251" i="84"/>
  <c r="K251" i="84"/>
  <c r="H251" i="84"/>
  <c r="D251" i="84"/>
  <c r="O250" i="84"/>
  <c r="L250" i="84"/>
  <c r="I250" i="84"/>
  <c r="F250" i="84"/>
  <c r="C250" i="84" s="1"/>
  <c r="O249" i="84"/>
  <c r="L249" i="84"/>
  <c r="I249" i="84"/>
  <c r="F249" i="84"/>
  <c r="O248" i="84"/>
  <c r="L248" i="84"/>
  <c r="I248" i="84"/>
  <c r="F248" i="84"/>
  <c r="O247" i="84"/>
  <c r="L247" i="84"/>
  <c r="L246" i="84" s="1"/>
  <c r="I247" i="84"/>
  <c r="F247" i="84"/>
  <c r="N246" i="84"/>
  <c r="M246" i="84"/>
  <c r="K246" i="84"/>
  <c r="J246" i="84"/>
  <c r="H246" i="84"/>
  <c r="G246" i="84"/>
  <c r="E246" i="84"/>
  <c r="D246" i="84"/>
  <c r="O245" i="84"/>
  <c r="L245" i="84"/>
  <c r="I245" i="84"/>
  <c r="F245" i="84"/>
  <c r="O244" i="84"/>
  <c r="L244" i="84"/>
  <c r="I244" i="84"/>
  <c r="F244" i="84"/>
  <c r="O243" i="84"/>
  <c r="L243" i="84"/>
  <c r="I243" i="84"/>
  <c r="F243" i="84"/>
  <c r="C243" i="84" s="1"/>
  <c r="O242" i="84"/>
  <c r="L242" i="84"/>
  <c r="I242" i="84"/>
  <c r="F242" i="84"/>
  <c r="C242" i="84" s="1"/>
  <c r="O241" i="84"/>
  <c r="L241" i="84"/>
  <c r="I241" i="84"/>
  <c r="F241" i="84"/>
  <c r="O240" i="84"/>
  <c r="L240" i="84"/>
  <c r="I240" i="84"/>
  <c r="F240" i="84"/>
  <c r="O239" i="84"/>
  <c r="L239" i="84"/>
  <c r="I239" i="84"/>
  <c r="F239" i="84"/>
  <c r="O238" i="84"/>
  <c r="N238" i="84"/>
  <c r="M238" i="84"/>
  <c r="K238" i="84"/>
  <c r="J238" i="84"/>
  <c r="H238" i="84"/>
  <c r="G238" i="84"/>
  <c r="E238" i="84"/>
  <c r="D238" i="84"/>
  <c r="O237" i="84"/>
  <c r="L237" i="84"/>
  <c r="I237" i="84"/>
  <c r="F237" i="84"/>
  <c r="O236" i="84"/>
  <c r="L236" i="84"/>
  <c r="L235" i="84" s="1"/>
  <c r="I236" i="84"/>
  <c r="F236" i="84"/>
  <c r="O235" i="84"/>
  <c r="N235" i="84"/>
  <c r="M235" i="84"/>
  <c r="K235" i="84"/>
  <c r="J235" i="84"/>
  <c r="H235" i="84"/>
  <c r="G235" i="84"/>
  <c r="F235" i="84"/>
  <c r="E235" i="84"/>
  <c r="D235" i="84"/>
  <c r="O234" i="84"/>
  <c r="O233" i="84" s="1"/>
  <c r="L234" i="84"/>
  <c r="L233" i="84" s="1"/>
  <c r="I234" i="84"/>
  <c r="F234" i="84"/>
  <c r="N233" i="84"/>
  <c r="N231" i="84" s="1"/>
  <c r="M233" i="84"/>
  <c r="K233" i="84"/>
  <c r="J233" i="84"/>
  <c r="I233" i="84"/>
  <c r="H233" i="84"/>
  <c r="G233" i="84"/>
  <c r="F233" i="84"/>
  <c r="E233" i="84"/>
  <c r="E231" i="84" s="1"/>
  <c r="D233" i="84"/>
  <c r="O232" i="84"/>
  <c r="L232" i="84"/>
  <c r="I232" i="84"/>
  <c r="F232" i="84"/>
  <c r="O229" i="84"/>
  <c r="L229" i="84"/>
  <c r="I229" i="84"/>
  <c r="F229" i="84"/>
  <c r="O228" i="84"/>
  <c r="L228" i="84"/>
  <c r="L227" i="84" s="1"/>
  <c r="I228" i="84"/>
  <c r="F228" i="84"/>
  <c r="F227" i="84" s="1"/>
  <c r="O227" i="84"/>
  <c r="N227" i="84"/>
  <c r="M227" i="84"/>
  <c r="K227" i="84"/>
  <c r="J227" i="84"/>
  <c r="H227" i="84"/>
  <c r="G227" i="84"/>
  <c r="E227" i="84"/>
  <c r="D227" i="84"/>
  <c r="O226" i="84"/>
  <c r="L226" i="84"/>
  <c r="I226" i="84"/>
  <c r="F226" i="84"/>
  <c r="O225" i="84"/>
  <c r="L225" i="84"/>
  <c r="I225" i="84"/>
  <c r="F225" i="84"/>
  <c r="O224" i="84"/>
  <c r="L224" i="84"/>
  <c r="I224" i="84"/>
  <c r="F224" i="84"/>
  <c r="O223" i="84"/>
  <c r="L223" i="84"/>
  <c r="I223" i="84"/>
  <c r="F223" i="84"/>
  <c r="O222" i="84"/>
  <c r="L222" i="84"/>
  <c r="I222" i="84"/>
  <c r="F222" i="84"/>
  <c r="O221" i="84"/>
  <c r="L221" i="84"/>
  <c r="I221" i="84"/>
  <c r="F221" i="84"/>
  <c r="O220" i="84"/>
  <c r="L220" i="84"/>
  <c r="I220" i="84"/>
  <c r="F220" i="84"/>
  <c r="O219" i="84"/>
  <c r="L219" i="84"/>
  <c r="I219" i="84"/>
  <c r="F219" i="84"/>
  <c r="O218" i="84"/>
  <c r="L218" i="84"/>
  <c r="C218" i="84" s="1"/>
  <c r="I218" i="84"/>
  <c r="F218" i="84"/>
  <c r="O217" i="84"/>
  <c r="L217" i="84"/>
  <c r="I217" i="84"/>
  <c r="F217" i="84"/>
  <c r="N216" i="84"/>
  <c r="M216" i="84"/>
  <c r="K216" i="84"/>
  <c r="J216" i="84"/>
  <c r="I216" i="84"/>
  <c r="H216" i="84"/>
  <c r="G216" i="84"/>
  <c r="E216" i="84"/>
  <c r="D216" i="84"/>
  <c r="O215" i="84"/>
  <c r="L215" i="84"/>
  <c r="I215" i="84"/>
  <c r="F215" i="84"/>
  <c r="O214" i="84"/>
  <c r="L214" i="84"/>
  <c r="I214" i="84"/>
  <c r="F214" i="84"/>
  <c r="O213" i="84"/>
  <c r="L213" i="84"/>
  <c r="I213" i="84"/>
  <c r="F213" i="84"/>
  <c r="O212" i="84"/>
  <c r="L212" i="84"/>
  <c r="I212" i="84"/>
  <c r="F212" i="84"/>
  <c r="O211" i="84"/>
  <c r="L211" i="84"/>
  <c r="I211" i="84"/>
  <c r="F211" i="84"/>
  <c r="O210" i="84"/>
  <c r="L210" i="84"/>
  <c r="I210" i="84"/>
  <c r="F210" i="84"/>
  <c r="O209" i="84"/>
  <c r="L209" i="84"/>
  <c r="I209" i="84"/>
  <c r="F209" i="84"/>
  <c r="O208" i="84"/>
  <c r="L208" i="84"/>
  <c r="I208" i="84"/>
  <c r="F208" i="84"/>
  <c r="O207" i="84"/>
  <c r="L207" i="84"/>
  <c r="I207" i="84"/>
  <c r="F207" i="84"/>
  <c r="O206" i="84"/>
  <c r="L206" i="84"/>
  <c r="I206" i="84"/>
  <c r="F206" i="84"/>
  <c r="N205" i="84"/>
  <c r="M205" i="84"/>
  <c r="K205" i="84"/>
  <c r="K204" i="84" s="1"/>
  <c r="J205" i="84"/>
  <c r="H205" i="84"/>
  <c r="G205" i="84"/>
  <c r="E205" i="84"/>
  <c r="E204" i="84" s="1"/>
  <c r="D205" i="84"/>
  <c r="D204" i="84" s="1"/>
  <c r="G204" i="84"/>
  <c r="O203" i="84"/>
  <c r="L203" i="84"/>
  <c r="I203" i="84"/>
  <c r="F203" i="84"/>
  <c r="O202" i="84"/>
  <c r="L202" i="84"/>
  <c r="I202" i="84"/>
  <c r="F202" i="84"/>
  <c r="O201" i="84"/>
  <c r="L201" i="84"/>
  <c r="I201" i="84"/>
  <c r="F201" i="84"/>
  <c r="O200" i="84"/>
  <c r="L200" i="84"/>
  <c r="I200" i="84"/>
  <c r="F200" i="84"/>
  <c r="O199" i="84"/>
  <c r="L199" i="84"/>
  <c r="L198" i="84" s="1"/>
  <c r="I199" i="84"/>
  <c r="F199" i="84"/>
  <c r="F198" i="84" s="1"/>
  <c r="O198" i="84"/>
  <c r="N198" i="84"/>
  <c r="M198" i="84"/>
  <c r="K198" i="84"/>
  <c r="K196" i="84" s="1"/>
  <c r="J198" i="84"/>
  <c r="H198" i="84"/>
  <c r="H196" i="84" s="1"/>
  <c r="G198" i="84"/>
  <c r="G196" i="84" s="1"/>
  <c r="G195" i="84" s="1"/>
  <c r="E198" i="84"/>
  <c r="E196" i="84" s="1"/>
  <c r="D198" i="84"/>
  <c r="O197" i="84"/>
  <c r="L197" i="84"/>
  <c r="I197" i="84"/>
  <c r="F197" i="84"/>
  <c r="N196" i="84"/>
  <c r="M196" i="84"/>
  <c r="J196" i="84"/>
  <c r="D196" i="84"/>
  <c r="O193" i="84"/>
  <c r="O192" i="84" s="1"/>
  <c r="O191" i="84" s="1"/>
  <c r="L193" i="84"/>
  <c r="L192" i="84" s="1"/>
  <c r="L191" i="84" s="1"/>
  <c r="I193" i="84"/>
  <c r="I192" i="84" s="1"/>
  <c r="I191" i="84" s="1"/>
  <c r="F193" i="84"/>
  <c r="N192" i="84"/>
  <c r="N191" i="84" s="1"/>
  <c r="M192" i="84"/>
  <c r="M191" i="84" s="1"/>
  <c r="K192" i="84"/>
  <c r="K191" i="84" s="1"/>
  <c r="J192" i="84"/>
  <c r="J191" i="84" s="1"/>
  <c r="H192" i="84"/>
  <c r="H191" i="84" s="1"/>
  <c r="G192" i="84"/>
  <c r="E192" i="84"/>
  <c r="E191" i="84" s="1"/>
  <c r="D192" i="84"/>
  <c r="D191" i="84" s="1"/>
  <c r="G191" i="84"/>
  <c r="O190" i="84"/>
  <c r="L190" i="84"/>
  <c r="I190" i="84"/>
  <c r="F190" i="84"/>
  <c r="O189" i="84"/>
  <c r="L189" i="84"/>
  <c r="L188" i="84" s="1"/>
  <c r="L187" i="84" s="1"/>
  <c r="I189" i="84"/>
  <c r="I188" i="84" s="1"/>
  <c r="F189" i="84"/>
  <c r="N188" i="84"/>
  <c r="M188" i="84"/>
  <c r="M187" i="84" s="1"/>
  <c r="K188" i="84"/>
  <c r="J188" i="84"/>
  <c r="H188" i="84"/>
  <c r="G188" i="84"/>
  <c r="E188" i="84"/>
  <c r="D188" i="84"/>
  <c r="O186" i="84"/>
  <c r="L186" i="84"/>
  <c r="I186" i="84"/>
  <c r="F186" i="84"/>
  <c r="O185" i="84"/>
  <c r="L185" i="84"/>
  <c r="L184" i="84" s="1"/>
  <c r="I185" i="84"/>
  <c r="F185" i="84"/>
  <c r="O184" i="84"/>
  <c r="N184" i="84"/>
  <c r="M184" i="84"/>
  <c r="K184" i="84"/>
  <c r="J184" i="84"/>
  <c r="H184" i="84"/>
  <c r="G184" i="84"/>
  <c r="F184" i="84"/>
  <c r="E184" i="84"/>
  <c r="D184" i="84"/>
  <c r="O183" i="84"/>
  <c r="L183" i="84"/>
  <c r="I183" i="84"/>
  <c r="F183" i="84"/>
  <c r="O182" i="84"/>
  <c r="L182" i="84"/>
  <c r="I182" i="84"/>
  <c r="F182" i="84"/>
  <c r="O181" i="84"/>
  <c r="L181" i="84"/>
  <c r="I181" i="84"/>
  <c r="F181" i="84"/>
  <c r="O180" i="84"/>
  <c r="L180" i="84"/>
  <c r="I180" i="84"/>
  <c r="F180" i="84"/>
  <c r="O179" i="84"/>
  <c r="N179" i="84"/>
  <c r="M179" i="84"/>
  <c r="K179" i="84"/>
  <c r="J179" i="84"/>
  <c r="H179" i="84"/>
  <c r="G179" i="84"/>
  <c r="E179" i="84"/>
  <c r="D179" i="84"/>
  <c r="O178" i="84"/>
  <c r="L178" i="84"/>
  <c r="I178" i="84"/>
  <c r="F178" i="84"/>
  <c r="O177" i="84"/>
  <c r="L177" i="84"/>
  <c r="I177" i="84"/>
  <c r="F177" i="84"/>
  <c r="O176" i="84"/>
  <c r="L176" i="84"/>
  <c r="I176" i="84"/>
  <c r="F176" i="84"/>
  <c r="F175" i="84" s="1"/>
  <c r="O175" i="84"/>
  <c r="N175" i="84"/>
  <c r="M175" i="84"/>
  <c r="M174" i="84" s="1"/>
  <c r="M173" i="84" s="1"/>
  <c r="K175" i="84"/>
  <c r="K174" i="84" s="1"/>
  <c r="J175" i="84"/>
  <c r="H175" i="84"/>
  <c r="G175" i="84"/>
  <c r="E175" i="84"/>
  <c r="E174" i="84" s="1"/>
  <c r="E173" i="84" s="1"/>
  <c r="D175" i="84"/>
  <c r="O172" i="84"/>
  <c r="L172" i="84"/>
  <c r="C172" i="84" s="1"/>
  <c r="I172" i="84"/>
  <c r="F172" i="84"/>
  <c r="O171" i="84"/>
  <c r="L171" i="84"/>
  <c r="I171" i="84"/>
  <c r="F171" i="84"/>
  <c r="O170" i="84"/>
  <c r="L170" i="84"/>
  <c r="I170" i="84"/>
  <c r="F170" i="84"/>
  <c r="O169" i="84"/>
  <c r="L169" i="84"/>
  <c r="I169" i="84"/>
  <c r="F169" i="84"/>
  <c r="O168" i="84"/>
  <c r="L168" i="84"/>
  <c r="I168" i="84"/>
  <c r="F168" i="84"/>
  <c r="O167" i="84"/>
  <c r="O166" i="84" s="1"/>
  <c r="O165" i="84" s="1"/>
  <c r="L167" i="84"/>
  <c r="I167" i="84"/>
  <c r="F167" i="84"/>
  <c r="F166" i="84" s="1"/>
  <c r="F165" i="84" s="1"/>
  <c r="N166" i="84"/>
  <c r="M166" i="84"/>
  <c r="K166" i="84"/>
  <c r="J166" i="84"/>
  <c r="H166" i="84"/>
  <c r="H165" i="84" s="1"/>
  <c r="G166" i="84"/>
  <c r="G165" i="84" s="1"/>
  <c r="E166" i="84"/>
  <c r="E165" i="84" s="1"/>
  <c r="D166" i="84"/>
  <c r="D165" i="84" s="1"/>
  <c r="N165" i="84"/>
  <c r="M165" i="84"/>
  <c r="K165" i="84"/>
  <c r="J165" i="84"/>
  <c r="O164" i="84"/>
  <c r="L164" i="84"/>
  <c r="I164" i="84"/>
  <c r="F164" i="84"/>
  <c r="O163" i="84"/>
  <c r="L163" i="84"/>
  <c r="I163" i="84"/>
  <c r="F163" i="84"/>
  <c r="O162" i="84"/>
  <c r="L162" i="84"/>
  <c r="I162" i="84"/>
  <c r="F162" i="84"/>
  <c r="O161" i="84"/>
  <c r="L161" i="84"/>
  <c r="L160" i="84" s="1"/>
  <c r="I161" i="84"/>
  <c r="F161" i="84"/>
  <c r="O160" i="84"/>
  <c r="N160" i="84"/>
  <c r="M160" i="84"/>
  <c r="K160" i="84"/>
  <c r="J160" i="84"/>
  <c r="H160" i="84"/>
  <c r="G160" i="84"/>
  <c r="F160" i="84"/>
  <c r="E160" i="84"/>
  <c r="D160" i="84"/>
  <c r="O159" i="84"/>
  <c r="L159" i="84"/>
  <c r="I159" i="84"/>
  <c r="F159" i="84"/>
  <c r="O158" i="84"/>
  <c r="L158" i="84"/>
  <c r="I158" i="84"/>
  <c r="F158" i="84"/>
  <c r="O157" i="84"/>
  <c r="L157" i="84"/>
  <c r="I157" i="84"/>
  <c r="F157" i="84"/>
  <c r="O156" i="84"/>
  <c r="L156" i="84"/>
  <c r="I156" i="84"/>
  <c r="F156" i="84"/>
  <c r="O155" i="84"/>
  <c r="L155" i="84"/>
  <c r="I155" i="84"/>
  <c r="F155" i="84"/>
  <c r="O154" i="84"/>
  <c r="L154" i="84"/>
  <c r="I154" i="84"/>
  <c r="F154" i="84"/>
  <c r="O153" i="84"/>
  <c r="L153" i="84"/>
  <c r="I153" i="84"/>
  <c r="F153" i="84"/>
  <c r="O152" i="84"/>
  <c r="L152" i="84"/>
  <c r="I152" i="84"/>
  <c r="F152" i="84"/>
  <c r="N151" i="84"/>
  <c r="M151" i="84"/>
  <c r="K151" i="84"/>
  <c r="J151" i="84"/>
  <c r="H151" i="84"/>
  <c r="G151" i="84"/>
  <c r="E151" i="84"/>
  <c r="D151" i="84"/>
  <c r="O150" i="84"/>
  <c r="L150" i="84"/>
  <c r="I150" i="84"/>
  <c r="F150" i="84"/>
  <c r="O149" i="84"/>
  <c r="L149" i="84"/>
  <c r="I149" i="84"/>
  <c r="F149" i="84"/>
  <c r="O148" i="84"/>
  <c r="L148" i="84"/>
  <c r="I148" i="84"/>
  <c r="F148" i="84"/>
  <c r="O147" i="84"/>
  <c r="L147" i="84"/>
  <c r="I147" i="84"/>
  <c r="F147" i="84"/>
  <c r="O146" i="84"/>
  <c r="L146" i="84"/>
  <c r="I146" i="84"/>
  <c r="F146" i="84"/>
  <c r="O145" i="84"/>
  <c r="L145" i="84"/>
  <c r="I145" i="84"/>
  <c r="F145" i="84"/>
  <c r="O144" i="84"/>
  <c r="N144" i="84"/>
  <c r="M144" i="84"/>
  <c r="K144" i="84"/>
  <c r="J144" i="84"/>
  <c r="H144" i="84"/>
  <c r="G144" i="84"/>
  <c r="F144" i="84"/>
  <c r="E144" i="84"/>
  <c r="D144" i="84"/>
  <c r="O143" i="84"/>
  <c r="L143" i="84"/>
  <c r="I143" i="84"/>
  <c r="F143" i="84"/>
  <c r="O142" i="84"/>
  <c r="L142" i="84"/>
  <c r="L141" i="84" s="1"/>
  <c r="I142" i="84"/>
  <c r="I141" i="84" s="1"/>
  <c r="F142" i="84"/>
  <c r="N141" i="84"/>
  <c r="M141" i="84"/>
  <c r="K141" i="84"/>
  <c r="J141" i="84"/>
  <c r="H141" i="84"/>
  <c r="G141" i="84"/>
  <c r="E141" i="84"/>
  <c r="D141" i="84"/>
  <c r="O140" i="84"/>
  <c r="L140" i="84"/>
  <c r="I140" i="84"/>
  <c r="F140" i="84"/>
  <c r="O139" i="84"/>
  <c r="L139" i="84"/>
  <c r="C139" i="84" s="1"/>
  <c r="I139" i="84"/>
  <c r="F139" i="84"/>
  <c r="O138" i="84"/>
  <c r="L138" i="84"/>
  <c r="I138" i="84"/>
  <c r="F138" i="84"/>
  <c r="O137" i="84"/>
  <c r="L137" i="84"/>
  <c r="I137" i="84"/>
  <c r="F137" i="84"/>
  <c r="F136" i="84" s="1"/>
  <c r="N136" i="84"/>
  <c r="M136" i="84"/>
  <c r="K136" i="84"/>
  <c r="J136" i="84"/>
  <c r="H136" i="84"/>
  <c r="G136" i="84"/>
  <c r="E136" i="84"/>
  <c r="D136" i="84"/>
  <c r="O135" i="84"/>
  <c r="L135" i="84"/>
  <c r="I135" i="84"/>
  <c r="F135" i="84"/>
  <c r="O134" i="84"/>
  <c r="L134" i="84"/>
  <c r="I134" i="84"/>
  <c r="F134" i="84"/>
  <c r="O133" i="84"/>
  <c r="L133" i="84"/>
  <c r="I133" i="84"/>
  <c r="F133" i="84"/>
  <c r="O132" i="84"/>
  <c r="O131" i="84" s="1"/>
  <c r="L132" i="84"/>
  <c r="I132" i="84"/>
  <c r="F132" i="84"/>
  <c r="F131" i="84" s="1"/>
  <c r="N131" i="84"/>
  <c r="M131" i="84"/>
  <c r="K131" i="84"/>
  <c r="J131" i="84"/>
  <c r="H131" i="84"/>
  <c r="G131" i="84"/>
  <c r="E131" i="84"/>
  <c r="E130" i="84" s="1"/>
  <c r="D131" i="84"/>
  <c r="O129" i="84"/>
  <c r="L129" i="84"/>
  <c r="L128" i="84" s="1"/>
  <c r="I129" i="84"/>
  <c r="F129" i="84"/>
  <c r="O128" i="84"/>
  <c r="N128" i="84"/>
  <c r="M128" i="84"/>
  <c r="K128" i="84"/>
  <c r="J128" i="84"/>
  <c r="H128" i="84"/>
  <c r="G128" i="84"/>
  <c r="F128" i="84"/>
  <c r="E128" i="84"/>
  <c r="D128" i="84"/>
  <c r="O127" i="84"/>
  <c r="L127" i="84"/>
  <c r="I127" i="84"/>
  <c r="F127" i="84"/>
  <c r="O126" i="84"/>
  <c r="L126" i="84"/>
  <c r="I126" i="84"/>
  <c r="F126" i="84"/>
  <c r="O125" i="84"/>
  <c r="L125" i="84"/>
  <c r="I125" i="84"/>
  <c r="F125" i="84"/>
  <c r="O124" i="84"/>
  <c r="L124" i="84"/>
  <c r="I124" i="84"/>
  <c r="F124" i="84"/>
  <c r="O123" i="84"/>
  <c r="O122" i="84" s="1"/>
  <c r="L123" i="84"/>
  <c r="I123" i="84"/>
  <c r="F123" i="84"/>
  <c r="N122" i="84"/>
  <c r="M122" i="84"/>
  <c r="K122" i="84"/>
  <c r="J122" i="84"/>
  <c r="H122" i="84"/>
  <c r="G122" i="84"/>
  <c r="E122" i="84"/>
  <c r="D122" i="84"/>
  <c r="O121" i="84"/>
  <c r="L121" i="84"/>
  <c r="I121" i="84"/>
  <c r="F121" i="84"/>
  <c r="O120" i="84"/>
  <c r="L120" i="84"/>
  <c r="I120" i="84"/>
  <c r="F120" i="84"/>
  <c r="O119" i="84"/>
  <c r="L119" i="84"/>
  <c r="I119" i="84"/>
  <c r="F119" i="84"/>
  <c r="O118" i="84"/>
  <c r="L118" i="84"/>
  <c r="I118" i="84"/>
  <c r="F118" i="84"/>
  <c r="O117" i="84"/>
  <c r="L117" i="84"/>
  <c r="I117" i="84"/>
  <c r="F117" i="84"/>
  <c r="O116" i="84"/>
  <c r="N116" i="84"/>
  <c r="M116" i="84"/>
  <c r="K116" i="84"/>
  <c r="J116" i="84"/>
  <c r="H116" i="84"/>
  <c r="G116" i="84"/>
  <c r="F116" i="84"/>
  <c r="E116" i="84"/>
  <c r="D116" i="84"/>
  <c r="O115" i="84"/>
  <c r="L115" i="84"/>
  <c r="I115" i="84"/>
  <c r="F115" i="84"/>
  <c r="O114" i="84"/>
  <c r="L114" i="84"/>
  <c r="I114" i="84"/>
  <c r="F114" i="84"/>
  <c r="O113" i="84"/>
  <c r="L113" i="84"/>
  <c r="L112" i="84" s="1"/>
  <c r="I113" i="84"/>
  <c r="F113" i="84"/>
  <c r="O112" i="84"/>
  <c r="N112" i="84"/>
  <c r="M112" i="84"/>
  <c r="K112" i="84"/>
  <c r="J112" i="84"/>
  <c r="H112" i="84"/>
  <c r="G112" i="84"/>
  <c r="F112" i="84"/>
  <c r="E112" i="84"/>
  <c r="D112" i="84"/>
  <c r="O111" i="84"/>
  <c r="L111" i="84"/>
  <c r="I111" i="84"/>
  <c r="F111" i="84"/>
  <c r="O110" i="84"/>
  <c r="L110" i="84"/>
  <c r="I110" i="84"/>
  <c r="F110" i="84"/>
  <c r="O109" i="84"/>
  <c r="L109" i="84"/>
  <c r="I109" i="84"/>
  <c r="F109" i="84"/>
  <c r="O108" i="84"/>
  <c r="L108" i="84"/>
  <c r="I108" i="84"/>
  <c r="F108" i="84"/>
  <c r="O107" i="84"/>
  <c r="L107" i="84"/>
  <c r="I107" i="84"/>
  <c r="F107" i="84"/>
  <c r="O106" i="84"/>
  <c r="L106" i="84"/>
  <c r="I106" i="84"/>
  <c r="F106" i="84"/>
  <c r="O105" i="84"/>
  <c r="L105" i="84"/>
  <c r="I105" i="84"/>
  <c r="F105" i="84"/>
  <c r="O104" i="84"/>
  <c r="L104" i="84"/>
  <c r="I104" i="84"/>
  <c r="F104" i="84"/>
  <c r="N103" i="84"/>
  <c r="M103" i="84"/>
  <c r="K103" i="84"/>
  <c r="J103" i="84"/>
  <c r="H103" i="84"/>
  <c r="G103" i="84"/>
  <c r="E103" i="84"/>
  <c r="D103" i="84"/>
  <c r="O102" i="84"/>
  <c r="L102" i="84"/>
  <c r="I102" i="84"/>
  <c r="F102" i="84"/>
  <c r="O101" i="84"/>
  <c r="L101" i="84"/>
  <c r="I101" i="84"/>
  <c r="F101" i="84"/>
  <c r="O100" i="84"/>
  <c r="L100" i="84"/>
  <c r="I100" i="84"/>
  <c r="F100" i="84"/>
  <c r="O99" i="84"/>
  <c r="L99" i="84"/>
  <c r="I99" i="84"/>
  <c r="F99" i="84"/>
  <c r="O98" i="84"/>
  <c r="L98" i="84"/>
  <c r="I98" i="84"/>
  <c r="F98" i="84"/>
  <c r="O97" i="84"/>
  <c r="L97" i="84"/>
  <c r="I97" i="84"/>
  <c r="F97" i="84"/>
  <c r="O96" i="84"/>
  <c r="O95" i="84" s="1"/>
  <c r="L96" i="84"/>
  <c r="L95" i="84" s="1"/>
  <c r="I96" i="84"/>
  <c r="F96" i="84"/>
  <c r="F95" i="84" s="1"/>
  <c r="N95" i="84"/>
  <c r="M95" i="84"/>
  <c r="K95" i="84"/>
  <c r="J95" i="84"/>
  <c r="H95" i="84"/>
  <c r="G95" i="84"/>
  <c r="E95" i="84"/>
  <c r="D95" i="84"/>
  <c r="O94" i="84"/>
  <c r="L94" i="84"/>
  <c r="I94" i="84"/>
  <c r="F94" i="84"/>
  <c r="O93" i="84"/>
  <c r="L93" i="84"/>
  <c r="I93" i="84"/>
  <c r="F93" i="84"/>
  <c r="O92" i="84"/>
  <c r="L92" i="84"/>
  <c r="I92" i="84"/>
  <c r="F92" i="84"/>
  <c r="O91" i="84"/>
  <c r="L91" i="84"/>
  <c r="I91" i="84"/>
  <c r="F91" i="84"/>
  <c r="O90" i="84"/>
  <c r="L90" i="84"/>
  <c r="I90" i="84"/>
  <c r="I89" i="84" s="1"/>
  <c r="F90" i="84"/>
  <c r="N89" i="84"/>
  <c r="M89" i="84"/>
  <c r="K89" i="84"/>
  <c r="J89" i="84"/>
  <c r="H89" i="84"/>
  <c r="G89" i="84"/>
  <c r="E89" i="84"/>
  <c r="D89" i="84"/>
  <c r="O88" i="84"/>
  <c r="L88" i="84"/>
  <c r="I88" i="84"/>
  <c r="F88" i="84"/>
  <c r="O87" i="84"/>
  <c r="L87" i="84"/>
  <c r="I87" i="84"/>
  <c r="F87" i="84"/>
  <c r="O86" i="84"/>
  <c r="L86" i="84"/>
  <c r="I86" i="84"/>
  <c r="F86" i="84"/>
  <c r="O85" i="84"/>
  <c r="L85" i="84"/>
  <c r="L84" i="84" s="1"/>
  <c r="I85" i="84"/>
  <c r="F85" i="84"/>
  <c r="N84" i="84"/>
  <c r="M84" i="84"/>
  <c r="K84" i="84"/>
  <c r="K83" i="84" s="1"/>
  <c r="J84" i="84"/>
  <c r="H84" i="84"/>
  <c r="G84" i="84"/>
  <c r="E84" i="84"/>
  <c r="D84" i="84"/>
  <c r="O82" i="84"/>
  <c r="L82" i="84"/>
  <c r="I82" i="84"/>
  <c r="F82" i="84"/>
  <c r="O81" i="84"/>
  <c r="L81" i="84"/>
  <c r="L80" i="84" s="1"/>
  <c r="I81" i="84"/>
  <c r="F81" i="84"/>
  <c r="O80" i="84"/>
  <c r="N80" i="84"/>
  <c r="M80" i="84"/>
  <c r="K80" i="84"/>
  <c r="J80" i="84"/>
  <c r="H80" i="84"/>
  <c r="G80" i="84"/>
  <c r="F80" i="84"/>
  <c r="E80" i="84"/>
  <c r="D80" i="84"/>
  <c r="O79" i="84"/>
  <c r="L79" i="84"/>
  <c r="I79" i="84"/>
  <c r="F79" i="84"/>
  <c r="O78" i="84"/>
  <c r="L78" i="84"/>
  <c r="I78" i="84"/>
  <c r="I77" i="84" s="1"/>
  <c r="F78" i="84"/>
  <c r="N77" i="84"/>
  <c r="M77" i="84"/>
  <c r="M76" i="84" s="1"/>
  <c r="K77" i="84"/>
  <c r="J77" i="84"/>
  <c r="H77" i="84"/>
  <c r="H76" i="84" s="1"/>
  <c r="G77" i="84"/>
  <c r="G76" i="84" s="1"/>
  <c r="E77" i="84"/>
  <c r="E76" i="84" s="1"/>
  <c r="D77" i="84"/>
  <c r="D76" i="84" s="1"/>
  <c r="K76" i="84"/>
  <c r="O74" i="84"/>
  <c r="L74" i="84"/>
  <c r="I74" i="84"/>
  <c r="F74" i="84"/>
  <c r="O73" i="84"/>
  <c r="L73" i="84"/>
  <c r="I73" i="84"/>
  <c r="F73" i="84"/>
  <c r="O72" i="84"/>
  <c r="L72" i="84"/>
  <c r="I72" i="84"/>
  <c r="F72" i="84"/>
  <c r="O71" i="84"/>
  <c r="L71" i="84"/>
  <c r="I71" i="84"/>
  <c r="F71" i="84"/>
  <c r="O70" i="84"/>
  <c r="L70" i="84"/>
  <c r="I70" i="84"/>
  <c r="I69" i="84" s="1"/>
  <c r="F70" i="84"/>
  <c r="N69" i="84"/>
  <c r="N67" i="84" s="1"/>
  <c r="M69" i="84"/>
  <c r="M67" i="84" s="1"/>
  <c r="K69" i="84"/>
  <c r="K67" i="84" s="1"/>
  <c r="J69" i="84"/>
  <c r="J67" i="84" s="1"/>
  <c r="H69" i="84"/>
  <c r="G69" i="84"/>
  <c r="G67" i="84" s="1"/>
  <c r="E69" i="84"/>
  <c r="E67" i="84" s="1"/>
  <c r="D69" i="84"/>
  <c r="D67" i="84" s="1"/>
  <c r="O68" i="84"/>
  <c r="L68" i="84"/>
  <c r="I68" i="84"/>
  <c r="F68" i="84"/>
  <c r="H67" i="84"/>
  <c r="O66" i="84"/>
  <c r="L66" i="84"/>
  <c r="I66" i="84"/>
  <c r="F66" i="84"/>
  <c r="O65" i="84"/>
  <c r="L65" i="84"/>
  <c r="I65" i="84"/>
  <c r="F65" i="84"/>
  <c r="O64" i="84"/>
  <c r="L64" i="84"/>
  <c r="I64" i="84"/>
  <c r="F64" i="84"/>
  <c r="O63" i="84"/>
  <c r="L63" i="84"/>
  <c r="I63" i="84"/>
  <c r="F63" i="84"/>
  <c r="O62" i="84"/>
  <c r="L62" i="84"/>
  <c r="I62" i="84"/>
  <c r="F62" i="84"/>
  <c r="O61" i="84"/>
  <c r="L61" i="84"/>
  <c r="I61" i="84"/>
  <c r="F61" i="84"/>
  <c r="O60" i="84"/>
  <c r="L60" i="84"/>
  <c r="I60" i="84"/>
  <c r="F60" i="84"/>
  <c r="O59" i="84"/>
  <c r="L59" i="84"/>
  <c r="I59" i="84"/>
  <c r="F59" i="84"/>
  <c r="N58" i="84"/>
  <c r="M58" i="84"/>
  <c r="K58" i="84"/>
  <c r="J58" i="84"/>
  <c r="H58" i="84"/>
  <c r="G58" i="84"/>
  <c r="E58" i="84"/>
  <c r="D58" i="84"/>
  <c r="O57" i="84"/>
  <c r="L57" i="84"/>
  <c r="I57" i="84"/>
  <c r="F57" i="84"/>
  <c r="O56" i="84"/>
  <c r="O55" i="84" s="1"/>
  <c r="L56" i="84"/>
  <c r="L55" i="84" s="1"/>
  <c r="I56" i="84"/>
  <c r="F56" i="84"/>
  <c r="F55" i="84" s="1"/>
  <c r="N55" i="84"/>
  <c r="M55" i="84"/>
  <c r="K55" i="84"/>
  <c r="J55" i="84"/>
  <c r="I55" i="84"/>
  <c r="H55" i="84"/>
  <c r="G55" i="84"/>
  <c r="E55" i="84"/>
  <c r="E54" i="84" s="1"/>
  <c r="E53" i="84" s="1"/>
  <c r="D55" i="84"/>
  <c r="D54" i="84" s="1"/>
  <c r="N54" i="84"/>
  <c r="N53" i="84" s="1"/>
  <c r="O47" i="84"/>
  <c r="C47" i="84"/>
  <c r="O46" i="84"/>
  <c r="N45" i="84"/>
  <c r="M45" i="84"/>
  <c r="L44" i="84"/>
  <c r="L43" i="84" s="1"/>
  <c r="I44" i="84"/>
  <c r="I43" i="84" s="1"/>
  <c r="F44" i="84"/>
  <c r="K43" i="84"/>
  <c r="J43" i="84"/>
  <c r="H43" i="84"/>
  <c r="G43" i="84"/>
  <c r="E43" i="84"/>
  <c r="D43" i="84"/>
  <c r="F42" i="84"/>
  <c r="C42" i="84" s="1"/>
  <c r="E41" i="84"/>
  <c r="D41" i="84"/>
  <c r="L40" i="84"/>
  <c r="C40" i="84" s="1"/>
  <c r="L39" i="84"/>
  <c r="C39" i="84" s="1"/>
  <c r="L38" i="84"/>
  <c r="C38" i="84" s="1"/>
  <c r="L37" i="84"/>
  <c r="C37" i="84" s="1"/>
  <c r="K36" i="84"/>
  <c r="J36" i="84"/>
  <c r="L35" i="84"/>
  <c r="C35" i="84" s="1"/>
  <c r="L34" i="84"/>
  <c r="C34" i="84" s="1"/>
  <c r="K33" i="84"/>
  <c r="J33" i="84"/>
  <c r="L32" i="84"/>
  <c r="L31" i="84" s="1"/>
  <c r="C31" i="84" s="1"/>
  <c r="K31" i="84"/>
  <c r="J31" i="84"/>
  <c r="J26" i="84" s="1"/>
  <c r="L30" i="84"/>
  <c r="C30" i="84" s="1"/>
  <c r="L29" i="84"/>
  <c r="C29" i="84" s="1"/>
  <c r="L28" i="84"/>
  <c r="C28" i="84" s="1"/>
  <c r="K27" i="84"/>
  <c r="K26" i="84" s="1"/>
  <c r="J27" i="84"/>
  <c r="F25" i="84"/>
  <c r="C25" i="84" s="1"/>
  <c r="I24" i="84"/>
  <c r="F24" i="84"/>
  <c r="C24" i="84" s="1"/>
  <c r="O23" i="84"/>
  <c r="L23" i="84"/>
  <c r="I23" i="84"/>
  <c r="F23" i="84"/>
  <c r="O22" i="84"/>
  <c r="L22" i="84"/>
  <c r="L21" i="84" s="1"/>
  <c r="L292" i="84" s="1"/>
  <c r="I22" i="84"/>
  <c r="I21" i="84" s="1"/>
  <c r="I292" i="84" s="1"/>
  <c r="F22" i="84"/>
  <c r="N21" i="84"/>
  <c r="N292" i="84" s="1"/>
  <c r="N291" i="84" s="1"/>
  <c r="M21" i="84"/>
  <c r="M20" i="84" s="1"/>
  <c r="K21" i="84"/>
  <c r="K292" i="84" s="1"/>
  <c r="K291" i="84" s="1"/>
  <c r="J21" i="84"/>
  <c r="J292" i="84" s="1"/>
  <c r="J291" i="84" s="1"/>
  <c r="H21" i="84"/>
  <c r="H292" i="84" s="1"/>
  <c r="H291" i="84" s="1"/>
  <c r="G21" i="84"/>
  <c r="G292" i="84" s="1"/>
  <c r="G291" i="84" s="1"/>
  <c r="E21" i="84"/>
  <c r="E292" i="84" s="1"/>
  <c r="D21" i="84"/>
  <c r="D292" i="84" s="1"/>
  <c r="D291" i="84" s="1"/>
  <c r="D174" i="84" l="1"/>
  <c r="D173" i="84" s="1"/>
  <c r="J174" i="84"/>
  <c r="J173" i="84" s="1"/>
  <c r="O174" i="84"/>
  <c r="O173" i="84" s="1"/>
  <c r="D187" i="84"/>
  <c r="C108" i="84"/>
  <c r="C110" i="84"/>
  <c r="M130" i="84"/>
  <c r="O260" i="84"/>
  <c r="C214" i="84"/>
  <c r="C254" i="84"/>
  <c r="C44" i="84"/>
  <c r="G54" i="84"/>
  <c r="G53" i="84" s="1"/>
  <c r="K54" i="84"/>
  <c r="J54" i="84"/>
  <c r="J53" i="84" s="1"/>
  <c r="C65" i="84"/>
  <c r="C138" i="84"/>
  <c r="O136" i="84"/>
  <c r="C147" i="84"/>
  <c r="C149" i="84"/>
  <c r="C157" i="84"/>
  <c r="C262" i="84"/>
  <c r="K259" i="84"/>
  <c r="C268" i="84"/>
  <c r="C298" i="84"/>
  <c r="C88" i="84"/>
  <c r="G174" i="84"/>
  <c r="I187" i="84"/>
  <c r="M231" i="84"/>
  <c r="O252" i="84"/>
  <c r="C66" i="84"/>
  <c r="C159" i="84"/>
  <c r="C164" i="84"/>
  <c r="E187" i="84"/>
  <c r="G231" i="84"/>
  <c r="C258" i="84"/>
  <c r="N259" i="84"/>
  <c r="C101" i="84"/>
  <c r="H174" i="84"/>
  <c r="H173" i="84" s="1"/>
  <c r="N174" i="84"/>
  <c r="C180" i="84"/>
  <c r="H187" i="84"/>
  <c r="C210" i="84"/>
  <c r="C212" i="84"/>
  <c r="C226" i="84"/>
  <c r="C234" i="84"/>
  <c r="I252" i="84"/>
  <c r="I251" i="84" s="1"/>
  <c r="E259" i="84"/>
  <c r="I260" i="84"/>
  <c r="C278" i="84"/>
  <c r="C23" i="84"/>
  <c r="M54" i="84"/>
  <c r="M53" i="84" s="1"/>
  <c r="C87" i="84"/>
  <c r="C123" i="84"/>
  <c r="C124" i="84"/>
  <c r="H130" i="84"/>
  <c r="C171" i="84"/>
  <c r="O188" i="84"/>
  <c r="K187" i="84"/>
  <c r="C202" i="84"/>
  <c r="C203" i="84"/>
  <c r="C224" i="84"/>
  <c r="G20" i="84"/>
  <c r="N20" i="84"/>
  <c r="C56" i="84"/>
  <c r="I67" i="84"/>
  <c r="C92" i="84"/>
  <c r="C115" i="84"/>
  <c r="C119" i="84"/>
  <c r="C132" i="84"/>
  <c r="L136" i="84"/>
  <c r="N187" i="84"/>
  <c r="O187" i="84"/>
  <c r="M204" i="84"/>
  <c r="M195" i="84" s="1"/>
  <c r="N230" i="84"/>
  <c r="C245" i="84"/>
  <c r="J231" i="84"/>
  <c r="O246" i="84"/>
  <c r="C294" i="84"/>
  <c r="C297" i="84"/>
  <c r="J230" i="84"/>
  <c r="C135" i="84"/>
  <c r="L131" i="84"/>
  <c r="C143" i="84"/>
  <c r="F141" i="84"/>
  <c r="C266" i="84"/>
  <c r="I264" i="84"/>
  <c r="I259" i="84" s="1"/>
  <c r="E291" i="84"/>
  <c r="O21" i="84"/>
  <c r="L27" i="84"/>
  <c r="C32" i="84"/>
  <c r="L33" i="84"/>
  <c r="C33" i="84" s="1"/>
  <c r="L36" i="84"/>
  <c r="C36" i="84" s="1"/>
  <c r="C46" i="84"/>
  <c r="O45" i="84"/>
  <c r="D53" i="84"/>
  <c r="C60" i="84"/>
  <c r="I58" i="84"/>
  <c r="I54" i="84" s="1"/>
  <c r="I53" i="84" s="1"/>
  <c r="C79" i="84"/>
  <c r="F77" i="84"/>
  <c r="F76" i="84" s="1"/>
  <c r="C222" i="84"/>
  <c r="G230" i="84"/>
  <c r="H259" i="84"/>
  <c r="D270" i="84"/>
  <c r="D269" i="84" s="1"/>
  <c r="L276" i="84"/>
  <c r="C22" i="84"/>
  <c r="L205" i="84"/>
  <c r="C206" i="84"/>
  <c r="N269" i="84"/>
  <c r="F41" i="84"/>
  <c r="C41" i="84" s="1"/>
  <c r="F43" i="84"/>
  <c r="K53" i="84"/>
  <c r="C71" i="84"/>
  <c r="F69" i="84"/>
  <c r="H83" i="84"/>
  <c r="C190" i="84"/>
  <c r="F188" i="84"/>
  <c r="L281" i="84"/>
  <c r="C281" i="84" s="1"/>
  <c r="C282" i="84"/>
  <c r="H54" i="84"/>
  <c r="H53" i="84" s="1"/>
  <c r="O58" i="84"/>
  <c r="O54" i="84" s="1"/>
  <c r="L58" i="84"/>
  <c r="L54" i="84" s="1"/>
  <c r="C73" i="84"/>
  <c r="L77" i="84"/>
  <c r="L76" i="84" s="1"/>
  <c r="C91" i="84"/>
  <c r="C100" i="84"/>
  <c r="C104" i="84"/>
  <c r="C118" i="84"/>
  <c r="G130" i="84"/>
  <c r="C134" i="84"/>
  <c r="C148" i="84"/>
  <c r="C152" i="84"/>
  <c r="C163" i="84"/>
  <c r="C169" i="84"/>
  <c r="K173" i="84"/>
  <c r="E195" i="84"/>
  <c r="L196" i="84"/>
  <c r="J204" i="84"/>
  <c r="J195" i="84" s="1"/>
  <c r="J194" i="84" s="1"/>
  <c r="N204" i="84"/>
  <c r="N195" i="84" s="1"/>
  <c r="C233" i="84"/>
  <c r="C244" i="84"/>
  <c r="C255" i="84"/>
  <c r="C257" i="84"/>
  <c r="C271" i="84"/>
  <c r="I293" i="84"/>
  <c r="I291" i="84" s="1"/>
  <c r="C299" i="84"/>
  <c r="C300" i="84"/>
  <c r="C59" i="84"/>
  <c r="C72" i="84"/>
  <c r="N76" i="84"/>
  <c r="C82" i="84"/>
  <c r="G83" i="84"/>
  <c r="C94" i="84"/>
  <c r="C99" i="84"/>
  <c r="C114" i="84"/>
  <c r="C121" i="84"/>
  <c r="C127" i="84"/>
  <c r="C146" i="84"/>
  <c r="C156" i="84"/>
  <c r="C162" i="84"/>
  <c r="C168" i="84"/>
  <c r="C183" i="84"/>
  <c r="N173" i="84"/>
  <c r="J187" i="84"/>
  <c r="C207" i="84"/>
  <c r="C219" i="84"/>
  <c r="C221" i="84"/>
  <c r="C237" i="84"/>
  <c r="C256" i="84"/>
  <c r="O264" i="84"/>
  <c r="O259" i="84" s="1"/>
  <c r="K269" i="84"/>
  <c r="E270" i="84"/>
  <c r="E269" i="84" s="1"/>
  <c r="C280" i="84"/>
  <c r="H269" i="84"/>
  <c r="C287" i="84"/>
  <c r="C288" i="84"/>
  <c r="L293" i="84"/>
  <c r="L291" i="84" s="1"/>
  <c r="C43" i="84"/>
  <c r="C57" i="84"/>
  <c r="C63" i="84"/>
  <c r="C64" i="84"/>
  <c r="C68" i="84"/>
  <c r="C70" i="84"/>
  <c r="O69" i="84"/>
  <c r="O67" i="84" s="1"/>
  <c r="J76" i="84"/>
  <c r="C78" i="84"/>
  <c r="O77" i="84"/>
  <c r="O76" i="84" s="1"/>
  <c r="N83" i="84"/>
  <c r="O84" i="84"/>
  <c r="M83" i="84"/>
  <c r="M75" i="84" s="1"/>
  <c r="M52" i="84" s="1"/>
  <c r="L89" i="84"/>
  <c r="C98" i="84"/>
  <c r="D83" i="84"/>
  <c r="C107" i="84"/>
  <c r="O103" i="84"/>
  <c r="C111" i="84"/>
  <c r="C120" i="84"/>
  <c r="C125" i="84"/>
  <c r="J130" i="84"/>
  <c r="C140" i="84"/>
  <c r="C142" i="84"/>
  <c r="O141" i="84"/>
  <c r="C141" i="84" s="1"/>
  <c r="D130" i="84"/>
  <c r="C155" i="84"/>
  <c r="C158" i="84"/>
  <c r="C176" i="84"/>
  <c r="G187" i="84"/>
  <c r="C189" i="84"/>
  <c r="K195" i="84"/>
  <c r="C201" i="84"/>
  <c r="H204" i="84"/>
  <c r="H195" i="84" s="1"/>
  <c r="C211" i="84"/>
  <c r="C213" i="84"/>
  <c r="C220" i="84"/>
  <c r="C223" i="84"/>
  <c r="C225" i="84"/>
  <c r="C229" i="84"/>
  <c r="D231" i="84"/>
  <c r="D230" i="84" s="1"/>
  <c r="H231" i="84"/>
  <c r="H230" i="84" s="1"/>
  <c r="L252" i="84"/>
  <c r="L251" i="84" s="1"/>
  <c r="G269" i="84"/>
  <c r="O272" i="84"/>
  <c r="O270" i="84" s="1"/>
  <c r="O269" i="84" s="1"/>
  <c r="O293" i="84"/>
  <c r="C55" i="84"/>
  <c r="O292" i="84"/>
  <c r="O291" i="84" s="1"/>
  <c r="O20" i="84"/>
  <c r="J20" i="84"/>
  <c r="C27" i="84"/>
  <c r="I84" i="84"/>
  <c r="C85" i="84"/>
  <c r="C96" i="84"/>
  <c r="I128" i="84"/>
  <c r="C128" i="84" s="1"/>
  <c r="C129" i="84"/>
  <c r="C177" i="84"/>
  <c r="I175" i="84"/>
  <c r="C181" i="84"/>
  <c r="I179" i="84"/>
  <c r="F21" i="84"/>
  <c r="O151" i="84"/>
  <c r="C240" i="84"/>
  <c r="I238" i="84"/>
  <c r="M292" i="84"/>
  <c r="M291" i="84" s="1"/>
  <c r="C105" i="84"/>
  <c r="I103" i="84"/>
  <c r="C153" i="84"/>
  <c r="I151" i="84"/>
  <c r="I184" i="84"/>
  <c r="C184" i="84" s="1"/>
  <c r="C185" i="84"/>
  <c r="C77" i="84"/>
  <c r="C167" i="84"/>
  <c r="C188" i="84"/>
  <c r="D20" i="84"/>
  <c r="H20" i="84"/>
  <c r="C45" i="84"/>
  <c r="C62" i="84"/>
  <c r="I80" i="84"/>
  <c r="C80" i="84" s="1"/>
  <c r="C81" i="84"/>
  <c r="J83" i="84"/>
  <c r="E83" i="84"/>
  <c r="E75" i="84" s="1"/>
  <c r="C93" i="84"/>
  <c r="C97" i="84"/>
  <c r="I95" i="84"/>
  <c r="C95" i="84" s="1"/>
  <c r="L103" i="84"/>
  <c r="C109" i="84"/>
  <c r="I112" i="84"/>
  <c r="C112" i="84" s="1"/>
  <c r="C113" i="84"/>
  <c r="I116" i="84"/>
  <c r="C117" i="84"/>
  <c r="L122" i="84"/>
  <c r="F122" i="84"/>
  <c r="C133" i="84"/>
  <c r="I131" i="84"/>
  <c r="I136" i="84"/>
  <c r="C136" i="84" s="1"/>
  <c r="C137" i="84"/>
  <c r="I144" i="84"/>
  <c r="C145" i="84"/>
  <c r="L151" i="84"/>
  <c r="I160" i="84"/>
  <c r="C160" i="84" s="1"/>
  <c r="C161" i="84"/>
  <c r="L166" i="84"/>
  <c r="L165" i="84" s="1"/>
  <c r="G173" i="84"/>
  <c r="L175" i="84"/>
  <c r="L179" i="84"/>
  <c r="C209" i="84"/>
  <c r="F205" i="84"/>
  <c r="C301" i="84"/>
  <c r="K20" i="84"/>
  <c r="F58" i="84"/>
  <c r="C61" i="84"/>
  <c r="E20" i="84"/>
  <c r="I20" i="84"/>
  <c r="F67" i="84"/>
  <c r="L69" i="84"/>
  <c r="L67" i="84" s="1"/>
  <c r="C74" i="84"/>
  <c r="F84" i="84"/>
  <c r="C86" i="84"/>
  <c r="F89" i="84"/>
  <c r="C90" i="84"/>
  <c r="O89" i="84"/>
  <c r="C102" i="84"/>
  <c r="F103" i="84"/>
  <c r="C106" i="84"/>
  <c r="L116" i="84"/>
  <c r="I122" i="84"/>
  <c r="C126" i="84"/>
  <c r="K130" i="84"/>
  <c r="K75" i="84" s="1"/>
  <c r="N130" i="84"/>
  <c r="N75" i="84" s="1"/>
  <c r="L144" i="84"/>
  <c r="C150" i="84"/>
  <c r="F151" i="84"/>
  <c r="C154" i="84"/>
  <c r="I166" i="84"/>
  <c r="I165" i="84" s="1"/>
  <c r="C165" i="84" s="1"/>
  <c r="C170" i="84"/>
  <c r="C178" i="84"/>
  <c r="F179" i="84"/>
  <c r="F174" i="84" s="1"/>
  <c r="C182" i="84"/>
  <c r="C186" i="84"/>
  <c r="C193" i="84"/>
  <c r="F192" i="84"/>
  <c r="L260" i="84"/>
  <c r="C263" i="84"/>
  <c r="C200" i="84"/>
  <c r="I198" i="84"/>
  <c r="I196" i="84" s="1"/>
  <c r="H194" i="84"/>
  <c r="C208" i="84"/>
  <c r="I205" i="84"/>
  <c r="L216" i="84"/>
  <c r="L204" i="84" s="1"/>
  <c r="L195" i="84" s="1"/>
  <c r="O231" i="84"/>
  <c r="L238" i="84"/>
  <c r="L231" i="84" s="1"/>
  <c r="C261" i="84"/>
  <c r="F260" i="84"/>
  <c r="I270" i="84"/>
  <c r="I269" i="84" s="1"/>
  <c r="C277" i="84"/>
  <c r="F276" i="84"/>
  <c r="C276" i="84" s="1"/>
  <c r="C285" i="84"/>
  <c r="F284" i="84"/>
  <c r="C286" i="84"/>
  <c r="C197" i="84"/>
  <c r="F196" i="84"/>
  <c r="C215" i="84"/>
  <c r="I227" i="84"/>
  <c r="C227" i="84" s="1"/>
  <c r="C228" i="84"/>
  <c r="I235" i="84"/>
  <c r="C236" i="84"/>
  <c r="C247" i="84"/>
  <c r="C249" i="84"/>
  <c r="F246" i="84"/>
  <c r="L264" i="84"/>
  <c r="C267" i="84"/>
  <c r="C279" i="84"/>
  <c r="D195" i="84"/>
  <c r="D194" i="84" s="1"/>
  <c r="O196" i="84"/>
  <c r="O205" i="84"/>
  <c r="C217" i="84"/>
  <c r="F216" i="84"/>
  <c r="O216" i="84"/>
  <c r="C232" i="84"/>
  <c r="K231" i="84"/>
  <c r="K230" i="84" s="1"/>
  <c r="C239" i="84"/>
  <c r="C241" i="84"/>
  <c r="F238" i="84"/>
  <c r="C248" i="84"/>
  <c r="I246" i="84"/>
  <c r="E230" i="84"/>
  <c r="E194" i="84" s="1"/>
  <c r="C253" i="84"/>
  <c r="F252" i="84"/>
  <c r="O251" i="84"/>
  <c r="M259" i="84"/>
  <c r="M230" i="84" s="1"/>
  <c r="C265" i="84"/>
  <c r="F264" i="84"/>
  <c r="L270" i="84"/>
  <c r="L269" i="84" s="1"/>
  <c r="C273" i="84"/>
  <c r="F272" i="84"/>
  <c r="C295" i="84"/>
  <c r="C296" i="84"/>
  <c r="C199" i="84"/>
  <c r="F293" i="84"/>
  <c r="C216" i="84" l="1"/>
  <c r="I76" i="84"/>
  <c r="C238" i="84"/>
  <c r="O204" i="84"/>
  <c r="O130" i="84"/>
  <c r="M289" i="84"/>
  <c r="C166" i="84"/>
  <c r="N194" i="84"/>
  <c r="H75" i="84"/>
  <c r="H289" i="84" s="1"/>
  <c r="C76" i="84"/>
  <c r="L53" i="84"/>
  <c r="C69" i="84"/>
  <c r="C67" i="84"/>
  <c r="C144" i="84"/>
  <c r="C116" i="84"/>
  <c r="L83" i="84"/>
  <c r="D75" i="84"/>
  <c r="D52" i="84" s="1"/>
  <c r="D51" i="84" s="1"/>
  <c r="O53" i="84"/>
  <c r="G194" i="84"/>
  <c r="L26" i="84"/>
  <c r="L20" i="84" s="1"/>
  <c r="C264" i="84"/>
  <c r="K194" i="84"/>
  <c r="C179" i="84"/>
  <c r="L130" i="84"/>
  <c r="L75" i="84" s="1"/>
  <c r="C122" i="84"/>
  <c r="J75" i="84"/>
  <c r="G75" i="84"/>
  <c r="G289" i="84" s="1"/>
  <c r="C246" i="84"/>
  <c r="F231" i="84"/>
  <c r="C293" i="84"/>
  <c r="O83" i="84"/>
  <c r="O75" i="84" s="1"/>
  <c r="C58" i="84"/>
  <c r="I231" i="84"/>
  <c r="I230" i="84" s="1"/>
  <c r="K52" i="84"/>
  <c r="K51" i="84" s="1"/>
  <c r="N289" i="84"/>
  <c r="N52" i="84"/>
  <c r="N51" i="84" s="1"/>
  <c r="E52" i="84"/>
  <c r="E51" i="84" s="1"/>
  <c r="E289" i="84"/>
  <c r="J289" i="84"/>
  <c r="J52" i="84"/>
  <c r="J51" i="84" s="1"/>
  <c r="C252" i="84"/>
  <c r="F251" i="84"/>
  <c r="C251" i="84" s="1"/>
  <c r="L259" i="84"/>
  <c r="L230" i="84" s="1"/>
  <c r="I204" i="84"/>
  <c r="I195" i="84" s="1"/>
  <c r="C198" i="84"/>
  <c r="F173" i="84"/>
  <c r="C151" i="84"/>
  <c r="K289" i="84"/>
  <c r="C235" i="84"/>
  <c r="F292" i="84"/>
  <c r="F20" i="84"/>
  <c r="C20" i="84" s="1"/>
  <c r="C21" i="84"/>
  <c r="C175" i="84"/>
  <c r="I174" i="84"/>
  <c r="I173" i="84" s="1"/>
  <c r="C26" i="84"/>
  <c r="F54" i="84"/>
  <c r="F83" i="84"/>
  <c r="C84" i="84"/>
  <c r="F270" i="84"/>
  <c r="C272" i="84"/>
  <c r="C284" i="84"/>
  <c r="F283" i="84"/>
  <c r="C283" i="84" s="1"/>
  <c r="C103" i="84"/>
  <c r="C89" i="84"/>
  <c r="I130" i="84"/>
  <c r="C131" i="84"/>
  <c r="M194" i="84"/>
  <c r="M51" i="84" s="1"/>
  <c r="O52" i="84"/>
  <c r="O195" i="84"/>
  <c r="C196" i="84"/>
  <c r="F195" i="84"/>
  <c r="C260" i="84"/>
  <c r="F259" i="84"/>
  <c r="C259" i="84" s="1"/>
  <c r="O230" i="84"/>
  <c r="C192" i="84"/>
  <c r="F191" i="84"/>
  <c r="C205" i="84"/>
  <c r="F204" i="84"/>
  <c r="L174" i="84"/>
  <c r="L173" i="84" s="1"/>
  <c r="F130" i="84"/>
  <c r="I83" i="84"/>
  <c r="I75" i="84" s="1"/>
  <c r="I52" i="84" s="1"/>
  <c r="I194" i="84" l="1"/>
  <c r="I51" i="84"/>
  <c r="O194" i="84"/>
  <c r="C130" i="84"/>
  <c r="C231" i="84"/>
  <c r="D289" i="84"/>
  <c r="H52" i="84"/>
  <c r="H51" i="84" s="1"/>
  <c r="L52" i="84"/>
  <c r="C204" i="84"/>
  <c r="G52" i="84"/>
  <c r="G51" i="84" s="1"/>
  <c r="L289" i="84"/>
  <c r="L194" i="84"/>
  <c r="I290" i="84"/>
  <c r="I50" i="84"/>
  <c r="C292" i="84"/>
  <c r="F291" i="84"/>
  <c r="C291" i="84" s="1"/>
  <c r="C173" i="84"/>
  <c r="O289" i="84"/>
  <c r="F230" i="84"/>
  <c r="C230" i="84" s="1"/>
  <c r="F53" i="84"/>
  <c r="C54" i="84"/>
  <c r="C174" i="84"/>
  <c r="J50" i="84"/>
  <c r="J290" i="84"/>
  <c r="I289" i="84"/>
  <c r="C195" i="84"/>
  <c r="D290" i="84"/>
  <c r="D50" i="84"/>
  <c r="M50" i="84"/>
  <c r="M290" i="84"/>
  <c r="N50" i="84"/>
  <c r="N290" i="84"/>
  <c r="C191" i="84"/>
  <c r="F187" i="84"/>
  <c r="C187" i="84" s="1"/>
  <c r="O51" i="84"/>
  <c r="F269" i="84"/>
  <c r="C270" i="84"/>
  <c r="C83" i="84"/>
  <c r="F75" i="84"/>
  <c r="C75" i="84" s="1"/>
  <c r="E290" i="84"/>
  <c r="E50" i="84"/>
  <c r="K50" i="84"/>
  <c r="K290" i="84"/>
  <c r="L51" i="84" l="1"/>
  <c r="H50" i="84"/>
  <c r="H290" i="84"/>
  <c r="G290" i="84"/>
  <c r="G50" i="84"/>
  <c r="C269" i="84"/>
  <c r="F289" i="84"/>
  <c r="C289" i="84" s="1"/>
  <c r="O50" i="84"/>
  <c r="O290" i="84"/>
  <c r="F52" i="84"/>
  <c r="C53" i="84"/>
  <c r="L50" i="84"/>
  <c r="L290" i="84"/>
  <c r="F194" i="84"/>
  <c r="C194" i="84" s="1"/>
  <c r="F51" i="84" l="1"/>
  <c r="C52" i="84"/>
  <c r="F290" i="84" l="1"/>
  <c r="C290" i="84" s="1"/>
  <c r="C51" i="84"/>
  <c r="F50" i="84"/>
  <c r="C50" i="84" s="1"/>
  <c r="O301" i="83" l="1"/>
  <c r="L301" i="83"/>
  <c r="I301" i="83"/>
  <c r="F301" i="83"/>
  <c r="O300" i="83"/>
  <c r="L300" i="83"/>
  <c r="I300" i="83"/>
  <c r="F300" i="83"/>
  <c r="O299" i="83"/>
  <c r="L299" i="83"/>
  <c r="I299" i="83"/>
  <c r="F299" i="83"/>
  <c r="O298" i="83"/>
  <c r="L298" i="83"/>
  <c r="I298" i="83"/>
  <c r="F298" i="83"/>
  <c r="O297" i="83"/>
  <c r="L297" i="83"/>
  <c r="I297" i="83"/>
  <c r="F297" i="83"/>
  <c r="O296" i="83"/>
  <c r="L296" i="83"/>
  <c r="I296" i="83"/>
  <c r="F296" i="83"/>
  <c r="O295" i="83"/>
  <c r="L295" i="83"/>
  <c r="I295" i="83"/>
  <c r="F295" i="83"/>
  <c r="O294" i="83"/>
  <c r="L294" i="83"/>
  <c r="I294" i="83"/>
  <c r="F294" i="83"/>
  <c r="O293" i="83"/>
  <c r="N293" i="83"/>
  <c r="M293" i="83"/>
  <c r="K293" i="83"/>
  <c r="J293" i="83"/>
  <c r="H293" i="83"/>
  <c r="G293" i="83"/>
  <c r="E293" i="83"/>
  <c r="D293" i="83"/>
  <c r="O288" i="83"/>
  <c r="L288" i="83"/>
  <c r="I288" i="83"/>
  <c r="F288" i="83"/>
  <c r="O287" i="83"/>
  <c r="L287" i="83"/>
  <c r="L286" i="83" s="1"/>
  <c r="I287" i="83"/>
  <c r="I286" i="83" s="1"/>
  <c r="F287" i="83"/>
  <c r="O286" i="83"/>
  <c r="N286" i="83"/>
  <c r="M286" i="83"/>
  <c r="K286" i="83"/>
  <c r="J286" i="83"/>
  <c r="H286" i="83"/>
  <c r="G286" i="83"/>
  <c r="F286" i="83"/>
  <c r="E286" i="83"/>
  <c r="D286" i="83"/>
  <c r="O285" i="83"/>
  <c r="O284" i="83" s="1"/>
  <c r="O283" i="83" s="1"/>
  <c r="L285" i="83"/>
  <c r="L284" i="83" s="1"/>
  <c r="L283" i="83" s="1"/>
  <c r="I285" i="83"/>
  <c r="I284" i="83" s="1"/>
  <c r="I283" i="83" s="1"/>
  <c r="F285" i="83"/>
  <c r="F284" i="83" s="1"/>
  <c r="N284" i="83"/>
  <c r="N283" i="83" s="1"/>
  <c r="M284" i="83"/>
  <c r="M283" i="83" s="1"/>
  <c r="K284" i="83"/>
  <c r="K283" i="83" s="1"/>
  <c r="J284" i="83"/>
  <c r="J283" i="83" s="1"/>
  <c r="H284" i="83"/>
  <c r="H283" i="83" s="1"/>
  <c r="G284" i="83"/>
  <c r="G283" i="83" s="1"/>
  <c r="E284" i="83"/>
  <c r="E283" i="83" s="1"/>
  <c r="D284" i="83"/>
  <c r="D283" i="83" s="1"/>
  <c r="O282" i="83"/>
  <c r="L282" i="83"/>
  <c r="I282" i="83"/>
  <c r="I281" i="83" s="1"/>
  <c r="F282" i="83"/>
  <c r="O281" i="83"/>
  <c r="N281" i="83"/>
  <c r="M281" i="83"/>
  <c r="K281" i="83"/>
  <c r="J281" i="83"/>
  <c r="H281" i="83"/>
  <c r="G281" i="83"/>
  <c r="F281" i="83"/>
  <c r="E281" i="83"/>
  <c r="D281" i="83"/>
  <c r="O280" i="83"/>
  <c r="L280" i="83"/>
  <c r="I280" i="83"/>
  <c r="F280" i="83"/>
  <c r="O279" i="83"/>
  <c r="L279" i="83"/>
  <c r="I279" i="83"/>
  <c r="F279" i="83"/>
  <c r="O278" i="83"/>
  <c r="L278" i="83"/>
  <c r="I278" i="83"/>
  <c r="F278" i="83"/>
  <c r="O277" i="83"/>
  <c r="O276" i="83" s="1"/>
  <c r="L277" i="83"/>
  <c r="I277" i="83"/>
  <c r="F277" i="83"/>
  <c r="F276" i="83" s="1"/>
  <c r="N276" i="83"/>
  <c r="M276" i="83"/>
  <c r="K276" i="83"/>
  <c r="J276" i="83"/>
  <c r="H276" i="83"/>
  <c r="G276" i="83"/>
  <c r="E276" i="83"/>
  <c r="D276" i="83"/>
  <c r="O275" i="83"/>
  <c r="L275" i="83"/>
  <c r="I275" i="83"/>
  <c r="F275" i="83"/>
  <c r="O274" i="83"/>
  <c r="L274" i="83"/>
  <c r="I274" i="83"/>
  <c r="F274" i="83"/>
  <c r="O273" i="83"/>
  <c r="O272" i="83" s="1"/>
  <c r="L273" i="83"/>
  <c r="L272" i="83" s="1"/>
  <c r="I273" i="83"/>
  <c r="F273" i="83"/>
  <c r="F272" i="83" s="1"/>
  <c r="N272" i="83"/>
  <c r="N270" i="83" s="1"/>
  <c r="N269" i="83" s="1"/>
  <c r="M272" i="83"/>
  <c r="M270" i="83" s="1"/>
  <c r="K272" i="83"/>
  <c r="K270" i="83" s="1"/>
  <c r="K269" i="83" s="1"/>
  <c r="J272" i="83"/>
  <c r="I272" i="83"/>
  <c r="H272" i="83"/>
  <c r="G272" i="83"/>
  <c r="E272" i="83"/>
  <c r="E270" i="83" s="1"/>
  <c r="D272" i="83"/>
  <c r="O271" i="83"/>
  <c r="L271" i="83"/>
  <c r="I271" i="83"/>
  <c r="F271" i="83"/>
  <c r="O268" i="83"/>
  <c r="L268" i="83"/>
  <c r="I268" i="83"/>
  <c r="F268" i="83"/>
  <c r="O267" i="83"/>
  <c r="L267" i="83"/>
  <c r="I267" i="83"/>
  <c r="F267" i="83"/>
  <c r="O266" i="83"/>
  <c r="L266" i="83"/>
  <c r="I266" i="83"/>
  <c r="F266" i="83"/>
  <c r="O265" i="83"/>
  <c r="O264" i="83" s="1"/>
  <c r="L265" i="83"/>
  <c r="I265" i="83"/>
  <c r="F265" i="83"/>
  <c r="F264" i="83" s="1"/>
  <c r="N264" i="83"/>
  <c r="M264" i="83"/>
  <c r="K264" i="83"/>
  <c r="J264" i="83"/>
  <c r="H264" i="83"/>
  <c r="G264" i="83"/>
  <c r="E264" i="83"/>
  <c r="D264" i="83"/>
  <c r="O263" i="83"/>
  <c r="L263" i="83"/>
  <c r="I263" i="83"/>
  <c r="F263" i="83"/>
  <c r="O262" i="83"/>
  <c r="L262" i="83"/>
  <c r="I262" i="83"/>
  <c r="F262" i="83"/>
  <c r="O261" i="83"/>
  <c r="O260" i="83" s="1"/>
  <c r="L261" i="83"/>
  <c r="L260" i="83" s="1"/>
  <c r="I261" i="83"/>
  <c r="F261" i="83"/>
  <c r="F260" i="83" s="1"/>
  <c r="N260" i="83"/>
  <c r="N259" i="83" s="1"/>
  <c r="M260" i="83"/>
  <c r="M259" i="83" s="1"/>
  <c r="K260" i="83"/>
  <c r="J260" i="83"/>
  <c r="H260" i="83"/>
  <c r="G260" i="83"/>
  <c r="E260" i="83"/>
  <c r="D260" i="83"/>
  <c r="O258" i="83"/>
  <c r="L258" i="83"/>
  <c r="I258" i="83"/>
  <c r="F258" i="83"/>
  <c r="O257" i="83"/>
  <c r="L257" i="83"/>
  <c r="I257" i="83"/>
  <c r="F257" i="83"/>
  <c r="O256" i="83"/>
  <c r="L256" i="83"/>
  <c r="I256" i="83"/>
  <c r="F256" i="83"/>
  <c r="O255" i="83"/>
  <c r="L255" i="83"/>
  <c r="I255" i="83"/>
  <c r="F255" i="83"/>
  <c r="O254" i="83"/>
  <c r="L254" i="83"/>
  <c r="I254" i="83"/>
  <c r="F254" i="83"/>
  <c r="O253" i="83"/>
  <c r="O252" i="83" s="1"/>
  <c r="L253" i="83"/>
  <c r="L252" i="83" s="1"/>
  <c r="I253" i="83"/>
  <c r="F253" i="83"/>
  <c r="F252" i="83" s="1"/>
  <c r="N252" i="83"/>
  <c r="N251" i="83" s="1"/>
  <c r="M252" i="83"/>
  <c r="K252" i="83"/>
  <c r="K251" i="83" s="1"/>
  <c r="J252" i="83"/>
  <c r="J251" i="83" s="1"/>
  <c r="H252" i="83"/>
  <c r="H251" i="83" s="1"/>
  <c r="G252" i="83"/>
  <c r="G251" i="83" s="1"/>
  <c r="E252" i="83"/>
  <c r="E251" i="83" s="1"/>
  <c r="D252" i="83"/>
  <c r="D251" i="83" s="1"/>
  <c r="M251" i="83"/>
  <c r="O250" i="83"/>
  <c r="L250" i="83"/>
  <c r="I250" i="83"/>
  <c r="F250" i="83"/>
  <c r="O249" i="83"/>
  <c r="L249" i="83"/>
  <c r="I249" i="83"/>
  <c r="F249" i="83"/>
  <c r="O248" i="83"/>
  <c r="L248" i="83"/>
  <c r="I248" i="83"/>
  <c r="F248" i="83"/>
  <c r="O247" i="83"/>
  <c r="L247" i="83"/>
  <c r="L246" i="83" s="1"/>
  <c r="I247" i="83"/>
  <c r="I246" i="83" s="1"/>
  <c r="F247" i="83"/>
  <c r="F246" i="83" s="1"/>
  <c r="N246" i="83"/>
  <c r="M246" i="83"/>
  <c r="K246" i="83"/>
  <c r="J246" i="83"/>
  <c r="H246" i="83"/>
  <c r="G246" i="83"/>
  <c r="E246" i="83"/>
  <c r="D246" i="83"/>
  <c r="O245" i="83"/>
  <c r="L245" i="83"/>
  <c r="I245" i="83"/>
  <c r="F245" i="83"/>
  <c r="O244" i="83"/>
  <c r="L244" i="83"/>
  <c r="I244" i="83"/>
  <c r="F244" i="83"/>
  <c r="O243" i="83"/>
  <c r="L243" i="83"/>
  <c r="I243" i="83"/>
  <c r="F243" i="83"/>
  <c r="O242" i="83"/>
  <c r="L242" i="83"/>
  <c r="I242" i="83"/>
  <c r="F242" i="83"/>
  <c r="O241" i="83"/>
  <c r="L241" i="83"/>
  <c r="I241" i="83"/>
  <c r="F241" i="83"/>
  <c r="O240" i="83"/>
  <c r="L240" i="83"/>
  <c r="I240" i="83"/>
  <c r="F240" i="83"/>
  <c r="O239" i="83"/>
  <c r="L239" i="83"/>
  <c r="L238" i="83" s="1"/>
  <c r="I239" i="83"/>
  <c r="F239" i="83"/>
  <c r="F238" i="83" s="1"/>
  <c r="N238" i="83"/>
  <c r="M238" i="83"/>
  <c r="K238" i="83"/>
  <c r="J238" i="83"/>
  <c r="H238" i="83"/>
  <c r="G238" i="83"/>
  <c r="E238" i="83"/>
  <c r="D238" i="83"/>
  <c r="O237" i="83"/>
  <c r="L237" i="83"/>
  <c r="I237" i="83"/>
  <c r="F237" i="83"/>
  <c r="O236" i="83"/>
  <c r="L236" i="83"/>
  <c r="L235" i="83" s="1"/>
  <c r="I236" i="83"/>
  <c r="I235" i="83" s="1"/>
  <c r="F236" i="83"/>
  <c r="N235" i="83"/>
  <c r="M235" i="83"/>
  <c r="K235" i="83"/>
  <c r="J235" i="83"/>
  <c r="H235" i="83"/>
  <c r="G235" i="83"/>
  <c r="E235" i="83"/>
  <c r="D235" i="83"/>
  <c r="O234" i="83"/>
  <c r="L234" i="83"/>
  <c r="I234" i="83"/>
  <c r="I233" i="83" s="1"/>
  <c r="F234" i="83"/>
  <c r="F233" i="83" s="1"/>
  <c r="O233" i="83"/>
  <c r="N233" i="83"/>
  <c r="M233" i="83"/>
  <c r="K233" i="83"/>
  <c r="J233" i="83"/>
  <c r="H233" i="83"/>
  <c r="G233" i="83"/>
  <c r="G231" i="83" s="1"/>
  <c r="E233" i="83"/>
  <c r="D233" i="83"/>
  <c r="O232" i="83"/>
  <c r="L232" i="83"/>
  <c r="I232" i="83"/>
  <c r="F232" i="83"/>
  <c r="D231" i="83"/>
  <c r="O229" i="83"/>
  <c r="L229" i="83"/>
  <c r="I229" i="83"/>
  <c r="F229" i="83"/>
  <c r="O228" i="83"/>
  <c r="L228" i="83"/>
  <c r="L227" i="83" s="1"/>
  <c r="I228" i="83"/>
  <c r="I227" i="83" s="1"/>
  <c r="F228" i="83"/>
  <c r="O227" i="83"/>
  <c r="N227" i="83"/>
  <c r="M227" i="83"/>
  <c r="K227" i="83"/>
  <c r="J227" i="83"/>
  <c r="H227" i="83"/>
  <c r="G227" i="83"/>
  <c r="E227" i="83"/>
  <c r="D227" i="83"/>
  <c r="O226" i="83"/>
  <c r="L226" i="83"/>
  <c r="I226" i="83"/>
  <c r="F226" i="83"/>
  <c r="O225" i="83"/>
  <c r="L225" i="83"/>
  <c r="I225" i="83"/>
  <c r="F225" i="83"/>
  <c r="O224" i="83"/>
  <c r="L224" i="83"/>
  <c r="I224" i="83"/>
  <c r="F224" i="83"/>
  <c r="O223" i="83"/>
  <c r="L223" i="83"/>
  <c r="I223" i="83"/>
  <c r="F223" i="83"/>
  <c r="O222" i="83"/>
  <c r="L222" i="83"/>
  <c r="I222" i="83"/>
  <c r="F222" i="83"/>
  <c r="O221" i="83"/>
  <c r="L221" i="83"/>
  <c r="I221" i="83"/>
  <c r="F221" i="83"/>
  <c r="O220" i="83"/>
  <c r="L220" i="83"/>
  <c r="I220" i="83"/>
  <c r="F220" i="83"/>
  <c r="O219" i="83"/>
  <c r="L219" i="83"/>
  <c r="I219" i="83"/>
  <c r="F219" i="83"/>
  <c r="O218" i="83"/>
  <c r="L218" i="83"/>
  <c r="I218" i="83"/>
  <c r="F218" i="83"/>
  <c r="O217" i="83"/>
  <c r="L217" i="83"/>
  <c r="I217" i="83"/>
  <c r="F217" i="83"/>
  <c r="N216" i="83"/>
  <c r="M216" i="83"/>
  <c r="K216" i="83"/>
  <c r="J216" i="83"/>
  <c r="H216" i="83"/>
  <c r="G216" i="83"/>
  <c r="E216" i="83"/>
  <c r="D216" i="83"/>
  <c r="O215" i="83"/>
  <c r="L215" i="83"/>
  <c r="I215" i="83"/>
  <c r="F215" i="83"/>
  <c r="O214" i="83"/>
  <c r="L214" i="83"/>
  <c r="I214" i="83"/>
  <c r="F214" i="83"/>
  <c r="O213" i="83"/>
  <c r="L213" i="83"/>
  <c r="I213" i="83"/>
  <c r="F213" i="83"/>
  <c r="O212" i="83"/>
  <c r="L212" i="83"/>
  <c r="I212" i="83"/>
  <c r="F212" i="83"/>
  <c r="O211" i="83"/>
  <c r="L211" i="83"/>
  <c r="I211" i="83"/>
  <c r="F211" i="83"/>
  <c r="O210" i="83"/>
  <c r="L210" i="83"/>
  <c r="I210" i="83"/>
  <c r="F210" i="83"/>
  <c r="O209" i="83"/>
  <c r="L209" i="83"/>
  <c r="I209" i="83"/>
  <c r="F209" i="83"/>
  <c r="O208" i="83"/>
  <c r="L208" i="83"/>
  <c r="I208" i="83"/>
  <c r="F208" i="83"/>
  <c r="O207" i="83"/>
  <c r="L207" i="83"/>
  <c r="I207" i="83"/>
  <c r="F207" i="83"/>
  <c r="O206" i="83"/>
  <c r="L206" i="83"/>
  <c r="I206" i="83"/>
  <c r="F206" i="83"/>
  <c r="F205" i="83" s="1"/>
  <c r="N205" i="83"/>
  <c r="M205" i="83"/>
  <c r="K205" i="83"/>
  <c r="J205" i="83"/>
  <c r="H205" i="83"/>
  <c r="G205" i="83"/>
  <c r="G204" i="83" s="1"/>
  <c r="E205" i="83"/>
  <c r="D205" i="83"/>
  <c r="D204" i="83" s="1"/>
  <c r="N204" i="83"/>
  <c r="O203" i="83"/>
  <c r="L203" i="83"/>
  <c r="I203" i="83"/>
  <c r="F203" i="83"/>
  <c r="O202" i="83"/>
  <c r="L202" i="83"/>
  <c r="I202" i="83"/>
  <c r="F202" i="83"/>
  <c r="O201" i="83"/>
  <c r="L201" i="83"/>
  <c r="I201" i="83"/>
  <c r="F201" i="83"/>
  <c r="O200" i="83"/>
  <c r="L200" i="83"/>
  <c r="I200" i="83"/>
  <c r="F200" i="83"/>
  <c r="O199" i="83"/>
  <c r="O198" i="83" s="1"/>
  <c r="L199" i="83"/>
  <c r="L198" i="83" s="1"/>
  <c r="I199" i="83"/>
  <c r="F199" i="83"/>
  <c r="N198" i="83"/>
  <c r="N196" i="83" s="1"/>
  <c r="M198" i="83"/>
  <c r="M196" i="83" s="1"/>
  <c r="K198" i="83"/>
  <c r="K196" i="83" s="1"/>
  <c r="J198" i="83"/>
  <c r="J196" i="83" s="1"/>
  <c r="H198" i="83"/>
  <c r="H196" i="83" s="1"/>
  <c r="G198" i="83"/>
  <c r="G196" i="83" s="1"/>
  <c r="F198" i="83"/>
  <c r="E198" i="83"/>
  <c r="E196" i="83" s="1"/>
  <c r="D198" i="83"/>
  <c r="D196" i="83" s="1"/>
  <c r="O197" i="83"/>
  <c r="L197" i="83"/>
  <c r="I197" i="83"/>
  <c r="F197" i="83"/>
  <c r="O193" i="83"/>
  <c r="O192" i="83" s="1"/>
  <c r="O191" i="83" s="1"/>
  <c r="L193" i="83"/>
  <c r="I193" i="83"/>
  <c r="I192" i="83" s="1"/>
  <c r="I191" i="83" s="1"/>
  <c r="F193" i="83"/>
  <c r="N192" i="83"/>
  <c r="N191" i="83" s="1"/>
  <c r="M192" i="83"/>
  <c r="L192" i="83"/>
  <c r="L191" i="83" s="1"/>
  <c r="K192" i="83"/>
  <c r="K191" i="83" s="1"/>
  <c r="J192" i="83"/>
  <c r="J191" i="83" s="1"/>
  <c r="H192" i="83"/>
  <c r="H191" i="83" s="1"/>
  <c r="G192" i="83"/>
  <c r="G191" i="83" s="1"/>
  <c r="E192" i="83"/>
  <c r="D192" i="83"/>
  <c r="D191" i="83" s="1"/>
  <c r="M191" i="83"/>
  <c r="E191" i="83"/>
  <c r="O190" i="83"/>
  <c r="L190" i="83"/>
  <c r="I190" i="83"/>
  <c r="F190" i="83"/>
  <c r="O189" i="83"/>
  <c r="O188" i="83" s="1"/>
  <c r="L189" i="83"/>
  <c r="I189" i="83"/>
  <c r="F189" i="83"/>
  <c r="F188" i="83" s="1"/>
  <c r="N188" i="83"/>
  <c r="M188" i="83"/>
  <c r="K188" i="83"/>
  <c r="J188" i="83"/>
  <c r="H188" i="83"/>
  <c r="G188" i="83"/>
  <c r="E188" i="83"/>
  <c r="D188" i="83"/>
  <c r="O186" i="83"/>
  <c r="L186" i="83"/>
  <c r="I186" i="83"/>
  <c r="F186" i="83"/>
  <c r="O185" i="83"/>
  <c r="O184" i="83" s="1"/>
  <c r="L185" i="83"/>
  <c r="I185" i="83"/>
  <c r="F185" i="83"/>
  <c r="F184" i="83" s="1"/>
  <c r="N184" i="83"/>
  <c r="M184" i="83"/>
  <c r="K184" i="83"/>
  <c r="J184" i="83"/>
  <c r="H184" i="83"/>
  <c r="G184" i="83"/>
  <c r="E184" i="83"/>
  <c r="D184" i="83"/>
  <c r="O183" i="83"/>
  <c r="L183" i="83"/>
  <c r="I183" i="83"/>
  <c r="F183" i="83"/>
  <c r="C183" i="83" s="1"/>
  <c r="O182" i="83"/>
  <c r="L182" i="83"/>
  <c r="I182" i="83"/>
  <c r="F182" i="83"/>
  <c r="O181" i="83"/>
  <c r="L181" i="83"/>
  <c r="I181" i="83"/>
  <c r="F181" i="83"/>
  <c r="C181" i="83" s="1"/>
  <c r="O180" i="83"/>
  <c r="L180" i="83"/>
  <c r="I180" i="83"/>
  <c r="I179" i="83" s="1"/>
  <c r="F180" i="83"/>
  <c r="N179" i="83"/>
  <c r="M179" i="83"/>
  <c r="K179" i="83"/>
  <c r="J179" i="83"/>
  <c r="H179" i="83"/>
  <c r="G179" i="83"/>
  <c r="E179" i="83"/>
  <c r="D179" i="83"/>
  <c r="O178" i="83"/>
  <c r="L178" i="83"/>
  <c r="I178" i="83"/>
  <c r="F178" i="83"/>
  <c r="O177" i="83"/>
  <c r="L177" i="83"/>
  <c r="I177" i="83"/>
  <c r="F177" i="83"/>
  <c r="O176" i="83"/>
  <c r="O175" i="83" s="1"/>
  <c r="L176" i="83"/>
  <c r="I176" i="83"/>
  <c r="F176" i="83"/>
  <c r="N175" i="83"/>
  <c r="N174" i="83" s="1"/>
  <c r="N173" i="83" s="1"/>
  <c r="M175" i="83"/>
  <c r="M174" i="83" s="1"/>
  <c r="M173" i="83" s="1"/>
  <c r="K175" i="83"/>
  <c r="J175" i="83"/>
  <c r="J174" i="83" s="1"/>
  <c r="I175" i="83"/>
  <c r="H175" i="83"/>
  <c r="H174" i="83" s="1"/>
  <c r="H173" i="83" s="1"/>
  <c r="G175" i="83"/>
  <c r="E175" i="83"/>
  <c r="D175" i="83"/>
  <c r="G174" i="83"/>
  <c r="G173" i="83" s="1"/>
  <c r="O172" i="83"/>
  <c r="L172" i="83"/>
  <c r="I172" i="83"/>
  <c r="F172" i="83"/>
  <c r="O171" i="83"/>
  <c r="L171" i="83"/>
  <c r="I171" i="83"/>
  <c r="F171" i="83"/>
  <c r="O170" i="83"/>
  <c r="L170" i="83"/>
  <c r="I170" i="83"/>
  <c r="F170" i="83"/>
  <c r="O169" i="83"/>
  <c r="L169" i="83"/>
  <c r="I169" i="83"/>
  <c r="F169" i="83"/>
  <c r="O168" i="83"/>
  <c r="L168" i="83"/>
  <c r="I168" i="83"/>
  <c r="F168" i="83"/>
  <c r="O167" i="83"/>
  <c r="L167" i="83"/>
  <c r="I167" i="83"/>
  <c r="F167" i="83"/>
  <c r="N166" i="83"/>
  <c r="N165" i="83" s="1"/>
  <c r="M166" i="83"/>
  <c r="M165" i="83" s="1"/>
  <c r="K166" i="83"/>
  <c r="J166" i="83"/>
  <c r="J165" i="83" s="1"/>
  <c r="H166" i="83"/>
  <c r="H165" i="83" s="1"/>
  <c r="G166" i="83"/>
  <c r="E166" i="83"/>
  <c r="E165" i="83" s="1"/>
  <c r="D166" i="83"/>
  <c r="D165" i="83" s="1"/>
  <c r="K165" i="83"/>
  <c r="G165" i="83"/>
  <c r="O164" i="83"/>
  <c r="L164" i="83"/>
  <c r="I164" i="83"/>
  <c r="F164" i="83"/>
  <c r="O163" i="83"/>
  <c r="L163" i="83"/>
  <c r="I163" i="83"/>
  <c r="F163" i="83"/>
  <c r="O162" i="83"/>
  <c r="L162" i="83"/>
  <c r="I162" i="83"/>
  <c r="F162" i="83"/>
  <c r="O161" i="83"/>
  <c r="O160" i="83" s="1"/>
  <c r="L161" i="83"/>
  <c r="L160" i="83" s="1"/>
  <c r="I161" i="83"/>
  <c r="F161" i="83"/>
  <c r="F160" i="83" s="1"/>
  <c r="N160" i="83"/>
  <c r="M160" i="83"/>
  <c r="K160" i="83"/>
  <c r="J160" i="83"/>
  <c r="H160" i="83"/>
  <c r="G160" i="83"/>
  <c r="E160" i="83"/>
  <c r="D160" i="83"/>
  <c r="O159" i="83"/>
  <c r="L159" i="83"/>
  <c r="I159" i="83"/>
  <c r="F159" i="83"/>
  <c r="O158" i="83"/>
  <c r="L158" i="83"/>
  <c r="I158" i="83"/>
  <c r="F158" i="83"/>
  <c r="O157" i="83"/>
  <c r="L157" i="83"/>
  <c r="I157" i="83"/>
  <c r="F157" i="83"/>
  <c r="O156" i="83"/>
  <c r="L156" i="83"/>
  <c r="I156" i="83"/>
  <c r="F156" i="83"/>
  <c r="O155" i="83"/>
  <c r="L155" i="83"/>
  <c r="I155" i="83"/>
  <c r="F155" i="83"/>
  <c r="O154" i="83"/>
  <c r="L154" i="83"/>
  <c r="I154" i="83"/>
  <c r="F154" i="83"/>
  <c r="O153" i="83"/>
  <c r="L153" i="83"/>
  <c r="I153" i="83"/>
  <c r="F153" i="83"/>
  <c r="O152" i="83"/>
  <c r="L152" i="83"/>
  <c r="I152" i="83"/>
  <c r="I151" i="83" s="1"/>
  <c r="F152" i="83"/>
  <c r="N151" i="83"/>
  <c r="M151" i="83"/>
  <c r="K151" i="83"/>
  <c r="J151" i="83"/>
  <c r="H151" i="83"/>
  <c r="G151" i="83"/>
  <c r="E151" i="83"/>
  <c r="D151" i="83"/>
  <c r="O150" i="83"/>
  <c r="L150" i="83"/>
  <c r="I150" i="83"/>
  <c r="F150" i="83"/>
  <c r="O149" i="83"/>
  <c r="L149" i="83"/>
  <c r="I149" i="83"/>
  <c r="F149" i="83"/>
  <c r="O148" i="83"/>
  <c r="L148" i="83"/>
  <c r="I148" i="83"/>
  <c r="F148" i="83"/>
  <c r="O147" i="83"/>
  <c r="L147" i="83"/>
  <c r="I147" i="83"/>
  <c r="F147" i="83"/>
  <c r="O146" i="83"/>
  <c r="L146" i="83"/>
  <c r="I146" i="83"/>
  <c r="F146" i="83"/>
  <c r="O145" i="83"/>
  <c r="O144" i="83" s="1"/>
  <c r="L145" i="83"/>
  <c r="I145" i="83"/>
  <c r="F145" i="83"/>
  <c r="N144" i="83"/>
  <c r="M144" i="83"/>
  <c r="K144" i="83"/>
  <c r="J144" i="83"/>
  <c r="H144" i="83"/>
  <c r="G144" i="83"/>
  <c r="E144" i="83"/>
  <c r="D144" i="83"/>
  <c r="O143" i="83"/>
  <c r="L143" i="83"/>
  <c r="I143" i="83"/>
  <c r="F143" i="83"/>
  <c r="O142" i="83"/>
  <c r="L142" i="83"/>
  <c r="L141" i="83" s="1"/>
  <c r="I142" i="83"/>
  <c r="I141" i="83" s="1"/>
  <c r="F142" i="83"/>
  <c r="O141" i="83"/>
  <c r="N141" i="83"/>
  <c r="M141" i="83"/>
  <c r="K141" i="83"/>
  <c r="J141" i="83"/>
  <c r="H141" i="83"/>
  <c r="G141" i="83"/>
  <c r="F141" i="83"/>
  <c r="E141" i="83"/>
  <c r="D141" i="83"/>
  <c r="O140" i="83"/>
  <c r="L140" i="83"/>
  <c r="I140" i="83"/>
  <c r="F140" i="83"/>
  <c r="O139" i="83"/>
  <c r="L139" i="83"/>
  <c r="I139" i="83"/>
  <c r="F139" i="83"/>
  <c r="O138" i="83"/>
  <c r="L138" i="83"/>
  <c r="I138" i="83"/>
  <c r="F138" i="83"/>
  <c r="O137" i="83"/>
  <c r="O136" i="83" s="1"/>
  <c r="L137" i="83"/>
  <c r="L136" i="83" s="1"/>
  <c r="I137" i="83"/>
  <c r="F137" i="83"/>
  <c r="F136" i="83" s="1"/>
  <c r="N136" i="83"/>
  <c r="M136" i="83"/>
  <c r="K136" i="83"/>
  <c r="J136" i="83"/>
  <c r="H136" i="83"/>
  <c r="G136" i="83"/>
  <c r="E136" i="83"/>
  <c r="D136" i="83"/>
  <c r="O135" i="83"/>
  <c r="L135" i="83"/>
  <c r="I135" i="83"/>
  <c r="F135" i="83"/>
  <c r="O134" i="83"/>
  <c r="L134" i="83"/>
  <c r="I134" i="83"/>
  <c r="F134" i="83"/>
  <c r="O133" i="83"/>
  <c r="L133" i="83"/>
  <c r="I133" i="83"/>
  <c r="F133" i="83"/>
  <c r="O132" i="83"/>
  <c r="L132" i="83"/>
  <c r="I132" i="83"/>
  <c r="I131" i="83" s="1"/>
  <c r="F132" i="83"/>
  <c r="N131" i="83"/>
  <c r="M131" i="83"/>
  <c r="K131" i="83"/>
  <c r="J131" i="83"/>
  <c r="J130" i="83" s="1"/>
  <c r="H131" i="83"/>
  <c r="G131" i="83"/>
  <c r="E131" i="83"/>
  <c r="D131" i="83"/>
  <c r="O129" i="83"/>
  <c r="O128" i="83" s="1"/>
  <c r="L129" i="83"/>
  <c r="L128" i="83" s="1"/>
  <c r="I129" i="83"/>
  <c r="I128" i="83" s="1"/>
  <c r="F129" i="83"/>
  <c r="F128" i="83" s="1"/>
  <c r="N128" i="83"/>
  <c r="M128" i="83"/>
  <c r="K128" i="83"/>
  <c r="J128" i="83"/>
  <c r="H128" i="83"/>
  <c r="G128" i="83"/>
  <c r="E128" i="83"/>
  <c r="D128" i="83"/>
  <c r="O127" i="83"/>
  <c r="L127" i="83"/>
  <c r="I127" i="83"/>
  <c r="F127" i="83"/>
  <c r="O126" i="83"/>
  <c r="L126" i="83"/>
  <c r="I126" i="83"/>
  <c r="F126" i="83"/>
  <c r="O125" i="83"/>
  <c r="L125" i="83"/>
  <c r="I125" i="83"/>
  <c r="F125" i="83"/>
  <c r="O124" i="83"/>
  <c r="L124" i="83"/>
  <c r="I124" i="83"/>
  <c r="F124" i="83"/>
  <c r="O123" i="83"/>
  <c r="L123" i="83"/>
  <c r="I123" i="83"/>
  <c r="F123" i="83"/>
  <c r="N122" i="83"/>
  <c r="M122" i="83"/>
  <c r="K122" i="83"/>
  <c r="J122" i="83"/>
  <c r="H122" i="83"/>
  <c r="G122" i="83"/>
  <c r="E122" i="83"/>
  <c r="D122" i="83"/>
  <c r="O121" i="83"/>
  <c r="L121" i="83"/>
  <c r="I121" i="83"/>
  <c r="F121" i="83"/>
  <c r="O120" i="83"/>
  <c r="L120" i="83"/>
  <c r="I120" i="83"/>
  <c r="F120" i="83"/>
  <c r="O119" i="83"/>
  <c r="L119" i="83"/>
  <c r="I119" i="83"/>
  <c r="F119" i="83"/>
  <c r="O118" i="83"/>
  <c r="L118" i="83"/>
  <c r="I118" i="83"/>
  <c r="F118" i="83"/>
  <c r="O117" i="83"/>
  <c r="L117" i="83"/>
  <c r="I117" i="83"/>
  <c r="F117" i="83"/>
  <c r="N116" i="83"/>
  <c r="M116" i="83"/>
  <c r="K116" i="83"/>
  <c r="J116" i="83"/>
  <c r="H116" i="83"/>
  <c r="G116" i="83"/>
  <c r="E116" i="83"/>
  <c r="D116" i="83"/>
  <c r="O115" i="83"/>
  <c r="L115" i="83"/>
  <c r="I115" i="83"/>
  <c r="F115" i="83"/>
  <c r="O114" i="83"/>
  <c r="L114" i="83"/>
  <c r="I114" i="83"/>
  <c r="F114" i="83"/>
  <c r="O113" i="83"/>
  <c r="O112" i="83" s="1"/>
  <c r="L113" i="83"/>
  <c r="L112" i="83" s="1"/>
  <c r="I113" i="83"/>
  <c r="F113" i="83"/>
  <c r="N112" i="83"/>
  <c r="M112" i="83"/>
  <c r="K112" i="83"/>
  <c r="J112" i="83"/>
  <c r="H112" i="83"/>
  <c r="G112" i="83"/>
  <c r="E112" i="83"/>
  <c r="D112" i="83"/>
  <c r="O111" i="83"/>
  <c r="L111" i="83"/>
  <c r="I111" i="83"/>
  <c r="F111" i="83"/>
  <c r="O110" i="83"/>
  <c r="L110" i="83"/>
  <c r="I110" i="83"/>
  <c r="F110" i="83"/>
  <c r="O109" i="83"/>
  <c r="L109" i="83"/>
  <c r="I109" i="83"/>
  <c r="F109" i="83"/>
  <c r="O108" i="83"/>
  <c r="L108" i="83"/>
  <c r="I108" i="83"/>
  <c r="F108" i="83"/>
  <c r="O107" i="83"/>
  <c r="L107" i="83"/>
  <c r="I107" i="83"/>
  <c r="F107" i="83"/>
  <c r="O106" i="83"/>
  <c r="L106" i="83"/>
  <c r="I106" i="83"/>
  <c r="F106" i="83"/>
  <c r="O105" i="83"/>
  <c r="L105" i="83"/>
  <c r="I105" i="83"/>
  <c r="F105" i="83"/>
  <c r="O104" i="83"/>
  <c r="L104" i="83"/>
  <c r="I104" i="83"/>
  <c r="F104" i="83"/>
  <c r="N103" i="83"/>
  <c r="M103" i="83"/>
  <c r="K103" i="83"/>
  <c r="J103" i="83"/>
  <c r="H103" i="83"/>
  <c r="G103" i="83"/>
  <c r="E103" i="83"/>
  <c r="D103" i="83"/>
  <c r="O102" i="83"/>
  <c r="L102" i="83"/>
  <c r="I102" i="83"/>
  <c r="F102" i="83"/>
  <c r="O101" i="83"/>
  <c r="L101" i="83"/>
  <c r="I101" i="83"/>
  <c r="F101" i="83"/>
  <c r="O100" i="83"/>
  <c r="L100" i="83"/>
  <c r="I100" i="83"/>
  <c r="F100" i="83"/>
  <c r="O99" i="83"/>
  <c r="L99" i="83"/>
  <c r="I99" i="83"/>
  <c r="F99" i="83"/>
  <c r="O98" i="83"/>
  <c r="L98" i="83"/>
  <c r="I98" i="83"/>
  <c r="F98" i="83"/>
  <c r="O97" i="83"/>
  <c r="L97" i="83"/>
  <c r="I97" i="83"/>
  <c r="F97" i="83"/>
  <c r="O96" i="83"/>
  <c r="L96" i="83"/>
  <c r="I96" i="83"/>
  <c r="I95" i="83" s="1"/>
  <c r="F96" i="83"/>
  <c r="N95" i="83"/>
  <c r="M95" i="83"/>
  <c r="K95" i="83"/>
  <c r="J95" i="83"/>
  <c r="H95" i="83"/>
  <c r="G95" i="83"/>
  <c r="E95" i="83"/>
  <c r="D95" i="83"/>
  <c r="O94" i="83"/>
  <c r="L94" i="83"/>
  <c r="I94" i="83"/>
  <c r="F94" i="83"/>
  <c r="O93" i="83"/>
  <c r="L93" i="83"/>
  <c r="I93" i="83"/>
  <c r="F93" i="83"/>
  <c r="O92" i="83"/>
  <c r="L92" i="83"/>
  <c r="I92" i="83"/>
  <c r="F92" i="83"/>
  <c r="O91" i="83"/>
  <c r="L91" i="83"/>
  <c r="I91" i="83"/>
  <c r="F91" i="83"/>
  <c r="O90" i="83"/>
  <c r="L90" i="83"/>
  <c r="I90" i="83"/>
  <c r="F90" i="83"/>
  <c r="N89" i="83"/>
  <c r="M89" i="83"/>
  <c r="K89" i="83"/>
  <c r="J89" i="83"/>
  <c r="H89" i="83"/>
  <c r="G89" i="83"/>
  <c r="E89" i="83"/>
  <c r="D89" i="83"/>
  <c r="O88" i="83"/>
  <c r="L88" i="83"/>
  <c r="I88" i="83"/>
  <c r="F88" i="83"/>
  <c r="O87" i="83"/>
  <c r="L87" i="83"/>
  <c r="I87" i="83"/>
  <c r="F87" i="83"/>
  <c r="O86" i="83"/>
  <c r="L86" i="83"/>
  <c r="I86" i="83"/>
  <c r="F86" i="83"/>
  <c r="O85" i="83"/>
  <c r="L85" i="83"/>
  <c r="I85" i="83"/>
  <c r="F85" i="83"/>
  <c r="F84" i="83" s="1"/>
  <c r="N84" i="83"/>
  <c r="M84" i="83"/>
  <c r="K84" i="83"/>
  <c r="J84" i="83"/>
  <c r="H84" i="83"/>
  <c r="G84" i="83"/>
  <c r="E84" i="83"/>
  <c r="D84" i="83"/>
  <c r="O82" i="83"/>
  <c r="L82" i="83"/>
  <c r="I82" i="83"/>
  <c r="F82" i="83"/>
  <c r="O81" i="83"/>
  <c r="L81" i="83"/>
  <c r="L80" i="83" s="1"/>
  <c r="I81" i="83"/>
  <c r="F81" i="83"/>
  <c r="F80" i="83" s="1"/>
  <c r="O80" i="83"/>
  <c r="N80" i="83"/>
  <c r="M80" i="83"/>
  <c r="K80" i="83"/>
  <c r="J80" i="83"/>
  <c r="H80" i="83"/>
  <c r="G80" i="83"/>
  <c r="E80" i="83"/>
  <c r="D80" i="83"/>
  <c r="O79" i="83"/>
  <c r="L79" i="83"/>
  <c r="I79" i="83"/>
  <c r="F79" i="83"/>
  <c r="O78" i="83"/>
  <c r="O77" i="83" s="1"/>
  <c r="L78" i="83"/>
  <c r="L77" i="83" s="1"/>
  <c r="L76" i="83" s="1"/>
  <c r="I78" i="83"/>
  <c r="I77" i="83" s="1"/>
  <c r="F78" i="83"/>
  <c r="N77" i="83"/>
  <c r="N76" i="83" s="1"/>
  <c r="M77" i="83"/>
  <c r="K77" i="83"/>
  <c r="J77" i="83"/>
  <c r="H77" i="83"/>
  <c r="H76" i="83" s="1"/>
  <c r="G77" i="83"/>
  <c r="E77" i="83"/>
  <c r="D77" i="83"/>
  <c r="M76" i="83"/>
  <c r="G76" i="83"/>
  <c r="O74" i="83"/>
  <c r="L74" i="83"/>
  <c r="I74" i="83"/>
  <c r="F74" i="83"/>
  <c r="O73" i="83"/>
  <c r="L73" i="83"/>
  <c r="I73" i="83"/>
  <c r="F73" i="83"/>
  <c r="O72" i="83"/>
  <c r="L72" i="83"/>
  <c r="I72" i="83"/>
  <c r="F72" i="83"/>
  <c r="O71" i="83"/>
  <c r="L71" i="83"/>
  <c r="I71" i="83"/>
  <c r="F71" i="83"/>
  <c r="O70" i="83"/>
  <c r="O69" i="83" s="1"/>
  <c r="L70" i="83"/>
  <c r="I70" i="83"/>
  <c r="F70" i="83"/>
  <c r="N69" i="83"/>
  <c r="N67" i="83" s="1"/>
  <c r="M69" i="83"/>
  <c r="M67" i="83" s="1"/>
  <c r="K69" i="83"/>
  <c r="J69" i="83"/>
  <c r="J67" i="83" s="1"/>
  <c r="H69" i="83"/>
  <c r="H67" i="83" s="1"/>
  <c r="G69" i="83"/>
  <c r="E69" i="83"/>
  <c r="E67" i="83" s="1"/>
  <c r="D69" i="83"/>
  <c r="D67" i="83" s="1"/>
  <c r="O68" i="83"/>
  <c r="L68" i="83"/>
  <c r="I68" i="83"/>
  <c r="F68" i="83"/>
  <c r="K67" i="83"/>
  <c r="G67" i="83"/>
  <c r="O66" i="83"/>
  <c r="L66" i="83"/>
  <c r="I66" i="83"/>
  <c r="F66" i="83"/>
  <c r="O65" i="83"/>
  <c r="L65" i="83"/>
  <c r="I65" i="83"/>
  <c r="F65" i="83"/>
  <c r="O64" i="83"/>
  <c r="L64" i="83"/>
  <c r="I64" i="83"/>
  <c r="F64" i="83"/>
  <c r="O63" i="83"/>
  <c r="L63" i="83"/>
  <c r="I63" i="83"/>
  <c r="F63" i="83"/>
  <c r="O62" i="83"/>
  <c r="L62" i="83"/>
  <c r="I62" i="83"/>
  <c r="F62" i="83"/>
  <c r="O61" i="83"/>
  <c r="L61" i="83"/>
  <c r="I61" i="83"/>
  <c r="F61" i="83"/>
  <c r="O60" i="83"/>
  <c r="L60" i="83"/>
  <c r="I60" i="83"/>
  <c r="F60" i="83"/>
  <c r="O59" i="83"/>
  <c r="O58" i="83" s="1"/>
  <c r="L59" i="83"/>
  <c r="L58" i="83" s="1"/>
  <c r="I59" i="83"/>
  <c r="F59" i="83"/>
  <c r="F58" i="83" s="1"/>
  <c r="N58" i="83"/>
  <c r="M58" i="83"/>
  <c r="K58" i="83"/>
  <c r="J58" i="83"/>
  <c r="I58" i="83"/>
  <c r="H58" i="83"/>
  <c r="G58" i="83"/>
  <c r="E58" i="83"/>
  <c r="D58" i="83"/>
  <c r="O57" i="83"/>
  <c r="L57" i="83"/>
  <c r="I57" i="83"/>
  <c r="F57" i="83"/>
  <c r="O56" i="83"/>
  <c r="O55" i="83" s="1"/>
  <c r="L56" i="83"/>
  <c r="L55" i="83" s="1"/>
  <c r="I56" i="83"/>
  <c r="F56" i="83"/>
  <c r="N55" i="83"/>
  <c r="M55" i="83"/>
  <c r="K55" i="83"/>
  <c r="K54" i="83" s="1"/>
  <c r="J55" i="83"/>
  <c r="J54" i="83" s="1"/>
  <c r="H55" i="83"/>
  <c r="G55" i="83"/>
  <c r="G54" i="83" s="1"/>
  <c r="E55" i="83"/>
  <c r="E54" i="83" s="1"/>
  <c r="E53" i="83" s="1"/>
  <c r="D55" i="83"/>
  <c r="O47" i="83"/>
  <c r="C47" i="83" s="1"/>
  <c r="O46" i="83"/>
  <c r="N45" i="83"/>
  <c r="M45" i="83"/>
  <c r="L44" i="83"/>
  <c r="L43" i="83" s="1"/>
  <c r="I44" i="83"/>
  <c r="I43" i="83" s="1"/>
  <c r="F44" i="83"/>
  <c r="F43" i="83" s="1"/>
  <c r="K43" i="83"/>
  <c r="J43" i="83"/>
  <c r="H43" i="83"/>
  <c r="G43" i="83"/>
  <c r="E43" i="83"/>
  <c r="D43" i="83"/>
  <c r="F42" i="83"/>
  <c r="F41" i="83" s="1"/>
  <c r="C41" i="83" s="1"/>
  <c r="E41" i="83"/>
  <c r="D41" i="83"/>
  <c r="L40" i="83"/>
  <c r="C40" i="83" s="1"/>
  <c r="L39" i="83"/>
  <c r="C39" i="83" s="1"/>
  <c r="L38" i="83"/>
  <c r="C38" i="83" s="1"/>
  <c r="L37" i="83"/>
  <c r="K36" i="83"/>
  <c r="J36" i="83"/>
  <c r="L35" i="83"/>
  <c r="C35" i="83" s="1"/>
  <c r="L34" i="83"/>
  <c r="K33" i="83"/>
  <c r="J33" i="83"/>
  <c r="L32" i="83"/>
  <c r="C32" i="83" s="1"/>
  <c r="K31" i="83"/>
  <c r="J31" i="83"/>
  <c r="L30" i="83"/>
  <c r="C30" i="83" s="1"/>
  <c r="L29" i="83"/>
  <c r="C29" i="83" s="1"/>
  <c r="L28" i="83"/>
  <c r="K27" i="83"/>
  <c r="J27" i="83"/>
  <c r="F25" i="83"/>
  <c r="C25" i="83" s="1"/>
  <c r="H24" i="83"/>
  <c r="I24" i="83" s="1"/>
  <c r="F24" i="83"/>
  <c r="O23" i="83"/>
  <c r="L23" i="83"/>
  <c r="I23" i="83"/>
  <c r="F23" i="83"/>
  <c r="O22" i="83"/>
  <c r="L22" i="83"/>
  <c r="L21" i="83" s="1"/>
  <c r="I22" i="83"/>
  <c r="I21" i="83" s="1"/>
  <c r="F22" i="83"/>
  <c r="N21" i="83"/>
  <c r="N292" i="83" s="1"/>
  <c r="M21" i="83"/>
  <c r="K21" i="83"/>
  <c r="J21" i="83"/>
  <c r="H21" i="83"/>
  <c r="G21" i="83"/>
  <c r="E21" i="83"/>
  <c r="D21" i="83"/>
  <c r="D292" i="83" s="1"/>
  <c r="L33" i="83" l="1"/>
  <c r="C33" i="83" s="1"/>
  <c r="C257" i="83"/>
  <c r="G195" i="83"/>
  <c r="C277" i="83"/>
  <c r="H270" i="83"/>
  <c r="H269" i="83" s="1"/>
  <c r="O89" i="83"/>
  <c r="N187" i="83"/>
  <c r="E231" i="83"/>
  <c r="J53" i="83"/>
  <c r="C217" i="83"/>
  <c r="E187" i="83"/>
  <c r="C297" i="83"/>
  <c r="C301" i="83"/>
  <c r="J187" i="83"/>
  <c r="D291" i="83"/>
  <c r="L36" i="83"/>
  <c r="C36" i="83" s="1"/>
  <c r="O45" i="83"/>
  <c r="C45" i="83" s="1"/>
  <c r="C88" i="83"/>
  <c r="C101" i="83"/>
  <c r="C105" i="83"/>
  <c r="C109" i="83"/>
  <c r="C111" i="83"/>
  <c r="C113" i="83"/>
  <c r="C117" i="83"/>
  <c r="C121" i="83"/>
  <c r="C123" i="83"/>
  <c r="C275" i="83"/>
  <c r="J270" i="83"/>
  <c r="J269" i="83" s="1"/>
  <c r="E20" i="83"/>
  <c r="K292" i="83"/>
  <c r="K291" i="83" s="1"/>
  <c r="C23" i="83"/>
  <c r="N54" i="83"/>
  <c r="O54" i="83"/>
  <c r="H54" i="83"/>
  <c r="H53" i="83" s="1"/>
  <c r="M54" i="83"/>
  <c r="M53" i="83" s="1"/>
  <c r="L54" i="83"/>
  <c r="E76" i="83"/>
  <c r="K76" i="83"/>
  <c r="C79" i="83"/>
  <c r="O76" i="83"/>
  <c r="C129" i="83"/>
  <c r="C145" i="83"/>
  <c r="C146" i="83"/>
  <c r="C153" i="83"/>
  <c r="O187" i="83"/>
  <c r="C249" i="83"/>
  <c r="G259" i="83"/>
  <c r="G270" i="83"/>
  <c r="G269" i="83" s="1"/>
  <c r="C185" i="83"/>
  <c r="G292" i="83"/>
  <c r="G291" i="83" s="1"/>
  <c r="I292" i="83"/>
  <c r="K26" i="83"/>
  <c r="C68" i="83"/>
  <c r="C71" i="83"/>
  <c r="D83" i="83"/>
  <c r="C87" i="83"/>
  <c r="O84" i="83"/>
  <c r="H83" i="83"/>
  <c r="N83" i="83"/>
  <c r="C106" i="83"/>
  <c r="I103" i="83"/>
  <c r="N130" i="83"/>
  <c r="C141" i="83"/>
  <c r="C157" i="83"/>
  <c r="C158" i="83"/>
  <c r="C161" i="83"/>
  <c r="C169" i="83"/>
  <c r="C177" i="83"/>
  <c r="K174" i="83"/>
  <c r="K173" i="83" s="1"/>
  <c r="C213" i="83"/>
  <c r="C215" i="83"/>
  <c r="C221" i="83"/>
  <c r="C229" i="83"/>
  <c r="M231" i="83"/>
  <c r="M230" i="83" s="1"/>
  <c r="C245" i="83"/>
  <c r="E269" i="83"/>
  <c r="C298" i="83"/>
  <c r="M292" i="83"/>
  <c r="M291" i="83" s="1"/>
  <c r="J26" i="83"/>
  <c r="L151" i="83"/>
  <c r="H187" i="83"/>
  <c r="D195" i="83"/>
  <c r="C209" i="83"/>
  <c r="C210" i="83"/>
  <c r="C225" i="83"/>
  <c r="J204" i="83"/>
  <c r="J195" i="83" s="1"/>
  <c r="H231" i="83"/>
  <c r="O235" i="83"/>
  <c r="O238" i="83"/>
  <c r="C258" i="83"/>
  <c r="L31" i="83"/>
  <c r="C31" i="83" s="1"/>
  <c r="C64" i="83"/>
  <c r="L69" i="83"/>
  <c r="L67" i="83" s="1"/>
  <c r="L84" i="83"/>
  <c r="C93" i="83"/>
  <c r="C97" i="83"/>
  <c r="C125" i="83"/>
  <c r="C133" i="83"/>
  <c r="C149" i="83"/>
  <c r="D174" i="83"/>
  <c r="D173" i="83" s="1"/>
  <c r="C189" i="83"/>
  <c r="M187" i="83"/>
  <c r="L216" i="83"/>
  <c r="C237" i="83"/>
  <c r="C240" i="83"/>
  <c r="C253" i="83"/>
  <c r="E259" i="83"/>
  <c r="E230" i="83" s="1"/>
  <c r="K259" i="83"/>
  <c r="C263" i="83"/>
  <c r="J259" i="83"/>
  <c r="C265" i="83"/>
  <c r="F55" i="83"/>
  <c r="F54" i="83" s="1"/>
  <c r="L196" i="83"/>
  <c r="E204" i="83"/>
  <c r="E195" i="83" s="1"/>
  <c r="E194" i="83" s="1"/>
  <c r="C241" i="83"/>
  <c r="L27" i="83"/>
  <c r="C27" i="83" s="1"/>
  <c r="G20" i="83"/>
  <c r="C56" i="83"/>
  <c r="C60" i="83"/>
  <c r="C70" i="83"/>
  <c r="E83" i="83"/>
  <c r="K83" i="83"/>
  <c r="C99" i="83"/>
  <c r="C100" i="83"/>
  <c r="L116" i="83"/>
  <c r="C135" i="83"/>
  <c r="L144" i="83"/>
  <c r="C164" i="83"/>
  <c r="C167" i="83"/>
  <c r="C168" i="83"/>
  <c r="J173" i="83"/>
  <c r="C197" i="83"/>
  <c r="C201" i="83"/>
  <c r="C208" i="83"/>
  <c r="O205" i="83"/>
  <c r="C214" i="83"/>
  <c r="C218" i="83"/>
  <c r="C226" i="83"/>
  <c r="K231" i="83"/>
  <c r="K230" i="83" s="1"/>
  <c r="C244" i="83"/>
  <c r="L251" i="83"/>
  <c r="C255" i="83"/>
  <c r="C256" i="83"/>
  <c r="I260" i="83"/>
  <c r="C268" i="83"/>
  <c r="C271" i="83"/>
  <c r="C280" i="83"/>
  <c r="C288" i="83"/>
  <c r="I116" i="83"/>
  <c r="I174" i="83"/>
  <c r="L175" i="83"/>
  <c r="J231" i="83"/>
  <c r="E292" i="83"/>
  <c r="E291" i="83" s="1"/>
  <c r="J292" i="83"/>
  <c r="J291" i="83" s="1"/>
  <c r="N291" i="83"/>
  <c r="I20" i="83"/>
  <c r="C34" i="83"/>
  <c r="C44" i="83"/>
  <c r="M20" i="83"/>
  <c r="C58" i="83"/>
  <c r="C62" i="83"/>
  <c r="C63" i="83"/>
  <c r="C66" i="83"/>
  <c r="G83" i="83"/>
  <c r="M83" i="83"/>
  <c r="C90" i="83"/>
  <c r="C114" i="83"/>
  <c r="C115" i="83"/>
  <c r="C126" i="83"/>
  <c r="M130" i="83"/>
  <c r="K130" i="83"/>
  <c r="C137" i="83"/>
  <c r="C155" i="83"/>
  <c r="C156" i="83"/>
  <c r="C162" i="83"/>
  <c r="I166" i="83"/>
  <c r="C172" i="83"/>
  <c r="O179" i="83"/>
  <c r="O174" i="83" s="1"/>
  <c r="O173" i="83" s="1"/>
  <c r="L179" i="83"/>
  <c r="C190" i="83"/>
  <c r="C200" i="83"/>
  <c r="K204" i="83"/>
  <c r="K195" i="83" s="1"/>
  <c r="K194" i="83" s="1"/>
  <c r="C212" i="83"/>
  <c r="H204" i="83"/>
  <c r="H195" i="83" s="1"/>
  <c r="C224" i="83"/>
  <c r="M204" i="83"/>
  <c r="M195" i="83" s="1"/>
  <c r="C243" i="83"/>
  <c r="C250" i="83"/>
  <c r="I252" i="83"/>
  <c r="I251" i="83" s="1"/>
  <c r="C262" i="83"/>
  <c r="I264" i="83"/>
  <c r="I259" i="83" s="1"/>
  <c r="C274" i="83"/>
  <c r="I276" i="83"/>
  <c r="C285" i="83"/>
  <c r="J83" i="83"/>
  <c r="C22" i="83"/>
  <c r="C43" i="83"/>
  <c r="D54" i="83"/>
  <c r="D53" i="83" s="1"/>
  <c r="N53" i="83"/>
  <c r="C65" i="83"/>
  <c r="O67" i="83"/>
  <c r="O53" i="83" s="1"/>
  <c r="C72" i="83"/>
  <c r="C74" i="83"/>
  <c r="D76" i="83"/>
  <c r="J76" i="83"/>
  <c r="I89" i="83"/>
  <c r="C94" i="83"/>
  <c r="L95" i="83"/>
  <c r="C102" i="83"/>
  <c r="C108" i="83"/>
  <c r="I112" i="83"/>
  <c r="C119" i="83"/>
  <c r="C120" i="83"/>
  <c r="L122" i="83"/>
  <c r="D130" i="83"/>
  <c r="O131" i="83"/>
  <c r="L131" i="83"/>
  <c r="L130" i="83" s="1"/>
  <c r="G130" i="83"/>
  <c r="C139" i="83"/>
  <c r="C140" i="83"/>
  <c r="F144" i="83"/>
  <c r="C148" i="83"/>
  <c r="L166" i="83"/>
  <c r="L165" i="83" s="1"/>
  <c r="C170" i="83"/>
  <c r="L184" i="83"/>
  <c r="L188" i="83"/>
  <c r="L187" i="83" s="1"/>
  <c r="N195" i="83"/>
  <c r="C203" i="83"/>
  <c r="C211" i="83"/>
  <c r="C223" i="83"/>
  <c r="N231" i="83"/>
  <c r="N230" i="83" s="1"/>
  <c r="C242" i="83"/>
  <c r="C248" i="83"/>
  <c r="O246" i="83"/>
  <c r="C254" i="83"/>
  <c r="C261" i="83"/>
  <c r="O259" i="83"/>
  <c r="M269" i="83"/>
  <c r="C273" i="83"/>
  <c r="O270" i="83"/>
  <c r="K20" i="83"/>
  <c r="L292" i="83"/>
  <c r="C86" i="83"/>
  <c r="I84" i="83"/>
  <c r="C193" i="83"/>
  <c r="F192" i="83"/>
  <c r="F196" i="83"/>
  <c r="C24" i="83"/>
  <c r="C28" i="83"/>
  <c r="C46" i="83"/>
  <c r="C61" i="83"/>
  <c r="I69" i="83"/>
  <c r="I67" i="83" s="1"/>
  <c r="C104" i="83"/>
  <c r="F103" i="83"/>
  <c r="K187" i="83"/>
  <c r="H292" i="83"/>
  <c r="H291" i="83" s="1"/>
  <c r="H20" i="83"/>
  <c r="C294" i="83"/>
  <c r="L293" i="83"/>
  <c r="D20" i="83"/>
  <c r="N20" i="83"/>
  <c r="F21" i="83"/>
  <c r="L26" i="83"/>
  <c r="L20" i="83" s="1"/>
  <c r="C42" i="83"/>
  <c r="K53" i="83"/>
  <c r="F69" i="83"/>
  <c r="C73" i="83"/>
  <c r="F77" i="83"/>
  <c r="C78" i="83"/>
  <c r="C82" i="83"/>
  <c r="I80" i="83"/>
  <c r="I55" i="83"/>
  <c r="I54" i="83" s="1"/>
  <c r="J20" i="83"/>
  <c r="O21" i="83"/>
  <c r="C37" i="83"/>
  <c r="G53" i="83"/>
  <c r="C57" i="83"/>
  <c r="C59" i="83"/>
  <c r="G75" i="83"/>
  <c r="C124" i="83"/>
  <c r="F122" i="83"/>
  <c r="C260" i="83"/>
  <c r="F259" i="83"/>
  <c r="C272" i="83"/>
  <c r="F270" i="83"/>
  <c r="C81" i="83"/>
  <c r="C85" i="83"/>
  <c r="L89" i="83"/>
  <c r="C96" i="83"/>
  <c r="F95" i="83"/>
  <c r="O95" i="83"/>
  <c r="C107" i="83"/>
  <c r="O116" i="83"/>
  <c r="I122" i="83"/>
  <c r="C127" i="83"/>
  <c r="C128" i="83"/>
  <c r="E130" i="83"/>
  <c r="E75" i="83" s="1"/>
  <c r="C132" i="83"/>
  <c r="F131" i="83"/>
  <c r="C138" i="83"/>
  <c r="C147" i="83"/>
  <c r="C154" i="83"/>
  <c r="C159" i="83"/>
  <c r="O166" i="83"/>
  <c r="O165" i="83" s="1"/>
  <c r="E174" i="83"/>
  <c r="E173" i="83" s="1"/>
  <c r="C176" i="83"/>
  <c r="F175" i="83"/>
  <c r="C182" i="83"/>
  <c r="G187" i="83"/>
  <c r="C220" i="83"/>
  <c r="F216" i="83"/>
  <c r="C228" i="83"/>
  <c r="F227" i="83"/>
  <c r="C227" i="83" s="1"/>
  <c r="G230" i="83"/>
  <c r="I238" i="83"/>
  <c r="I231" i="83" s="1"/>
  <c r="I230" i="83" s="1"/>
  <c r="C239" i="83"/>
  <c r="C252" i="83"/>
  <c r="F251" i="83"/>
  <c r="C98" i="83"/>
  <c r="C110" i="83"/>
  <c r="C118" i="83"/>
  <c r="O151" i="83"/>
  <c r="C91" i="83"/>
  <c r="C92" i="83"/>
  <c r="F89" i="83"/>
  <c r="O103" i="83"/>
  <c r="L103" i="83"/>
  <c r="O122" i="83"/>
  <c r="H130" i="83"/>
  <c r="H75" i="83" s="1"/>
  <c r="H52" i="83" s="1"/>
  <c r="C134" i="83"/>
  <c r="C143" i="83"/>
  <c r="C150" i="83"/>
  <c r="C152" i="83"/>
  <c r="F151" i="83"/>
  <c r="C163" i="83"/>
  <c r="F166" i="83"/>
  <c r="I165" i="83"/>
  <c r="C171" i="83"/>
  <c r="C178" i="83"/>
  <c r="C180" i="83"/>
  <c r="F179" i="83"/>
  <c r="C186" i="83"/>
  <c r="D187" i="83"/>
  <c r="C266" i="83"/>
  <c r="L264" i="83"/>
  <c r="C264" i="83" s="1"/>
  <c r="O269" i="83"/>
  <c r="C278" i="83"/>
  <c r="L276" i="83"/>
  <c r="C276" i="83" s="1"/>
  <c r="I136" i="83"/>
  <c r="C136" i="83" s="1"/>
  <c r="C142" i="83"/>
  <c r="I144" i="83"/>
  <c r="I160" i="83"/>
  <c r="C160" i="83" s="1"/>
  <c r="I184" i="83"/>
  <c r="I173" i="83" s="1"/>
  <c r="I188" i="83"/>
  <c r="I187" i="83" s="1"/>
  <c r="O196" i="83"/>
  <c r="I198" i="83"/>
  <c r="I196" i="83" s="1"/>
  <c r="C199" i="83"/>
  <c r="C202" i="83"/>
  <c r="C207" i="83"/>
  <c r="I205" i="83"/>
  <c r="C219" i="83"/>
  <c r="I216" i="83"/>
  <c r="C222" i="83"/>
  <c r="C232" i="83"/>
  <c r="C236" i="83"/>
  <c r="F235" i="83"/>
  <c r="C235" i="83" s="1"/>
  <c r="H259" i="83"/>
  <c r="D270" i="83"/>
  <c r="D269" i="83" s="1"/>
  <c r="C284" i="83"/>
  <c r="F283" i="83"/>
  <c r="C283" i="83" s="1"/>
  <c r="F112" i="83"/>
  <c r="F116" i="83"/>
  <c r="C206" i="83"/>
  <c r="L205" i="83"/>
  <c r="C234" i="83"/>
  <c r="L233" i="83"/>
  <c r="L231" i="83" s="1"/>
  <c r="C247" i="83"/>
  <c r="D259" i="83"/>
  <c r="D230" i="83" s="1"/>
  <c r="C267" i="83"/>
  <c r="I270" i="83"/>
  <c r="I269" i="83" s="1"/>
  <c r="C279" i="83"/>
  <c r="C295" i="83"/>
  <c r="C296" i="83"/>
  <c r="F293" i="83"/>
  <c r="O216" i="83"/>
  <c r="O204" i="83" s="1"/>
  <c r="O231" i="83"/>
  <c r="C246" i="83"/>
  <c r="O251" i="83"/>
  <c r="C282" i="83"/>
  <c r="L281" i="83"/>
  <c r="C281" i="83" s="1"/>
  <c r="C286" i="83"/>
  <c r="C287" i="83"/>
  <c r="I293" i="83"/>
  <c r="I291" i="83" s="1"/>
  <c r="C299" i="83"/>
  <c r="C300" i="83"/>
  <c r="K75" i="83" l="1"/>
  <c r="M75" i="83"/>
  <c r="M52" i="83" s="1"/>
  <c r="C144" i="83"/>
  <c r="E52" i="83"/>
  <c r="J230" i="83"/>
  <c r="J194" i="83" s="1"/>
  <c r="L53" i="83"/>
  <c r="L270" i="83"/>
  <c r="N75" i="83"/>
  <c r="N52" i="83" s="1"/>
  <c r="N194" i="83"/>
  <c r="D194" i="83"/>
  <c r="L204" i="83"/>
  <c r="L195" i="83" s="1"/>
  <c r="H230" i="83"/>
  <c r="H194" i="83" s="1"/>
  <c r="H51" i="83" s="1"/>
  <c r="C179" i="83"/>
  <c r="O130" i="83"/>
  <c r="C238" i="83"/>
  <c r="C55" i="83"/>
  <c r="J75" i="83"/>
  <c r="E51" i="83"/>
  <c r="E290" i="83" s="1"/>
  <c r="O230" i="83"/>
  <c r="M289" i="83"/>
  <c r="O83" i="83"/>
  <c r="O75" i="83" s="1"/>
  <c r="O52" i="83" s="1"/>
  <c r="E289" i="83"/>
  <c r="C89" i="83"/>
  <c r="K289" i="83"/>
  <c r="C95" i="83"/>
  <c r="I204" i="83"/>
  <c r="C116" i="83"/>
  <c r="M194" i="83"/>
  <c r="M51" i="83" s="1"/>
  <c r="L174" i="83"/>
  <c r="L173" i="83" s="1"/>
  <c r="C112" i="83"/>
  <c r="L291" i="83"/>
  <c r="D75" i="83"/>
  <c r="D52" i="83" s="1"/>
  <c r="D51" i="83" s="1"/>
  <c r="D290" i="83" s="1"/>
  <c r="E50" i="83"/>
  <c r="C205" i="83"/>
  <c r="I83" i="83"/>
  <c r="O195" i="83"/>
  <c r="O194" i="83" s="1"/>
  <c r="C233" i="83"/>
  <c r="C216" i="83"/>
  <c r="F204" i="83"/>
  <c r="F269" i="83"/>
  <c r="C270" i="83"/>
  <c r="F83" i="83"/>
  <c r="G52" i="83"/>
  <c r="C103" i="83"/>
  <c r="C192" i="83"/>
  <c r="F191" i="83"/>
  <c r="C54" i="83"/>
  <c r="I195" i="83"/>
  <c r="I194" i="83" s="1"/>
  <c r="O292" i="83"/>
  <c r="O291" i="83" s="1"/>
  <c r="O20" i="83"/>
  <c r="C198" i="83"/>
  <c r="L269" i="83"/>
  <c r="C293" i="83"/>
  <c r="F231" i="83"/>
  <c r="C151" i="83"/>
  <c r="C184" i="83"/>
  <c r="G194" i="83"/>
  <c r="G289" i="83"/>
  <c r="C175" i="83"/>
  <c r="F174" i="83"/>
  <c r="L83" i="83"/>
  <c r="L75" i="83" s="1"/>
  <c r="L259" i="83"/>
  <c r="L230" i="83" s="1"/>
  <c r="I53" i="83"/>
  <c r="I130" i="83"/>
  <c r="F76" i="83"/>
  <c r="C77" i="83"/>
  <c r="C69" i="83"/>
  <c r="F67" i="83"/>
  <c r="C67" i="83" s="1"/>
  <c r="C26" i="83"/>
  <c r="C84" i="83"/>
  <c r="F165" i="83"/>
  <c r="C165" i="83" s="1"/>
  <c r="C166" i="83"/>
  <c r="C251" i="83"/>
  <c r="C188" i="83"/>
  <c r="C131" i="83"/>
  <c r="F130" i="83"/>
  <c r="C122" i="83"/>
  <c r="C80" i="83"/>
  <c r="I76" i="83"/>
  <c r="K52" i="83"/>
  <c r="K51" i="83" s="1"/>
  <c r="F292" i="83"/>
  <c r="C21" i="83"/>
  <c r="F20" i="83"/>
  <c r="C196" i="83"/>
  <c r="N51" i="83" l="1"/>
  <c r="D289" i="83"/>
  <c r="L52" i="83"/>
  <c r="N289" i="83"/>
  <c r="O289" i="83"/>
  <c r="H290" i="83"/>
  <c r="H50" i="83"/>
  <c r="C204" i="83"/>
  <c r="H289" i="83"/>
  <c r="J52" i="83"/>
  <c r="J51" i="83" s="1"/>
  <c r="J50" i="83" s="1"/>
  <c r="J289" i="83"/>
  <c r="L194" i="83"/>
  <c r="M290" i="83"/>
  <c r="M50" i="83"/>
  <c r="C259" i="83"/>
  <c r="C20" i="83"/>
  <c r="D50" i="83"/>
  <c r="N50" i="83"/>
  <c r="N290" i="83"/>
  <c r="F173" i="83"/>
  <c r="C173" i="83" s="1"/>
  <c r="C174" i="83"/>
  <c r="F195" i="83"/>
  <c r="C292" i="83"/>
  <c r="F291" i="83"/>
  <c r="C291" i="83" s="1"/>
  <c r="C269" i="83"/>
  <c r="O51" i="83"/>
  <c r="L289" i="83"/>
  <c r="K50" i="83"/>
  <c r="K290" i="83"/>
  <c r="C130" i="83"/>
  <c r="C231" i="83"/>
  <c r="F230" i="83"/>
  <c r="C230" i="83" s="1"/>
  <c r="F53" i="83"/>
  <c r="G51" i="83"/>
  <c r="I75" i="83"/>
  <c r="I52" i="83" s="1"/>
  <c r="I51" i="83" s="1"/>
  <c r="C76" i="83"/>
  <c r="F75" i="83"/>
  <c r="C191" i="83"/>
  <c r="F187" i="83"/>
  <c r="C187" i="83" s="1"/>
  <c r="C83" i="83"/>
  <c r="L51" i="83" l="1"/>
  <c r="I289" i="83"/>
  <c r="J290" i="83"/>
  <c r="C75" i="83"/>
  <c r="G290" i="83"/>
  <c r="G50" i="83"/>
  <c r="C53" i="83"/>
  <c r="F52" i="83"/>
  <c r="F289" i="83"/>
  <c r="C195" i="83"/>
  <c r="F194" i="83"/>
  <c r="C194" i="83" s="1"/>
  <c r="O50" i="83"/>
  <c r="O290" i="83"/>
  <c r="L50" i="83"/>
  <c r="L290" i="83"/>
  <c r="I290" i="83"/>
  <c r="I50" i="83"/>
  <c r="C289" i="83" l="1"/>
  <c r="C52" i="83"/>
  <c r="F51" i="83"/>
  <c r="F290" i="83" l="1"/>
  <c r="C290" i="83" s="1"/>
  <c r="F50" i="83"/>
  <c r="C50" i="83" s="1"/>
  <c r="C51" i="83"/>
  <c r="O301" i="82" l="1"/>
  <c r="L301" i="82"/>
  <c r="I301" i="82"/>
  <c r="F301" i="82"/>
  <c r="O300" i="82"/>
  <c r="L300" i="82"/>
  <c r="I300" i="82"/>
  <c r="F300" i="82"/>
  <c r="O299" i="82"/>
  <c r="L299" i="82"/>
  <c r="I299" i="82"/>
  <c r="F299" i="82"/>
  <c r="O298" i="82"/>
  <c r="L298" i="82"/>
  <c r="I298" i="82"/>
  <c r="F298" i="82"/>
  <c r="C298" i="82" s="1"/>
  <c r="O297" i="82"/>
  <c r="L297" i="82"/>
  <c r="I297" i="82"/>
  <c r="F297" i="82"/>
  <c r="O296" i="82"/>
  <c r="L296" i="82"/>
  <c r="I296" i="82"/>
  <c r="F296" i="82"/>
  <c r="O295" i="82"/>
  <c r="L295" i="82"/>
  <c r="I295" i="82"/>
  <c r="F295" i="82"/>
  <c r="O294" i="82"/>
  <c r="O293" i="82" s="1"/>
  <c r="L294" i="82"/>
  <c r="I294" i="82"/>
  <c r="F294" i="82"/>
  <c r="N293" i="82"/>
  <c r="M293" i="82"/>
  <c r="K293" i="82"/>
  <c r="J293" i="82"/>
  <c r="H293" i="82"/>
  <c r="G293" i="82"/>
  <c r="E293" i="82"/>
  <c r="D293" i="82"/>
  <c r="O288" i="82"/>
  <c r="L288" i="82"/>
  <c r="I288" i="82"/>
  <c r="F288" i="82"/>
  <c r="O287" i="82"/>
  <c r="L287" i="82"/>
  <c r="L286" i="82" s="1"/>
  <c r="I287" i="82"/>
  <c r="F287" i="82"/>
  <c r="C287" i="82" s="1"/>
  <c r="O286" i="82"/>
  <c r="N286" i="82"/>
  <c r="M286" i="82"/>
  <c r="K286" i="82"/>
  <c r="J286" i="82"/>
  <c r="H286" i="82"/>
  <c r="G286" i="82"/>
  <c r="F286" i="82"/>
  <c r="E286" i="82"/>
  <c r="D286" i="82"/>
  <c r="O285" i="82"/>
  <c r="L285" i="82"/>
  <c r="L284" i="82" s="1"/>
  <c r="L283" i="82" s="1"/>
  <c r="I285" i="82"/>
  <c r="F285" i="82"/>
  <c r="O284" i="82"/>
  <c r="N284" i="82"/>
  <c r="N283" i="82" s="1"/>
  <c r="M284" i="82"/>
  <c r="M283" i="82" s="1"/>
  <c r="K284" i="82"/>
  <c r="J284" i="82"/>
  <c r="J283" i="82" s="1"/>
  <c r="I284" i="82"/>
  <c r="I283" i="82" s="1"/>
  <c r="H284" i="82"/>
  <c r="G284" i="82"/>
  <c r="E284" i="82"/>
  <c r="E283" i="82" s="1"/>
  <c r="D284" i="82"/>
  <c r="D283" i="82" s="1"/>
  <c r="O283" i="82"/>
  <c r="K283" i="82"/>
  <c r="H283" i="82"/>
  <c r="G283" i="82"/>
  <c r="O282" i="82"/>
  <c r="O281" i="82" s="1"/>
  <c r="L282" i="82"/>
  <c r="I282" i="82"/>
  <c r="I281" i="82" s="1"/>
  <c r="F282" i="82"/>
  <c r="N281" i="82"/>
  <c r="M281" i="82"/>
  <c r="L281" i="82"/>
  <c r="K281" i="82"/>
  <c r="J281" i="82"/>
  <c r="H281" i="82"/>
  <c r="G281" i="82"/>
  <c r="F281" i="82"/>
  <c r="E281" i="82"/>
  <c r="D281" i="82"/>
  <c r="O280" i="82"/>
  <c r="L280" i="82"/>
  <c r="I280" i="82"/>
  <c r="F280" i="82"/>
  <c r="O279" i="82"/>
  <c r="L279" i="82"/>
  <c r="I279" i="82"/>
  <c r="F279" i="82"/>
  <c r="O278" i="82"/>
  <c r="L278" i="82"/>
  <c r="I278" i="82"/>
  <c r="F278" i="82"/>
  <c r="O277" i="82"/>
  <c r="L277" i="82"/>
  <c r="L276" i="82" s="1"/>
  <c r="I277" i="82"/>
  <c r="F277" i="82"/>
  <c r="N276" i="82"/>
  <c r="M276" i="82"/>
  <c r="K276" i="82"/>
  <c r="J276" i="82"/>
  <c r="H276" i="82"/>
  <c r="G276" i="82"/>
  <c r="E276" i="82"/>
  <c r="D276" i="82"/>
  <c r="O275" i="82"/>
  <c r="L275" i="82"/>
  <c r="I275" i="82"/>
  <c r="F275" i="82"/>
  <c r="O274" i="82"/>
  <c r="L274" i="82"/>
  <c r="C274" i="82" s="1"/>
  <c r="I274" i="82"/>
  <c r="F274" i="82"/>
  <c r="O273" i="82"/>
  <c r="L273" i="82"/>
  <c r="I273" i="82"/>
  <c r="F273" i="82"/>
  <c r="N272" i="82"/>
  <c r="M272" i="82"/>
  <c r="K272" i="82"/>
  <c r="J272" i="82"/>
  <c r="J270" i="82" s="1"/>
  <c r="J269" i="82" s="1"/>
  <c r="H272" i="82"/>
  <c r="G272" i="82"/>
  <c r="G270" i="82" s="1"/>
  <c r="G269" i="82" s="1"/>
  <c r="E272" i="82"/>
  <c r="D272" i="82"/>
  <c r="O271" i="82"/>
  <c r="L271" i="82"/>
  <c r="I271" i="82"/>
  <c r="F271" i="82"/>
  <c r="N270" i="82"/>
  <c r="K270" i="82"/>
  <c r="K269" i="82" s="1"/>
  <c r="D270" i="82"/>
  <c r="D269" i="82" s="1"/>
  <c r="N269" i="82"/>
  <c r="O268" i="82"/>
  <c r="L268" i="82"/>
  <c r="I268" i="82"/>
  <c r="F268" i="82"/>
  <c r="O267" i="82"/>
  <c r="L267" i="82"/>
  <c r="I267" i="82"/>
  <c r="F267" i="82"/>
  <c r="O266" i="82"/>
  <c r="L266" i="82"/>
  <c r="I266" i="82"/>
  <c r="F266" i="82"/>
  <c r="O265" i="82"/>
  <c r="L265" i="82"/>
  <c r="I265" i="82"/>
  <c r="I264" i="82" s="1"/>
  <c r="F265" i="82"/>
  <c r="N264" i="82"/>
  <c r="M264" i="82"/>
  <c r="K264" i="82"/>
  <c r="J264" i="82"/>
  <c r="H264" i="82"/>
  <c r="G264" i="82"/>
  <c r="E264" i="82"/>
  <c r="D264" i="82"/>
  <c r="O263" i="82"/>
  <c r="L263" i="82"/>
  <c r="I263" i="82"/>
  <c r="F263" i="82"/>
  <c r="O262" i="82"/>
  <c r="L262" i="82"/>
  <c r="I262" i="82"/>
  <c r="F262" i="82"/>
  <c r="O261" i="82"/>
  <c r="L261" i="82"/>
  <c r="I261" i="82"/>
  <c r="I260" i="82" s="1"/>
  <c r="F261" i="82"/>
  <c r="N260" i="82"/>
  <c r="N259" i="82" s="1"/>
  <c r="M260" i="82"/>
  <c r="M259" i="82" s="1"/>
  <c r="K260" i="82"/>
  <c r="J260" i="82"/>
  <c r="H260" i="82"/>
  <c r="H259" i="82" s="1"/>
  <c r="G260" i="82"/>
  <c r="E260" i="82"/>
  <c r="D260" i="82"/>
  <c r="D259" i="82" s="1"/>
  <c r="J259" i="82"/>
  <c r="O258" i="82"/>
  <c r="L258" i="82"/>
  <c r="I258" i="82"/>
  <c r="F258" i="82"/>
  <c r="O257" i="82"/>
  <c r="L257" i="82"/>
  <c r="I257" i="82"/>
  <c r="F257" i="82"/>
  <c r="O256" i="82"/>
  <c r="L256" i="82"/>
  <c r="I256" i="82"/>
  <c r="F256" i="82"/>
  <c r="O255" i="82"/>
  <c r="L255" i="82"/>
  <c r="I255" i="82"/>
  <c r="F255" i="82"/>
  <c r="O254" i="82"/>
  <c r="L254" i="82"/>
  <c r="I254" i="82"/>
  <c r="F254" i="82"/>
  <c r="O253" i="82"/>
  <c r="L253" i="82"/>
  <c r="I253" i="82"/>
  <c r="F253" i="82"/>
  <c r="N252" i="82"/>
  <c r="M252" i="82"/>
  <c r="M251" i="82" s="1"/>
  <c r="K252" i="82"/>
  <c r="J252" i="82"/>
  <c r="I252" i="82"/>
  <c r="I251" i="82" s="1"/>
  <c r="H252" i="82"/>
  <c r="G252" i="82"/>
  <c r="E252" i="82"/>
  <c r="E251" i="82" s="1"/>
  <c r="D252" i="82"/>
  <c r="D251" i="82" s="1"/>
  <c r="N251" i="82"/>
  <c r="K251" i="82"/>
  <c r="J251" i="82"/>
  <c r="H251" i="82"/>
  <c r="G251" i="82"/>
  <c r="O250" i="82"/>
  <c r="L250" i="82"/>
  <c r="I250" i="82"/>
  <c r="F250" i="82"/>
  <c r="C250" i="82" s="1"/>
  <c r="O249" i="82"/>
  <c r="L249" i="82"/>
  <c r="I249" i="82"/>
  <c r="F249" i="82"/>
  <c r="O248" i="82"/>
  <c r="L248" i="82"/>
  <c r="I248" i="82"/>
  <c r="F248" i="82"/>
  <c r="O247" i="82"/>
  <c r="L247" i="82"/>
  <c r="L246" i="82" s="1"/>
  <c r="I247" i="82"/>
  <c r="F247" i="82"/>
  <c r="F246" i="82" s="1"/>
  <c r="N246" i="82"/>
  <c r="M246" i="82"/>
  <c r="K246" i="82"/>
  <c r="J246" i="82"/>
  <c r="H246" i="82"/>
  <c r="G246" i="82"/>
  <c r="E246" i="82"/>
  <c r="D246" i="82"/>
  <c r="O245" i="82"/>
  <c r="L245" i="82"/>
  <c r="I245" i="82"/>
  <c r="F245" i="82"/>
  <c r="O244" i="82"/>
  <c r="L244" i="82"/>
  <c r="I244" i="82"/>
  <c r="F244" i="82"/>
  <c r="O243" i="82"/>
  <c r="L243" i="82"/>
  <c r="I243" i="82"/>
  <c r="F243" i="82"/>
  <c r="O242" i="82"/>
  <c r="L242" i="82"/>
  <c r="I242" i="82"/>
  <c r="F242" i="82"/>
  <c r="O241" i="82"/>
  <c r="L241" i="82"/>
  <c r="I241" i="82"/>
  <c r="F241" i="82"/>
  <c r="O240" i="82"/>
  <c r="L240" i="82"/>
  <c r="I240" i="82"/>
  <c r="F240" i="82"/>
  <c r="O239" i="82"/>
  <c r="L239" i="82"/>
  <c r="I239" i="82"/>
  <c r="F239" i="82"/>
  <c r="O238" i="82"/>
  <c r="N238" i="82"/>
  <c r="M238" i="82"/>
  <c r="K238" i="82"/>
  <c r="J238" i="82"/>
  <c r="H238" i="82"/>
  <c r="G238" i="82"/>
  <c r="E238" i="82"/>
  <c r="D238" i="82"/>
  <c r="O237" i="82"/>
  <c r="L237" i="82"/>
  <c r="I237" i="82"/>
  <c r="F237" i="82"/>
  <c r="O236" i="82"/>
  <c r="L236" i="82"/>
  <c r="L235" i="82" s="1"/>
  <c r="I236" i="82"/>
  <c r="F236" i="82"/>
  <c r="O235" i="82"/>
  <c r="N235" i="82"/>
  <c r="M235" i="82"/>
  <c r="K235" i="82"/>
  <c r="J235" i="82"/>
  <c r="H235" i="82"/>
  <c r="G235" i="82"/>
  <c r="F235" i="82"/>
  <c r="E235" i="82"/>
  <c r="D235" i="82"/>
  <c r="O234" i="82"/>
  <c r="O233" i="82" s="1"/>
  <c r="L234" i="82"/>
  <c r="I234" i="82"/>
  <c r="I233" i="82" s="1"/>
  <c r="F234" i="82"/>
  <c r="F233" i="82" s="1"/>
  <c r="N233" i="82"/>
  <c r="M233" i="82"/>
  <c r="L233" i="82"/>
  <c r="K233" i="82"/>
  <c r="J233" i="82"/>
  <c r="H233" i="82"/>
  <c r="G233" i="82"/>
  <c r="E233" i="82"/>
  <c r="E231" i="82" s="1"/>
  <c r="D233" i="82"/>
  <c r="D231" i="82" s="1"/>
  <c r="O232" i="82"/>
  <c r="L232" i="82"/>
  <c r="I232" i="82"/>
  <c r="F232" i="82"/>
  <c r="O229" i="82"/>
  <c r="L229" i="82"/>
  <c r="I229" i="82"/>
  <c r="F229" i="82"/>
  <c r="O228" i="82"/>
  <c r="L228" i="82"/>
  <c r="L227" i="82" s="1"/>
  <c r="I228" i="82"/>
  <c r="F228" i="82"/>
  <c r="F227" i="82" s="1"/>
  <c r="O227" i="82"/>
  <c r="N227" i="82"/>
  <c r="M227" i="82"/>
  <c r="K227" i="82"/>
  <c r="J227" i="82"/>
  <c r="H227" i="82"/>
  <c r="G227" i="82"/>
  <c r="E227" i="82"/>
  <c r="D227" i="82"/>
  <c r="O226" i="82"/>
  <c r="L226" i="82"/>
  <c r="I226" i="82"/>
  <c r="F226" i="82"/>
  <c r="C226" i="82" s="1"/>
  <c r="O225" i="82"/>
  <c r="L225" i="82"/>
  <c r="I225" i="82"/>
  <c r="F225" i="82"/>
  <c r="C225" i="82" s="1"/>
  <c r="O224" i="82"/>
  <c r="L224" i="82"/>
  <c r="I224" i="82"/>
  <c r="F224" i="82"/>
  <c r="O223" i="82"/>
  <c r="L223" i="82"/>
  <c r="I223" i="82"/>
  <c r="F223" i="82"/>
  <c r="O222" i="82"/>
  <c r="L222" i="82"/>
  <c r="I222" i="82"/>
  <c r="F222" i="82"/>
  <c r="C222" i="82" s="1"/>
  <c r="O221" i="82"/>
  <c r="L221" i="82"/>
  <c r="I221" i="82"/>
  <c r="F221" i="82"/>
  <c r="O220" i="82"/>
  <c r="L220" i="82"/>
  <c r="I220" i="82"/>
  <c r="F220" i="82"/>
  <c r="O219" i="82"/>
  <c r="L219" i="82"/>
  <c r="I219" i="82"/>
  <c r="F219" i="82"/>
  <c r="O218" i="82"/>
  <c r="L218" i="82"/>
  <c r="I218" i="82"/>
  <c r="F218" i="82"/>
  <c r="C218" i="82" s="1"/>
  <c r="O217" i="82"/>
  <c r="L217" i="82"/>
  <c r="I217" i="82"/>
  <c r="I216" i="82" s="1"/>
  <c r="F217" i="82"/>
  <c r="N216" i="82"/>
  <c r="M216" i="82"/>
  <c r="K216" i="82"/>
  <c r="J216" i="82"/>
  <c r="H216" i="82"/>
  <c r="G216" i="82"/>
  <c r="E216" i="82"/>
  <c r="D216" i="82"/>
  <c r="O215" i="82"/>
  <c r="L215" i="82"/>
  <c r="I215" i="82"/>
  <c r="F215" i="82"/>
  <c r="O214" i="82"/>
  <c r="L214" i="82"/>
  <c r="I214" i="82"/>
  <c r="F214" i="82"/>
  <c r="C214" i="82" s="1"/>
  <c r="O213" i="82"/>
  <c r="L213" i="82"/>
  <c r="I213" i="82"/>
  <c r="F213" i="82"/>
  <c r="O212" i="82"/>
  <c r="L212" i="82"/>
  <c r="I212" i="82"/>
  <c r="F212" i="82"/>
  <c r="O211" i="82"/>
  <c r="L211" i="82"/>
  <c r="I211" i="82"/>
  <c r="F211" i="82"/>
  <c r="O210" i="82"/>
  <c r="L210" i="82"/>
  <c r="I210" i="82"/>
  <c r="F210" i="82"/>
  <c r="O209" i="82"/>
  <c r="L209" i="82"/>
  <c r="I209" i="82"/>
  <c r="F209" i="82"/>
  <c r="O208" i="82"/>
  <c r="L208" i="82"/>
  <c r="I208" i="82"/>
  <c r="F208" i="82"/>
  <c r="O207" i="82"/>
  <c r="L207" i="82"/>
  <c r="I207" i="82"/>
  <c r="F207" i="82"/>
  <c r="O206" i="82"/>
  <c r="L206" i="82"/>
  <c r="I206" i="82"/>
  <c r="F206" i="82"/>
  <c r="N205" i="82"/>
  <c r="M205" i="82"/>
  <c r="L205" i="82"/>
  <c r="K205" i="82"/>
  <c r="J205" i="82"/>
  <c r="H205" i="82"/>
  <c r="H204" i="82" s="1"/>
  <c r="G205" i="82"/>
  <c r="G204" i="82" s="1"/>
  <c r="E205" i="82"/>
  <c r="D205" i="82"/>
  <c r="D204" i="82" s="1"/>
  <c r="M204" i="82"/>
  <c r="K204" i="82"/>
  <c r="O203" i="82"/>
  <c r="L203" i="82"/>
  <c r="I203" i="82"/>
  <c r="F203" i="82"/>
  <c r="O202" i="82"/>
  <c r="L202" i="82"/>
  <c r="I202" i="82"/>
  <c r="F202" i="82"/>
  <c r="O201" i="82"/>
  <c r="L201" i="82"/>
  <c r="I201" i="82"/>
  <c r="F201" i="82"/>
  <c r="O200" i="82"/>
  <c r="L200" i="82"/>
  <c r="I200" i="82"/>
  <c r="F200" i="82"/>
  <c r="O199" i="82"/>
  <c r="L199" i="82"/>
  <c r="L198" i="82" s="1"/>
  <c r="I199" i="82"/>
  <c r="F199" i="82"/>
  <c r="O198" i="82"/>
  <c r="N198" i="82"/>
  <c r="M198" i="82"/>
  <c r="K198" i="82"/>
  <c r="K196" i="82" s="1"/>
  <c r="K195" i="82" s="1"/>
  <c r="J198" i="82"/>
  <c r="H198" i="82"/>
  <c r="G198" i="82"/>
  <c r="G196" i="82" s="1"/>
  <c r="F198" i="82"/>
  <c r="E198" i="82"/>
  <c r="E196" i="82" s="1"/>
  <c r="D198" i="82"/>
  <c r="O197" i="82"/>
  <c r="L197" i="82"/>
  <c r="I197" i="82"/>
  <c r="F197" i="82"/>
  <c r="N196" i="82"/>
  <c r="M196" i="82"/>
  <c r="M195" i="82" s="1"/>
  <c r="J196" i="82"/>
  <c r="H196" i="82"/>
  <c r="D196" i="82"/>
  <c r="D195" i="82" s="1"/>
  <c r="O193" i="82"/>
  <c r="L193" i="82"/>
  <c r="I193" i="82"/>
  <c r="F193" i="82"/>
  <c r="O192" i="82"/>
  <c r="N192" i="82"/>
  <c r="M192" i="82"/>
  <c r="M191" i="82" s="1"/>
  <c r="L192" i="82"/>
  <c r="L191" i="82" s="1"/>
  <c r="K192" i="82"/>
  <c r="K191" i="82" s="1"/>
  <c r="J192" i="82"/>
  <c r="I192" i="82"/>
  <c r="I191" i="82" s="1"/>
  <c r="H192" i="82"/>
  <c r="G192" i="82"/>
  <c r="G191" i="82" s="1"/>
  <c r="E192" i="82"/>
  <c r="E191" i="82" s="1"/>
  <c r="D192" i="82"/>
  <c r="O191" i="82"/>
  <c r="N191" i="82"/>
  <c r="J191" i="82"/>
  <c r="H191" i="82"/>
  <c r="D191" i="82"/>
  <c r="O190" i="82"/>
  <c r="L190" i="82"/>
  <c r="I190" i="82"/>
  <c r="F190" i="82"/>
  <c r="O189" i="82"/>
  <c r="L189" i="82"/>
  <c r="I189" i="82"/>
  <c r="I188" i="82" s="1"/>
  <c r="F189" i="82"/>
  <c r="N188" i="82"/>
  <c r="M188" i="82"/>
  <c r="L188" i="82"/>
  <c r="K188" i="82"/>
  <c r="J188" i="82"/>
  <c r="J187" i="82" s="1"/>
  <c r="H188" i="82"/>
  <c r="H187" i="82" s="1"/>
  <c r="G188" i="82"/>
  <c r="F188" i="82"/>
  <c r="E188" i="82"/>
  <c r="D188" i="82"/>
  <c r="D187" i="82" s="1"/>
  <c r="E187" i="82"/>
  <c r="O186" i="82"/>
  <c r="L186" i="82"/>
  <c r="I186" i="82"/>
  <c r="F186" i="82"/>
  <c r="C186" i="82" s="1"/>
  <c r="O185" i="82"/>
  <c r="O184" i="82" s="1"/>
  <c r="L185" i="82"/>
  <c r="L184" i="82" s="1"/>
  <c r="I185" i="82"/>
  <c r="F185" i="82"/>
  <c r="F184" i="82" s="1"/>
  <c r="N184" i="82"/>
  <c r="M184" i="82"/>
  <c r="K184" i="82"/>
  <c r="J184" i="82"/>
  <c r="H184" i="82"/>
  <c r="G184" i="82"/>
  <c r="E184" i="82"/>
  <c r="D184" i="82"/>
  <c r="O183" i="82"/>
  <c r="L183" i="82"/>
  <c r="I183" i="82"/>
  <c r="F183" i="82"/>
  <c r="C183" i="82" s="1"/>
  <c r="O182" i="82"/>
  <c r="L182" i="82"/>
  <c r="I182" i="82"/>
  <c r="F182" i="82"/>
  <c r="O181" i="82"/>
  <c r="L181" i="82"/>
  <c r="I181" i="82"/>
  <c r="F181" i="82"/>
  <c r="O180" i="82"/>
  <c r="L180" i="82"/>
  <c r="L179" i="82" s="1"/>
  <c r="I180" i="82"/>
  <c r="F180" i="82"/>
  <c r="F179" i="82" s="1"/>
  <c r="N179" i="82"/>
  <c r="M179" i="82"/>
  <c r="K179" i="82"/>
  <c r="J179" i="82"/>
  <c r="H179" i="82"/>
  <c r="G179" i="82"/>
  <c r="E179" i="82"/>
  <c r="D179" i="82"/>
  <c r="O178" i="82"/>
  <c r="L178" i="82"/>
  <c r="I178" i="82"/>
  <c r="F178" i="82"/>
  <c r="O177" i="82"/>
  <c r="L177" i="82"/>
  <c r="I177" i="82"/>
  <c r="F177" i="82"/>
  <c r="O176" i="82"/>
  <c r="L176" i="82"/>
  <c r="L175" i="82" s="1"/>
  <c r="I176" i="82"/>
  <c r="F176" i="82"/>
  <c r="F175" i="82" s="1"/>
  <c r="O175" i="82"/>
  <c r="N175" i="82"/>
  <c r="M175" i="82"/>
  <c r="M174" i="82" s="1"/>
  <c r="K175" i="82"/>
  <c r="K174" i="82" s="1"/>
  <c r="K173" i="82" s="1"/>
  <c r="J175" i="82"/>
  <c r="H175" i="82"/>
  <c r="G175" i="82"/>
  <c r="E175" i="82"/>
  <c r="E174" i="82" s="1"/>
  <c r="E173" i="82" s="1"/>
  <c r="D175" i="82"/>
  <c r="N174" i="82"/>
  <c r="J174" i="82"/>
  <c r="H174" i="82"/>
  <c r="H173" i="82" s="1"/>
  <c r="D174" i="82"/>
  <c r="D173" i="82" s="1"/>
  <c r="M173" i="82"/>
  <c r="O172" i="82"/>
  <c r="L172" i="82"/>
  <c r="I172" i="82"/>
  <c r="F172" i="82"/>
  <c r="O171" i="82"/>
  <c r="L171" i="82"/>
  <c r="C171" i="82" s="1"/>
  <c r="I171" i="82"/>
  <c r="F171" i="82"/>
  <c r="O170" i="82"/>
  <c r="L170" i="82"/>
  <c r="I170" i="82"/>
  <c r="F170" i="82"/>
  <c r="O169" i="82"/>
  <c r="L169" i="82"/>
  <c r="I169" i="82"/>
  <c r="F169" i="82"/>
  <c r="O168" i="82"/>
  <c r="L168" i="82"/>
  <c r="I168" i="82"/>
  <c r="F168" i="82"/>
  <c r="O167" i="82"/>
  <c r="O166" i="82" s="1"/>
  <c r="O165" i="82" s="1"/>
  <c r="L167" i="82"/>
  <c r="C167" i="82" s="1"/>
  <c r="I167" i="82"/>
  <c r="I166" i="82" s="1"/>
  <c r="F167" i="82"/>
  <c r="N166" i="82"/>
  <c r="N165" i="82" s="1"/>
  <c r="M166" i="82"/>
  <c r="M165" i="82" s="1"/>
  <c r="K166" i="82"/>
  <c r="J166" i="82"/>
  <c r="J165" i="82" s="1"/>
  <c r="H166" i="82"/>
  <c r="H165" i="82" s="1"/>
  <c r="G166" i="82"/>
  <c r="G165" i="82" s="1"/>
  <c r="E166" i="82"/>
  <c r="E165" i="82" s="1"/>
  <c r="D166" i="82"/>
  <c r="D165" i="82" s="1"/>
  <c r="K165" i="82"/>
  <c r="I165" i="82"/>
  <c r="O164" i="82"/>
  <c r="L164" i="82"/>
  <c r="I164" i="82"/>
  <c r="F164" i="82"/>
  <c r="O163" i="82"/>
  <c r="L163" i="82"/>
  <c r="I163" i="82"/>
  <c r="F163" i="82"/>
  <c r="O162" i="82"/>
  <c r="L162" i="82"/>
  <c r="I162" i="82"/>
  <c r="F162" i="82"/>
  <c r="O161" i="82"/>
  <c r="O160" i="82" s="1"/>
  <c r="L161" i="82"/>
  <c r="L160" i="82" s="1"/>
  <c r="I161" i="82"/>
  <c r="F161" i="82"/>
  <c r="F160" i="82" s="1"/>
  <c r="N160" i="82"/>
  <c r="M160" i="82"/>
  <c r="K160" i="82"/>
  <c r="J160" i="82"/>
  <c r="H160" i="82"/>
  <c r="G160" i="82"/>
  <c r="E160" i="82"/>
  <c r="D160" i="82"/>
  <c r="O159" i="82"/>
  <c r="L159" i="82"/>
  <c r="I159" i="82"/>
  <c r="F159" i="82"/>
  <c r="O158" i="82"/>
  <c r="L158" i="82"/>
  <c r="I158" i="82"/>
  <c r="F158" i="82"/>
  <c r="O157" i="82"/>
  <c r="L157" i="82"/>
  <c r="I157" i="82"/>
  <c r="F157" i="82"/>
  <c r="O156" i="82"/>
  <c r="L156" i="82"/>
  <c r="I156" i="82"/>
  <c r="F156" i="82"/>
  <c r="O155" i="82"/>
  <c r="L155" i="82"/>
  <c r="I155" i="82"/>
  <c r="F155" i="82"/>
  <c r="O154" i="82"/>
  <c r="L154" i="82"/>
  <c r="I154" i="82"/>
  <c r="F154" i="82"/>
  <c r="O153" i="82"/>
  <c r="L153" i="82"/>
  <c r="I153" i="82"/>
  <c r="F153" i="82"/>
  <c r="O152" i="82"/>
  <c r="L152" i="82"/>
  <c r="I152" i="82"/>
  <c r="F152" i="82"/>
  <c r="O151" i="82"/>
  <c r="N151" i="82"/>
  <c r="M151" i="82"/>
  <c r="K151" i="82"/>
  <c r="J151" i="82"/>
  <c r="H151" i="82"/>
  <c r="G151" i="82"/>
  <c r="E151" i="82"/>
  <c r="D151" i="82"/>
  <c r="O150" i="82"/>
  <c r="L150" i="82"/>
  <c r="I150" i="82"/>
  <c r="F150" i="82"/>
  <c r="O149" i="82"/>
  <c r="L149" i="82"/>
  <c r="I149" i="82"/>
  <c r="F149" i="82"/>
  <c r="O148" i="82"/>
  <c r="L148" i="82"/>
  <c r="I148" i="82"/>
  <c r="F148" i="82"/>
  <c r="O147" i="82"/>
  <c r="L147" i="82"/>
  <c r="I147" i="82"/>
  <c r="F147" i="82"/>
  <c r="O146" i="82"/>
  <c r="L146" i="82"/>
  <c r="I146" i="82"/>
  <c r="F146" i="82"/>
  <c r="O145" i="82"/>
  <c r="L145" i="82"/>
  <c r="I145" i="82"/>
  <c r="F145" i="82"/>
  <c r="F144" i="82" s="1"/>
  <c r="N144" i="82"/>
  <c r="M144" i="82"/>
  <c r="K144" i="82"/>
  <c r="J144" i="82"/>
  <c r="H144" i="82"/>
  <c r="G144" i="82"/>
  <c r="E144" i="82"/>
  <c r="D144" i="82"/>
  <c r="O143" i="82"/>
  <c r="L143" i="82"/>
  <c r="I143" i="82"/>
  <c r="F143" i="82"/>
  <c r="O142" i="82"/>
  <c r="L142" i="82"/>
  <c r="L141" i="82" s="1"/>
  <c r="I142" i="82"/>
  <c r="F142" i="82"/>
  <c r="N141" i="82"/>
  <c r="M141" i="82"/>
  <c r="K141" i="82"/>
  <c r="J141" i="82"/>
  <c r="H141" i="82"/>
  <c r="G141" i="82"/>
  <c r="E141" i="82"/>
  <c r="D141" i="82"/>
  <c r="O140" i="82"/>
  <c r="L140" i="82"/>
  <c r="I140" i="82"/>
  <c r="F140" i="82"/>
  <c r="O139" i="82"/>
  <c r="L139" i="82"/>
  <c r="I139" i="82"/>
  <c r="F139" i="82"/>
  <c r="O138" i="82"/>
  <c r="L138" i="82"/>
  <c r="I138" i="82"/>
  <c r="F138" i="82"/>
  <c r="O137" i="82"/>
  <c r="L137" i="82"/>
  <c r="L136" i="82" s="1"/>
  <c r="I137" i="82"/>
  <c r="F137" i="82"/>
  <c r="N136" i="82"/>
  <c r="M136" i="82"/>
  <c r="K136" i="82"/>
  <c r="J136" i="82"/>
  <c r="H136" i="82"/>
  <c r="G136" i="82"/>
  <c r="E136" i="82"/>
  <c r="D136" i="82"/>
  <c r="O135" i="82"/>
  <c r="L135" i="82"/>
  <c r="I135" i="82"/>
  <c r="F135" i="82"/>
  <c r="O134" i="82"/>
  <c r="L134" i="82"/>
  <c r="I134" i="82"/>
  <c r="F134" i="82"/>
  <c r="O133" i="82"/>
  <c r="L133" i="82"/>
  <c r="I133" i="82"/>
  <c r="F133" i="82"/>
  <c r="O132" i="82"/>
  <c r="L132" i="82"/>
  <c r="I132" i="82"/>
  <c r="F132" i="82"/>
  <c r="N131" i="82"/>
  <c r="M131" i="82"/>
  <c r="M130" i="82" s="1"/>
  <c r="K131" i="82"/>
  <c r="J131" i="82"/>
  <c r="H131" i="82"/>
  <c r="G131" i="82"/>
  <c r="E131" i="82"/>
  <c r="D131" i="82"/>
  <c r="H130" i="82"/>
  <c r="D130" i="82"/>
  <c r="O129" i="82"/>
  <c r="O128" i="82" s="1"/>
  <c r="L129" i="82"/>
  <c r="L128" i="82" s="1"/>
  <c r="I129" i="82"/>
  <c r="I128" i="82" s="1"/>
  <c r="F129" i="82"/>
  <c r="F128" i="82" s="1"/>
  <c r="N128" i="82"/>
  <c r="M128" i="82"/>
  <c r="K128" i="82"/>
  <c r="J128" i="82"/>
  <c r="H128" i="82"/>
  <c r="G128" i="82"/>
  <c r="E128" i="82"/>
  <c r="D128" i="82"/>
  <c r="O127" i="82"/>
  <c r="L127" i="82"/>
  <c r="I127" i="82"/>
  <c r="F127" i="82"/>
  <c r="O126" i="82"/>
  <c r="L126" i="82"/>
  <c r="I126" i="82"/>
  <c r="F126" i="82"/>
  <c r="O125" i="82"/>
  <c r="L125" i="82"/>
  <c r="I125" i="82"/>
  <c r="F125" i="82"/>
  <c r="O124" i="82"/>
  <c r="L124" i="82"/>
  <c r="I124" i="82"/>
  <c r="F124" i="82"/>
  <c r="O123" i="82"/>
  <c r="L123" i="82"/>
  <c r="I123" i="82"/>
  <c r="F123" i="82"/>
  <c r="N122" i="82"/>
  <c r="M122" i="82"/>
  <c r="K122" i="82"/>
  <c r="J122" i="82"/>
  <c r="H122" i="82"/>
  <c r="G122" i="82"/>
  <c r="E122" i="82"/>
  <c r="D122" i="82"/>
  <c r="O121" i="82"/>
  <c r="L121" i="82"/>
  <c r="I121" i="82"/>
  <c r="F121" i="82"/>
  <c r="O120" i="82"/>
  <c r="L120" i="82"/>
  <c r="I120" i="82"/>
  <c r="F120" i="82"/>
  <c r="O119" i="82"/>
  <c r="L119" i="82"/>
  <c r="I119" i="82"/>
  <c r="F119" i="82"/>
  <c r="O118" i="82"/>
  <c r="L118" i="82"/>
  <c r="I118" i="82"/>
  <c r="F118" i="82"/>
  <c r="O117" i="82"/>
  <c r="L117" i="82"/>
  <c r="I117" i="82"/>
  <c r="F117" i="82"/>
  <c r="N116" i="82"/>
  <c r="M116" i="82"/>
  <c r="K116" i="82"/>
  <c r="J116" i="82"/>
  <c r="H116" i="82"/>
  <c r="G116" i="82"/>
  <c r="E116" i="82"/>
  <c r="D116" i="82"/>
  <c r="O115" i="82"/>
  <c r="L115" i="82"/>
  <c r="I115" i="82"/>
  <c r="I112" i="82" s="1"/>
  <c r="F115" i="82"/>
  <c r="C115" i="82" s="1"/>
  <c r="O114" i="82"/>
  <c r="L114" i="82"/>
  <c r="I114" i="82"/>
  <c r="F114" i="82"/>
  <c r="O113" i="82"/>
  <c r="L113" i="82"/>
  <c r="L112" i="82" s="1"/>
  <c r="I113" i="82"/>
  <c r="F113" i="82"/>
  <c r="N112" i="82"/>
  <c r="M112" i="82"/>
  <c r="K112" i="82"/>
  <c r="J112" i="82"/>
  <c r="H112" i="82"/>
  <c r="G112" i="82"/>
  <c r="E112" i="82"/>
  <c r="D112" i="82"/>
  <c r="O111" i="82"/>
  <c r="L111" i="82"/>
  <c r="I111" i="82"/>
  <c r="F111" i="82"/>
  <c r="O110" i="82"/>
  <c r="L110" i="82"/>
  <c r="I110" i="82"/>
  <c r="F110" i="82"/>
  <c r="O109" i="82"/>
  <c r="L109" i="82"/>
  <c r="I109" i="82"/>
  <c r="F109" i="82"/>
  <c r="O108" i="82"/>
  <c r="L108" i="82"/>
  <c r="I108" i="82"/>
  <c r="F108" i="82"/>
  <c r="O107" i="82"/>
  <c r="L107" i="82"/>
  <c r="I107" i="82"/>
  <c r="F107" i="82"/>
  <c r="O106" i="82"/>
  <c r="L106" i="82"/>
  <c r="I106" i="82"/>
  <c r="F106" i="82"/>
  <c r="O105" i="82"/>
  <c r="L105" i="82"/>
  <c r="I105" i="82"/>
  <c r="F105" i="82"/>
  <c r="O104" i="82"/>
  <c r="L104" i="82"/>
  <c r="I104" i="82"/>
  <c r="F104" i="82"/>
  <c r="N103" i="82"/>
  <c r="M103" i="82"/>
  <c r="K103" i="82"/>
  <c r="J103" i="82"/>
  <c r="H103" i="82"/>
  <c r="G103" i="82"/>
  <c r="E103" i="82"/>
  <c r="D103" i="82"/>
  <c r="O102" i="82"/>
  <c r="L102" i="82"/>
  <c r="I102" i="82"/>
  <c r="F102" i="82"/>
  <c r="O101" i="82"/>
  <c r="L101" i="82"/>
  <c r="I101" i="82"/>
  <c r="F101" i="82"/>
  <c r="O100" i="82"/>
  <c r="L100" i="82"/>
  <c r="I100" i="82"/>
  <c r="F100" i="82"/>
  <c r="O99" i="82"/>
  <c r="L99" i="82"/>
  <c r="I99" i="82"/>
  <c r="F99" i="82"/>
  <c r="O98" i="82"/>
  <c r="L98" i="82"/>
  <c r="I98" i="82"/>
  <c r="F98" i="82"/>
  <c r="O97" i="82"/>
  <c r="L97" i="82"/>
  <c r="I97" i="82"/>
  <c r="F97" i="82"/>
  <c r="O96" i="82"/>
  <c r="L96" i="82"/>
  <c r="I96" i="82"/>
  <c r="F96" i="82"/>
  <c r="O95" i="82"/>
  <c r="N95" i="82"/>
  <c r="M95" i="82"/>
  <c r="K95" i="82"/>
  <c r="J95" i="82"/>
  <c r="H95" i="82"/>
  <c r="G95" i="82"/>
  <c r="E95" i="82"/>
  <c r="D95" i="82"/>
  <c r="O94" i="82"/>
  <c r="L94" i="82"/>
  <c r="I94" i="82"/>
  <c r="F94" i="82"/>
  <c r="O93" i="82"/>
  <c r="L93" i="82"/>
  <c r="I93" i="82"/>
  <c r="F93" i="82"/>
  <c r="O92" i="82"/>
  <c r="L92" i="82"/>
  <c r="I92" i="82"/>
  <c r="F92" i="82"/>
  <c r="O91" i="82"/>
  <c r="L91" i="82"/>
  <c r="I91" i="82"/>
  <c r="F91" i="82"/>
  <c r="C91" i="82" s="1"/>
  <c r="O90" i="82"/>
  <c r="L90" i="82"/>
  <c r="I90" i="82"/>
  <c r="F90" i="82"/>
  <c r="N89" i="82"/>
  <c r="M89" i="82"/>
  <c r="K89" i="82"/>
  <c r="J89" i="82"/>
  <c r="H89" i="82"/>
  <c r="G89" i="82"/>
  <c r="E89" i="82"/>
  <c r="D89" i="82"/>
  <c r="O88" i="82"/>
  <c r="L88" i="82"/>
  <c r="I88" i="82"/>
  <c r="F88" i="82"/>
  <c r="C88" i="82" s="1"/>
  <c r="O87" i="82"/>
  <c r="L87" i="82"/>
  <c r="I87" i="82"/>
  <c r="F87" i="82"/>
  <c r="C87" i="82" s="1"/>
  <c r="O86" i="82"/>
  <c r="L86" i="82"/>
  <c r="I86" i="82"/>
  <c r="F86" i="82"/>
  <c r="O85" i="82"/>
  <c r="L85" i="82"/>
  <c r="I85" i="82"/>
  <c r="I84" i="82" s="1"/>
  <c r="F85" i="82"/>
  <c r="N84" i="82"/>
  <c r="M84" i="82"/>
  <c r="M83" i="82" s="1"/>
  <c r="K84" i="82"/>
  <c r="J84" i="82"/>
  <c r="H84" i="82"/>
  <c r="G84" i="82"/>
  <c r="E84" i="82"/>
  <c r="D84" i="82"/>
  <c r="O82" i="82"/>
  <c r="L82" i="82"/>
  <c r="I82" i="82"/>
  <c r="F82" i="82"/>
  <c r="O81" i="82"/>
  <c r="O80" i="82" s="1"/>
  <c r="L81" i="82"/>
  <c r="L80" i="82" s="1"/>
  <c r="I81" i="82"/>
  <c r="I80" i="82" s="1"/>
  <c r="F81" i="82"/>
  <c r="F80" i="82" s="1"/>
  <c r="N80" i="82"/>
  <c r="M80" i="82"/>
  <c r="K80" i="82"/>
  <c r="J80" i="82"/>
  <c r="H80" i="82"/>
  <c r="G80" i="82"/>
  <c r="E80" i="82"/>
  <c r="D80" i="82"/>
  <c r="O79" i="82"/>
  <c r="L79" i="82"/>
  <c r="I79" i="82"/>
  <c r="F79" i="82"/>
  <c r="O78" i="82"/>
  <c r="L78" i="82"/>
  <c r="I78" i="82"/>
  <c r="F78" i="82"/>
  <c r="N77" i="82"/>
  <c r="M77" i="82"/>
  <c r="K77" i="82"/>
  <c r="K76" i="82" s="1"/>
  <c r="J77" i="82"/>
  <c r="I77" i="82"/>
  <c r="I76" i="82" s="1"/>
  <c r="H77" i="82"/>
  <c r="G77" i="82"/>
  <c r="G76" i="82" s="1"/>
  <c r="E77" i="82"/>
  <c r="D77" i="82"/>
  <c r="D76" i="82" s="1"/>
  <c r="O74" i="82"/>
  <c r="L74" i="82"/>
  <c r="I74" i="82"/>
  <c r="F74" i="82"/>
  <c r="O73" i="82"/>
  <c r="L73" i="82"/>
  <c r="I73" i="82"/>
  <c r="F73" i="82"/>
  <c r="D73" i="82"/>
  <c r="O72" i="82"/>
  <c r="L72" i="82"/>
  <c r="I72" i="82"/>
  <c r="F72" i="82"/>
  <c r="O71" i="82"/>
  <c r="L71" i="82"/>
  <c r="I71" i="82"/>
  <c r="C71" i="82" s="1"/>
  <c r="F71" i="82"/>
  <c r="O70" i="82"/>
  <c r="L70" i="82"/>
  <c r="I70" i="82"/>
  <c r="F70" i="82"/>
  <c r="N69" i="82"/>
  <c r="N67" i="82" s="1"/>
  <c r="M69" i="82"/>
  <c r="M67" i="82" s="1"/>
  <c r="K69" i="82"/>
  <c r="K67" i="82" s="1"/>
  <c r="J69" i="82"/>
  <c r="J67" i="82" s="1"/>
  <c r="H69" i="82"/>
  <c r="H67" i="82" s="1"/>
  <c r="G69" i="82"/>
  <c r="E69" i="82"/>
  <c r="E67" i="82" s="1"/>
  <c r="D69" i="82"/>
  <c r="O68" i="82"/>
  <c r="L68" i="82"/>
  <c r="I68" i="82"/>
  <c r="D68" i="82"/>
  <c r="F68" i="82" s="1"/>
  <c r="G67" i="82"/>
  <c r="O66" i="82"/>
  <c r="L66" i="82"/>
  <c r="I66" i="82"/>
  <c r="F66" i="82"/>
  <c r="O65" i="82"/>
  <c r="L65" i="82"/>
  <c r="I65" i="82"/>
  <c r="F65" i="82"/>
  <c r="O64" i="82"/>
  <c r="L64" i="82"/>
  <c r="I64" i="82"/>
  <c r="F64" i="82"/>
  <c r="O63" i="82"/>
  <c r="L63" i="82"/>
  <c r="I63" i="82"/>
  <c r="F63" i="82"/>
  <c r="O62" i="82"/>
  <c r="L62" i="82"/>
  <c r="I62" i="82"/>
  <c r="F62" i="82"/>
  <c r="O61" i="82"/>
  <c r="L61" i="82"/>
  <c r="I61" i="82"/>
  <c r="F61" i="82"/>
  <c r="O60" i="82"/>
  <c r="L60" i="82"/>
  <c r="I60" i="82"/>
  <c r="F60" i="82"/>
  <c r="O59" i="82"/>
  <c r="L59" i="82"/>
  <c r="I59" i="82"/>
  <c r="F59" i="82"/>
  <c r="N58" i="82"/>
  <c r="M58" i="82"/>
  <c r="K58" i="82"/>
  <c r="J58" i="82"/>
  <c r="H58" i="82"/>
  <c r="G58" i="82"/>
  <c r="E58" i="82"/>
  <c r="D58" i="82"/>
  <c r="O57" i="82"/>
  <c r="L57" i="82"/>
  <c r="I57" i="82"/>
  <c r="D57" i="82"/>
  <c r="O56" i="82"/>
  <c r="L56" i="82"/>
  <c r="I56" i="82"/>
  <c r="F56" i="82"/>
  <c r="N55" i="82"/>
  <c r="N54" i="82" s="1"/>
  <c r="N53" i="82" s="1"/>
  <c r="M55" i="82"/>
  <c r="M54" i="82" s="1"/>
  <c r="K55" i="82"/>
  <c r="J55" i="82"/>
  <c r="J54" i="82" s="1"/>
  <c r="J53" i="82" s="1"/>
  <c r="I55" i="82"/>
  <c r="H55" i="82"/>
  <c r="G55" i="82"/>
  <c r="G54" i="82" s="1"/>
  <c r="G53" i="82" s="1"/>
  <c r="E55" i="82"/>
  <c r="K54" i="82"/>
  <c r="O47" i="82"/>
  <c r="C47" i="82" s="1"/>
  <c r="O46" i="82"/>
  <c r="N45" i="82"/>
  <c r="M45" i="82"/>
  <c r="L44" i="82"/>
  <c r="I44" i="82"/>
  <c r="F44" i="82"/>
  <c r="F43" i="82" s="1"/>
  <c r="K43" i="82"/>
  <c r="J43" i="82"/>
  <c r="I43" i="82"/>
  <c r="H43" i="82"/>
  <c r="G43" i="82"/>
  <c r="E43" i="82"/>
  <c r="D43" i="82"/>
  <c r="F42" i="82"/>
  <c r="C42" i="82" s="1"/>
  <c r="E41" i="82"/>
  <c r="D41" i="82"/>
  <c r="L40" i="82"/>
  <c r="C40" i="82" s="1"/>
  <c r="L39" i="82"/>
  <c r="C39" i="82" s="1"/>
  <c r="L38" i="82"/>
  <c r="C38" i="82" s="1"/>
  <c r="L37" i="82"/>
  <c r="C37" i="82" s="1"/>
  <c r="K36" i="82"/>
  <c r="J36" i="82"/>
  <c r="L35" i="82"/>
  <c r="C35" i="82" s="1"/>
  <c r="L34" i="82"/>
  <c r="K33" i="82"/>
  <c r="J33" i="82"/>
  <c r="L32" i="82"/>
  <c r="K31" i="82"/>
  <c r="J31" i="82"/>
  <c r="L30" i="82"/>
  <c r="C30" i="82" s="1"/>
  <c r="L29" i="82"/>
  <c r="C29" i="82" s="1"/>
  <c r="L28" i="82"/>
  <c r="C28" i="82" s="1"/>
  <c r="K27" i="82"/>
  <c r="J27" i="82"/>
  <c r="F25" i="82"/>
  <c r="C25" i="82" s="1"/>
  <c r="I24" i="82"/>
  <c r="D24" i="82"/>
  <c r="F24" i="82" s="1"/>
  <c r="O23" i="82"/>
  <c r="L23" i="82"/>
  <c r="I23" i="82"/>
  <c r="F23" i="82"/>
  <c r="O22" i="82"/>
  <c r="O21" i="82" s="1"/>
  <c r="L22" i="82"/>
  <c r="L21" i="82" s="1"/>
  <c r="L292" i="82" s="1"/>
  <c r="I22" i="82"/>
  <c r="I21" i="82" s="1"/>
  <c r="F22" i="82"/>
  <c r="N21" i="82"/>
  <c r="N292" i="82" s="1"/>
  <c r="N291" i="82" s="1"/>
  <c r="M21" i="82"/>
  <c r="M292" i="82" s="1"/>
  <c r="M291" i="82" s="1"/>
  <c r="K21" i="82"/>
  <c r="J21" i="82"/>
  <c r="J292" i="82" s="1"/>
  <c r="J291" i="82" s="1"/>
  <c r="H21" i="82"/>
  <c r="H292" i="82" s="1"/>
  <c r="H291" i="82" s="1"/>
  <c r="G21" i="82"/>
  <c r="G292" i="82" s="1"/>
  <c r="G291" i="82" s="1"/>
  <c r="F21" i="82"/>
  <c r="F292" i="82" s="1"/>
  <c r="E21" i="82"/>
  <c r="E292" i="82" s="1"/>
  <c r="E291" i="82" s="1"/>
  <c r="D21" i="82"/>
  <c r="D292" i="82" s="1"/>
  <c r="D291" i="82" s="1"/>
  <c r="H20" i="82"/>
  <c r="E20" i="82"/>
  <c r="O301" i="81"/>
  <c r="L301" i="81"/>
  <c r="I301" i="81"/>
  <c r="F301" i="81"/>
  <c r="O300" i="81"/>
  <c r="L300" i="81"/>
  <c r="I300" i="81"/>
  <c r="F300" i="81"/>
  <c r="O299" i="81"/>
  <c r="L299" i="81"/>
  <c r="I299" i="81"/>
  <c r="F299" i="81"/>
  <c r="O298" i="81"/>
  <c r="L298" i="81"/>
  <c r="I298" i="81"/>
  <c r="F298" i="81"/>
  <c r="O297" i="81"/>
  <c r="L297" i="81"/>
  <c r="I297" i="81"/>
  <c r="F297" i="81"/>
  <c r="O296" i="81"/>
  <c r="L296" i="81"/>
  <c r="I296" i="81"/>
  <c r="F296" i="81"/>
  <c r="O295" i="81"/>
  <c r="L295" i="81"/>
  <c r="I295" i="81"/>
  <c r="F295" i="81"/>
  <c r="O294" i="81"/>
  <c r="L294" i="81"/>
  <c r="L293" i="81" s="1"/>
  <c r="I294" i="81"/>
  <c r="F294" i="81"/>
  <c r="N293" i="81"/>
  <c r="M293" i="81"/>
  <c r="K293" i="81"/>
  <c r="J293" i="81"/>
  <c r="H293" i="81"/>
  <c r="G293" i="81"/>
  <c r="E293" i="81"/>
  <c r="D293" i="81"/>
  <c r="O288" i="81"/>
  <c r="L288" i="81"/>
  <c r="I288" i="81"/>
  <c r="F288" i="81"/>
  <c r="O287" i="81"/>
  <c r="L287" i="81"/>
  <c r="L286" i="81" s="1"/>
  <c r="I287" i="81"/>
  <c r="F287" i="81"/>
  <c r="O286" i="81"/>
  <c r="N286" i="81"/>
  <c r="M286" i="81"/>
  <c r="K286" i="81"/>
  <c r="J286" i="81"/>
  <c r="H286" i="81"/>
  <c r="G286" i="81"/>
  <c r="F286" i="81"/>
  <c r="E286" i="81"/>
  <c r="D286" i="81"/>
  <c r="O285" i="81"/>
  <c r="L285" i="81"/>
  <c r="L284" i="81" s="1"/>
  <c r="L283" i="81" s="1"/>
  <c r="I285" i="81"/>
  <c r="F285" i="81"/>
  <c r="O284" i="81"/>
  <c r="N284" i="81"/>
  <c r="N283" i="81" s="1"/>
  <c r="M284" i="81"/>
  <c r="M283" i="81" s="1"/>
  <c r="K284" i="81"/>
  <c r="J284" i="81"/>
  <c r="J283" i="81" s="1"/>
  <c r="I284" i="81"/>
  <c r="I283" i="81" s="1"/>
  <c r="H284" i="81"/>
  <c r="H283" i="81" s="1"/>
  <c r="G284" i="81"/>
  <c r="G283" i="81" s="1"/>
  <c r="E284" i="81"/>
  <c r="E283" i="81" s="1"/>
  <c r="D284" i="81"/>
  <c r="O283" i="81"/>
  <c r="K283" i="81"/>
  <c r="D283" i="81"/>
  <c r="O282" i="81"/>
  <c r="O281" i="81" s="1"/>
  <c r="L282" i="81"/>
  <c r="L281" i="81" s="1"/>
  <c r="I282" i="81"/>
  <c r="I281" i="81" s="1"/>
  <c r="F282" i="81"/>
  <c r="N281" i="81"/>
  <c r="M281" i="81"/>
  <c r="K281" i="81"/>
  <c r="J281" i="81"/>
  <c r="H281" i="81"/>
  <c r="G281" i="81"/>
  <c r="E281" i="81"/>
  <c r="D281" i="81"/>
  <c r="O280" i="81"/>
  <c r="L280" i="81"/>
  <c r="I280" i="81"/>
  <c r="F280" i="81"/>
  <c r="O279" i="81"/>
  <c r="L279" i="81"/>
  <c r="I279" i="81"/>
  <c r="F279" i="81"/>
  <c r="O278" i="81"/>
  <c r="L278" i="81"/>
  <c r="I278" i="81"/>
  <c r="F278" i="81"/>
  <c r="O277" i="81"/>
  <c r="L277" i="81"/>
  <c r="I277" i="81"/>
  <c r="I276" i="81" s="1"/>
  <c r="F277" i="81"/>
  <c r="N276" i="81"/>
  <c r="M276" i="81"/>
  <c r="K276" i="81"/>
  <c r="J276" i="81"/>
  <c r="H276" i="81"/>
  <c r="G276" i="81"/>
  <c r="E276" i="81"/>
  <c r="D276" i="81"/>
  <c r="O275" i="81"/>
  <c r="L275" i="81"/>
  <c r="I275" i="81"/>
  <c r="F275" i="81"/>
  <c r="O274" i="81"/>
  <c r="L274" i="81"/>
  <c r="I274" i="81"/>
  <c r="F274" i="81"/>
  <c r="O273" i="81"/>
  <c r="L273" i="81"/>
  <c r="I273" i="81"/>
  <c r="I272" i="81" s="1"/>
  <c r="F273" i="81"/>
  <c r="F272" i="81" s="1"/>
  <c r="N272" i="81"/>
  <c r="N270" i="81" s="1"/>
  <c r="N269" i="81" s="1"/>
  <c r="M272" i="81"/>
  <c r="M270" i="81" s="1"/>
  <c r="M269" i="81" s="1"/>
  <c r="L272" i="81"/>
  <c r="K272" i="81"/>
  <c r="J272" i="81"/>
  <c r="H272" i="81"/>
  <c r="G272" i="81"/>
  <c r="G270" i="81" s="1"/>
  <c r="G269" i="81" s="1"/>
  <c r="E272" i="81"/>
  <c r="D272" i="81"/>
  <c r="D270" i="81" s="1"/>
  <c r="D269" i="81" s="1"/>
  <c r="O271" i="81"/>
  <c r="L271" i="81"/>
  <c r="I271" i="81"/>
  <c r="F271" i="81"/>
  <c r="C271" i="81" s="1"/>
  <c r="K270" i="81"/>
  <c r="K269" i="81" s="1"/>
  <c r="H270" i="81"/>
  <c r="O268" i="81"/>
  <c r="L268" i="81"/>
  <c r="I268" i="81"/>
  <c r="F268" i="81"/>
  <c r="O267" i="81"/>
  <c r="L267" i="81"/>
  <c r="I267" i="81"/>
  <c r="F267" i="81"/>
  <c r="O266" i="81"/>
  <c r="L266" i="81"/>
  <c r="I266" i="81"/>
  <c r="F266" i="81"/>
  <c r="O265" i="81"/>
  <c r="L265" i="81"/>
  <c r="I265" i="81"/>
  <c r="I264" i="81" s="1"/>
  <c r="F265" i="81"/>
  <c r="N264" i="81"/>
  <c r="M264" i="81"/>
  <c r="K264" i="81"/>
  <c r="J264" i="81"/>
  <c r="H264" i="81"/>
  <c r="G264" i="81"/>
  <c r="F264" i="81"/>
  <c r="E264" i="81"/>
  <c r="D264" i="81"/>
  <c r="O263" i="81"/>
  <c r="L263" i="81"/>
  <c r="I263" i="81"/>
  <c r="F263" i="81"/>
  <c r="O262" i="81"/>
  <c r="L262" i="81"/>
  <c r="I262" i="81"/>
  <c r="F262" i="81"/>
  <c r="O261" i="81"/>
  <c r="L261" i="81"/>
  <c r="I261" i="81"/>
  <c r="I260" i="81" s="1"/>
  <c r="F261" i="81"/>
  <c r="N260" i="81"/>
  <c r="M260" i="81"/>
  <c r="K260" i="81"/>
  <c r="J260" i="81"/>
  <c r="H260" i="81"/>
  <c r="G260" i="81"/>
  <c r="G259" i="81" s="1"/>
  <c r="E260" i="81"/>
  <c r="E259" i="81" s="1"/>
  <c r="D260" i="81"/>
  <c r="N259" i="81"/>
  <c r="D259" i="81"/>
  <c r="O258" i="81"/>
  <c r="L258" i="81"/>
  <c r="I258" i="81"/>
  <c r="F258" i="81"/>
  <c r="C258" i="81" s="1"/>
  <c r="O257" i="81"/>
  <c r="L257" i="81"/>
  <c r="I257" i="81"/>
  <c r="F257" i="81"/>
  <c r="O256" i="81"/>
  <c r="L256" i="81"/>
  <c r="I256" i="81"/>
  <c r="F256" i="81"/>
  <c r="O255" i="81"/>
  <c r="L255" i="81"/>
  <c r="I255" i="81"/>
  <c r="F255" i="81"/>
  <c r="C255" i="81" s="1"/>
  <c r="O254" i="81"/>
  <c r="L254" i="81"/>
  <c r="I254" i="81"/>
  <c r="F254" i="81"/>
  <c r="O253" i="81"/>
  <c r="L253" i="81"/>
  <c r="I253" i="81"/>
  <c r="I252" i="81" s="1"/>
  <c r="I251" i="81" s="1"/>
  <c r="F253" i="81"/>
  <c r="N252" i="81"/>
  <c r="M252" i="81"/>
  <c r="M251" i="81" s="1"/>
  <c r="K252" i="81"/>
  <c r="K251" i="81" s="1"/>
  <c r="J252" i="81"/>
  <c r="J251" i="81" s="1"/>
  <c r="H252" i="81"/>
  <c r="G252" i="81"/>
  <c r="G251" i="81" s="1"/>
  <c r="E252" i="81"/>
  <c r="E251" i="81" s="1"/>
  <c r="D252" i="81"/>
  <c r="D251" i="81" s="1"/>
  <c r="N251" i="81"/>
  <c r="H251" i="81"/>
  <c r="O250" i="81"/>
  <c r="L250" i="81"/>
  <c r="I250" i="81"/>
  <c r="F250" i="81"/>
  <c r="O249" i="81"/>
  <c r="L249" i="81"/>
  <c r="I249" i="81"/>
  <c r="F249" i="81"/>
  <c r="O248" i="81"/>
  <c r="L248" i="81"/>
  <c r="I248" i="81"/>
  <c r="F248" i="81"/>
  <c r="O247" i="81"/>
  <c r="L247" i="81"/>
  <c r="I247" i="81"/>
  <c r="F247" i="81"/>
  <c r="O246" i="81"/>
  <c r="N246" i="81"/>
  <c r="M246" i="81"/>
  <c r="K246" i="81"/>
  <c r="J246" i="81"/>
  <c r="H246" i="81"/>
  <c r="G246" i="81"/>
  <c r="E246" i="81"/>
  <c r="D246" i="81"/>
  <c r="O245" i="81"/>
  <c r="L245" i="81"/>
  <c r="I245" i="81"/>
  <c r="F245" i="81"/>
  <c r="O244" i="81"/>
  <c r="L244" i="81"/>
  <c r="I244" i="81"/>
  <c r="F244" i="81"/>
  <c r="O243" i="81"/>
  <c r="L243" i="81"/>
  <c r="I243" i="81"/>
  <c r="F243" i="81"/>
  <c r="O242" i="81"/>
  <c r="L242" i="81"/>
  <c r="I242" i="81"/>
  <c r="F242" i="81"/>
  <c r="C242" i="81" s="1"/>
  <c r="O241" i="81"/>
  <c r="L241" i="81"/>
  <c r="I241" i="81"/>
  <c r="F241" i="81"/>
  <c r="O240" i="81"/>
  <c r="L240" i="81"/>
  <c r="I240" i="81"/>
  <c r="F240" i="81"/>
  <c r="O239" i="81"/>
  <c r="L239" i="81"/>
  <c r="I239" i="81"/>
  <c r="F239" i="81"/>
  <c r="N238" i="81"/>
  <c r="M238" i="81"/>
  <c r="K238" i="81"/>
  <c r="J238" i="81"/>
  <c r="H238" i="81"/>
  <c r="G238" i="81"/>
  <c r="E238" i="81"/>
  <c r="D238" i="81"/>
  <c r="O237" i="81"/>
  <c r="L237" i="81"/>
  <c r="I237" i="81"/>
  <c r="F237" i="81"/>
  <c r="O236" i="81"/>
  <c r="L236" i="81"/>
  <c r="L235" i="81" s="1"/>
  <c r="I236" i="81"/>
  <c r="I235" i="81" s="1"/>
  <c r="F236" i="81"/>
  <c r="O235" i="81"/>
  <c r="N235" i="81"/>
  <c r="M235" i="81"/>
  <c r="K235" i="81"/>
  <c r="J235" i="81"/>
  <c r="H235" i="81"/>
  <c r="G235" i="81"/>
  <c r="F235" i="81"/>
  <c r="C235" i="81" s="1"/>
  <c r="E235" i="81"/>
  <c r="D235" i="81"/>
  <c r="O234" i="81"/>
  <c r="O233" i="81" s="1"/>
  <c r="L234" i="81"/>
  <c r="L233" i="81" s="1"/>
  <c r="I234" i="81"/>
  <c r="F234" i="81"/>
  <c r="F233" i="81" s="1"/>
  <c r="N233" i="81"/>
  <c r="M233" i="81"/>
  <c r="M231" i="81" s="1"/>
  <c r="K233" i="81"/>
  <c r="J233" i="81"/>
  <c r="I233" i="81"/>
  <c r="H233" i="81"/>
  <c r="G233" i="81"/>
  <c r="E233" i="81"/>
  <c r="E231" i="81" s="1"/>
  <c r="E230" i="81" s="1"/>
  <c r="D233" i="81"/>
  <c r="O232" i="81"/>
  <c r="L232" i="81"/>
  <c r="I232" i="81"/>
  <c r="F232" i="81"/>
  <c r="N231" i="81"/>
  <c r="N230" i="81" s="1"/>
  <c r="O229" i="81"/>
  <c r="L229" i="81"/>
  <c r="I229" i="81"/>
  <c r="F229" i="81"/>
  <c r="O228" i="81"/>
  <c r="L228" i="81"/>
  <c r="L227" i="81" s="1"/>
  <c r="I228" i="81"/>
  <c r="F228" i="81"/>
  <c r="O227" i="81"/>
  <c r="N227" i="81"/>
  <c r="M227" i="81"/>
  <c r="K227" i="81"/>
  <c r="J227" i="81"/>
  <c r="H227" i="81"/>
  <c r="G227" i="81"/>
  <c r="F227" i="81"/>
  <c r="E227" i="81"/>
  <c r="D227" i="81"/>
  <c r="O226" i="81"/>
  <c r="L226" i="81"/>
  <c r="I226" i="81"/>
  <c r="F226" i="81"/>
  <c r="C226" i="81" s="1"/>
  <c r="O225" i="81"/>
  <c r="L225" i="81"/>
  <c r="I225" i="81"/>
  <c r="F225" i="81"/>
  <c r="O224" i="81"/>
  <c r="L224" i="81"/>
  <c r="I224" i="81"/>
  <c r="F224" i="81"/>
  <c r="O223" i="81"/>
  <c r="L223" i="81"/>
  <c r="I223" i="81"/>
  <c r="F223" i="81"/>
  <c r="O222" i="81"/>
  <c r="L222" i="81"/>
  <c r="I222" i="81"/>
  <c r="F222" i="81"/>
  <c r="O221" i="81"/>
  <c r="L221" i="81"/>
  <c r="I221" i="81"/>
  <c r="F221" i="81"/>
  <c r="O220" i="81"/>
  <c r="L220" i="81"/>
  <c r="I220" i="81"/>
  <c r="F220" i="81"/>
  <c r="O219" i="81"/>
  <c r="L219" i="81"/>
  <c r="I219" i="81"/>
  <c r="F219" i="81"/>
  <c r="O218" i="81"/>
  <c r="L218" i="81"/>
  <c r="I218" i="81"/>
  <c r="F218" i="81"/>
  <c r="O217" i="81"/>
  <c r="L217" i="81"/>
  <c r="I217" i="81"/>
  <c r="F217" i="81"/>
  <c r="N216" i="81"/>
  <c r="M216" i="81"/>
  <c r="K216" i="81"/>
  <c r="J216" i="81"/>
  <c r="H216" i="81"/>
  <c r="G216" i="81"/>
  <c r="F216" i="81"/>
  <c r="E216" i="81"/>
  <c r="D216" i="81"/>
  <c r="O215" i="81"/>
  <c r="L215" i="81"/>
  <c r="I215" i="81"/>
  <c r="F215" i="81"/>
  <c r="O214" i="81"/>
  <c r="L214" i="81"/>
  <c r="I214" i="81"/>
  <c r="F214" i="81"/>
  <c r="O213" i="81"/>
  <c r="L213" i="81"/>
  <c r="I213" i="81"/>
  <c r="F213" i="81"/>
  <c r="O212" i="81"/>
  <c r="L212" i="81"/>
  <c r="I212" i="81"/>
  <c r="F212" i="81"/>
  <c r="O211" i="81"/>
  <c r="L211" i="81"/>
  <c r="I211" i="81"/>
  <c r="F211" i="81"/>
  <c r="O210" i="81"/>
  <c r="L210" i="81"/>
  <c r="I210" i="81"/>
  <c r="F210" i="81"/>
  <c r="O209" i="81"/>
  <c r="L209" i="81"/>
  <c r="I209" i="81"/>
  <c r="F209" i="81"/>
  <c r="O208" i="81"/>
  <c r="L208" i="81"/>
  <c r="I208" i="81"/>
  <c r="F208" i="81"/>
  <c r="O207" i="81"/>
  <c r="L207" i="81"/>
  <c r="I207" i="81"/>
  <c r="F207" i="81"/>
  <c r="O206" i="81"/>
  <c r="O205" i="81" s="1"/>
  <c r="L206" i="81"/>
  <c r="I206" i="81"/>
  <c r="F206" i="81"/>
  <c r="N205" i="81"/>
  <c r="M205" i="81"/>
  <c r="M204" i="81" s="1"/>
  <c r="K205" i="81"/>
  <c r="J205" i="81"/>
  <c r="H205" i="81"/>
  <c r="G205" i="81"/>
  <c r="E205" i="81"/>
  <c r="E204" i="81" s="1"/>
  <c r="D205" i="81"/>
  <c r="O203" i="81"/>
  <c r="L203" i="81"/>
  <c r="I203" i="81"/>
  <c r="F203" i="81"/>
  <c r="O202" i="81"/>
  <c r="L202" i="81"/>
  <c r="I202" i="81"/>
  <c r="F202" i="81"/>
  <c r="O201" i="81"/>
  <c r="L201" i="81"/>
  <c r="I201" i="81"/>
  <c r="F201" i="81"/>
  <c r="O200" i="81"/>
  <c r="L200" i="81"/>
  <c r="I200" i="81"/>
  <c r="F200" i="81"/>
  <c r="O199" i="81"/>
  <c r="L199" i="81"/>
  <c r="I199" i="81"/>
  <c r="F199" i="81"/>
  <c r="O198" i="81"/>
  <c r="N198" i="81"/>
  <c r="M198" i="81"/>
  <c r="M196" i="81" s="1"/>
  <c r="M195" i="81" s="1"/>
  <c r="K198" i="81"/>
  <c r="K196" i="81" s="1"/>
  <c r="J198" i="81"/>
  <c r="H198" i="81"/>
  <c r="H196" i="81" s="1"/>
  <c r="G198" i="81"/>
  <c r="G196" i="81" s="1"/>
  <c r="F198" i="81"/>
  <c r="E198" i="81"/>
  <c r="D198" i="81"/>
  <c r="D196" i="81" s="1"/>
  <c r="O197" i="81"/>
  <c r="L197" i="81"/>
  <c r="I197" i="81"/>
  <c r="F197" i="81"/>
  <c r="N196" i="81"/>
  <c r="J196" i="81"/>
  <c r="E196" i="81"/>
  <c r="O193" i="81"/>
  <c r="L193" i="81"/>
  <c r="C193" i="81" s="1"/>
  <c r="I193" i="81"/>
  <c r="I192" i="81" s="1"/>
  <c r="F193" i="81"/>
  <c r="O192" i="81"/>
  <c r="O191" i="81" s="1"/>
  <c r="N192" i="81"/>
  <c r="N191" i="81" s="1"/>
  <c r="M192" i="81"/>
  <c r="K192" i="81"/>
  <c r="K191" i="81" s="1"/>
  <c r="J192" i="81"/>
  <c r="J191" i="81" s="1"/>
  <c r="H192" i="81"/>
  <c r="H191" i="81" s="1"/>
  <c r="G192" i="81"/>
  <c r="G191" i="81" s="1"/>
  <c r="F192" i="81"/>
  <c r="F191" i="81" s="1"/>
  <c r="E192" i="81"/>
  <c r="D192" i="81"/>
  <c r="D191" i="81" s="1"/>
  <c r="M191" i="81"/>
  <c r="I191" i="81"/>
  <c r="E191" i="81"/>
  <c r="O190" i="81"/>
  <c r="L190" i="81"/>
  <c r="I190" i="81"/>
  <c r="F190" i="81"/>
  <c r="O189" i="81"/>
  <c r="O188" i="81" s="1"/>
  <c r="L189" i="81"/>
  <c r="L188" i="81" s="1"/>
  <c r="I189" i="81"/>
  <c r="I188" i="81" s="1"/>
  <c r="I187" i="81" s="1"/>
  <c r="F189" i="81"/>
  <c r="N188" i="81"/>
  <c r="N187" i="81" s="1"/>
  <c r="M188" i="81"/>
  <c r="K188" i="81"/>
  <c r="J188" i="81"/>
  <c r="J187" i="81" s="1"/>
  <c r="H188" i="81"/>
  <c r="G188" i="81"/>
  <c r="G187" i="81" s="1"/>
  <c r="F188" i="81"/>
  <c r="E188" i="81"/>
  <c r="D188" i="81"/>
  <c r="O186" i="81"/>
  <c r="L186" i="81"/>
  <c r="I186" i="81"/>
  <c r="F186" i="81"/>
  <c r="O185" i="81"/>
  <c r="L185" i="81"/>
  <c r="I185" i="81"/>
  <c r="I184" i="81" s="1"/>
  <c r="F185" i="81"/>
  <c r="O184" i="81"/>
  <c r="N184" i="81"/>
  <c r="M184" i="81"/>
  <c r="K184" i="81"/>
  <c r="J184" i="81"/>
  <c r="H184" i="81"/>
  <c r="G184" i="81"/>
  <c r="F184" i="81"/>
  <c r="E184" i="81"/>
  <c r="D184" i="81"/>
  <c r="O183" i="81"/>
  <c r="L183" i="81"/>
  <c r="I183" i="81"/>
  <c r="F183" i="81"/>
  <c r="O182" i="81"/>
  <c r="L182" i="81"/>
  <c r="I182" i="81"/>
  <c r="F182" i="81"/>
  <c r="O181" i="81"/>
  <c r="L181" i="81"/>
  <c r="I181" i="81"/>
  <c r="F181" i="81"/>
  <c r="O180" i="81"/>
  <c r="L180" i="81"/>
  <c r="L179" i="81" s="1"/>
  <c r="I180" i="81"/>
  <c r="F180" i="81"/>
  <c r="N179" i="81"/>
  <c r="M179" i="81"/>
  <c r="K179" i="81"/>
  <c r="J179" i="81"/>
  <c r="H179" i="81"/>
  <c r="G179" i="81"/>
  <c r="E179" i="81"/>
  <c r="D179" i="81"/>
  <c r="O178" i="81"/>
  <c r="L178" i="81"/>
  <c r="I178" i="81"/>
  <c r="F178" i="81"/>
  <c r="O177" i="81"/>
  <c r="L177" i="81"/>
  <c r="I177" i="81"/>
  <c r="F177" i="81"/>
  <c r="O176" i="81"/>
  <c r="L176" i="81"/>
  <c r="I176" i="81"/>
  <c r="F176" i="81"/>
  <c r="F175" i="81" s="1"/>
  <c r="N175" i="81"/>
  <c r="N174" i="81" s="1"/>
  <c r="N173" i="81" s="1"/>
  <c r="M175" i="81"/>
  <c r="K175" i="81"/>
  <c r="K174" i="81" s="1"/>
  <c r="J175" i="81"/>
  <c r="J174" i="81" s="1"/>
  <c r="J173" i="81" s="1"/>
  <c r="H175" i="81"/>
  <c r="G175" i="81"/>
  <c r="E175" i="81"/>
  <c r="E174" i="81" s="1"/>
  <c r="E173" i="81" s="1"/>
  <c r="D175" i="81"/>
  <c r="D174" i="81" s="1"/>
  <c r="K173" i="81"/>
  <c r="O172" i="81"/>
  <c r="L172" i="81"/>
  <c r="I172" i="81"/>
  <c r="F172" i="81"/>
  <c r="O171" i="81"/>
  <c r="L171" i="81"/>
  <c r="I171" i="81"/>
  <c r="F171" i="81"/>
  <c r="O170" i="81"/>
  <c r="L170" i="81"/>
  <c r="I170" i="81"/>
  <c r="F170" i="81"/>
  <c r="O169" i="81"/>
  <c r="L169" i="81"/>
  <c r="I169" i="81"/>
  <c r="F169" i="81"/>
  <c r="O168" i="81"/>
  <c r="L168" i="81"/>
  <c r="I168" i="81"/>
  <c r="F168" i="81"/>
  <c r="O167" i="81"/>
  <c r="L167" i="81"/>
  <c r="I167" i="81"/>
  <c r="F167" i="81"/>
  <c r="N166" i="81"/>
  <c r="N165" i="81" s="1"/>
  <c r="M166" i="81"/>
  <c r="M165" i="81" s="1"/>
  <c r="K166" i="81"/>
  <c r="K165" i="81" s="1"/>
  <c r="J166" i="81"/>
  <c r="J165" i="81" s="1"/>
  <c r="H166" i="81"/>
  <c r="H165" i="81" s="1"/>
  <c r="G166" i="81"/>
  <c r="E166" i="81"/>
  <c r="E165" i="81" s="1"/>
  <c r="D166" i="81"/>
  <c r="D165" i="81" s="1"/>
  <c r="G165" i="81"/>
  <c r="O164" i="81"/>
  <c r="L164" i="81"/>
  <c r="I164" i="81"/>
  <c r="F164" i="81"/>
  <c r="O163" i="81"/>
  <c r="L163" i="81"/>
  <c r="I163" i="81"/>
  <c r="F163" i="81"/>
  <c r="O162" i="81"/>
  <c r="L162" i="81"/>
  <c r="I162" i="81"/>
  <c r="F162" i="81"/>
  <c r="O161" i="81"/>
  <c r="O160" i="81" s="1"/>
  <c r="L161" i="81"/>
  <c r="L160" i="81" s="1"/>
  <c r="I161" i="81"/>
  <c r="I160" i="81" s="1"/>
  <c r="F161" i="81"/>
  <c r="C161" i="81" s="1"/>
  <c r="N160" i="81"/>
  <c r="M160" i="81"/>
  <c r="K160" i="81"/>
  <c r="J160" i="81"/>
  <c r="H160" i="81"/>
  <c r="G160" i="81"/>
  <c r="E160" i="81"/>
  <c r="D160" i="81"/>
  <c r="O159" i="81"/>
  <c r="L159" i="81"/>
  <c r="I159" i="81"/>
  <c r="F159" i="81"/>
  <c r="O158" i="81"/>
  <c r="L158" i="81"/>
  <c r="I158" i="81"/>
  <c r="F158" i="81"/>
  <c r="O157" i="81"/>
  <c r="L157" i="81"/>
  <c r="I157" i="81"/>
  <c r="F157" i="81"/>
  <c r="O156" i="81"/>
  <c r="L156" i="81"/>
  <c r="I156" i="81"/>
  <c r="F156" i="81"/>
  <c r="O155" i="81"/>
  <c r="L155" i="81"/>
  <c r="I155" i="81"/>
  <c r="F155" i="81"/>
  <c r="C155" i="81" s="1"/>
  <c r="O154" i="81"/>
  <c r="L154" i="81"/>
  <c r="I154" i="81"/>
  <c r="F154" i="81"/>
  <c r="O153" i="81"/>
  <c r="L153" i="81"/>
  <c r="I153" i="81"/>
  <c r="F153" i="81"/>
  <c r="O152" i="81"/>
  <c r="L152" i="81"/>
  <c r="I152" i="81"/>
  <c r="F152" i="81"/>
  <c r="N151" i="81"/>
  <c r="M151" i="81"/>
  <c r="K151" i="81"/>
  <c r="J151" i="81"/>
  <c r="H151" i="81"/>
  <c r="G151" i="81"/>
  <c r="E151" i="81"/>
  <c r="D151" i="81"/>
  <c r="O150" i="81"/>
  <c r="L150" i="81"/>
  <c r="I150" i="81"/>
  <c r="F150" i="81"/>
  <c r="O149" i="81"/>
  <c r="L149" i="81"/>
  <c r="I149" i="81"/>
  <c r="F149" i="81"/>
  <c r="O148" i="81"/>
  <c r="L148" i="81"/>
  <c r="I148" i="81"/>
  <c r="F148" i="81"/>
  <c r="O147" i="81"/>
  <c r="L147" i="81"/>
  <c r="I147" i="81"/>
  <c r="F147" i="81"/>
  <c r="O146" i="81"/>
  <c r="L146" i="81"/>
  <c r="I146" i="81"/>
  <c r="F146" i="81"/>
  <c r="O145" i="81"/>
  <c r="O144" i="81" s="1"/>
  <c r="L145" i="81"/>
  <c r="I145" i="81"/>
  <c r="F145" i="81"/>
  <c r="N144" i="81"/>
  <c r="M144" i="81"/>
  <c r="K144" i="81"/>
  <c r="J144" i="81"/>
  <c r="H144" i="81"/>
  <c r="G144" i="81"/>
  <c r="E144" i="81"/>
  <c r="D144" i="81"/>
  <c r="O143" i="81"/>
  <c r="L143" i="81"/>
  <c r="I143" i="81"/>
  <c r="F143" i="81"/>
  <c r="O142" i="81"/>
  <c r="L142" i="81"/>
  <c r="L141" i="81" s="1"/>
  <c r="I142" i="81"/>
  <c r="I141" i="81" s="1"/>
  <c r="F142" i="81"/>
  <c r="O141" i="81"/>
  <c r="N141" i="81"/>
  <c r="M141" i="81"/>
  <c r="K141" i="81"/>
  <c r="J141" i="81"/>
  <c r="H141" i="81"/>
  <c r="G141" i="81"/>
  <c r="F141" i="81"/>
  <c r="E141" i="81"/>
  <c r="D141" i="81"/>
  <c r="O140" i="81"/>
  <c r="L140" i="81"/>
  <c r="I140" i="81"/>
  <c r="F140" i="81"/>
  <c r="O139" i="81"/>
  <c r="L139" i="81"/>
  <c r="I139" i="81"/>
  <c r="F139" i="81"/>
  <c r="O138" i="81"/>
  <c r="L138" i="81"/>
  <c r="I138" i="81"/>
  <c r="F138" i="81"/>
  <c r="O137" i="81"/>
  <c r="L137" i="81"/>
  <c r="L136" i="81" s="1"/>
  <c r="I137" i="81"/>
  <c r="F137" i="81"/>
  <c r="F136" i="81" s="1"/>
  <c r="O136" i="81"/>
  <c r="N136" i="81"/>
  <c r="M136" i="81"/>
  <c r="K136" i="81"/>
  <c r="J136" i="81"/>
  <c r="H136" i="81"/>
  <c r="G136" i="81"/>
  <c r="E136" i="81"/>
  <c r="D136" i="81"/>
  <c r="O135" i="81"/>
  <c r="L135" i="81"/>
  <c r="I135" i="81"/>
  <c r="F135" i="81"/>
  <c r="O134" i="81"/>
  <c r="L134" i="81"/>
  <c r="I134" i="81"/>
  <c r="F134" i="81"/>
  <c r="O133" i="81"/>
  <c r="L133" i="81"/>
  <c r="I133" i="81"/>
  <c r="F133" i="81"/>
  <c r="O132" i="81"/>
  <c r="O131" i="81" s="1"/>
  <c r="L132" i="81"/>
  <c r="L131" i="81" s="1"/>
  <c r="I132" i="81"/>
  <c r="I131" i="81" s="1"/>
  <c r="F132" i="81"/>
  <c r="N131" i="81"/>
  <c r="N130" i="81" s="1"/>
  <c r="M131" i="81"/>
  <c r="K131" i="81"/>
  <c r="J131" i="81"/>
  <c r="J130" i="81" s="1"/>
  <c r="H131" i="81"/>
  <c r="G131" i="81"/>
  <c r="E131" i="81"/>
  <c r="E130" i="81" s="1"/>
  <c r="D131" i="81"/>
  <c r="D130" i="81" s="1"/>
  <c r="O129" i="81"/>
  <c r="L129" i="81"/>
  <c r="L128" i="81" s="1"/>
  <c r="I129" i="81"/>
  <c r="I128" i="81" s="1"/>
  <c r="F129" i="81"/>
  <c r="F128" i="81" s="1"/>
  <c r="O128" i="81"/>
  <c r="N128" i="81"/>
  <c r="M128" i="81"/>
  <c r="K128" i="81"/>
  <c r="J128" i="81"/>
  <c r="H128" i="81"/>
  <c r="G128" i="81"/>
  <c r="E128" i="81"/>
  <c r="D128" i="81"/>
  <c r="O127" i="81"/>
  <c r="L127" i="81"/>
  <c r="I127" i="81"/>
  <c r="F127" i="81"/>
  <c r="O126" i="81"/>
  <c r="L126" i="81"/>
  <c r="I126" i="81"/>
  <c r="F126" i="81"/>
  <c r="O125" i="81"/>
  <c r="L125" i="81"/>
  <c r="I125" i="81"/>
  <c r="F125" i="81"/>
  <c r="O124" i="81"/>
  <c r="L124" i="81"/>
  <c r="I124" i="81"/>
  <c r="F124" i="81"/>
  <c r="O123" i="81"/>
  <c r="L123" i="81"/>
  <c r="L122" i="81" s="1"/>
  <c r="I123" i="81"/>
  <c r="I122" i="81" s="1"/>
  <c r="F123" i="81"/>
  <c r="N122" i="81"/>
  <c r="M122" i="81"/>
  <c r="K122" i="81"/>
  <c r="J122" i="81"/>
  <c r="H122" i="81"/>
  <c r="G122" i="81"/>
  <c r="E122" i="81"/>
  <c r="D122" i="81"/>
  <c r="O121" i="81"/>
  <c r="L121" i="81"/>
  <c r="I121" i="81"/>
  <c r="F121" i="81"/>
  <c r="O120" i="81"/>
  <c r="L120" i="81"/>
  <c r="I120" i="81"/>
  <c r="F120" i="81"/>
  <c r="O119" i="81"/>
  <c r="L119" i="81"/>
  <c r="I119" i="81"/>
  <c r="F119" i="81"/>
  <c r="O118" i="81"/>
  <c r="L118" i="81"/>
  <c r="I118" i="81"/>
  <c r="C118" i="81" s="1"/>
  <c r="F118" i="81"/>
  <c r="O117" i="81"/>
  <c r="L117" i="81"/>
  <c r="I117" i="81"/>
  <c r="I116" i="81" s="1"/>
  <c r="F117" i="81"/>
  <c r="F116" i="81" s="1"/>
  <c r="N116" i="81"/>
  <c r="M116" i="81"/>
  <c r="K116" i="81"/>
  <c r="J116" i="81"/>
  <c r="H116" i="81"/>
  <c r="G116" i="81"/>
  <c r="E116" i="81"/>
  <c r="D116" i="81"/>
  <c r="O115" i="81"/>
  <c r="L115" i="81"/>
  <c r="I115" i="81"/>
  <c r="F115" i="81"/>
  <c r="O114" i="81"/>
  <c r="L114" i="81"/>
  <c r="I114" i="81"/>
  <c r="F114" i="81"/>
  <c r="O113" i="81"/>
  <c r="L113" i="81"/>
  <c r="L112" i="81" s="1"/>
  <c r="I113" i="81"/>
  <c r="I112" i="81" s="1"/>
  <c r="F113" i="81"/>
  <c r="F112" i="81" s="1"/>
  <c r="N112" i="81"/>
  <c r="M112" i="81"/>
  <c r="K112" i="81"/>
  <c r="J112" i="81"/>
  <c r="H112" i="81"/>
  <c r="G112" i="81"/>
  <c r="E112" i="81"/>
  <c r="D112" i="81"/>
  <c r="O111" i="81"/>
  <c r="L111" i="81"/>
  <c r="I111" i="81"/>
  <c r="F111" i="81"/>
  <c r="O110" i="81"/>
  <c r="L110" i="81"/>
  <c r="I110" i="81"/>
  <c r="F110" i="81"/>
  <c r="O109" i="81"/>
  <c r="L109" i="81"/>
  <c r="I109" i="81"/>
  <c r="F109" i="81"/>
  <c r="O108" i="81"/>
  <c r="L108" i="81"/>
  <c r="I108" i="81"/>
  <c r="F108" i="81"/>
  <c r="O107" i="81"/>
  <c r="L107" i="81"/>
  <c r="I107" i="81"/>
  <c r="F107" i="81"/>
  <c r="O106" i="81"/>
  <c r="L106" i="81"/>
  <c r="I106" i="81"/>
  <c r="F106" i="81"/>
  <c r="O105" i="81"/>
  <c r="L105" i="81"/>
  <c r="I105" i="81"/>
  <c r="F105" i="81"/>
  <c r="O104" i="81"/>
  <c r="L104" i="81"/>
  <c r="I104" i="81"/>
  <c r="I103" i="81" s="1"/>
  <c r="F104" i="81"/>
  <c r="N103" i="81"/>
  <c r="M103" i="81"/>
  <c r="K103" i="81"/>
  <c r="J103" i="81"/>
  <c r="H103" i="81"/>
  <c r="G103" i="81"/>
  <c r="F103" i="81"/>
  <c r="E103" i="81"/>
  <c r="D103" i="81"/>
  <c r="O102" i="81"/>
  <c r="L102" i="81"/>
  <c r="I102" i="81"/>
  <c r="F102" i="81"/>
  <c r="O101" i="81"/>
  <c r="L101" i="81"/>
  <c r="I101" i="81"/>
  <c r="F101" i="81"/>
  <c r="O100" i="81"/>
  <c r="L100" i="81"/>
  <c r="I100" i="81"/>
  <c r="F100" i="81"/>
  <c r="O99" i="81"/>
  <c r="L99" i="81"/>
  <c r="I99" i="81"/>
  <c r="F99" i="81"/>
  <c r="O98" i="81"/>
  <c r="L98" i="81"/>
  <c r="I98" i="81"/>
  <c r="F98" i="81"/>
  <c r="O97" i="81"/>
  <c r="L97" i="81"/>
  <c r="I97" i="81"/>
  <c r="F97" i="81"/>
  <c r="O96" i="81"/>
  <c r="L96" i="81"/>
  <c r="I96" i="81"/>
  <c r="F96" i="81"/>
  <c r="F95" i="81" s="1"/>
  <c r="N95" i="81"/>
  <c r="M95" i="81"/>
  <c r="K95" i="81"/>
  <c r="J95" i="81"/>
  <c r="H95" i="81"/>
  <c r="G95" i="81"/>
  <c r="E95" i="81"/>
  <c r="D95" i="81"/>
  <c r="O94" i="81"/>
  <c r="L94" i="81"/>
  <c r="I94" i="81"/>
  <c r="F94" i="81"/>
  <c r="O93" i="81"/>
  <c r="L93" i="81"/>
  <c r="I93" i="81"/>
  <c r="F93" i="81"/>
  <c r="O92" i="81"/>
  <c r="L92" i="81"/>
  <c r="I92" i="81"/>
  <c r="F92" i="81"/>
  <c r="O91" i="81"/>
  <c r="L91" i="81"/>
  <c r="I91" i="81"/>
  <c r="F91" i="81"/>
  <c r="O90" i="81"/>
  <c r="O89" i="81" s="1"/>
  <c r="L90" i="81"/>
  <c r="L89" i="81" s="1"/>
  <c r="I90" i="81"/>
  <c r="F90" i="81"/>
  <c r="N89" i="81"/>
  <c r="M89" i="81"/>
  <c r="K89" i="81"/>
  <c r="J89" i="81"/>
  <c r="H89" i="81"/>
  <c r="G89" i="81"/>
  <c r="E89" i="81"/>
  <c r="D89" i="81"/>
  <c r="O88" i="81"/>
  <c r="L88" i="81"/>
  <c r="I88" i="81"/>
  <c r="F88" i="81"/>
  <c r="O87" i="81"/>
  <c r="L87" i="81"/>
  <c r="I87" i="81"/>
  <c r="F87" i="81"/>
  <c r="O86" i="81"/>
  <c r="L86" i="81"/>
  <c r="I86" i="81"/>
  <c r="F86" i="81"/>
  <c r="O85" i="81"/>
  <c r="L85" i="81"/>
  <c r="L84" i="81" s="1"/>
  <c r="I85" i="81"/>
  <c r="I84" i="81" s="1"/>
  <c r="F85" i="81"/>
  <c r="N84" i="81"/>
  <c r="M84" i="81"/>
  <c r="M83" i="81" s="1"/>
  <c r="K84" i="81"/>
  <c r="K83" i="81" s="1"/>
  <c r="J84" i="81"/>
  <c r="H84" i="81"/>
  <c r="G84" i="81"/>
  <c r="G83" i="81" s="1"/>
  <c r="E84" i="81"/>
  <c r="D84" i="81"/>
  <c r="J83" i="81"/>
  <c r="O82" i="81"/>
  <c r="L82" i="81"/>
  <c r="I82" i="81"/>
  <c r="F82" i="81"/>
  <c r="O81" i="81"/>
  <c r="L81" i="81"/>
  <c r="L80" i="81" s="1"/>
  <c r="I81" i="81"/>
  <c r="I80" i="81" s="1"/>
  <c r="F81" i="81"/>
  <c r="N80" i="81"/>
  <c r="M80" i="81"/>
  <c r="K80" i="81"/>
  <c r="J80" i="81"/>
  <c r="H80" i="81"/>
  <c r="G80" i="81"/>
  <c r="E80" i="81"/>
  <c r="D80" i="81"/>
  <c r="O79" i="81"/>
  <c r="L79" i="81"/>
  <c r="I79" i="81"/>
  <c r="F79" i="81"/>
  <c r="O78" i="81"/>
  <c r="O77" i="81" s="1"/>
  <c r="L78" i="81"/>
  <c r="L77" i="81" s="1"/>
  <c r="I78" i="81"/>
  <c r="I77" i="81" s="1"/>
  <c r="F78" i="81"/>
  <c r="F77" i="81" s="1"/>
  <c r="N77" i="81"/>
  <c r="N76" i="81" s="1"/>
  <c r="M77" i="81"/>
  <c r="M76" i="81" s="1"/>
  <c r="K77" i="81"/>
  <c r="J77" i="81"/>
  <c r="J76" i="81" s="1"/>
  <c r="H77" i="81"/>
  <c r="H76" i="81" s="1"/>
  <c r="G77" i="81"/>
  <c r="E77" i="81"/>
  <c r="E76" i="81" s="1"/>
  <c r="D77" i="81"/>
  <c r="D76" i="81" s="1"/>
  <c r="G76" i="81"/>
  <c r="O74" i="81"/>
  <c r="L74" i="81"/>
  <c r="I74" i="81"/>
  <c r="F74" i="81"/>
  <c r="O73" i="81"/>
  <c r="L73" i="81"/>
  <c r="I73" i="81"/>
  <c r="D73" i="81"/>
  <c r="F73" i="81" s="1"/>
  <c r="O72" i="81"/>
  <c r="L72" i="81"/>
  <c r="I72" i="81"/>
  <c r="F72" i="81"/>
  <c r="O71" i="81"/>
  <c r="L71" i="81"/>
  <c r="I71" i="81"/>
  <c r="F71" i="81"/>
  <c r="O70" i="81"/>
  <c r="L70" i="81"/>
  <c r="I70" i="81"/>
  <c r="F70" i="81"/>
  <c r="N69" i="81"/>
  <c r="M69" i="81"/>
  <c r="M67" i="81" s="1"/>
  <c r="K69" i="81"/>
  <c r="K67" i="81" s="1"/>
  <c r="J69" i="81"/>
  <c r="J67" i="81" s="1"/>
  <c r="H69" i="81"/>
  <c r="H67" i="81" s="1"/>
  <c r="G69" i="81"/>
  <c r="G67" i="81" s="1"/>
  <c r="E69" i="81"/>
  <c r="E67" i="81" s="1"/>
  <c r="D69" i="81"/>
  <c r="O68" i="81"/>
  <c r="L68" i="81"/>
  <c r="I68" i="81"/>
  <c r="D68" i="81"/>
  <c r="F68" i="81" s="1"/>
  <c r="C68" i="81" s="1"/>
  <c r="N67" i="81"/>
  <c r="O66" i="81"/>
  <c r="L66" i="81"/>
  <c r="I66" i="81"/>
  <c r="F66" i="81"/>
  <c r="O65" i="81"/>
  <c r="L65" i="81"/>
  <c r="I65" i="81"/>
  <c r="F65" i="81"/>
  <c r="O64" i="81"/>
  <c r="L64" i="81"/>
  <c r="I64" i="81"/>
  <c r="F64" i="81"/>
  <c r="O63" i="81"/>
  <c r="L63" i="81"/>
  <c r="I63" i="81"/>
  <c r="F63" i="81"/>
  <c r="O62" i="81"/>
  <c r="L62" i="81"/>
  <c r="I62" i="81"/>
  <c r="F62" i="81"/>
  <c r="O61" i="81"/>
  <c r="L61" i="81"/>
  <c r="I61" i="81"/>
  <c r="F61" i="81"/>
  <c r="O60" i="81"/>
  <c r="L60" i="81"/>
  <c r="I60" i="81"/>
  <c r="F60" i="81"/>
  <c r="O59" i="81"/>
  <c r="L59" i="81"/>
  <c r="L58" i="81" s="1"/>
  <c r="I59" i="81"/>
  <c r="I58" i="81" s="1"/>
  <c r="F59" i="81"/>
  <c r="N58" i="81"/>
  <c r="M58" i="81"/>
  <c r="K58" i="81"/>
  <c r="J58" i="81"/>
  <c r="H58" i="81"/>
  <c r="G58" i="81"/>
  <c r="E58" i="81"/>
  <c r="D58" i="81"/>
  <c r="O57" i="81"/>
  <c r="L57" i="81"/>
  <c r="I57" i="81"/>
  <c r="D57" i="81"/>
  <c r="D55" i="81" s="1"/>
  <c r="D54" i="81" s="1"/>
  <c r="O56" i="81"/>
  <c r="L56" i="81"/>
  <c r="I56" i="81"/>
  <c r="I55" i="81" s="1"/>
  <c r="I54" i="81" s="1"/>
  <c r="F56" i="81"/>
  <c r="O55" i="81"/>
  <c r="N55" i="81"/>
  <c r="N54" i="81" s="1"/>
  <c r="M55" i="81"/>
  <c r="M54" i="81" s="1"/>
  <c r="M53" i="81" s="1"/>
  <c r="K55" i="81"/>
  <c r="J55" i="81"/>
  <c r="H55" i="81"/>
  <c r="G55" i="81"/>
  <c r="G54" i="81" s="1"/>
  <c r="E55" i="81"/>
  <c r="E54" i="81" s="1"/>
  <c r="E53" i="81" s="1"/>
  <c r="J54" i="81"/>
  <c r="H54" i="81"/>
  <c r="O47" i="81"/>
  <c r="C47" i="81" s="1"/>
  <c r="O46" i="81"/>
  <c r="C46" i="81" s="1"/>
  <c r="N45" i="81"/>
  <c r="M45" i="81"/>
  <c r="L44" i="81"/>
  <c r="L43" i="81" s="1"/>
  <c r="I44" i="81"/>
  <c r="F44" i="81"/>
  <c r="K43" i="81"/>
  <c r="J43" i="81"/>
  <c r="I43" i="81"/>
  <c r="H43" i="81"/>
  <c r="G43" i="81"/>
  <c r="E43" i="81"/>
  <c r="D43" i="81"/>
  <c r="F42" i="81"/>
  <c r="C42" i="81" s="1"/>
  <c r="F41" i="81"/>
  <c r="C41" i="81" s="1"/>
  <c r="E41" i="81"/>
  <c r="D41" i="81"/>
  <c r="L40" i="81"/>
  <c r="L39" i="81"/>
  <c r="C39" i="81" s="1"/>
  <c r="L38" i="81"/>
  <c r="C38" i="81" s="1"/>
  <c r="L37" i="81"/>
  <c r="C37" i="81" s="1"/>
  <c r="K36" i="81"/>
  <c r="J36" i="81"/>
  <c r="L35" i="81"/>
  <c r="C35" i="81" s="1"/>
  <c r="L34" i="81"/>
  <c r="C34" i="81" s="1"/>
  <c r="K33" i="81"/>
  <c r="J33" i="81"/>
  <c r="L32" i="81"/>
  <c r="C32" i="81" s="1"/>
  <c r="K31" i="81"/>
  <c r="J31" i="81"/>
  <c r="L30" i="81"/>
  <c r="C30" i="81" s="1"/>
  <c r="L29" i="81"/>
  <c r="L28" i="81"/>
  <c r="C28" i="81" s="1"/>
  <c r="K27" i="81"/>
  <c r="J27" i="81"/>
  <c r="F25" i="81"/>
  <c r="C25" i="81" s="1"/>
  <c r="I24" i="81"/>
  <c r="D24" i="81"/>
  <c r="F24" i="81" s="1"/>
  <c r="C24" i="81" s="1"/>
  <c r="O23" i="81"/>
  <c r="L23" i="81"/>
  <c r="I23" i="81"/>
  <c r="F23" i="81"/>
  <c r="O22" i="81"/>
  <c r="L22" i="81"/>
  <c r="L21" i="81" s="1"/>
  <c r="I22" i="81"/>
  <c r="F22" i="81"/>
  <c r="O21" i="81"/>
  <c r="O292" i="81" s="1"/>
  <c r="N21" i="81"/>
  <c r="N292" i="81" s="1"/>
  <c r="N291" i="81" s="1"/>
  <c r="M21" i="81"/>
  <c r="M20" i="81" s="1"/>
  <c r="K21" i="81"/>
  <c r="K292" i="81" s="1"/>
  <c r="K291" i="81" s="1"/>
  <c r="J21" i="81"/>
  <c r="J292" i="81" s="1"/>
  <c r="J291" i="81" s="1"/>
  <c r="H21" i="81"/>
  <c r="H292" i="81" s="1"/>
  <c r="H291" i="81" s="1"/>
  <c r="G21" i="81"/>
  <c r="G292" i="81" s="1"/>
  <c r="G291" i="81" s="1"/>
  <c r="E21" i="81"/>
  <c r="E292" i="81" s="1"/>
  <c r="E291" i="81" s="1"/>
  <c r="D21" i="81"/>
  <c r="D292" i="81" s="1"/>
  <c r="D291" i="81" s="1"/>
  <c r="N20" i="81"/>
  <c r="O301" i="80"/>
  <c r="L301" i="80"/>
  <c r="I301" i="80"/>
  <c r="F301" i="80"/>
  <c r="O300" i="80"/>
  <c r="L300" i="80"/>
  <c r="I300" i="80"/>
  <c r="F300" i="80"/>
  <c r="C300" i="80" s="1"/>
  <c r="O299" i="80"/>
  <c r="L299" i="80"/>
  <c r="I299" i="80"/>
  <c r="F299" i="80"/>
  <c r="O298" i="80"/>
  <c r="L298" i="80"/>
  <c r="I298" i="80"/>
  <c r="F298" i="80"/>
  <c r="O297" i="80"/>
  <c r="L297" i="80"/>
  <c r="I297" i="80"/>
  <c r="F297" i="80"/>
  <c r="O296" i="80"/>
  <c r="L296" i="80"/>
  <c r="I296" i="80"/>
  <c r="F296" i="80"/>
  <c r="C296" i="80" s="1"/>
  <c r="O295" i="80"/>
  <c r="L295" i="80"/>
  <c r="I295" i="80"/>
  <c r="F295" i="80"/>
  <c r="O294" i="80"/>
  <c r="L294" i="80"/>
  <c r="I294" i="80"/>
  <c r="F294" i="80"/>
  <c r="N293" i="80"/>
  <c r="M293" i="80"/>
  <c r="L293" i="80"/>
  <c r="K293" i="80"/>
  <c r="J293" i="80"/>
  <c r="I293" i="80"/>
  <c r="H293" i="80"/>
  <c r="G293" i="80"/>
  <c r="E293" i="80"/>
  <c r="D293" i="80"/>
  <c r="O288" i="80"/>
  <c r="L288" i="80"/>
  <c r="I288" i="80"/>
  <c r="F288" i="80"/>
  <c r="O287" i="80"/>
  <c r="L287" i="80"/>
  <c r="I287" i="80"/>
  <c r="F287" i="80"/>
  <c r="O286" i="80"/>
  <c r="N286" i="80"/>
  <c r="M286" i="80"/>
  <c r="L286" i="80"/>
  <c r="K286" i="80"/>
  <c r="J286" i="80"/>
  <c r="I286" i="80"/>
  <c r="H286" i="80"/>
  <c r="G286" i="80"/>
  <c r="F286" i="80"/>
  <c r="C286" i="80" s="1"/>
  <c r="E286" i="80"/>
  <c r="D286" i="80"/>
  <c r="O285" i="80"/>
  <c r="L285" i="80"/>
  <c r="L284" i="80" s="1"/>
  <c r="L283" i="80" s="1"/>
  <c r="I285" i="80"/>
  <c r="F285" i="80"/>
  <c r="F284" i="80" s="1"/>
  <c r="F283" i="80" s="1"/>
  <c r="O284" i="80"/>
  <c r="O283" i="80" s="1"/>
  <c r="N284" i="80"/>
  <c r="N283" i="80" s="1"/>
  <c r="M284" i="80"/>
  <c r="K284" i="80"/>
  <c r="K283" i="80" s="1"/>
  <c r="J284" i="80"/>
  <c r="I284" i="80"/>
  <c r="I283" i="80" s="1"/>
  <c r="H284" i="80"/>
  <c r="G284" i="80"/>
  <c r="G283" i="80" s="1"/>
  <c r="E284" i="80"/>
  <c r="E283" i="80" s="1"/>
  <c r="D284" i="80"/>
  <c r="D283" i="80" s="1"/>
  <c r="M283" i="80"/>
  <c r="J283" i="80"/>
  <c r="H283" i="80"/>
  <c r="O282" i="80"/>
  <c r="L282" i="80"/>
  <c r="L281" i="80" s="1"/>
  <c r="I282" i="80"/>
  <c r="F282" i="80"/>
  <c r="F281" i="80" s="1"/>
  <c r="O281" i="80"/>
  <c r="N281" i="80"/>
  <c r="M281" i="80"/>
  <c r="K281" i="80"/>
  <c r="J281" i="80"/>
  <c r="I281" i="80"/>
  <c r="H281" i="80"/>
  <c r="G281" i="80"/>
  <c r="E281" i="80"/>
  <c r="D281" i="80"/>
  <c r="O280" i="80"/>
  <c r="L280" i="80"/>
  <c r="I280" i="80"/>
  <c r="F280" i="80"/>
  <c r="O279" i="80"/>
  <c r="L279" i="80"/>
  <c r="I279" i="80"/>
  <c r="F279" i="80"/>
  <c r="O278" i="80"/>
  <c r="L278" i="80"/>
  <c r="I278" i="80"/>
  <c r="F278" i="80"/>
  <c r="C278" i="80" s="1"/>
  <c r="O277" i="80"/>
  <c r="L277" i="80"/>
  <c r="I277" i="80"/>
  <c r="F277" i="80"/>
  <c r="N276" i="80"/>
  <c r="M276" i="80"/>
  <c r="K276" i="80"/>
  <c r="J276" i="80"/>
  <c r="I276" i="80"/>
  <c r="H276" i="80"/>
  <c r="G276" i="80"/>
  <c r="E276" i="80"/>
  <c r="D276" i="80"/>
  <c r="O275" i="80"/>
  <c r="L275" i="80"/>
  <c r="I275" i="80"/>
  <c r="F275" i="80"/>
  <c r="O274" i="80"/>
  <c r="L274" i="80"/>
  <c r="I274" i="80"/>
  <c r="F274" i="80"/>
  <c r="O273" i="80"/>
  <c r="L273" i="80"/>
  <c r="L272" i="80" s="1"/>
  <c r="I273" i="80"/>
  <c r="F273" i="80"/>
  <c r="F272" i="80" s="1"/>
  <c r="O272" i="80"/>
  <c r="N272" i="80"/>
  <c r="N270" i="80" s="1"/>
  <c r="N269" i="80" s="1"/>
  <c r="M272" i="80"/>
  <c r="K272" i="80"/>
  <c r="J272" i="80"/>
  <c r="I272" i="80"/>
  <c r="H272" i="80"/>
  <c r="G272" i="80"/>
  <c r="E272" i="80"/>
  <c r="E270" i="80" s="1"/>
  <c r="E269" i="80" s="1"/>
  <c r="D272" i="80"/>
  <c r="O271" i="80"/>
  <c r="L271" i="80"/>
  <c r="I271" i="80"/>
  <c r="I270" i="80" s="1"/>
  <c r="I269" i="80" s="1"/>
  <c r="F271" i="80"/>
  <c r="M270" i="80"/>
  <c r="K270" i="80"/>
  <c r="K269" i="80" s="1"/>
  <c r="J270" i="80"/>
  <c r="J269" i="80" s="1"/>
  <c r="H270" i="80"/>
  <c r="H269" i="80" s="1"/>
  <c r="G270" i="80"/>
  <c r="G269" i="80" s="1"/>
  <c r="D270" i="80"/>
  <c r="M269" i="80"/>
  <c r="D269" i="80"/>
  <c r="O268" i="80"/>
  <c r="L268" i="80"/>
  <c r="I268" i="80"/>
  <c r="F268" i="80"/>
  <c r="O267" i="80"/>
  <c r="L267" i="80"/>
  <c r="I267" i="80"/>
  <c r="F267" i="80"/>
  <c r="O266" i="80"/>
  <c r="L266" i="80"/>
  <c r="I266" i="80"/>
  <c r="F266" i="80"/>
  <c r="C266" i="80"/>
  <c r="O265" i="80"/>
  <c r="L265" i="80"/>
  <c r="I265" i="80"/>
  <c r="F265" i="80"/>
  <c r="C265" i="80" s="1"/>
  <c r="N264" i="80"/>
  <c r="M264" i="80"/>
  <c r="K264" i="80"/>
  <c r="J264" i="80"/>
  <c r="I264" i="80"/>
  <c r="H264" i="80"/>
  <c r="G264" i="80"/>
  <c r="F264" i="80"/>
  <c r="E264" i="80"/>
  <c r="D264" i="80"/>
  <c r="O263" i="80"/>
  <c r="L263" i="80"/>
  <c r="I263" i="80"/>
  <c r="F263" i="80"/>
  <c r="O262" i="80"/>
  <c r="L262" i="80"/>
  <c r="I262" i="80"/>
  <c r="F262" i="80"/>
  <c r="O261" i="80"/>
  <c r="L261" i="80"/>
  <c r="L260" i="80" s="1"/>
  <c r="I261" i="80"/>
  <c r="F261" i="80"/>
  <c r="O260" i="80"/>
  <c r="N260" i="80"/>
  <c r="M260" i="80"/>
  <c r="K260" i="80"/>
  <c r="K259" i="80" s="1"/>
  <c r="J260" i="80"/>
  <c r="H260" i="80"/>
  <c r="H259" i="80" s="1"/>
  <c r="G260" i="80"/>
  <c r="E260" i="80"/>
  <c r="E259" i="80" s="1"/>
  <c r="D260" i="80"/>
  <c r="M259" i="80"/>
  <c r="J259" i="80"/>
  <c r="G259" i="80"/>
  <c r="D259" i="80"/>
  <c r="O258" i="80"/>
  <c r="L258" i="80"/>
  <c r="I258" i="80"/>
  <c r="F258" i="80"/>
  <c r="O257" i="80"/>
  <c r="L257" i="80"/>
  <c r="I257" i="80"/>
  <c r="F257" i="80"/>
  <c r="O256" i="80"/>
  <c r="L256" i="80"/>
  <c r="I256" i="80"/>
  <c r="F256" i="80"/>
  <c r="O255" i="80"/>
  <c r="L255" i="80"/>
  <c r="I255" i="80"/>
  <c r="F255" i="80"/>
  <c r="O254" i="80"/>
  <c r="L254" i="80"/>
  <c r="I254" i="80"/>
  <c r="F254" i="80"/>
  <c r="O253" i="80"/>
  <c r="O252" i="80" s="1"/>
  <c r="O251" i="80" s="1"/>
  <c r="L253" i="80"/>
  <c r="I253" i="80"/>
  <c r="I252" i="80" s="1"/>
  <c r="I251" i="80" s="1"/>
  <c r="F253" i="80"/>
  <c r="N252" i="80"/>
  <c r="N251" i="80" s="1"/>
  <c r="M252" i="80"/>
  <c r="M251" i="80" s="1"/>
  <c r="L252" i="80"/>
  <c r="K252" i="80"/>
  <c r="J252" i="80"/>
  <c r="J251" i="80" s="1"/>
  <c r="H252" i="80"/>
  <c r="G252" i="80"/>
  <c r="G251" i="80" s="1"/>
  <c r="F252" i="80"/>
  <c r="E252" i="80"/>
  <c r="E251" i="80" s="1"/>
  <c r="D252" i="80"/>
  <c r="L251" i="80"/>
  <c r="K251" i="80"/>
  <c r="H251" i="80"/>
  <c r="D251" i="80"/>
  <c r="O250" i="80"/>
  <c r="L250" i="80"/>
  <c r="I250" i="80"/>
  <c r="F250" i="80"/>
  <c r="O249" i="80"/>
  <c r="L249" i="80"/>
  <c r="I249" i="80"/>
  <c r="F249" i="80"/>
  <c r="O248" i="80"/>
  <c r="L248" i="80"/>
  <c r="I248" i="80"/>
  <c r="F248" i="80"/>
  <c r="C248" i="80" s="1"/>
  <c r="O247" i="80"/>
  <c r="L247" i="80"/>
  <c r="I247" i="80"/>
  <c r="F247" i="80"/>
  <c r="C247" i="80" s="1"/>
  <c r="O246" i="80"/>
  <c r="N246" i="80"/>
  <c r="M246" i="80"/>
  <c r="L246" i="80"/>
  <c r="K246" i="80"/>
  <c r="J246" i="80"/>
  <c r="I246" i="80"/>
  <c r="H246" i="80"/>
  <c r="G246" i="80"/>
  <c r="E246" i="80"/>
  <c r="D246" i="80"/>
  <c r="O245" i="80"/>
  <c r="L245" i="80"/>
  <c r="I245" i="80"/>
  <c r="F245" i="80"/>
  <c r="O244" i="80"/>
  <c r="L244" i="80"/>
  <c r="I244" i="80"/>
  <c r="F244" i="80"/>
  <c r="O243" i="80"/>
  <c r="L243" i="80"/>
  <c r="I243" i="80"/>
  <c r="F243" i="80"/>
  <c r="O242" i="80"/>
  <c r="L242" i="80"/>
  <c r="I242" i="80"/>
  <c r="F242" i="80"/>
  <c r="O241" i="80"/>
  <c r="L241" i="80"/>
  <c r="I241" i="80"/>
  <c r="F241" i="80"/>
  <c r="O240" i="80"/>
  <c r="L240" i="80"/>
  <c r="I240" i="80"/>
  <c r="F240" i="80"/>
  <c r="C240" i="80"/>
  <c r="O239" i="80"/>
  <c r="L239" i="80"/>
  <c r="I239" i="80"/>
  <c r="F239" i="80"/>
  <c r="N238" i="80"/>
  <c r="M238" i="80"/>
  <c r="K238" i="80"/>
  <c r="J238" i="80"/>
  <c r="H238" i="80"/>
  <c r="G238" i="80"/>
  <c r="E238" i="80"/>
  <c r="D238" i="80"/>
  <c r="O237" i="80"/>
  <c r="L237" i="80"/>
  <c r="I237" i="80"/>
  <c r="F237" i="80"/>
  <c r="C237" i="80" s="1"/>
  <c r="O236" i="80"/>
  <c r="L236" i="80"/>
  <c r="L235" i="80" s="1"/>
  <c r="I236" i="80"/>
  <c r="I235" i="80" s="1"/>
  <c r="F236" i="80"/>
  <c r="N235" i="80"/>
  <c r="M235" i="80"/>
  <c r="K235" i="80"/>
  <c r="J235" i="80"/>
  <c r="H235" i="80"/>
  <c r="G235" i="80"/>
  <c r="E235" i="80"/>
  <c r="D235" i="80"/>
  <c r="O234" i="80"/>
  <c r="O233" i="80" s="1"/>
  <c r="L234" i="80"/>
  <c r="L233" i="80" s="1"/>
  <c r="I234" i="80"/>
  <c r="I233" i="80" s="1"/>
  <c r="F234" i="80"/>
  <c r="F233" i="80" s="1"/>
  <c r="N233" i="80"/>
  <c r="M233" i="80"/>
  <c r="K233" i="80"/>
  <c r="J233" i="80"/>
  <c r="H233" i="80"/>
  <c r="G233" i="80"/>
  <c r="E233" i="80"/>
  <c r="D233" i="80"/>
  <c r="D231" i="80" s="1"/>
  <c r="D230" i="80" s="1"/>
  <c r="O232" i="80"/>
  <c r="L232" i="80"/>
  <c r="I232" i="80"/>
  <c r="F232" i="80"/>
  <c r="N231" i="80"/>
  <c r="K231" i="80"/>
  <c r="J231" i="80"/>
  <c r="H231" i="80"/>
  <c r="J230" i="80"/>
  <c r="O229" i="80"/>
  <c r="L229" i="80"/>
  <c r="I229" i="80"/>
  <c r="F229" i="80"/>
  <c r="O228" i="80"/>
  <c r="L228" i="80"/>
  <c r="L227" i="80" s="1"/>
  <c r="I228" i="80"/>
  <c r="I227" i="80" s="1"/>
  <c r="F228" i="80"/>
  <c r="O227" i="80"/>
  <c r="N227" i="80"/>
  <c r="M227" i="80"/>
  <c r="K227" i="80"/>
  <c r="J227" i="80"/>
  <c r="H227" i="80"/>
  <c r="G227" i="80"/>
  <c r="F227" i="80"/>
  <c r="E227" i="80"/>
  <c r="D227" i="80"/>
  <c r="O226" i="80"/>
  <c r="L226" i="80"/>
  <c r="I226" i="80"/>
  <c r="F226" i="80"/>
  <c r="O225" i="80"/>
  <c r="L225" i="80"/>
  <c r="I225" i="80"/>
  <c r="F225" i="80"/>
  <c r="C225" i="80" s="1"/>
  <c r="O224" i="80"/>
  <c r="L224" i="80"/>
  <c r="I224" i="80"/>
  <c r="F224" i="80"/>
  <c r="C224" i="80" s="1"/>
  <c r="O223" i="80"/>
  <c r="L223" i="80"/>
  <c r="I223" i="80"/>
  <c r="F223" i="80"/>
  <c r="O222" i="80"/>
  <c r="L222" i="80"/>
  <c r="I222" i="80"/>
  <c r="F222" i="80"/>
  <c r="C222" i="80" s="1"/>
  <c r="O221" i="80"/>
  <c r="L221" i="80"/>
  <c r="I221" i="80"/>
  <c r="F221" i="80"/>
  <c r="O220" i="80"/>
  <c r="L220" i="80"/>
  <c r="I220" i="80"/>
  <c r="F220" i="80"/>
  <c r="O219" i="80"/>
  <c r="L219" i="80"/>
  <c r="I219" i="80"/>
  <c r="F219" i="80"/>
  <c r="O218" i="80"/>
  <c r="L218" i="80"/>
  <c r="I218" i="80"/>
  <c r="F218" i="80"/>
  <c r="C218" i="80" s="1"/>
  <c r="O217" i="80"/>
  <c r="L217" i="80"/>
  <c r="L216" i="80" s="1"/>
  <c r="I217" i="80"/>
  <c r="I216" i="80" s="1"/>
  <c r="F217" i="80"/>
  <c r="N216" i="80"/>
  <c r="M216" i="80"/>
  <c r="K216" i="80"/>
  <c r="J216" i="80"/>
  <c r="H216" i="80"/>
  <c r="G216" i="80"/>
  <c r="E216" i="80"/>
  <c r="D216" i="80"/>
  <c r="O215" i="80"/>
  <c r="L215" i="80"/>
  <c r="I215" i="80"/>
  <c r="F215" i="80"/>
  <c r="O214" i="80"/>
  <c r="L214" i="80"/>
  <c r="I214" i="80"/>
  <c r="F214" i="80"/>
  <c r="O213" i="80"/>
  <c r="L213" i="80"/>
  <c r="I213" i="80"/>
  <c r="F213" i="80"/>
  <c r="O212" i="80"/>
  <c r="L212" i="80"/>
  <c r="I212" i="80"/>
  <c r="C212" i="80" s="1"/>
  <c r="F212" i="80"/>
  <c r="O211" i="80"/>
  <c r="L211" i="80"/>
  <c r="I211" i="80"/>
  <c r="F211" i="80"/>
  <c r="O210" i="80"/>
  <c r="L210" i="80"/>
  <c r="I210" i="80"/>
  <c r="F210" i="80"/>
  <c r="O209" i="80"/>
  <c r="L209" i="80"/>
  <c r="I209" i="80"/>
  <c r="F209" i="80"/>
  <c r="O208" i="80"/>
  <c r="L208" i="80"/>
  <c r="I208" i="80"/>
  <c r="F208" i="80"/>
  <c r="O207" i="80"/>
  <c r="L207" i="80"/>
  <c r="I207" i="80"/>
  <c r="F207" i="80"/>
  <c r="O206" i="80"/>
  <c r="L206" i="80"/>
  <c r="L205" i="80" s="1"/>
  <c r="I206" i="80"/>
  <c r="I205" i="80" s="1"/>
  <c r="F206" i="80"/>
  <c r="O205" i="80"/>
  <c r="N205" i="80"/>
  <c r="N204" i="80" s="1"/>
  <c r="M205" i="80"/>
  <c r="M204" i="80" s="1"/>
  <c r="K205" i="80"/>
  <c r="J205" i="80"/>
  <c r="H205" i="80"/>
  <c r="H204" i="80" s="1"/>
  <c r="G205" i="80"/>
  <c r="F205" i="80"/>
  <c r="E205" i="80"/>
  <c r="D205" i="80"/>
  <c r="K204" i="80"/>
  <c r="J204" i="80"/>
  <c r="G204" i="80"/>
  <c r="D204" i="80"/>
  <c r="O203" i="80"/>
  <c r="L203" i="80"/>
  <c r="I203" i="80"/>
  <c r="F203" i="80"/>
  <c r="O202" i="80"/>
  <c r="L202" i="80"/>
  <c r="I202" i="80"/>
  <c r="F202" i="80"/>
  <c r="O201" i="80"/>
  <c r="L201" i="80"/>
  <c r="I201" i="80"/>
  <c r="F201" i="80"/>
  <c r="O200" i="80"/>
  <c r="L200" i="80"/>
  <c r="I200" i="80"/>
  <c r="F200" i="80"/>
  <c r="C200" i="80" s="1"/>
  <c r="O199" i="80"/>
  <c r="L199" i="80"/>
  <c r="L198" i="80" s="1"/>
  <c r="I199" i="80"/>
  <c r="I198" i="80" s="1"/>
  <c r="F199" i="80"/>
  <c r="N198" i="80"/>
  <c r="M198" i="80"/>
  <c r="K198" i="80"/>
  <c r="K196" i="80" s="1"/>
  <c r="K195" i="80" s="1"/>
  <c r="J198" i="80"/>
  <c r="J196" i="80" s="1"/>
  <c r="J195" i="80" s="1"/>
  <c r="H198" i="80"/>
  <c r="G198" i="80"/>
  <c r="G196" i="80" s="1"/>
  <c r="G195" i="80" s="1"/>
  <c r="E198" i="80"/>
  <c r="D198" i="80"/>
  <c r="D196" i="80" s="1"/>
  <c r="D195" i="80" s="1"/>
  <c r="O197" i="80"/>
  <c r="L197" i="80"/>
  <c r="I197" i="80"/>
  <c r="F197" i="80"/>
  <c r="N196" i="80"/>
  <c r="N195" i="80" s="1"/>
  <c r="M196" i="80"/>
  <c r="M195" i="80" s="1"/>
  <c r="H196" i="80"/>
  <c r="E196" i="80"/>
  <c r="O193" i="80"/>
  <c r="L193" i="80"/>
  <c r="L192" i="80" s="1"/>
  <c r="I193" i="80"/>
  <c r="F193" i="80"/>
  <c r="O192" i="80"/>
  <c r="N192" i="80"/>
  <c r="N191" i="80" s="1"/>
  <c r="M192" i="80"/>
  <c r="K192" i="80"/>
  <c r="K191" i="80" s="1"/>
  <c r="J192" i="80"/>
  <c r="I192" i="80"/>
  <c r="H192" i="80"/>
  <c r="H191" i="80" s="1"/>
  <c r="G192" i="80"/>
  <c r="G191" i="80" s="1"/>
  <c r="E192" i="80"/>
  <c r="D192" i="80"/>
  <c r="O191" i="80"/>
  <c r="M191" i="80"/>
  <c r="J191" i="80"/>
  <c r="I191" i="80"/>
  <c r="E191" i="80"/>
  <c r="D191" i="80"/>
  <c r="O190" i="80"/>
  <c r="L190" i="80"/>
  <c r="I190" i="80"/>
  <c r="F190" i="80"/>
  <c r="O189" i="80"/>
  <c r="L189" i="80"/>
  <c r="L188" i="80" s="1"/>
  <c r="I189" i="80"/>
  <c r="I188" i="80" s="1"/>
  <c r="F189" i="80"/>
  <c r="O188" i="80"/>
  <c r="O187" i="80" s="1"/>
  <c r="N188" i="80"/>
  <c r="M188" i="80"/>
  <c r="K188" i="80"/>
  <c r="J188" i="80"/>
  <c r="H188" i="80"/>
  <c r="G188" i="80"/>
  <c r="F188" i="80"/>
  <c r="E188" i="80"/>
  <c r="E187" i="80" s="1"/>
  <c r="D188" i="80"/>
  <c r="M187" i="80"/>
  <c r="D187" i="80"/>
  <c r="O186" i="80"/>
  <c r="L186" i="80"/>
  <c r="I186" i="80"/>
  <c r="F186" i="80"/>
  <c r="O185" i="80"/>
  <c r="O184" i="80" s="1"/>
  <c r="L185" i="80"/>
  <c r="I185" i="80"/>
  <c r="I184" i="80" s="1"/>
  <c r="F185" i="80"/>
  <c r="C185" i="80" s="1"/>
  <c r="N184" i="80"/>
  <c r="M184" i="80"/>
  <c r="L184" i="80"/>
  <c r="K184" i="80"/>
  <c r="J184" i="80"/>
  <c r="H184" i="80"/>
  <c r="G184" i="80"/>
  <c r="E184" i="80"/>
  <c r="D184" i="80"/>
  <c r="O183" i="80"/>
  <c r="L183" i="80"/>
  <c r="I183" i="80"/>
  <c r="F183" i="80"/>
  <c r="O182" i="80"/>
  <c r="L182" i="80"/>
  <c r="I182" i="80"/>
  <c r="F182" i="80"/>
  <c r="C182" i="80" s="1"/>
  <c r="O181" i="80"/>
  <c r="L181" i="80"/>
  <c r="I181" i="80"/>
  <c r="F181" i="80"/>
  <c r="O180" i="80"/>
  <c r="O179" i="80" s="1"/>
  <c r="L180" i="80"/>
  <c r="L179" i="80" s="1"/>
  <c r="I180" i="80"/>
  <c r="I179" i="80" s="1"/>
  <c r="F180" i="80"/>
  <c r="N179" i="80"/>
  <c r="M179" i="80"/>
  <c r="K179" i="80"/>
  <c r="J179" i="80"/>
  <c r="H179" i="80"/>
  <c r="G179" i="80"/>
  <c r="F179" i="80"/>
  <c r="E179" i="80"/>
  <c r="D179" i="80"/>
  <c r="O178" i="80"/>
  <c r="L178" i="80"/>
  <c r="I178" i="80"/>
  <c r="F178" i="80"/>
  <c r="O177" i="80"/>
  <c r="L177" i="80"/>
  <c r="I177" i="80"/>
  <c r="F177" i="80"/>
  <c r="O176" i="80"/>
  <c r="L176" i="80"/>
  <c r="L175" i="80" s="1"/>
  <c r="I176" i="80"/>
  <c r="I175" i="80" s="1"/>
  <c r="F176" i="80"/>
  <c r="O175" i="80"/>
  <c r="N175" i="80"/>
  <c r="N174" i="80" s="1"/>
  <c r="N173" i="80" s="1"/>
  <c r="M175" i="80"/>
  <c r="K175" i="80"/>
  <c r="J175" i="80"/>
  <c r="H175" i="80"/>
  <c r="H174" i="80" s="1"/>
  <c r="G175" i="80"/>
  <c r="F175" i="80"/>
  <c r="E175" i="80"/>
  <c r="D175" i="80"/>
  <c r="D174" i="80" s="1"/>
  <c r="K174" i="80"/>
  <c r="G174" i="80"/>
  <c r="G173" i="80" s="1"/>
  <c r="F174" i="80"/>
  <c r="K173" i="80"/>
  <c r="O172" i="80"/>
  <c r="L172" i="80"/>
  <c r="I172" i="80"/>
  <c r="F172" i="80"/>
  <c r="O171" i="80"/>
  <c r="L171" i="80"/>
  <c r="I171" i="80"/>
  <c r="F171" i="80"/>
  <c r="O170" i="80"/>
  <c r="L170" i="80"/>
  <c r="I170" i="80"/>
  <c r="F170" i="80"/>
  <c r="O169" i="80"/>
  <c r="L169" i="80"/>
  <c r="I169" i="80"/>
  <c r="F169" i="80"/>
  <c r="O168" i="80"/>
  <c r="L168" i="80"/>
  <c r="I168" i="80"/>
  <c r="F168" i="80"/>
  <c r="O167" i="80"/>
  <c r="L167" i="80"/>
  <c r="L166" i="80" s="1"/>
  <c r="L165" i="80" s="1"/>
  <c r="I167" i="80"/>
  <c r="I166" i="80" s="1"/>
  <c r="F167" i="80"/>
  <c r="O166" i="80"/>
  <c r="O165" i="80" s="1"/>
  <c r="N166" i="80"/>
  <c r="N165" i="80" s="1"/>
  <c r="M166" i="80"/>
  <c r="K166" i="80"/>
  <c r="K165" i="80" s="1"/>
  <c r="J166" i="80"/>
  <c r="J165" i="80" s="1"/>
  <c r="H166" i="80"/>
  <c r="G166" i="80"/>
  <c r="G165" i="80" s="1"/>
  <c r="F166" i="80"/>
  <c r="F165" i="80" s="1"/>
  <c r="E166" i="80"/>
  <c r="D166" i="80"/>
  <c r="M165" i="80"/>
  <c r="H165" i="80"/>
  <c r="E165" i="80"/>
  <c r="D165" i="80"/>
  <c r="O164" i="80"/>
  <c r="L164" i="80"/>
  <c r="I164" i="80"/>
  <c r="F164" i="80"/>
  <c r="O163" i="80"/>
  <c r="L163" i="80"/>
  <c r="I163" i="80"/>
  <c r="F163" i="80"/>
  <c r="O162" i="80"/>
  <c r="L162" i="80"/>
  <c r="I162" i="80"/>
  <c r="F162" i="80"/>
  <c r="C162" i="80" s="1"/>
  <c r="O161" i="80"/>
  <c r="L161" i="80"/>
  <c r="I161" i="80"/>
  <c r="F161" i="80"/>
  <c r="N160" i="80"/>
  <c r="M160" i="80"/>
  <c r="L160" i="80"/>
  <c r="K160" i="80"/>
  <c r="J160" i="80"/>
  <c r="I160" i="80"/>
  <c r="H160" i="80"/>
  <c r="G160" i="80"/>
  <c r="E160" i="80"/>
  <c r="D160" i="80"/>
  <c r="O159" i="80"/>
  <c r="L159" i="80"/>
  <c r="I159" i="80"/>
  <c r="F159" i="80"/>
  <c r="C159" i="80" s="1"/>
  <c r="O158" i="80"/>
  <c r="L158" i="80"/>
  <c r="I158" i="80"/>
  <c r="F158" i="80"/>
  <c r="O157" i="80"/>
  <c r="L157" i="80"/>
  <c r="I157" i="80"/>
  <c r="F157" i="80"/>
  <c r="O156" i="80"/>
  <c r="L156" i="80"/>
  <c r="I156" i="80"/>
  <c r="F156" i="80"/>
  <c r="O155" i="80"/>
  <c r="L155" i="80"/>
  <c r="I155" i="80"/>
  <c r="F155" i="80"/>
  <c r="C155" i="80" s="1"/>
  <c r="O154" i="80"/>
  <c r="L154" i="80"/>
  <c r="I154" i="80"/>
  <c r="F154" i="80"/>
  <c r="O153" i="80"/>
  <c r="L153" i="80"/>
  <c r="I153" i="80"/>
  <c r="F153" i="80"/>
  <c r="O152" i="80"/>
  <c r="L152" i="80"/>
  <c r="L151" i="80" s="1"/>
  <c r="I152" i="80"/>
  <c r="F152" i="80"/>
  <c r="O151" i="80"/>
  <c r="N151" i="80"/>
  <c r="M151" i="80"/>
  <c r="K151" i="80"/>
  <c r="J151" i="80"/>
  <c r="H151" i="80"/>
  <c r="G151" i="80"/>
  <c r="F151" i="80"/>
  <c r="E151" i="80"/>
  <c r="D151" i="80"/>
  <c r="O150" i="80"/>
  <c r="L150" i="80"/>
  <c r="I150" i="80"/>
  <c r="F150" i="80"/>
  <c r="C150" i="80" s="1"/>
  <c r="O149" i="80"/>
  <c r="L149" i="80"/>
  <c r="I149" i="80"/>
  <c r="F149" i="80"/>
  <c r="O148" i="80"/>
  <c r="L148" i="80"/>
  <c r="I148" i="80"/>
  <c r="F148" i="80"/>
  <c r="O147" i="80"/>
  <c r="L147" i="80"/>
  <c r="I147" i="80"/>
  <c r="F147" i="80"/>
  <c r="C147" i="80" s="1"/>
  <c r="O146" i="80"/>
  <c r="L146" i="80"/>
  <c r="I146" i="80"/>
  <c r="F146" i="80"/>
  <c r="O145" i="80"/>
  <c r="L145" i="80"/>
  <c r="I145" i="80"/>
  <c r="F145" i="80"/>
  <c r="N144" i="80"/>
  <c r="M144" i="80"/>
  <c r="L144" i="80"/>
  <c r="K144" i="80"/>
  <c r="J144" i="80"/>
  <c r="I144" i="80"/>
  <c r="H144" i="80"/>
  <c r="G144" i="80"/>
  <c r="E144" i="80"/>
  <c r="D144" i="80"/>
  <c r="O143" i="80"/>
  <c r="L143" i="80"/>
  <c r="I143" i="80"/>
  <c r="F143" i="80"/>
  <c r="O142" i="80"/>
  <c r="O141" i="80" s="1"/>
  <c r="L142" i="80"/>
  <c r="I142" i="80"/>
  <c r="I141" i="80" s="1"/>
  <c r="F142" i="80"/>
  <c r="F141" i="80" s="1"/>
  <c r="N141" i="80"/>
  <c r="M141" i="80"/>
  <c r="L141" i="80"/>
  <c r="K141" i="80"/>
  <c r="J141" i="80"/>
  <c r="H141" i="80"/>
  <c r="G141" i="80"/>
  <c r="E141" i="80"/>
  <c r="D141" i="80"/>
  <c r="O140" i="80"/>
  <c r="L140" i="80"/>
  <c r="I140" i="80"/>
  <c r="F140" i="80"/>
  <c r="O139" i="80"/>
  <c r="L139" i="80"/>
  <c r="I139" i="80"/>
  <c r="F139" i="80"/>
  <c r="O138" i="80"/>
  <c r="L138" i="80"/>
  <c r="I138" i="80"/>
  <c r="F138" i="80"/>
  <c r="O137" i="80"/>
  <c r="L137" i="80"/>
  <c r="L136" i="80" s="1"/>
  <c r="I137" i="80"/>
  <c r="F137" i="80"/>
  <c r="F136" i="80" s="1"/>
  <c r="O136" i="80"/>
  <c r="N136" i="80"/>
  <c r="M136" i="80"/>
  <c r="K136" i="80"/>
  <c r="J136" i="80"/>
  <c r="I136" i="80"/>
  <c r="H136" i="80"/>
  <c r="G136" i="80"/>
  <c r="E136" i="80"/>
  <c r="D136" i="80"/>
  <c r="O135" i="80"/>
  <c r="L135" i="80"/>
  <c r="I135" i="80"/>
  <c r="F135" i="80"/>
  <c r="O134" i="80"/>
  <c r="L134" i="80"/>
  <c r="I134" i="80"/>
  <c r="F134" i="80"/>
  <c r="C134" i="80" s="1"/>
  <c r="O133" i="80"/>
  <c r="L133" i="80"/>
  <c r="I133" i="80"/>
  <c r="F133" i="80"/>
  <c r="O132" i="80"/>
  <c r="L132" i="80"/>
  <c r="L131" i="80" s="1"/>
  <c r="L130" i="80" s="1"/>
  <c r="I132" i="80"/>
  <c r="I131" i="80" s="1"/>
  <c r="F132" i="80"/>
  <c r="O131" i="80"/>
  <c r="N131" i="80"/>
  <c r="M131" i="80"/>
  <c r="K131" i="80"/>
  <c r="K130" i="80" s="1"/>
  <c r="J131" i="80"/>
  <c r="H131" i="80"/>
  <c r="G131" i="80"/>
  <c r="F131" i="80"/>
  <c r="E131" i="80"/>
  <c r="E130" i="80" s="1"/>
  <c r="D131" i="80"/>
  <c r="N130" i="80"/>
  <c r="J130" i="80"/>
  <c r="G130" i="80"/>
  <c r="O129" i="80"/>
  <c r="L129" i="80"/>
  <c r="L128" i="80" s="1"/>
  <c r="I129" i="80"/>
  <c r="I128" i="80" s="1"/>
  <c r="F129" i="80"/>
  <c r="O128" i="80"/>
  <c r="N128" i="80"/>
  <c r="M128" i="80"/>
  <c r="K128" i="80"/>
  <c r="J128" i="80"/>
  <c r="H128" i="80"/>
  <c r="G128" i="80"/>
  <c r="E128" i="80"/>
  <c r="D128" i="80"/>
  <c r="O127" i="80"/>
  <c r="L127" i="80"/>
  <c r="I127" i="80"/>
  <c r="F127" i="80"/>
  <c r="O126" i="80"/>
  <c r="L126" i="80"/>
  <c r="I126" i="80"/>
  <c r="F126" i="80"/>
  <c r="O125" i="80"/>
  <c r="L125" i="80"/>
  <c r="C125" i="80" s="1"/>
  <c r="I125" i="80"/>
  <c r="F125" i="80"/>
  <c r="O124" i="80"/>
  <c r="L124" i="80"/>
  <c r="I124" i="80"/>
  <c r="F124" i="80"/>
  <c r="C124" i="80" s="1"/>
  <c r="O123" i="80"/>
  <c r="L123" i="80"/>
  <c r="L122" i="80" s="1"/>
  <c r="I123" i="80"/>
  <c r="F123" i="80"/>
  <c r="F122" i="80" s="1"/>
  <c r="N122" i="80"/>
  <c r="M122" i="80"/>
  <c r="K122" i="80"/>
  <c r="J122" i="80"/>
  <c r="H122" i="80"/>
  <c r="G122" i="80"/>
  <c r="E122" i="80"/>
  <c r="D122" i="80"/>
  <c r="O121" i="80"/>
  <c r="L121" i="80"/>
  <c r="I121" i="80"/>
  <c r="F121" i="80"/>
  <c r="O120" i="80"/>
  <c r="L120" i="80"/>
  <c r="I120" i="80"/>
  <c r="F120" i="80"/>
  <c r="O119" i="80"/>
  <c r="L119" i="80"/>
  <c r="I119" i="80"/>
  <c r="F119" i="80"/>
  <c r="O118" i="80"/>
  <c r="L118" i="80"/>
  <c r="I118" i="80"/>
  <c r="F118" i="80"/>
  <c r="O117" i="80"/>
  <c r="L117" i="80"/>
  <c r="I117" i="80"/>
  <c r="I116" i="80" s="1"/>
  <c r="F117" i="80"/>
  <c r="N116" i="80"/>
  <c r="M116" i="80"/>
  <c r="L116" i="80"/>
  <c r="K116" i="80"/>
  <c r="J116" i="80"/>
  <c r="H116" i="80"/>
  <c r="G116" i="80"/>
  <c r="E116" i="80"/>
  <c r="D116" i="80"/>
  <c r="O115" i="80"/>
  <c r="L115" i="80"/>
  <c r="I115" i="80"/>
  <c r="F115" i="80"/>
  <c r="O114" i="80"/>
  <c r="L114" i="80"/>
  <c r="I114" i="80"/>
  <c r="F114" i="80"/>
  <c r="O113" i="80"/>
  <c r="L113" i="80"/>
  <c r="L112" i="80" s="1"/>
  <c r="I113" i="80"/>
  <c r="F113" i="80"/>
  <c r="F112" i="80" s="1"/>
  <c r="N112" i="80"/>
  <c r="M112" i="80"/>
  <c r="K112" i="80"/>
  <c r="J112" i="80"/>
  <c r="H112" i="80"/>
  <c r="G112" i="80"/>
  <c r="E112" i="80"/>
  <c r="D112" i="80"/>
  <c r="O111" i="80"/>
  <c r="L111" i="80"/>
  <c r="I111" i="80"/>
  <c r="F111" i="80"/>
  <c r="O110" i="80"/>
  <c r="L110" i="80"/>
  <c r="I110" i="80"/>
  <c r="F110" i="80"/>
  <c r="O109" i="80"/>
  <c r="L109" i="80"/>
  <c r="I109" i="80"/>
  <c r="F109" i="80"/>
  <c r="O108" i="80"/>
  <c r="L108" i="80"/>
  <c r="I108" i="80"/>
  <c r="F108" i="80"/>
  <c r="O107" i="80"/>
  <c r="L107" i="80"/>
  <c r="I107" i="80"/>
  <c r="F107" i="80"/>
  <c r="C107" i="80" s="1"/>
  <c r="O106" i="80"/>
  <c r="L106" i="80"/>
  <c r="I106" i="80"/>
  <c r="F106" i="80"/>
  <c r="O105" i="80"/>
  <c r="L105" i="80"/>
  <c r="I105" i="80"/>
  <c r="F105" i="80"/>
  <c r="O104" i="80"/>
  <c r="L104" i="80"/>
  <c r="L103" i="80" s="1"/>
  <c r="I104" i="80"/>
  <c r="F104" i="80"/>
  <c r="N103" i="80"/>
  <c r="M103" i="80"/>
  <c r="K103" i="80"/>
  <c r="J103" i="80"/>
  <c r="H103" i="80"/>
  <c r="G103" i="80"/>
  <c r="E103" i="80"/>
  <c r="D103" i="80"/>
  <c r="O102" i="80"/>
  <c r="L102" i="80"/>
  <c r="I102" i="80"/>
  <c r="F102" i="80"/>
  <c r="O101" i="80"/>
  <c r="L101" i="80"/>
  <c r="I101" i="80"/>
  <c r="F101" i="80"/>
  <c r="O100" i="80"/>
  <c r="L100" i="80"/>
  <c r="I100" i="80"/>
  <c r="F100" i="80"/>
  <c r="O99" i="80"/>
  <c r="L99" i="80"/>
  <c r="I99" i="80"/>
  <c r="F99" i="80"/>
  <c r="O98" i="80"/>
  <c r="L98" i="80"/>
  <c r="I98" i="80"/>
  <c r="F98" i="80"/>
  <c r="O97" i="80"/>
  <c r="L97" i="80"/>
  <c r="I97" i="80"/>
  <c r="F97" i="80"/>
  <c r="O96" i="80"/>
  <c r="L96" i="80"/>
  <c r="L95" i="80" s="1"/>
  <c r="I96" i="80"/>
  <c r="F96" i="80"/>
  <c r="O95" i="80"/>
  <c r="N95" i="80"/>
  <c r="M95" i="80"/>
  <c r="K95" i="80"/>
  <c r="J95" i="80"/>
  <c r="H95" i="80"/>
  <c r="G95" i="80"/>
  <c r="F95" i="80"/>
  <c r="E95" i="80"/>
  <c r="D95" i="80"/>
  <c r="O94" i="80"/>
  <c r="L94" i="80"/>
  <c r="I94" i="80"/>
  <c r="F94" i="80"/>
  <c r="O93" i="80"/>
  <c r="L93" i="80"/>
  <c r="I93" i="80"/>
  <c r="F93" i="80"/>
  <c r="O92" i="80"/>
  <c r="L92" i="80"/>
  <c r="I92" i="80"/>
  <c r="F92" i="80"/>
  <c r="O91" i="80"/>
  <c r="L91" i="80"/>
  <c r="I91" i="80"/>
  <c r="F91" i="80"/>
  <c r="O90" i="80"/>
  <c r="L90" i="80"/>
  <c r="L89" i="80" s="1"/>
  <c r="I90" i="80"/>
  <c r="F90" i="80"/>
  <c r="F89" i="80" s="1"/>
  <c r="N89" i="80"/>
  <c r="M89" i="80"/>
  <c r="K89" i="80"/>
  <c r="J89" i="80"/>
  <c r="H89" i="80"/>
  <c r="G89" i="80"/>
  <c r="E89" i="80"/>
  <c r="D89" i="80"/>
  <c r="O88" i="80"/>
  <c r="L88" i="80"/>
  <c r="I88" i="80"/>
  <c r="F88" i="80"/>
  <c r="O87" i="80"/>
  <c r="L87" i="80"/>
  <c r="I87" i="80"/>
  <c r="F87" i="80"/>
  <c r="O86" i="80"/>
  <c r="L86" i="80"/>
  <c r="I86" i="80"/>
  <c r="F86" i="80"/>
  <c r="O85" i="80"/>
  <c r="L85" i="80"/>
  <c r="L84" i="80" s="1"/>
  <c r="I85" i="80"/>
  <c r="I84" i="80" s="1"/>
  <c r="F85" i="80"/>
  <c r="F84" i="80" s="1"/>
  <c r="O84" i="80"/>
  <c r="N84" i="80"/>
  <c r="N83" i="80" s="1"/>
  <c r="M84" i="80"/>
  <c r="M83" i="80" s="1"/>
  <c r="K84" i="80"/>
  <c r="J84" i="80"/>
  <c r="H84" i="80"/>
  <c r="H83" i="80" s="1"/>
  <c r="G84" i="80"/>
  <c r="E84" i="80"/>
  <c r="E83" i="80" s="1"/>
  <c r="D84" i="80"/>
  <c r="D83" i="80" s="1"/>
  <c r="O82" i="80"/>
  <c r="L82" i="80"/>
  <c r="I82" i="80"/>
  <c r="F82" i="80"/>
  <c r="O81" i="80"/>
  <c r="L81" i="80"/>
  <c r="I81" i="80"/>
  <c r="I80" i="80" s="1"/>
  <c r="F81" i="80"/>
  <c r="N80" i="80"/>
  <c r="M80" i="80"/>
  <c r="L80" i="80"/>
  <c r="K80" i="80"/>
  <c r="K76" i="80" s="1"/>
  <c r="J80" i="80"/>
  <c r="H80" i="80"/>
  <c r="G80" i="80"/>
  <c r="G76" i="80" s="1"/>
  <c r="E80" i="80"/>
  <c r="D80" i="80"/>
  <c r="O79" i="80"/>
  <c r="L79" i="80"/>
  <c r="I79" i="80"/>
  <c r="F79" i="80"/>
  <c r="O78" i="80"/>
  <c r="L78" i="80"/>
  <c r="L77" i="80" s="1"/>
  <c r="L76" i="80" s="1"/>
  <c r="I78" i="80"/>
  <c r="F78" i="80"/>
  <c r="N77" i="80"/>
  <c r="N76" i="80" s="1"/>
  <c r="M77" i="80"/>
  <c r="K77" i="80"/>
  <c r="J77" i="80"/>
  <c r="J76" i="80" s="1"/>
  <c r="I77" i="80"/>
  <c r="H77" i="80"/>
  <c r="H76" i="80" s="1"/>
  <c r="G77" i="80"/>
  <c r="E77" i="80"/>
  <c r="D77" i="80"/>
  <c r="M76" i="80"/>
  <c r="E76" i="80"/>
  <c r="D76" i="80"/>
  <c r="O74" i="80"/>
  <c r="L74" i="80"/>
  <c r="I74" i="80"/>
  <c r="F74" i="80"/>
  <c r="O73" i="80"/>
  <c r="L73" i="80"/>
  <c r="I73" i="80"/>
  <c r="F73" i="80"/>
  <c r="O72" i="80"/>
  <c r="L72" i="80"/>
  <c r="I72" i="80"/>
  <c r="F72" i="80"/>
  <c r="O71" i="80"/>
  <c r="L71" i="80"/>
  <c r="I71" i="80"/>
  <c r="F71" i="80"/>
  <c r="O70" i="80"/>
  <c r="O69" i="80" s="1"/>
  <c r="L70" i="80"/>
  <c r="I70" i="80"/>
  <c r="F70" i="80"/>
  <c r="C70" i="80" s="1"/>
  <c r="N69" i="80"/>
  <c r="N67" i="80" s="1"/>
  <c r="M69" i="80"/>
  <c r="M67" i="80" s="1"/>
  <c r="L69" i="80"/>
  <c r="K69" i="80"/>
  <c r="K67" i="80" s="1"/>
  <c r="J69" i="80"/>
  <c r="H69" i="80"/>
  <c r="H67" i="80" s="1"/>
  <c r="G69" i="80"/>
  <c r="G67" i="80" s="1"/>
  <c r="E69" i="80"/>
  <c r="D69" i="80"/>
  <c r="O68" i="80"/>
  <c r="L68" i="80"/>
  <c r="I68" i="80"/>
  <c r="D68" i="80"/>
  <c r="F68" i="80" s="1"/>
  <c r="J67" i="80"/>
  <c r="E67" i="80"/>
  <c r="O66" i="80"/>
  <c r="L66" i="80"/>
  <c r="I66" i="80"/>
  <c r="D66" i="80"/>
  <c r="F66" i="80" s="1"/>
  <c r="C66" i="80" s="1"/>
  <c r="O65" i="80"/>
  <c r="L65" i="80"/>
  <c r="I65" i="80"/>
  <c r="F65" i="80"/>
  <c r="O64" i="80"/>
  <c r="L64" i="80"/>
  <c r="I64" i="80"/>
  <c r="F64" i="80"/>
  <c r="O63" i="80"/>
  <c r="L63" i="80"/>
  <c r="I63" i="80"/>
  <c r="F63" i="80"/>
  <c r="O62" i="80"/>
  <c r="L62" i="80"/>
  <c r="I62" i="80"/>
  <c r="F62" i="80"/>
  <c r="O61" i="80"/>
  <c r="L61" i="80"/>
  <c r="I61" i="80"/>
  <c r="F61" i="80"/>
  <c r="O60" i="80"/>
  <c r="L60" i="80"/>
  <c r="I60" i="80"/>
  <c r="F60" i="80"/>
  <c r="O59" i="80"/>
  <c r="L59" i="80"/>
  <c r="L58" i="80" s="1"/>
  <c r="I59" i="80"/>
  <c r="F59" i="80"/>
  <c r="F58" i="80" s="1"/>
  <c r="O58" i="80"/>
  <c r="N58" i="80"/>
  <c r="M58" i="80"/>
  <c r="K58" i="80"/>
  <c r="J58" i="80"/>
  <c r="I58" i="80"/>
  <c r="H58" i="80"/>
  <c r="G58" i="80"/>
  <c r="E58" i="80"/>
  <c r="D58" i="80"/>
  <c r="O57" i="80"/>
  <c r="L57" i="80"/>
  <c r="I57" i="80"/>
  <c r="F57" i="80"/>
  <c r="O56" i="80"/>
  <c r="L56" i="80"/>
  <c r="L55" i="80" s="1"/>
  <c r="I56" i="80"/>
  <c r="F56" i="80"/>
  <c r="N55" i="80"/>
  <c r="M55" i="80"/>
  <c r="M54" i="80" s="1"/>
  <c r="K55" i="80"/>
  <c r="K54" i="80" s="1"/>
  <c r="J55" i="80"/>
  <c r="H55" i="80"/>
  <c r="H54" i="80" s="1"/>
  <c r="H53" i="80" s="1"/>
  <c r="G55" i="80"/>
  <c r="G54" i="80" s="1"/>
  <c r="E55" i="80"/>
  <c r="D55" i="80"/>
  <c r="D54" i="80" s="1"/>
  <c r="N54" i="80"/>
  <c r="J54" i="80"/>
  <c r="J53" i="80" s="1"/>
  <c r="O47" i="80"/>
  <c r="C47" i="80" s="1"/>
  <c r="O46" i="80"/>
  <c r="C46" i="80" s="1"/>
  <c r="N45" i="80"/>
  <c r="M45" i="80"/>
  <c r="L44" i="80"/>
  <c r="L43" i="80" s="1"/>
  <c r="I44" i="80"/>
  <c r="I43" i="80" s="1"/>
  <c r="F44" i="80"/>
  <c r="K43" i="80"/>
  <c r="J43" i="80"/>
  <c r="H43" i="80"/>
  <c r="G43" i="80"/>
  <c r="E43" i="80"/>
  <c r="D43" i="80"/>
  <c r="F42" i="80"/>
  <c r="C42" i="80" s="1"/>
  <c r="E41" i="80"/>
  <c r="D41" i="80"/>
  <c r="L40" i="80"/>
  <c r="C40" i="80" s="1"/>
  <c r="L39" i="80"/>
  <c r="C39" i="80" s="1"/>
  <c r="L38" i="80"/>
  <c r="C38" i="80" s="1"/>
  <c r="L37" i="80"/>
  <c r="C37" i="80" s="1"/>
  <c r="K36" i="80"/>
  <c r="J36" i="80"/>
  <c r="L35" i="80"/>
  <c r="C35" i="80" s="1"/>
  <c r="L34" i="80"/>
  <c r="C34" i="80" s="1"/>
  <c r="K33" i="80"/>
  <c r="J33" i="80"/>
  <c r="L32" i="80"/>
  <c r="L31" i="80" s="1"/>
  <c r="C31" i="80" s="1"/>
  <c r="K31" i="80"/>
  <c r="J31" i="80"/>
  <c r="L30" i="80"/>
  <c r="C30" i="80" s="1"/>
  <c r="L29" i="80"/>
  <c r="C29" i="80" s="1"/>
  <c r="L28" i="80"/>
  <c r="C28" i="80" s="1"/>
  <c r="K27" i="80"/>
  <c r="J27" i="80"/>
  <c r="F25" i="80"/>
  <c r="C25" i="80" s="1"/>
  <c r="I24" i="80"/>
  <c r="D24" i="80"/>
  <c r="F24" i="80" s="1"/>
  <c r="O23" i="80"/>
  <c r="L23" i="80"/>
  <c r="I23" i="80"/>
  <c r="F23" i="80"/>
  <c r="O22" i="80"/>
  <c r="L22" i="80"/>
  <c r="I22" i="80"/>
  <c r="I21" i="80" s="1"/>
  <c r="I292" i="80" s="1"/>
  <c r="I291" i="80" s="1"/>
  <c r="F22" i="80"/>
  <c r="N21" i="80"/>
  <c r="N292" i="80" s="1"/>
  <c r="N291" i="80" s="1"/>
  <c r="M21" i="80"/>
  <c r="M292" i="80" s="1"/>
  <c r="M291" i="80" s="1"/>
  <c r="K21" i="80"/>
  <c r="K292" i="80" s="1"/>
  <c r="K291" i="80" s="1"/>
  <c r="J21" i="80"/>
  <c r="J292" i="80" s="1"/>
  <c r="J291" i="80" s="1"/>
  <c r="H21" i="80"/>
  <c r="H292" i="80" s="1"/>
  <c r="H291" i="80" s="1"/>
  <c r="G21" i="80"/>
  <c r="G292" i="80" s="1"/>
  <c r="G291" i="80" s="1"/>
  <c r="E21" i="80"/>
  <c r="E292" i="80" s="1"/>
  <c r="E291" i="80" s="1"/>
  <c r="D21" i="80"/>
  <c r="D292" i="80" s="1"/>
  <c r="D291" i="80" s="1"/>
  <c r="H20" i="80"/>
  <c r="O301" i="79"/>
  <c r="L301" i="79"/>
  <c r="I301" i="79"/>
  <c r="F301" i="79"/>
  <c r="O300" i="79"/>
  <c r="L300" i="79"/>
  <c r="I300" i="79"/>
  <c r="F300" i="79"/>
  <c r="O299" i="79"/>
  <c r="L299" i="79"/>
  <c r="I299" i="79"/>
  <c r="F299" i="79"/>
  <c r="O298" i="79"/>
  <c r="L298" i="79"/>
  <c r="I298" i="79"/>
  <c r="F298" i="79"/>
  <c r="O297" i="79"/>
  <c r="L297" i="79"/>
  <c r="I297" i="79"/>
  <c r="F297" i="79"/>
  <c r="O296" i="79"/>
  <c r="L296" i="79"/>
  <c r="I296" i="79"/>
  <c r="F296" i="79"/>
  <c r="O295" i="79"/>
  <c r="L295" i="79"/>
  <c r="I295" i="79"/>
  <c r="F295" i="79"/>
  <c r="O294" i="79"/>
  <c r="O293" i="79" s="1"/>
  <c r="L294" i="79"/>
  <c r="I294" i="79"/>
  <c r="F294" i="79"/>
  <c r="C294" i="79"/>
  <c r="N293" i="79"/>
  <c r="M293" i="79"/>
  <c r="K293" i="79"/>
  <c r="J293" i="79"/>
  <c r="H293" i="79"/>
  <c r="G293" i="79"/>
  <c r="E293" i="79"/>
  <c r="D293" i="79"/>
  <c r="O288" i="79"/>
  <c r="L288" i="79"/>
  <c r="I288" i="79"/>
  <c r="F288" i="79"/>
  <c r="O287" i="79"/>
  <c r="L287" i="79"/>
  <c r="L286" i="79" s="1"/>
  <c r="I287" i="79"/>
  <c r="F287" i="79"/>
  <c r="O286" i="79"/>
  <c r="N286" i="79"/>
  <c r="M286" i="79"/>
  <c r="K286" i="79"/>
  <c r="J286" i="79"/>
  <c r="H286" i="79"/>
  <c r="G286" i="79"/>
  <c r="F286" i="79"/>
  <c r="E286" i="79"/>
  <c r="D286" i="79"/>
  <c r="O285" i="79"/>
  <c r="L285" i="79"/>
  <c r="L284" i="79" s="1"/>
  <c r="L283" i="79" s="1"/>
  <c r="I285" i="79"/>
  <c r="F285" i="79"/>
  <c r="O284" i="79"/>
  <c r="O283" i="79" s="1"/>
  <c r="N284" i="79"/>
  <c r="N283" i="79" s="1"/>
  <c r="M284" i="79"/>
  <c r="M283" i="79" s="1"/>
  <c r="K284" i="79"/>
  <c r="K283" i="79" s="1"/>
  <c r="J284" i="79"/>
  <c r="J283" i="79" s="1"/>
  <c r="I284" i="79"/>
  <c r="I283" i="79" s="1"/>
  <c r="H284" i="79"/>
  <c r="G284" i="79"/>
  <c r="G283" i="79" s="1"/>
  <c r="E284" i="79"/>
  <c r="E283" i="79" s="1"/>
  <c r="D284" i="79"/>
  <c r="H283" i="79"/>
  <c r="D283" i="79"/>
  <c r="O282" i="79"/>
  <c r="O281" i="79" s="1"/>
  <c r="L282" i="79"/>
  <c r="L281" i="79" s="1"/>
  <c r="I282" i="79"/>
  <c r="I281" i="79" s="1"/>
  <c r="F282" i="79"/>
  <c r="F281" i="79" s="1"/>
  <c r="N281" i="79"/>
  <c r="M281" i="79"/>
  <c r="K281" i="79"/>
  <c r="J281" i="79"/>
  <c r="H281" i="79"/>
  <c r="G281" i="79"/>
  <c r="E281" i="79"/>
  <c r="D281" i="79"/>
  <c r="O280" i="79"/>
  <c r="L280" i="79"/>
  <c r="I280" i="79"/>
  <c r="F280" i="79"/>
  <c r="O279" i="79"/>
  <c r="L279" i="79"/>
  <c r="I279" i="79"/>
  <c r="F279" i="79"/>
  <c r="O278" i="79"/>
  <c r="L278" i="79"/>
  <c r="I278" i="79"/>
  <c r="F278" i="79"/>
  <c r="O277" i="79"/>
  <c r="O276" i="79" s="1"/>
  <c r="L277" i="79"/>
  <c r="I277" i="79"/>
  <c r="F277" i="79"/>
  <c r="N276" i="79"/>
  <c r="M276" i="79"/>
  <c r="K276" i="79"/>
  <c r="J276" i="79"/>
  <c r="H276" i="79"/>
  <c r="G276" i="79"/>
  <c r="E276" i="79"/>
  <c r="D276" i="79"/>
  <c r="O275" i="79"/>
  <c r="L275" i="79"/>
  <c r="I275" i="79"/>
  <c r="D275" i="79"/>
  <c r="F275" i="79" s="1"/>
  <c r="O274" i="79"/>
  <c r="L274" i="79"/>
  <c r="I274" i="79"/>
  <c r="F274" i="79"/>
  <c r="O273" i="79"/>
  <c r="O272" i="79" s="1"/>
  <c r="L273" i="79"/>
  <c r="L272" i="79" s="1"/>
  <c r="I273" i="79"/>
  <c r="I272" i="79" s="1"/>
  <c r="F273" i="79"/>
  <c r="N272" i="79"/>
  <c r="N270" i="79" s="1"/>
  <c r="M272" i="79"/>
  <c r="K272" i="79"/>
  <c r="J272" i="79"/>
  <c r="J270" i="79" s="1"/>
  <c r="H272" i="79"/>
  <c r="G272" i="79"/>
  <c r="G270" i="79" s="1"/>
  <c r="G269" i="79" s="1"/>
  <c r="F272" i="79"/>
  <c r="E272" i="79"/>
  <c r="D272" i="79"/>
  <c r="D270" i="79" s="1"/>
  <c r="D269" i="79" s="1"/>
  <c r="O271" i="79"/>
  <c r="L271" i="79"/>
  <c r="I271" i="79"/>
  <c r="F271" i="79"/>
  <c r="K270" i="79"/>
  <c r="K269" i="79" s="1"/>
  <c r="O268" i="79"/>
  <c r="L268" i="79"/>
  <c r="I268" i="79"/>
  <c r="F268" i="79"/>
  <c r="O267" i="79"/>
  <c r="L267" i="79"/>
  <c r="I267" i="79"/>
  <c r="F267" i="79"/>
  <c r="O266" i="79"/>
  <c r="L266" i="79"/>
  <c r="I266" i="79"/>
  <c r="F266" i="79"/>
  <c r="O265" i="79"/>
  <c r="L265" i="79"/>
  <c r="I265" i="79"/>
  <c r="F265" i="79"/>
  <c r="N264" i="79"/>
  <c r="M264" i="79"/>
  <c r="K264" i="79"/>
  <c r="J264" i="79"/>
  <c r="H264" i="79"/>
  <c r="G264" i="79"/>
  <c r="E264" i="79"/>
  <c r="D264" i="79"/>
  <c r="O263" i="79"/>
  <c r="L263" i="79"/>
  <c r="I263" i="79"/>
  <c r="F263" i="79"/>
  <c r="O262" i="79"/>
  <c r="L262" i="79"/>
  <c r="I262" i="79"/>
  <c r="F262" i="79"/>
  <c r="O261" i="79"/>
  <c r="L261" i="79"/>
  <c r="L260" i="79" s="1"/>
  <c r="I261" i="79"/>
  <c r="F261" i="79"/>
  <c r="N260" i="79"/>
  <c r="M260" i="79"/>
  <c r="K260" i="79"/>
  <c r="K259" i="79" s="1"/>
  <c r="J260" i="79"/>
  <c r="H260" i="79"/>
  <c r="G260" i="79"/>
  <c r="G259" i="79" s="1"/>
  <c r="E260" i="79"/>
  <c r="E259" i="79" s="1"/>
  <c r="D260" i="79"/>
  <c r="M259" i="79"/>
  <c r="H259" i="79"/>
  <c r="O258" i="79"/>
  <c r="L258" i="79"/>
  <c r="I258" i="79"/>
  <c r="F258" i="79"/>
  <c r="O257" i="79"/>
  <c r="L257" i="79"/>
  <c r="I257" i="79"/>
  <c r="F257" i="79"/>
  <c r="O256" i="79"/>
  <c r="L256" i="79"/>
  <c r="I256" i="79"/>
  <c r="F256" i="79"/>
  <c r="O255" i="79"/>
  <c r="L255" i="79"/>
  <c r="I255" i="79"/>
  <c r="F255" i="79"/>
  <c r="O254" i="79"/>
  <c r="L254" i="79"/>
  <c r="I254" i="79"/>
  <c r="F254" i="79"/>
  <c r="O253" i="79"/>
  <c r="L253" i="79"/>
  <c r="I253" i="79"/>
  <c r="F253" i="79"/>
  <c r="F252" i="79" s="1"/>
  <c r="N252" i="79"/>
  <c r="N251" i="79" s="1"/>
  <c r="M252" i="79"/>
  <c r="K252" i="79"/>
  <c r="K251" i="79" s="1"/>
  <c r="J252" i="79"/>
  <c r="J251" i="79" s="1"/>
  <c r="H252" i="79"/>
  <c r="G252" i="79"/>
  <c r="G251" i="79" s="1"/>
  <c r="E252" i="79"/>
  <c r="E251" i="79" s="1"/>
  <c r="D252" i="79"/>
  <c r="M251" i="79"/>
  <c r="H251" i="79"/>
  <c r="D251" i="79"/>
  <c r="O250" i="79"/>
  <c r="L250" i="79"/>
  <c r="I250" i="79"/>
  <c r="F250" i="79"/>
  <c r="O249" i="79"/>
  <c r="L249" i="79"/>
  <c r="I249" i="79"/>
  <c r="F249" i="79"/>
  <c r="O248" i="79"/>
  <c r="L248" i="79"/>
  <c r="I248" i="79"/>
  <c r="F248" i="79"/>
  <c r="O247" i="79"/>
  <c r="O246" i="79" s="1"/>
  <c r="L247" i="79"/>
  <c r="I247" i="79"/>
  <c r="F247" i="79"/>
  <c r="N246" i="79"/>
  <c r="M246" i="79"/>
  <c r="K246" i="79"/>
  <c r="J246" i="79"/>
  <c r="H246" i="79"/>
  <c r="G246" i="79"/>
  <c r="E246" i="79"/>
  <c r="D246" i="79"/>
  <c r="O245" i="79"/>
  <c r="L245" i="79"/>
  <c r="I245" i="79"/>
  <c r="F245" i="79"/>
  <c r="O244" i="79"/>
  <c r="L244" i="79"/>
  <c r="I244" i="79"/>
  <c r="F244" i="79"/>
  <c r="O243" i="79"/>
  <c r="L243" i="79"/>
  <c r="I243" i="79"/>
  <c r="F243" i="79"/>
  <c r="C243" i="79" s="1"/>
  <c r="O242" i="79"/>
  <c r="L242" i="79"/>
  <c r="I242" i="79"/>
  <c r="F242" i="79"/>
  <c r="O241" i="79"/>
  <c r="L241" i="79"/>
  <c r="I241" i="79"/>
  <c r="F241" i="79"/>
  <c r="O240" i="79"/>
  <c r="L240" i="79"/>
  <c r="I240" i="79"/>
  <c r="F240" i="79"/>
  <c r="O239" i="79"/>
  <c r="L239" i="79"/>
  <c r="I239" i="79"/>
  <c r="F239" i="79"/>
  <c r="C239" i="79" s="1"/>
  <c r="N238" i="79"/>
  <c r="M238" i="79"/>
  <c r="K238" i="79"/>
  <c r="J238" i="79"/>
  <c r="H238" i="79"/>
  <c r="G238" i="79"/>
  <c r="E238" i="79"/>
  <c r="D238" i="79"/>
  <c r="O237" i="79"/>
  <c r="L237" i="79"/>
  <c r="I237" i="79"/>
  <c r="F237" i="79"/>
  <c r="O236" i="79"/>
  <c r="L236" i="79"/>
  <c r="I236" i="79"/>
  <c r="F236" i="79"/>
  <c r="O235" i="79"/>
  <c r="N235" i="79"/>
  <c r="M235" i="79"/>
  <c r="K235" i="79"/>
  <c r="J235" i="79"/>
  <c r="H235" i="79"/>
  <c r="G235" i="79"/>
  <c r="F235" i="79"/>
  <c r="E235" i="79"/>
  <c r="D235" i="79"/>
  <c r="O234" i="79"/>
  <c r="L234" i="79"/>
  <c r="L233" i="79" s="1"/>
  <c r="I234" i="79"/>
  <c r="F234" i="79"/>
  <c r="O233" i="79"/>
  <c r="N233" i="79"/>
  <c r="M233" i="79"/>
  <c r="K233" i="79"/>
  <c r="J233" i="79"/>
  <c r="I233" i="79"/>
  <c r="H233" i="79"/>
  <c r="G233" i="79"/>
  <c r="G231" i="79" s="1"/>
  <c r="G230" i="79" s="1"/>
  <c r="E233" i="79"/>
  <c r="D233" i="79"/>
  <c r="O232" i="79"/>
  <c r="L232" i="79"/>
  <c r="I232" i="79"/>
  <c r="F232" i="79"/>
  <c r="N231" i="79"/>
  <c r="K231" i="79"/>
  <c r="J231" i="79"/>
  <c r="O229" i="79"/>
  <c r="L229" i="79"/>
  <c r="I229" i="79"/>
  <c r="F229" i="79"/>
  <c r="O228" i="79"/>
  <c r="L228" i="79"/>
  <c r="L227" i="79" s="1"/>
  <c r="I228" i="79"/>
  <c r="I227" i="79" s="1"/>
  <c r="F228" i="79"/>
  <c r="O227" i="79"/>
  <c r="N227" i="79"/>
  <c r="M227" i="79"/>
  <c r="K227" i="79"/>
  <c r="J227" i="79"/>
  <c r="H227" i="79"/>
  <c r="G227" i="79"/>
  <c r="F227" i="79"/>
  <c r="E227" i="79"/>
  <c r="D227" i="79"/>
  <c r="O226" i="79"/>
  <c r="L226" i="79"/>
  <c r="I226" i="79"/>
  <c r="F226" i="79"/>
  <c r="O225" i="79"/>
  <c r="L225" i="79"/>
  <c r="I225" i="79"/>
  <c r="F225" i="79"/>
  <c r="O224" i="79"/>
  <c r="L224" i="79"/>
  <c r="I224" i="79"/>
  <c r="F224" i="79"/>
  <c r="O223" i="79"/>
  <c r="L223" i="79"/>
  <c r="I223" i="79"/>
  <c r="D223" i="79"/>
  <c r="O222" i="79"/>
  <c r="L222" i="79"/>
  <c r="I222" i="79"/>
  <c r="F222" i="79"/>
  <c r="O221" i="79"/>
  <c r="L221" i="79"/>
  <c r="I221" i="79"/>
  <c r="F221" i="79"/>
  <c r="O220" i="79"/>
  <c r="L220" i="79"/>
  <c r="I220" i="79"/>
  <c r="F220" i="79"/>
  <c r="O219" i="79"/>
  <c r="L219" i="79"/>
  <c r="I219" i="79"/>
  <c r="F219" i="79"/>
  <c r="O218" i="79"/>
  <c r="L218" i="79"/>
  <c r="I218" i="79"/>
  <c r="F218" i="79"/>
  <c r="O217" i="79"/>
  <c r="L217" i="79"/>
  <c r="I217" i="79"/>
  <c r="F217" i="79"/>
  <c r="O216" i="79"/>
  <c r="N216" i="79"/>
  <c r="M216" i="79"/>
  <c r="K216" i="79"/>
  <c r="J216" i="79"/>
  <c r="H216" i="79"/>
  <c r="G216" i="79"/>
  <c r="E216" i="79"/>
  <c r="O215" i="79"/>
  <c r="L215" i="79"/>
  <c r="I215" i="79"/>
  <c r="F215" i="79"/>
  <c r="O214" i="79"/>
  <c r="L214" i="79"/>
  <c r="I214" i="79"/>
  <c r="F214" i="79"/>
  <c r="O213" i="79"/>
  <c r="L213" i="79"/>
  <c r="I213" i="79"/>
  <c r="F213" i="79"/>
  <c r="O212" i="79"/>
  <c r="L212" i="79"/>
  <c r="I212" i="79"/>
  <c r="F212" i="79"/>
  <c r="O211" i="79"/>
  <c r="L211" i="79"/>
  <c r="I211" i="79"/>
  <c r="F211" i="79"/>
  <c r="O210" i="79"/>
  <c r="L210" i="79"/>
  <c r="I210" i="79"/>
  <c r="F210" i="79"/>
  <c r="O209" i="79"/>
  <c r="L209" i="79"/>
  <c r="I209" i="79"/>
  <c r="F209" i="79"/>
  <c r="O208" i="79"/>
  <c r="L208" i="79"/>
  <c r="I208" i="79"/>
  <c r="F208" i="79"/>
  <c r="C208" i="79"/>
  <c r="O207" i="79"/>
  <c r="L207" i="79"/>
  <c r="I207" i="79"/>
  <c r="F207" i="79"/>
  <c r="C207" i="79" s="1"/>
  <c r="O206" i="79"/>
  <c r="L206" i="79"/>
  <c r="I206" i="79"/>
  <c r="F206" i="79"/>
  <c r="N205" i="79"/>
  <c r="M205" i="79"/>
  <c r="K205" i="79"/>
  <c r="J205" i="79"/>
  <c r="J204" i="79" s="1"/>
  <c r="H205" i="79"/>
  <c r="G205" i="79"/>
  <c r="G204" i="79" s="1"/>
  <c r="E205" i="79"/>
  <c r="D205" i="79"/>
  <c r="M204" i="79"/>
  <c r="K204" i="79"/>
  <c r="E204" i="79"/>
  <c r="O203" i="79"/>
  <c r="L203" i="79"/>
  <c r="I203" i="79"/>
  <c r="F203" i="79"/>
  <c r="O202" i="79"/>
  <c r="L202" i="79"/>
  <c r="I202" i="79"/>
  <c r="F202" i="79"/>
  <c r="O201" i="79"/>
  <c r="L201" i="79"/>
  <c r="I201" i="79"/>
  <c r="F201" i="79"/>
  <c r="O200" i="79"/>
  <c r="L200" i="79"/>
  <c r="I200" i="79"/>
  <c r="F200" i="79"/>
  <c r="O199" i="79"/>
  <c r="L199" i="79"/>
  <c r="L198" i="79" s="1"/>
  <c r="I199" i="79"/>
  <c r="I198" i="79" s="1"/>
  <c r="F199" i="79"/>
  <c r="N198" i="79"/>
  <c r="M198" i="79"/>
  <c r="M196" i="79" s="1"/>
  <c r="M195" i="79" s="1"/>
  <c r="K198" i="79"/>
  <c r="J198" i="79"/>
  <c r="H198" i="79"/>
  <c r="G198" i="79"/>
  <c r="E198" i="79"/>
  <c r="E196" i="79" s="1"/>
  <c r="E195" i="79" s="1"/>
  <c r="D198" i="79"/>
  <c r="D196" i="79" s="1"/>
  <c r="O197" i="79"/>
  <c r="L197" i="79"/>
  <c r="I197" i="79"/>
  <c r="F197" i="79"/>
  <c r="N196" i="79"/>
  <c r="K196" i="79"/>
  <c r="J196" i="79"/>
  <c r="H196" i="79"/>
  <c r="G196" i="79"/>
  <c r="O193" i="79"/>
  <c r="L193" i="79"/>
  <c r="L192" i="79" s="1"/>
  <c r="I193" i="79"/>
  <c r="I192" i="79" s="1"/>
  <c r="I191" i="79" s="1"/>
  <c r="F193" i="79"/>
  <c r="F192" i="79" s="1"/>
  <c r="F191" i="79" s="1"/>
  <c r="O192" i="79"/>
  <c r="O191" i="79" s="1"/>
  <c r="N192" i="79"/>
  <c r="M192" i="79"/>
  <c r="K192" i="79"/>
  <c r="K191" i="79" s="1"/>
  <c r="J192" i="79"/>
  <c r="H192" i="79"/>
  <c r="H191" i="79" s="1"/>
  <c r="G192" i="79"/>
  <c r="G191" i="79" s="1"/>
  <c r="E192" i="79"/>
  <c r="D192" i="79"/>
  <c r="N191" i="79"/>
  <c r="M191" i="79"/>
  <c r="J191" i="79"/>
  <c r="E191" i="79"/>
  <c r="D191" i="79"/>
  <c r="O190" i="79"/>
  <c r="L190" i="79"/>
  <c r="I190" i="79"/>
  <c r="F190" i="79"/>
  <c r="O189" i="79"/>
  <c r="L189" i="79"/>
  <c r="L188" i="79" s="1"/>
  <c r="I189" i="79"/>
  <c r="F189" i="79"/>
  <c r="O188" i="79"/>
  <c r="N188" i="79"/>
  <c r="M188" i="79"/>
  <c r="K188" i="79"/>
  <c r="J188" i="79"/>
  <c r="J187" i="79" s="1"/>
  <c r="H188" i="79"/>
  <c r="G188" i="79"/>
  <c r="F188" i="79"/>
  <c r="E188" i="79"/>
  <c r="D188" i="79"/>
  <c r="M187" i="79"/>
  <c r="K187" i="79"/>
  <c r="E187" i="79"/>
  <c r="D187" i="79"/>
  <c r="O186" i="79"/>
  <c r="L186" i="79"/>
  <c r="I186" i="79"/>
  <c r="F186" i="79"/>
  <c r="O185" i="79"/>
  <c r="L185" i="79"/>
  <c r="L184" i="79" s="1"/>
  <c r="I185" i="79"/>
  <c r="F185" i="79"/>
  <c r="F184" i="79" s="1"/>
  <c r="O184" i="79"/>
  <c r="N184" i="79"/>
  <c r="M184" i="79"/>
  <c r="K184" i="79"/>
  <c r="J184" i="79"/>
  <c r="H184" i="79"/>
  <c r="G184" i="79"/>
  <c r="E184" i="79"/>
  <c r="D184" i="79"/>
  <c r="O183" i="79"/>
  <c r="L183" i="79"/>
  <c r="I183" i="79"/>
  <c r="F183" i="79"/>
  <c r="O182" i="79"/>
  <c r="L182" i="79"/>
  <c r="I182" i="79"/>
  <c r="F182" i="79"/>
  <c r="O181" i="79"/>
  <c r="L181" i="79"/>
  <c r="I181" i="79"/>
  <c r="F181" i="79"/>
  <c r="O180" i="79"/>
  <c r="O179" i="79" s="1"/>
  <c r="L180" i="79"/>
  <c r="I180" i="79"/>
  <c r="I179" i="79" s="1"/>
  <c r="F180" i="79"/>
  <c r="N179" i="79"/>
  <c r="M179" i="79"/>
  <c r="K179" i="79"/>
  <c r="J179" i="79"/>
  <c r="H179" i="79"/>
  <c r="G179" i="79"/>
  <c r="E179" i="79"/>
  <c r="D179" i="79"/>
  <c r="O178" i="79"/>
  <c r="L178" i="79"/>
  <c r="I178" i="79"/>
  <c r="F178" i="79"/>
  <c r="O177" i="79"/>
  <c r="L177" i="79"/>
  <c r="I177" i="79"/>
  <c r="F177" i="79"/>
  <c r="O176" i="79"/>
  <c r="O175" i="79" s="1"/>
  <c r="O174" i="79" s="1"/>
  <c r="O173" i="79" s="1"/>
  <c r="L176" i="79"/>
  <c r="L175" i="79" s="1"/>
  <c r="I176" i="79"/>
  <c r="I175" i="79" s="1"/>
  <c r="I174" i="79" s="1"/>
  <c r="F176" i="79"/>
  <c r="C176" i="79"/>
  <c r="N175" i="79"/>
  <c r="M175" i="79"/>
  <c r="M174" i="79" s="1"/>
  <c r="K175" i="79"/>
  <c r="J175" i="79"/>
  <c r="J174" i="79" s="1"/>
  <c r="H175" i="79"/>
  <c r="G175" i="79"/>
  <c r="F175" i="79"/>
  <c r="E175" i="79"/>
  <c r="E174" i="79" s="1"/>
  <c r="E173" i="79" s="1"/>
  <c r="D175" i="79"/>
  <c r="K174" i="79"/>
  <c r="G174" i="79"/>
  <c r="J173" i="79"/>
  <c r="O172" i="79"/>
  <c r="L172" i="79"/>
  <c r="I172" i="79"/>
  <c r="F172" i="79"/>
  <c r="O171" i="79"/>
  <c r="L171" i="79"/>
  <c r="I171" i="79"/>
  <c r="F171" i="79"/>
  <c r="O170" i="79"/>
  <c r="L170" i="79"/>
  <c r="I170" i="79"/>
  <c r="F170" i="79"/>
  <c r="O169" i="79"/>
  <c r="L169" i="79"/>
  <c r="I169" i="79"/>
  <c r="F169" i="79"/>
  <c r="O168" i="79"/>
  <c r="L168" i="79"/>
  <c r="I168" i="79"/>
  <c r="F168" i="79"/>
  <c r="O167" i="79"/>
  <c r="L167" i="79"/>
  <c r="L166" i="79" s="1"/>
  <c r="L165" i="79" s="1"/>
  <c r="I167" i="79"/>
  <c r="F167" i="79"/>
  <c r="N166" i="79"/>
  <c r="M166" i="79"/>
  <c r="M165" i="79" s="1"/>
  <c r="K166" i="79"/>
  <c r="K165" i="79" s="1"/>
  <c r="J166" i="79"/>
  <c r="H166" i="79"/>
  <c r="G166" i="79"/>
  <c r="G165" i="79" s="1"/>
  <c r="E166" i="79"/>
  <c r="E165" i="79" s="1"/>
  <c r="D166" i="79"/>
  <c r="N165" i="79"/>
  <c r="J165" i="79"/>
  <c r="H165" i="79"/>
  <c r="D165" i="79"/>
  <c r="O164" i="79"/>
  <c r="L164" i="79"/>
  <c r="I164" i="79"/>
  <c r="F164" i="79"/>
  <c r="O163" i="79"/>
  <c r="L163" i="79"/>
  <c r="I163" i="79"/>
  <c r="F163" i="79"/>
  <c r="O162" i="79"/>
  <c r="L162" i="79"/>
  <c r="I162" i="79"/>
  <c r="F162" i="79"/>
  <c r="O161" i="79"/>
  <c r="L161" i="79"/>
  <c r="L160" i="79" s="1"/>
  <c r="I161" i="79"/>
  <c r="F161" i="79"/>
  <c r="F160" i="79" s="1"/>
  <c r="O160" i="79"/>
  <c r="N160" i="79"/>
  <c r="M160" i="79"/>
  <c r="K160" i="79"/>
  <c r="J160" i="79"/>
  <c r="H160" i="79"/>
  <c r="G160" i="79"/>
  <c r="E160" i="79"/>
  <c r="D160" i="79"/>
  <c r="O159" i="79"/>
  <c r="L159" i="79"/>
  <c r="I159" i="79"/>
  <c r="F159" i="79"/>
  <c r="O158" i="79"/>
  <c r="L158" i="79"/>
  <c r="I158" i="79"/>
  <c r="F158" i="79"/>
  <c r="O157" i="79"/>
  <c r="L157" i="79"/>
  <c r="I157" i="79"/>
  <c r="F157" i="79"/>
  <c r="O156" i="79"/>
  <c r="L156" i="79"/>
  <c r="I156" i="79"/>
  <c r="F156" i="79"/>
  <c r="O155" i="79"/>
  <c r="L155" i="79"/>
  <c r="I155" i="79"/>
  <c r="F155" i="79"/>
  <c r="O154" i="79"/>
  <c r="L154" i="79"/>
  <c r="I154" i="79"/>
  <c r="F154" i="79"/>
  <c r="O153" i="79"/>
  <c r="L153" i="79"/>
  <c r="I153" i="79"/>
  <c r="F153" i="79"/>
  <c r="O152" i="79"/>
  <c r="O151" i="79" s="1"/>
  <c r="L152" i="79"/>
  <c r="I152" i="79"/>
  <c r="F152" i="79"/>
  <c r="N151" i="79"/>
  <c r="M151" i="79"/>
  <c r="K151" i="79"/>
  <c r="J151" i="79"/>
  <c r="H151" i="79"/>
  <c r="G151" i="79"/>
  <c r="E151" i="79"/>
  <c r="D151" i="79"/>
  <c r="O150" i="79"/>
  <c r="L150" i="79"/>
  <c r="I150" i="79"/>
  <c r="F150" i="79"/>
  <c r="O149" i="79"/>
  <c r="L149" i="79"/>
  <c r="I149" i="79"/>
  <c r="F149" i="79"/>
  <c r="O148" i="79"/>
  <c r="L148" i="79"/>
  <c r="I148" i="79"/>
  <c r="F148" i="79"/>
  <c r="O147" i="79"/>
  <c r="L147" i="79"/>
  <c r="I147" i="79"/>
  <c r="F147" i="79"/>
  <c r="O146" i="79"/>
  <c r="L146" i="79"/>
  <c r="I146" i="79"/>
  <c r="F146" i="79"/>
  <c r="O145" i="79"/>
  <c r="L145" i="79"/>
  <c r="I145" i="79"/>
  <c r="F145" i="79"/>
  <c r="F144" i="79" s="1"/>
  <c r="O144" i="79"/>
  <c r="N144" i="79"/>
  <c r="M144" i="79"/>
  <c r="K144" i="79"/>
  <c r="J144" i="79"/>
  <c r="H144" i="79"/>
  <c r="G144" i="79"/>
  <c r="E144" i="79"/>
  <c r="D144" i="79"/>
  <c r="O143" i="79"/>
  <c r="L143" i="79"/>
  <c r="I143" i="79"/>
  <c r="F143" i="79"/>
  <c r="C143" i="79" s="1"/>
  <c r="O142" i="79"/>
  <c r="O141" i="79" s="1"/>
  <c r="L142" i="79"/>
  <c r="L141" i="79" s="1"/>
  <c r="I142" i="79"/>
  <c r="F142" i="79"/>
  <c r="N141" i="79"/>
  <c r="M141" i="79"/>
  <c r="K141" i="79"/>
  <c r="J141" i="79"/>
  <c r="H141" i="79"/>
  <c r="G141" i="79"/>
  <c r="F141" i="79"/>
  <c r="E141" i="79"/>
  <c r="D141" i="79"/>
  <c r="O140" i="79"/>
  <c r="L140" i="79"/>
  <c r="I140" i="79"/>
  <c r="F140" i="79"/>
  <c r="O139" i="79"/>
  <c r="L139" i="79"/>
  <c r="I139" i="79"/>
  <c r="F139" i="79"/>
  <c r="O138" i="79"/>
  <c r="L138" i="79"/>
  <c r="I138" i="79"/>
  <c r="F138" i="79"/>
  <c r="O137" i="79"/>
  <c r="L137" i="79"/>
  <c r="L136" i="79" s="1"/>
  <c r="I137" i="79"/>
  <c r="F137" i="79"/>
  <c r="F136" i="79" s="1"/>
  <c r="O136" i="79"/>
  <c r="N136" i="79"/>
  <c r="M136" i="79"/>
  <c r="K136" i="79"/>
  <c r="J136" i="79"/>
  <c r="H136" i="79"/>
  <c r="G136" i="79"/>
  <c r="E136" i="79"/>
  <c r="D136" i="79"/>
  <c r="O135" i="79"/>
  <c r="L135" i="79"/>
  <c r="I135" i="79"/>
  <c r="F135" i="79"/>
  <c r="O134" i="79"/>
  <c r="L134" i="79"/>
  <c r="I134" i="79"/>
  <c r="F134" i="79"/>
  <c r="O133" i="79"/>
  <c r="L133" i="79"/>
  <c r="I133" i="79"/>
  <c r="F133" i="79"/>
  <c r="O132" i="79"/>
  <c r="O131" i="79" s="1"/>
  <c r="L132" i="79"/>
  <c r="L131" i="79" s="1"/>
  <c r="I132" i="79"/>
  <c r="I131" i="79" s="1"/>
  <c r="F132" i="79"/>
  <c r="N131" i="79"/>
  <c r="M131" i="79"/>
  <c r="K131" i="79"/>
  <c r="J131" i="79"/>
  <c r="H131" i="79"/>
  <c r="H130" i="79" s="1"/>
  <c r="G131" i="79"/>
  <c r="E131" i="79"/>
  <c r="D131" i="79"/>
  <c r="M130" i="79"/>
  <c r="E130" i="79"/>
  <c r="O129" i="79"/>
  <c r="L129" i="79"/>
  <c r="L128" i="79" s="1"/>
  <c r="I129" i="79"/>
  <c r="I128" i="79" s="1"/>
  <c r="F129" i="79"/>
  <c r="F128" i="79" s="1"/>
  <c r="O128" i="79"/>
  <c r="N128" i="79"/>
  <c r="M128" i="79"/>
  <c r="K128" i="79"/>
  <c r="J128" i="79"/>
  <c r="H128" i="79"/>
  <c r="G128" i="79"/>
  <c r="E128" i="79"/>
  <c r="D128" i="79"/>
  <c r="O127" i="79"/>
  <c r="L127" i="79"/>
  <c r="I127" i="79"/>
  <c r="D127" i="79"/>
  <c r="F127" i="79" s="1"/>
  <c r="O126" i="79"/>
  <c r="L126" i="79"/>
  <c r="I126" i="79"/>
  <c r="F126" i="79"/>
  <c r="O125" i="79"/>
  <c r="L125" i="79"/>
  <c r="I125" i="79"/>
  <c r="D125" i="79"/>
  <c r="O124" i="79"/>
  <c r="L124" i="79"/>
  <c r="I124" i="79"/>
  <c r="F124" i="79"/>
  <c r="O123" i="79"/>
  <c r="L123" i="79"/>
  <c r="I123" i="79"/>
  <c r="F123" i="79"/>
  <c r="O122" i="79"/>
  <c r="N122" i="79"/>
  <c r="M122" i="79"/>
  <c r="K122" i="79"/>
  <c r="J122" i="79"/>
  <c r="H122" i="79"/>
  <c r="G122" i="79"/>
  <c r="E122" i="79"/>
  <c r="O121" i="79"/>
  <c r="L121" i="79"/>
  <c r="I121" i="79"/>
  <c r="F121" i="79"/>
  <c r="O120" i="79"/>
  <c r="L120" i="79"/>
  <c r="I120" i="79"/>
  <c r="F120" i="79"/>
  <c r="O119" i="79"/>
  <c r="L119" i="79"/>
  <c r="I119" i="79"/>
  <c r="F119" i="79"/>
  <c r="O118" i="79"/>
  <c r="L118" i="79"/>
  <c r="C118" i="79" s="1"/>
  <c r="I118" i="79"/>
  <c r="F118" i="79"/>
  <c r="O117" i="79"/>
  <c r="L117" i="79"/>
  <c r="I117" i="79"/>
  <c r="I116" i="79" s="1"/>
  <c r="F117" i="79"/>
  <c r="N116" i="79"/>
  <c r="M116" i="79"/>
  <c r="K116" i="79"/>
  <c r="J116" i="79"/>
  <c r="H116" i="79"/>
  <c r="G116" i="79"/>
  <c r="E116" i="79"/>
  <c r="D116" i="79"/>
  <c r="O115" i="79"/>
  <c r="L115" i="79"/>
  <c r="I115" i="79"/>
  <c r="F115" i="79"/>
  <c r="O114" i="79"/>
  <c r="L114" i="79"/>
  <c r="I114" i="79"/>
  <c r="F114" i="79"/>
  <c r="O113" i="79"/>
  <c r="L113" i="79"/>
  <c r="L112" i="79" s="1"/>
  <c r="I113" i="79"/>
  <c r="F113" i="79"/>
  <c r="N112" i="79"/>
  <c r="M112" i="79"/>
  <c r="K112" i="79"/>
  <c r="J112" i="79"/>
  <c r="H112" i="79"/>
  <c r="G112" i="79"/>
  <c r="E112" i="79"/>
  <c r="D112" i="79"/>
  <c r="O111" i="79"/>
  <c r="L111" i="79"/>
  <c r="I111" i="79"/>
  <c r="F111" i="79"/>
  <c r="O110" i="79"/>
  <c r="L110" i="79"/>
  <c r="I110" i="79"/>
  <c r="F110" i="79"/>
  <c r="O109" i="79"/>
  <c r="L109" i="79"/>
  <c r="I109" i="79"/>
  <c r="F109" i="79"/>
  <c r="O108" i="79"/>
  <c r="L108" i="79"/>
  <c r="I108" i="79"/>
  <c r="F108" i="79"/>
  <c r="O107" i="79"/>
  <c r="L107" i="79"/>
  <c r="I107" i="79"/>
  <c r="F107" i="79"/>
  <c r="O106" i="79"/>
  <c r="L106" i="79"/>
  <c r="I106" i="79"/>
  <c r="F106" i="79"/>
  <c r="O105" i="79"/>
  <c r="L105" i="79"/>
  <c r="I105" i="79"/>
  <c r="F105" i="79"/>
  <c r="O104" i="79"/>
  <c r="L104" i="79"/>
  <c r="I104" i="79"/>
  <c r="F104" i="79"/>
  <c r="N103" i="79"/>
  <c r="M103" i="79"/>
  <c r="K103" i="79"/>
  <c r="J103" i="79"/>
  <c r="H103" i="79"/>
  <c r="G103" i="79"/>
  <c r="F103" i="79"/>
  <c r="E103" i="79"/>
  <c r="D103" i="79"/>
  <c r="O102" i="79"/>
  <c r="L102" i="79"/>
  <c r="I102" i="79"/>
  <c r="F102" i="79"/>
  <c r="O101" i="79"/>
  <c r="L101" i="79"/>
  <c r="I101" i="79"/>
  <c r="F101" i="79"/>
  <c r="O100" i="79"/>
  <c r="L100" i="79"/>
  <c r="I100" i="79"/>
  <c r="F100" i="79"/>
  <c r="O99" i="79"/>
  <c r="L99" i="79"/>
  <c r="I99" i="79"/>
  <c r="F99" i="79"/>
  <c r="O98" i="79"/>
  <c r="L98" i="79"/>
  <c r="I98" i="79"/>
  <c r="C98" i="79" s="1"/>
  <c r="F98" i="79"/>
  <c r="O97" i="79"/>
  <c r="L97" i="79"/>
  <c r="I97" i="79"/>
  <c r="F97" i="79"/>
  <c r="O96" i="79"/>
  <c r="L96" i="79"/>
  <c r="I96" i="79"/>
  <c r="F96" i="79"/>
  <c r="N95" i="79"/>
  <c r="M95" i="79"/>
  <c r="K95" i="79"/>
  <c r="J95" i="79"/>
  <c r="H95" i="79"/>
  <c r="G95" i="79"/>
  <c r="E95" i="79"/>
  <c r="D95" i="79"/>
  <c r="O94" i="79"/>
  <c r="L94" i="79"/>
  <c r="I94" i="79"/>
  <c r="F94" i="79"/>
  <c r="O93" i="79"/>
  <c r="L93" i="79"/>
  <c r="I93" i="79"/>
  <c r="F93" i="79"/>
  <c r="O92" i="79"/>
  <c r="L92" i="79"/>
  <c r="I92" i="79"/>
  <c r="F92" i="79"/>
  <c r="O91" i="79"/>
  <c r="L91" i="79"/>
  <c r="I91" i="79"/>
  <c r="F91" i="79"/>
  <c r="O90" i="79"/>
  <c r="O89" i="79" s="1"/>
  <c r="L90" i="79"/>
  <c r="I90" i="79"/>
  <c r="I89" i="79" s="1"/>
  <c r="F90" i="79"/>
  <c r="N89" i="79"/>
  <c r="M89" i="79"/>
  <c r="K89" i="79"/>
  <c r="J89" i="79"/>
  <c r="H89" i="79"/>
  <c r="G89" i="79"/>
  <c r="F89" i="79"/>
  <c r="E89" i="79"/>
  <c r="D89" i="79"/>
  <c r="O88" i="79"/>
  <c r="L88" i="79"/>
  <c r="I88" i="79"/>
  <c r="F88" i="79"/>
  <c r="O87" i="79"/>
  <c r="L87" i="79"/>
  <c r="I87" i="79"/>
  <c r="F87" i="79"/>
  <c r="O86" i="79"/>
  <c r="L86" i="79"/>
  <c r="I86" i="79"/>
  <c r="F86" i="79"/>
  <c r="O85" i="79"/>
  <c r="L85" i="79"/>
  <c r="I85" i="79"/>
  <c r="F85" i="79"/>
  <c r="O84" i="79"/>
  <c r="N84" i="79"/>
  <c r="M84" i="79"/>
  <c r="K84" i="79"/>
  <c r="K83" i="79" s="1"/>
  <c r="J84" i="79"/>
  <c r="H84" i="79"/>
  <c r="G84" i="79"/>
  <c r="E84" i="79"/>
  <c r="E83" i="79" s="1"/>
  <c r="D84" i="79"/>
  <c r="O82" i="79"/>
  <c r="L82" i="79"/>
  <c r="I82" i="79"/>
  <c r="C82" i="79" s="1"/>
  <c r="F82" i="79"/>
  <c r="O81" i="79"/>
  <c r="L81" i="79"/>
  <c r="L80" i="79" s="1"/>
  <c r="I81" i="79"/>
  <c r="I80" i="79" s="1"/>
  <c r="F81" i="79"/>
  <c r="N80" i="79"/>
  <c r="M80" i="79"/>
  <c r="K80" i="79"/>
  <c r="J80" i="79"/>
  <c r="H80" i="79"/>
  <c r="G80" i="79"/>
  <c r="E80" i="79"/>
  <c r="D80" i="79"/>
  <c r="O79" i="79"/>
  <c r="L79" i="79"/>
  <c r="I79" i="79"/>
  <c r="F79" i="79"/>
  <c r="O78" i="79"/>
  <c r="L78" i="79"/>
  <c r="L77" i="79" s="1"/>
  <c r="I78" i="79"/>
  <c r="F78" i="79"/>
  <c r="O77" i="79"/>
  <c r="N77" i="79"/>
  <c r="N76" i="79" s="1"/>
  <c r="M77" i="79"/>
  <c r="M76" i="79" s="1"/>
  <c r="K77" i="79"/>
  <c r="J77" i="79"/>
  <c r="J76" i="79" s="1"/>
  <c r="H77" i="79"/>
  <c r="H76" i="79" s="1"/>
  <c r="G77" i="79"/>
  <c r="E77" i="79"/>
  <c r="D77" i="79"/>
  <c r="O74" i="79"/>
  <c r="L74" i="79"/>
  <c r="I74" i="79"/>
  <c r="F74" i="79"/>
  <c r="O73" i="79"/>
  <c r="L73" i="79"/>
  <c r="I73" i="79"/>
  <c r="F73" i="79"/>
  <c r="O72" i="79"/>
  <c r="L72" i="79"/>
  <c r="I72" i="79"/>
  <c r="F72" i="79"/>
  <c r="O71" i="79"/>
  <c r="L71" i="79"/>
  <c r="I71" i="79"/>
  <c r="F71" i="79"/>
  <c r="O70" i="79"/>
  <c r="O69" i="79" s="1"/>
  <c r="L70" i="79"/>
  <c r="I70" i="79"/>
  <c r="C70" i="79" s="1"/>
  <c r="F70" i="79"/>
  <c r="N69" i="79"/>
  <c r="M69" i="79"/>
  <c r="K69" i="79"/>
  <c r="K67" i="79" s="1"/>
  <c r="J69" i="79"/>
  <c r="J67" i="79" s="1"/>
  <c r="H69" i="79"/>
  <c r="H67" i="79" s="1"/>
  <c r="G69" i="79"/>
  <c r="G67" i="79" s="1"/>
  <c r="E69" i="79"/>
  <c r="D69" i="79"/>
  <c r="D67" i="79" s="1"/>
  <c r="O68" i="79"/>
  <c r="L68" i="79"/>
  <c r="I68" i="79"/>
  <c r="F68" i="79"/>
  <c r="N67" i="79"/>
  <c r="M67" i="79"/>
  <c r="E67" i="79"/>
  <c r="O66" i="79"/>
  <c r="L66" i="79"/>
  <c r="I66" i="79"/>
  <c r="F66" i="79"/>
  <c r="O65" i="79"/>
  <c r="L65" i="79"/>
  <c r="I65" i="79"/>
  <c r="F65" i="79"/>
  <c r="O64" i="79"/>
  <c r="L64" i="79"/>
  <c r="I64" i="79"/>
  <c r="F64" i="79"/>
  <c r="O63" i="79"/>
  <c r="L63" i="79"/>
  <c r="I63" i="79"/>
  <c r="F63" i="79"/>
  <c r="O62" i="79"/>
  <c r="L62" i="79"/>
  <c r="I62" i="79"/>
  <c r="F62" i="79"/>
  <c r="O61" i="79"/>
  <c r="L61" i="79"/>
  <c r="I61" i="79"/>
  <c r="F61" i="79"/>
  <c r="O60" i="79"/>
  <c r="L60" i="79"/>
  <c r="I60" i="79"/>
  <c r="F60" i="79"/>
  <c r="O59" i="79"/>
  <c r="L59" i="79"/>
  <c r="I59" i="79"/>
  <c r="I58" i="79" s="1"/>
  <c r="F59" i="79"/>
  <c r="N58" i="79"/>
  <c r="M58" i="79"/>
  <c r="K58" i="79"/>
  <c r="J58" i="79"/>
  <c r="H58" i="79"/>
  <c r="G58" i="79"/>
  <c r="E58" i="79"/>
  <c r="D58" i="79"/>
  <c r="O57" i="79"/>
  <c r="L57" i="79"/>
  <c r="I57" i="79"/>
  <c r="F57" i="79"/>
  <c r="O56" i="79"/>
  <c r="L56" i="79"/>
  <c r="L55" i="79" s="1"/>
  <c r="I56" i="79"/>
  <c r="I55" i="79" s="1"/>
  <c r="I54" i="79" s="1"/>
  <c r="F56" i="79"/>
  <c r="N55" i="79"/>
  <c r="N54" i="79" s="1"/>
  <c r="N53" i="79" s="1"/>
  <c r="M55" i="79"/>
  <c r="M54" i="79" s="1"/>
  <c r="M53" i="79" s="1"/>
  <c r="K55" i="79"/>
  <c r="J55" i="79"/>
  <c r="J54" i="79" s="1"/>
  <c r="H55" i="79"/>
  <c r="H54" i="79" s="1"/>
  <c r="H53" i="79" s="1"/>
  <c r="G55" i="79"/>
  <c r="F55" i="79"/>
  <c r="E55" i="79"/>
  <c r="E54" i="79" s="1"/>
  <c r="E53" i="79" s="1"/>
  <c r="D55" i="79"/>
  <c r="G54" i="79"/>
  <c r="G53" i="79" s="1"/>
  <c r="D54" i="79"/>
  <c r="D53" i="79" s="1"/>
  <c r="O47" i="79"/>
  <c r="C47" i="79" s="1"/>
  <c r="O46" i="79"/>
  <c r="C46" i="79" s="1"/>
  <c r="N45" i="79"/>
  <c r="M45" i="79"/>
  <c r="L44" i="79"/>
  <c r="I44" i="79"/>
  <c r="F44" i="79"/>
  <c r="F43" i="79" s="1"/>
  <c r="K43" i="79"/>
  <c r="J43" i="79"/>
  <c r="I43" i="79"/>
  <c r="H43" i="79"/>
  <c r="G43" i="79"/>
  <c r="E43" i="79"/>
  <c r="D43" i="79"/>
  <c r="F42" i="79"/>
  <c r="C42" i="79" s="1"/>
  <c r="E41" i="79"/>
  <c r="D41" i="79"/>
  <c r="L40" i="79"/>
  <c r="C40" i="79" s="1"/>
  <c r="L39" i="79"/>
  <c r="C39" i="79" s="1"/>
  <c r="L38" i="79"/>
  <c r="C38" i="79" s="1"/>
  <c r="L37" i="79"/>
  <c r="C37" i="79" s="1"/>
  <c r="L36" i="79"/>
  <c r="C36" i="79" s="1"/>
  <c r="K36" i="79"/>
  <c r="J36" i="79"/>
  <c r="L35" i="79"/>
  <c r="C35" i="79" s="1"/>
  <c r="L34" i="79"/>
  <c r="C34" i="79" s="1"/>
  <c r="K33" i="79"/>
  <c r="J33" i="79"/>
  <c r="L32" i="79"/>
  <c r="K31" i="79"/>
  <c r="J31" i="79"/>
  <c r="L30" i="79"/>
  <c r="C30" i="79" s="1"/>
  <c r="L29" i="79"/>
  <c r="C29" i="79" s="1"/>
  <c r="L28" i="79"/>
  <c r="C28" i="79" s="1"/>
  <c r="K27" i="79"/>
  <c r="J27" i="79"/>
  <c r="D25" i="79"/>
  <c r="F25" i="79" s="1"/>
  <c r="C25" i="79" s="1"/>
  <c r="I24" i="79"/>
  <c r="F24" i="79"/>
  <c r="O23" i="79"/>
  <c r="L23" i="79"/>
  <c r="I23" i="79"/>
  <c r="D23" i="79"/>
  <c r="F23" i="79" s="1"/>
  <c r="O22" i="79"/>
  <c r="O21" i="79" s="1"/>
  <c r="L22" i="79"/>
  <c r="L21" i="79" s="1"/>
  <c r="I22" i="79"/>
  <c r="F22" i="79"/>
  <c r="C22" i="79" s="1"/>
  <c r="N21" i="79"/>
  <c r="N292" i="79" s="1"/>
  <c r="N291" i="79" s="1"/>
  <c r="M21" i="79"/>
  <c r="M292" i="79" s="1"/>
  <c r="M291" i="79" s="1"/>
  <c r="K21" i="79"/>
  <c r="K292" i="79" s="1"/>
  <c r="K291" i="79" s="1"/>
  <c r="J21" i="79"/>
  <c r="J292" i="79" s="1"/>
  <c r="J291" i="79" s="1"/>
  <c r="I21" i="79"/>
  <c r="H21" i="79"/>
  <c r="G21" i="79"/>
  <c r="G292" i="79" s="1"/>
  <c r="G291" i="79" s="1"/>
  <c r="E21" i="79"/>
  <c r="E292" i="79" s="1"/>
  <c r="E291" i="79" s="1"/>
  <c r="D21" i="79"/>
  <c r="I20" i="79"/>
  <c r="G20" i="79"/>
  <c r="G76" i="79" l="1"/>
  <c r="H187" i="79"/>
  <c r="K53" i="80"/>
  <c r="C82" i="80"/>
  <c r="C92" i="80"/>
  <c r="C93" i="80"/>
  <c r="C94" i="80"/>
  <c r="J174" i="80"/>
  <c r="J173" i="80" s="1"/>
  <c r="H187" i="80"/>
  <c r="N187" i="80"/>
  <c r="C193" i="80"/>
  <c r="C206" i="80"/>
  <c r="L276" i="80"/>
  <c r="C64" i="81"/>
  <c r="C98" i="81"/>
  <c r="C106" i="81"/>
  <c r="C110" i="81"/>
  <c r="C114" i="81"/>
  <c r="L77" i="82"/>
  <c r="L187" i="82"/>
  <c r="C254" i="82"/>
  <c r="C24" i="79"/>
  <c r="C102" i="79"/>
  <c r="C106" i="79"/>
  <c r="C110" i="79"/>
  <c r="C114" i="79"/>
  <c r="C132" i="79"/>
  <c r="C133" i="79"/>
  <c r="C156" i="79"/>
  <c r="C255" i="79"/>
  <c r="C257" i="79"/>
  <c r="L54" i="80"/>
  <c r="L53" i="80" s="1"/>
  <c r="I76" i="80"/>
  <c r="J194" i="80"/>
  <c r="C226" i="80"/>
  <c r="E231" i="80"/>
  <c r="C253" i="80"/>
  <c r="C255" i="80"/>
  <c r="C256" i="80"/>
  <c r="C257" i="80"/>
  <c r="C258" i="80"/>
  <c r="C272" i="80"/>
  <c r="H53" i="81"/>
  <c r="C164" i="81"/>
  <c r="C206" i="81"/>
  <c r="C223" i="81"/>
  <c r="C224" i="81"/>
  <c r="C225" i="81"/>
  <c r="C110" i="82"/>
  <c r="H231" i="82"/>
  <c r="H230" i="82" s="1"/>
  <c r="O272" i="82"/>
  <c r="C66" i="79"/>
  <c r="C168" i="79"/>
  <c r="C172" i="79"/>
  <c r="C263" i="79"/>
  <c r="C271" i="79"/>
  <c r="O45" i="80"/>
  <c r="C45" i="80" s="1"/>
  <c r="N53" i="80"/>
  <c r="L67" i="80"/>
  <c r="C145" i="80"/>
  <c r="C146" i="80"/>
  <c r="C175" i="80"/>
  <c r="H195" i="80"/>
  <c r="I196" i="80"/>
  <c r="C249" i="80"/>
  <c r="C250" i="80"/>
  <c r="K230" i="80"/>
  <c r="C262" i="80"/>
  <c r="L264" i="80"/>
  <c r="C277" i="80"/>
  <c r="O276" i="80"/>
  <c r="C71" i="81"/>
  <c r="C82" i="81"/>
  <c r="C148" i="81"/>
  <c r="C149" i="81"/>
  <c r="C262" i="81"/>
  <c r="H259" i="81"/>
  <c r="C279" i="81"/>
  <c r="C22" i="82"/>
  <c r="C79" i="82"/>
  <c r="C113" i="82"/>
  <c r="C114" i="82"/>
  <c r="C135" i="82"/>
  <c r="C143" i="82"/>
  <c r="C147" i="82"/>
  <c r="C148" i="82"/>
  <c r="C150" i="82"/>
  <c r="N187" i="82"/>
  <c r="I272" i="82"/>
  <c r="C200" i="79"/>
  <c r="C220" i="79"/>
  <c r="C267" i="79"/>
  <c r="K26" i="80"/>
  <c r="C57" i="80"/>
  <c r="D67" i="80"/>
  <c r="C79" i="80"/>
  <c r="C111" i="80"/>
  <c r="C163" i="80"/>
  <c r="I174" i="80"/>
  <c r="I173" i="80" s="1"/>
  <c r="M194" i="80"/>
  <c r="M231" i="80"/>
  <c r="M230" i="80" s="1"/>
  <c r="G231" i="80"/>
  <c r="G230" i="80" s="1"/>
  <c r="C294" i="80"/>
  <c r="C295" i="80"/>
  <c r="K54" i="81"/>
  <c r="C60" i="81"/>
  <c r="C61" i="81"/>
  <c r="C140" i="81"/>
  <c r="C169" i="81"/>
  <c r="C177" i="81"/>
  <c r="C123" i="82"/>
  <c r="I141" i="82"/>
  <c r="K187" i="82"/>
  <c r="N231" i="82"/>
  <c r="L272" i="82"/>
  <c r="C74" i="79"/>
  <c r="C107" i="79"/>
  <c r="C109" i="79"/>
  <c r="C170" i="79"/>
  <c r="H195" i="79"/>
  <c r="O198" i="79"/>
  <c r="O196" i="79" s="1"/>
  <c r="H204" i="79"/>
  <c r="L238" i="79"/>
  <c r="C244" i="79"/>
  <c r="D259" i="79"/>
  <c r="C265" i="79"/>
  <c r="O264" i="79"/>
  <c r="C278" i="79"/>
  <c r="C298" i="79"/>
  <c r="C24" i="80"/>
  <c r="J26" i="80"/>
  <c r="C32" i="80"/>
  <c r="L33" i="80"/>
  <c r="C33" i="80" s="1"/>
  <c r="F41" i="80"/>
  <c r="C41" i="80" s="1"/>
  <c r="C44" i="80"/>
  <c r="G53" i="80"/>
  <c r="I55" i="80"/>
  <c r="I54" i="80" s="1"/>
  <c r="C61" i="80"/>
  <c r="C64" i="80"/>
  <c r="C71" i="80"/>
  <c r="C72" i="80"/>
  <c r="O112" i="80"/>
  <c r="O116" i="79"/>
  <c r="J195" i="79"/>
  <c r="O205" i="79"/>
  <c r="M270" i="79"/>
  <c r="M269" i="79" s="1"/>
  <c r="M53" i="80"/>
  <c r="I69" i="80"/>
  <c r="I67" i="80" s="1"/>
  <c r="E75" i="80"/>
  <c r="N75" i="80"/>
  <c r="N52" i="80" s="1"/>
  <c r="I89" i="80"/>
  <c r="I103" i="80"/>
  <c r="C114" i="80"/>
  <c r="C126" i="80"/>
  <c r="C23" i="79"/>
  <c r="C94" i="79"/>
  <c r="I112" i="79"/>
  <c r="C127" i="79"/>
  <c r="C148" i="79"/>
  <c r="C159" i="79"/>
  <c r="F187" i="79"/>
  <c r="I196" i="79"/>
  <c r="C202" i="79"/>
  <c r="C212" i="79"/>
  <c r="K230" i="79"/>
  <c r="H270" i="79"/>
  <c r="H269" i="79" s="1"/>
  <c r="C23" i="80"/>
  <c r="D53" i="80"/>
  <c r="O77" i="80"/>
  <c r="J83" i="80"/>
  <c r="J75" i="80" s="1"/>
  <c r="K83" i="80"/>
  <c r="K75" i="80" s="1"/>
  <c r="C100" i="80"/>
  <c r="I112" i="80"/>
  <c r="O116" i="80"/>
  <c r="I122" i="80"/>
  <c r="N20" i="79"/>
  <c r="O67" i="79"/>
  <c r="K76" i="79"/>
  <c r="O80" i="79"/>
  <c r="O76" i="79" s="1"/>
  <c r="C92" i="79"/>
  <c r="C140" i="79"/>
  <c r="C152" i="79"/>
  <c r="C154" i="79"/>
  <c r="C164" i="79"/>
  <c r="N187" i="79"/>
  <c r="C222" i="79"/>
  <c r="C247" i="79"/>
  <c r="C275" i="79"/>
  <c r="E54" i="80"/>
  <c r="E53" i="80" s="1"/>
  <c r="C56" i="80"/>
  <c r="F69" i="80"/>
  <c r="O67" i="80"/>
  <c r="O89" i="80"/>
  <c r="G83" i="80"/>
  <c r="G75" i="80" s="1"/>
  <c r="I95" i="80"/>
  <c r="C95" i="80" s="1"/>
  <c r="C105" i="80"/>
  <c r="C106" i="80"/>
  <c r="O103" i="80"/>
  <c r="C118" i="80"/>
  <c r="C119" i="80"/>
  <c r="C120" i="80"/>
  <c r="C121" i="80"/>
  <c r="D130" i="80"/>
  <c r="C164" i="80"/>
  <c r="C189" i="80"/>
  <c r="J187" i="80"/>
  <c r="L238" i="80"/>
  <c r="L231" i="80" s="1"/>
  <c r="O270" i="80"/>
  <c r="O269" i="80" s="1"/>
  <c r="O293" i="80"/>
  <c r="C73" i="81"/>
  <c r="C74" i="81"/>
  <c r="I95" i="81"/>
  <c r="C102" i="81"/>
  <c r="C120" i="81"/>
  <c r="C124" i="81"/>
  <c r="C125" i="81"/>
  <c r="C127" i="81"/>
  <c r="G130" i="81"/>
  <c r="G75" i="81" s="1"/>
  <c r="M130" i="81"/>
  <c r="C138" i="81"/>
  <c r="L175" i="81"/>
  <c r="L174" i="81" s="1"/>
  <c r="M187" i="81"/>
  <c r="F196" i="81"/>
  <c r="I270" i="81"/>
  <c r="C44" i="82"/>
  <c r="L76" i="82"/>
  <c r="C137" i="82"/>
  <c r="C159" i="82"/>
  <c r="O188" i="82"/>
  <c r="O187" i="82" s="1"/>
  <c r="C202" i="82"/>
  <c r="M231" i="82"/>
  <c r="O252" i="82"/>
  <c r="C266" i="82"/>
  <c r="C267" i="82"/>
  <c r="C135" i="80"/>
  <c r="F173" i="80"/>
  <c r="C176" i="80"/>
  <c r="M174" i="80"/>
  <c r="M173" i="80" s="1"/>
  <c r="F184" i="80"/>
  <c r="C199" i="80"/>
  <c r="C211" i="80"/>
  <c r="O216" i="80"/>
  <c r="O238" i="80"/>
  <c r="C261" i="80"/>
  <c r="L270" i="80"/>
  <c r="L269" i="80" s="1"/>
  <c r="C279" i="80"/>
  <c r="D20" i="81"/>
  <c r="C44" i="81"/>
  <c r="I69" i="81"/>
  <c r="I67" i="81" s="1"/>
  <c r="O80" i="81"/>
  <c r="O76" i="81" s="1"/>
  <c r="C107" i="81"/>
  <c r="C109" i="81"/>
  <c r="O112" i="81"/>
  <c r="C152" i="81"/>
  <c r="C154" i="81"/>
  <c r="D187" i="81"/>
  <c r="C211" i="81"/>
  <c r="C214" i="81"/>
  <c r="O260" i="81"/>
  <c r="C287" i="81"/>
  <c r="L33" i="82"/>
  <c r="C33" i="82" s="1"/>
  <c r="L43" i="82"/>
  <c r="H54" i="82"/>
  <c r="H53" i="82" s="1"/>
  <c r="E76" i="82"/>
  <c r="O131" i="82"/>
  <c r="C155" i="82"/>
  <c r="C190" i="82"/>
  <c r="C242" i="82"/>
  <c r="C243" i="82"/>
  <c r="C245" i="82"/>
  <c r="C249" i="82"/>
  <c r="O246" i="82"/>
  <c r="K259" i="82"/>
  <c r="C278" i="82"/>
  <c r="C280" i="82"/>
  <c r="M130" i="80"/>
  <c r="M75" i="80" s="1"/>
  <c r="M289" i="80" s="1"/>
  <c r="O144" i="80"/>
  <c r="I151" i="80"/>
  <c r="C167" i="80"/>
  <c r="C170" i="80"/>
  <c r="E174" i="80"/>
  <c r="E173" i="80" s="1"/>
  <c r="G187" i="80"/>
  <c r="K187" i="80"/>
  <c r="G194" i="80"/>
  <c r="K194" i="80"/>
  <c r="E204" i="80"/>
  <c r="E195" i="80" s="1"/>
  <c r="H230" i="80"/>
  <c r="H194" i="80" s="1"/>
  <c r="L259" i="80"/>
  <c r="C275" i="80"/>
  <c r="L27" i="81"/>
  <c r="O84" i="81"/>
  <c r="N83" i="81"/>
  <c r="O264" i="81"/>
  <c r="L276" i="81"/>
  <c r="L270" i="81" s="1"/>
  <c r="L269" i="81" s="1"/>
  <c r="C294" i="81"/>
  <c r="C298" i="81"/>
  <c r="C299" i="81"/>
  <c r="C300" i="81"/>
  <c r="K53" i="82"/>
  <c r="C70" i="82"/>
  <c r="C99" i="82"/>
  <c r="C105" i="82"/>
  <c r="C109" i="82"/>
  <c r="C125" i="82"/>
  <c r="C133" i="82"/>
  <c r="C134" i="82"/>
  <c r="C163" i="82"/>
  <c r="G187" i="82"/>
  <c r="C206" i="82"/>
  <c r="C210" i="82"/>
  <c r="C213" i="82"/>
  <c r="C229" i="82"/>
  <c r="G231" i="82"/>
  <c r="C258" i="82"/>
  <c r="C262" i="82"/>
  <c r="G259" i="82"/>
  <c r="C294" i="82"/>
  <c r="H130" i="80"/>
  <c r="H75" i="80" s="1"/>
  <c r="C161" i="80"/>
  <c r="O160" i="80"/>
  <c r="D173" i="80"/>
  <c r="H173" i="80"/>
  <c r="E230" i="80"/>
  <c r="I238" i="80"/>
  <c r="I231" i="80" s="1"/>
  <c r="I230" i="80" s="1"/>
  <c r="I260" i="80"/>
  <c r="I259" i="80" s="1"/>
  <c r="N259" i="80"/>
  <c r="N230" i="80" s="1"/>
  <c r="N194" i="80" s="1"/>
  <c r="O264" i="80"/>
  <c r="C63" i="81"/>
  <c r="D67" i="81"/>
  <c r="O69" i="81"/>
  <c r="K76" i="81"/>
  <c r="C86" i="81"/>
  <c r="C87" i="81"/>
  <c r="D83" i="81"/>
  <c r="D75" i="81" s="1"/>
  <c r="C90" i="81"/>
  <c r="C94" i="81"/>
  <c r="C97" i="81"/>
  <c r="O116" i="81"/>
  <c r="O122" i="81"/>
  <c r="C181" i="81"/>
  <c r="C185" i="81"/>
  <c r="E195" i="81"/>
  <c r="C218" i="81"/>
  <c r="C239" i="81"/>
  <c r="C250" i="81"/>
  <c r="K259" i="81"/>
  <c r="I259" i="81"/>
  <c r="C266" i="81"/>
  <c r="C275" i="81"/>
  <c r="I20" i="82"/>
  <c r="O45" i="82"/>
  <c r="C61" i="82"/>
  <c r="C65" i="82"/>
  <c r="H76" i="82"/>
  <c r="M76" i="82"/>
  <c r="C127" i="82"/>
  <c r="C234" i="82"/>
  <c r="J231" i="82"/>
  <c r="J230" i="82" s="1"/>
  <c r="H270" i="82"/>
  <c r="H269" i="82" s="1"/>
  <c r="C282" i="82"/>
  <c r="J20" i="80"/>
  <c r="K20" i="80"/>
  <c r="K54" i="79"/>
  <c r="K53" i="79" s="1"/>
  <c r="L69" i="79"/>
  <c r="E76" i="79"/>
  <c r="C86" i="79"/>
  <c r="J83" i="79"/>
  <c r="C93" i="79"/>
  <c r="L95" i="79"/>
  <c r="C105" i="79"/>
  <c r="C115" i="79"/>
  <c r="L122" i="79"/>
  <c r="L144" i="79"/>
  <c r="C150" i="79"/>
  <c r="C169" i="79"/>
  <c r="C171" i="79"/>
  <c r="G173" i="79"/>
  <c r="N174" i="79"/>
  <c r="N173" i="79" s="1"/>
  <c r="C182" i="79"/>
  <c r="C203" i="79"/>
  <c r="N204" i="79"/>
  <c r="N195" i="79" s="1"/>
  <c r="I216" i="79"/>
  <c r="C225" i="79"/>
  <c r="C226" i="79"/>
  <c r="E231" i="79"/>
  <c r="E230" i="79" s="1"/>
  <c r="C240" i="79"/>
  <c r="C245" i="79"/>
  <c r="C258" i="79"/>
  <c r="F260" i="79"/>
  <c r="C262" i="79"/>
  <c r="O260" i="79"/>
  <c r="L264" i="79"/>
  <c r="L259" i="79" s="1"/>
  <c r="C273" i="79"/>
  <c r="C274" i="79"/>
  <c r="C287" i="79"/>
  <c r="C288" i="79"/>
  <c r="G20" i="80"/>
  <c r="N20" i="80"/>
  <c r="L21" i="80"/>
  <c r="F55" i="80"/>
  <c r="F54" i="80" s="1"/>
  <c r="O55" i="80"/>
  <c r="C58" i="80"/>
  <c r="D75" i="80"/>
  <c r="D52" i="80" s="1"/>
  <c r="C91" i="80"/>
  <c r="C104" i="80"/>
  <c r="F103" i="80"/>
  <c r="C103" i="80" s="1"/>
  <c r="C141" i="80"/>
  <c r="O204" i="80"/>
  <c r="E20" i="79"/>
  <c r="L76" i="79"/>
  <c r="L179" i="79"/>
  <c r="L174" i="79" s="1"/>
  <c r="L173" i="79" s="1"/>
  <c r="C227" i="79"/>
  <c r="O259" i="79"/>
  <c r="I286" i="79"/>
  <c r="I292" i="79" s="1"/>
  <c r="C81" i="80"/>
  <c r="F80" i="80"/>
  <c r="I187" i="80"/>
  <c r="C188" i="80"/>
  <c r="J26" i="79"/>
  <c r="J20" i="79" s="1"/>
  <c r="F41" i="79"/>
  <c r="C41" i="79" s="1"/>
  <c r="O55" i="79"/>
  <c r="O58" i="79"/>
  <c r="O54" i="79" s="1"/>
  <c r="O53" i="79" s="1"/>
  <c r="F69" i="79"/>
  <c r="F67" i="79" s="1"/>
  <c r="C72" i="79"/>
  <c r="C73" i="79"/>
  <c r="D76" i="79"/>
  <c r="L89" i="79"/>
  <c r="C101" i="79"/>
  <c r="C108" i="79"/>
  <c r="C121" i="79"/>
  <c r="C134" i="79"/>
  <c r="C139" i="79"/>
  <c r="C147" i="79"/>
  <c r="C158" i="79"/>
  <c r="C163" i="79"/>
  <c r="M173" i="79"/>
  <c r="C177" i="79"/>
  <c r="C180" i="79"/>
  <c r="C197" i="79"/>
  <c r="C209" i="79"/>
  <c r="C211" i="79"/>
  <c r="O204" i="79"/>
  <c r="I264" i="79"/>
  <c r="I276" i="79"/>
  <c r="L276" i="79"/>
  <c r="L270" i="79" s="1"/>
  <c r="L269" i="79" s="1"/>
  <c r="C282" i="79"/>
  <c r="L293" i="79"/>
  <c r="C295" i="79"/>
  <c r="C22" i="80"/>
  <c r="O21" i="80"/>
  <c r="C78" i="80"/>
  <c r="F77" i="80"/>
  <c r="D194" i="80"/>
  <c r="I204" i="80"/>
  <c r="I195" i="80" s="1"/>
  <c r="C205" i="80"/>
  <c r="K26" i="79"/>
  <c r="C44" i="79"/>
  <c r="C57" i="79"/>
  <c r="C60" i="79"/>
  <c r="C64" i="79"/>
  <c r="C65" i="79"/>
  <c r="F77" i="79"/>
  <c r="H83" i="79"/>
  <c r="N83" i="79"/>
  <c r="C100" i="79"/>
  <c r="O112" i="79"/>
  <c r="C120" i="79"/>
  <c r="C128" i="79"/>
  <c r="C149" i="79"/>
  <c r="O166" i="79"/>
  <c r="O165" i="79" s="1"/>
  <c r="C178" i="79"/>
  <c r="G187" i="79"/>
  <c r="I188" i="79"/>
  <c r="I187" i="79" s="1"/>
  <c r="C210" i="79"/>
  <c r="C213" i="79"/>
  <c r="C214" i="79"/>
  <c r="C215" i="79"/>
  <c r="C232" i="79"/>
  <c r="M231" i="79"/>
  <c r="M230" i="79" s="1"/>
  <c r="M194" i="79" s="1"/>
  <c r="H231" i="79"/>
  <c r="H230" i="79" s="1"/>
  <c r="C254" i="79"/>
  <c r="O252" i="79"/>
  <c r="O251" i="79" s="1"/>
  <c r="J269" i="79"/>
  <c r="N269" i="79"/>
  <c r="E270" i="79"/>
  <c r="E269" i="79" s="1"/>
  <c r="I293" i="79"/>
  <c r="C299" i="79"/>
  <c r="C300" i="79"/>
  <c r="D20" i="80"/>
  <c r="F43" i="80"/>
  <c r="C43" i="80" s="1"/>
  <c r="C69" i="80"/>
  <c r="C98" i="80"/>
  <c r="C112" i="80"/>
  <c r="I165" i="80"/>
  <c r="C165" i="80" s="1"/>
  <c r="C166" i="80"/>
  <c r="L174" i="80"/>
  <c r="L173" i="80" s="1"/>
  <c r="C184" i="80"/>
  <c r="C62" i="80"/>
  <c r="C65" i="80"/>
  <c r="C73" i="80"/>
  <c r="C74" i="80"/>
  <c r="O80" i="80"/>
  <c r="O76" i="80" s="1"/>
  <c r="L83" i="80"/>
  <c r="C87" i="80"/>
  <c r="C101" i="80"/>
  <c r="C102" i="80"/>
  <c r="C115" i="80"/>
  <c r="C117" i="80"/>
  <c r="C123" i="80"/>
  <c r="O122" i="80"/>
  <c r="C129" i="80"/>
  <c r="C142" i="80"/>
  <c r="C156" i="80"/>
  <c r="C157" i="80"/>
  <c r="C158" i="80"/>
  <c r="C171" i="80"/>
  <c r="C172" i="80"/>
  <c r="C177" i="80"/>
  <c r="C178" i="80"/>
  <c r="C180" i="80"/>
  <c r="C183" i="80"/>
  <c r="C190" i="80"/>
  <c r="F192" i="80"/>
  <c r="F191" i="80" s="1"/>
  <c r="F187" i="80" s="1"/>
  <c r="L196" i="80"/>
  <c r="F198" i="80"/>
  <c r="O198" i="80"/>
  <c r="O196" i="80" s="1"/>
  <c r="O195" i="80" s="1"/>
  <c r="C208" i="80"/>
  <c r="C213" i="80"/>
  <c r="C214" i="80"/>
  <c r="C220" i="80"/>
  <c r="C221" i="80"/>
  <c r="C227" i="80"/>
  <c r="C232" i="80"/>
  <c r="C236" i="80"/>
  <c r="F235" i="80"/>
  <c r="C252" i="80"/>
  <c r="I53" i="81"/>
  <c r="C131" i="80"/>
  <c r="C136" i="80"/>
  <c r="C151" i="80"/>
  <c r="L204" i="80"/>
  <c r="C239" i="80"/>
  <c r="F238" i="80"/>
  <c r="C238" i="80" s="1"/>
  <c r="C59" i="80"/>
  <c r="C60" i="80"/>
  <c r="C85" i="80"/>
  <c r="C86" i="80"/>
  <c r="C88" i="80"/>
  <c r="C97" i="80"/>
  <c r="C108" i="80"/>
  <c r="C110" i="80"/>
  <c r="F116" i="80"/>
  <c r="C116" i="80" s="1"/>
  <c r="F128" i="80"/>
  <c r="C128" i="80" s="1"/>
  <c r="C133" i="80"/>
  <c r="C149" i="80"/>
  <c r="C179" i="80"/>
  <c r="O174" i="80"/>
  <c r="C186" i="80"/>
  <c r="C197" i="80"/>
  <c r="C202" i="80"/>
  <c r="C203" i="80"/>
  <c r="C215" i="80"/>
  <c r="F216" i="80"/>
  <c r="F204" i="80" s="1"/>
  <c r="C219" i="80"/>
  <c r="C228" i="80"/>
  <c r="C229" i="80"/>
  <c r="C234" i="80"/>
  <c r="C242" i="80"/>
  <c r="C243" i="80"/>
  <c r="C283" i="80"/>
  <c r="C63" i="80"/>
  <c r="C90" i="80"/>
  <c r="C96" i="80"/>
  <c r="C99" i="80"/>
  <c r="C109" i="80"/>
  <c r="C113" i="80"/>
  <c r="C127" i="80"/>
  <c r="I130" i="80"/>
  <c r="C137" i="80"/>
  <c r="C138" i="80"/>
  <c r="C139" i="80"/>
  <c r="C140" i="80"/>
  <c r="C143" i="80"/>
  <c r="F144" i="80"/>
  <c r="C144" i="80" s="1"/>
  <c r="C148" i="80"/>
  <c r="C152" i="80"/>
  <c r="C153" i="80"/>
  <c r="C154" i="80"/>
  <c r="F160" i="80"/>
  <c r="C160" i="80" s="1"/>
  <c r="C168" i="80"/>
  <c r="C169" i="80"/>
  <c r="C181" i="80"/>
  <c r="C201" i="80"/>
  <c r="C207" i="80"/>
  <c r="C209" i="80"/>
  <c r="C210" i="80"/>
  <c r="C217" i="80"/>
  <c r="C223" i="80"/>
  <c r="C233" i="80"/>
  <c r="C244" i="80"/>
  <c r="C245" i="80"/>
  <c r="F251" i="80"/>
  <c r="C251" i="80" s="1"/>
  <c r="C254" i="80"/>
  <c r="O259" i="80"/>
  <c r="C267" i="80"/>
  <c r="C273" i="80"/>
  <c r="C284" i="80"/>
  <c r="C285" i="80"/>
  <c r="D289" i="80"/>
  <c r="C287" i="80"/>
  <c r="C288" i="80"/>
  <c r="C301" i="80"/>
  <c r="H20" i="81"/>
  <c r="C23" i="81"/>
  <c r="K26" i="81"/>
  <c r="F58" i="81"/>
  <c r="O58" i="81"/>
  <c r="O54" i="81" s="1"/>
  <c r="O53" i="81" s="1"/>
  <c r="I76" i="81"/>
  <c r="F80" i="81"/>
  <c r="E83" i="81"/>
  <c r="E75" i="81" s="1"/>
  <c r="F84" i="81"/>
  <c r="H83" i="81"/>
  <c r="I89" i="81"/>
  <c r="C92" i="81"/>
  <c r="O95" i="81"/>
  <c r="L95" i="81"/>
  <c r="C95" i="81" s="1"/>
  <c r="C105" i="81"/>
  <c r="C115" i="81"/>
  <c r="C123" i="81"/>
  <c r="H130" i="81"/>
  <c r="C134" i="81"/>
  <c r="K130" i="81"/>
  <c r="K75" i="81" s="1"/>
  <c r="C139" i="81"/>
  <c r="I144" i="81"/>
  <c r="O151" i="81"/>
  <c r="L151" i="81"/>
  <c r="F160" i="81"/>
  <c r="C160" i="81" s="1"/>
  <c r="I166" i="81"/>
  <c r="I165" i="81" s="1"/>
  <c r="C172" i="81"/>
  <c r="H174" i="81"/>
  <c r="M174" i="81"/>
  <c r="M173" i="81" s="1"/>
  <c r="I175" i="81"/>
  <c r="F179" i="81"/>
  <c r="F174" i="81" s="1"/>
  <c r="C202" i="81"/>
  <c r="C203" i="81"/>
  <c r="C210" i="81"/>
  <c r="F69" i="81"/>
  <c r="I205" i="81"/>
  <c r="C241" i="80"/>
  <c r="C263" i="80"/>
  <c r="C268" i="80"/>
  <c r="C271" i="80"/>
  <c r="J289" i="80"/>
  <c r="N289" i="80"/>
  <c r="C298" i="80"/>
  <c r="C299" i="80"/>
  <c r="F43" i="81"/>
  <c r="C43" i="81" s="1"/>
  <c r="O45" i="81"/>
  <c r="J53" i="81"/>
  <c r="D53" i="81"/>
  <c r="C62" i="81"/>
  <c r="C65" i="81"/>
  <c r="C72" i="81"/>
  <c r="F76" i="81"/>
  <c r="C78" i="81"/>
  <c r="C88" i="81"/>
  <c r="C99" i="81"/>
  <c r="C101" i="81"/>
  <c r="C108" i="81"/>
  <c r="C111" i="81"/>
  <c r="C119" i="81"/>
  <c r="C126" i="81"/>
  <c r="C132" i="81"/>
  <c r="O130" i="81"/>
  <c r="L144" i="81"/>
  <c r="C156" i="81"/>
  <c r="C159" i="81"/>
  <c r="L166" i="81"/>
  <c r="L165" i="81" s="1"/>
  <c r="I179" i="81"/>
  <c r="C189" i="81"/>
  <c r="O187" i="81"/>
  <c r="L192" i="81"/>
  <c r="L191" i="81" s="1"/>
  <c r="L187" i="81" s="1"/>
  <c r="H204" i="81"/>
  <c r="H195" i="81" s="1"/>
  <c r="O235" i="80"/>
  <c r="O231" i="80" s="1"/>
  <c r="O230" i="80" s="1"/>
  <c r="F246" i="80"/>
  <c r="C246" i="80" s="1"/>
  <c r="F260" i="80"/>
  <c r="C264" i="80"/>
  <c r="C274" i="80"/>
  <c r="F276" i="80"/>
  <c r="C280" i="80"/>
  <c r="F293" i="80"/>
  <c r="C293" i="80" s="1"/>
  <c r="C297" i="80"/>
  <c r="C22" i="81"/>
  <c r="J26" i="81"/>
  <c r="L36" i="81"/>
  <c r="C36" i="81" s="1"/>
  <c r="N53" i="81"/>
  <c r="L55" i="81"/>
  <c r="F57" i="81"/>
  <c r="C57" i="81" s="1"/>
  <c r="C66" i="81"/>
  <c r="O67" i="81"/>
  <c r="L69" i="81"/>
  <c r="L67" i="81" s="1"/>
  <c r="C79" i="81"/>
  <c r="C91" i="81"/>
  <c r="C93" i="81"/>
  <c r="C100" i="81"/>
  <c r="O103" i="81"/>
  <c r="L103" i="81"/>
  <c r="C112" i="81"/>
  <c r="L116" i="81"/>
  <c r="L83" i="81" s="1"/>
  <c r="C121" i="81"/>
  <c r="C128" i="81"/>
  <c r="C133" i="81"/>
  <c r="C135" i="81"/>
  <c r="C141" i="81"/>
  <c r="C143" i="81"/>
  <c r="F144" i="81"/>
  <c r="C147" i="81"/>
  <c r="C153" i="81"/>
  <c r="I151" i="81"/>
  <c r="C157" i="81"/>
  <c r="C168" i="81"/>
  <c r="G174" i="81"/>
  <c r="G173" i="81" s="1"/>
  <c r="C186" i="81"/>
  <c r="E187" i="81"/>
  <c r="H187" i="81"/>
  <c r="O196" i="81"/>
  <c r="D204" i="81"/>
  <c r="D195" i="81" s="1"/>
  <c r="G204" i="81"/>
  <c r="G195" i="81" s="1"/>
  <c r="G231" i="81"/>
  <c r="C256" i="81"/>
  <c r="C257" i="81"/>
  <c r="F260" i="81"/>
  <c r="C261" i="81"/>
  <c r="C274" i="81"/>
  <c r="I293" i="81"/>
  <c r="L27" i="82"/>
  <c r="C27" i="82" s="1"/>
  <c r="C34" i="82"/>
  <c r="C46" i="82"/>
  <c r="L55" i="82"/>
  <c r="L69" i="82"/>
  <c r="C82" i="82"/>
  <c r="C85" i="82"/>
  <c r="C86" i="82"/>
  <c r="L89" i="82"/>
  <c r="G83" i="82"/>
  <c r="I95" i="82"/>
  <c r="C100" i="82"/>
  <c r="C101" i="82"/>
  <c r="C102" i="82"/>
  <c r="F112" i="82"/>
  <c r="L116" i="82"/>
  <c r="C126" i="82"/>
  <c r="N130" i="82"/>
  <c r="L196" i="82"/>
  <c r="C208" i="82"/>
  <c r="C219" i="82"/>
  <c r="C220" i="82"/>
  <c r="C221" i="82"/>
  <c r="D230" i="82"/>
  <c r="C239" i="82"/>
  <c r="L252" i="82"/>
  <c r="L251" i="82" s="1"/>
  <c r="O264" i="82"/>
  <c r="I293" i="82"/>
  <c r="C299" i="82"/>
  <c r="C300" i="82"/>
  <c r="I216" i="81"/>
  <c r="N204" i="81"/>
  <c r="J231" i="81"/>
  <c r="I269" i="81"/>
  <c r="H269" i="81"/>
  <c r="C288" i="81"/>
  <c r="D20" i="82"/>
  <c r="L58" i="82"/>
  <c r="K83" i="82"/>
  <c r="C118" i="82"/>
  <c r="O141" i="82"/>
  <c r="C149" i="82"/>
  <c r="C154" i="82"/>
  <c r="C162" i="82"/>
  <c r="C169" i="82"/>
  <c r="L174" i="82"/>
  <c r="L173" i="82" s="1"/>
  <c r="C189" i="82"/>
  <c r="H195" i="82"/>
  <c r="N230" i="82"/>
  <c r="G230" i="82"/>
  <c r="I259" i="82"/>
  <c r="L260" i="82"/>
  <c r="C215" i="81"/>
  <c r="J204" i="81"/>
  <c r="J195" i="81" s="1"/>
  <c r="C217" i="81"/>
  <c r="O216" i="81"/>
  <c r="K231" i="81"/>
  <c r="K230" i="81" s="1"/>
  <c r="C236" i="81"/>
  <c r="C237" i="81"/>
  <c r="L252" i="81"/>
  <c r="L251" i="81" s="1"/>
  <c r="M259" i="81"/>
  <c r="I286" i="81"/>
  <c r="M20" i="82"/>
  <c r="J26" i="82"/>
  <c r="F41" i="82"/>
  <c r="C41" i="82" s="1"/>
  <c r="C56" i="82"/>
  <c r="C60" i="82"/>
  <c r="L67" i="82"/>
  <c r="F69" i="82"/>
  <c r="F67" i="82" s="1"/>
  <c r="I69" i="82"/>
  <c r="I67" i="82" s="1"/>
  <c r="C94" i="82"/>
  <c r="L122" i="82"/>
  <c r="J130" i="82"/>
  <c r="L144" i="82"/>
  <c r="C158" i="82"/>
  <c r="L166" i="82"/>
  <c r="L165" i="82" s="1"/>
  <c r="I187" i="82"/>
  <c r="M187" i="82"/>
  <c r="C199" i="82"/>
  <c r="C201" i="82"/>
  <c r="C207" i="82"/>
  <c r="L216" i="82"/>
  <c r="L204" i="82" s="1"/>
  <c r="L195" i="82" s="1"/>
  <c r="C224" i="82"/>
  <c r="C233" i="82"/>
  <c r="C244" i="82"/>
  <c r="C255" i="82"/>
  <c r="C257" i="82"/>
  <c r="O260" i="82"/>
  <c r="C268" i="82"/>
  <c r="C275" i="82"/>
  <c r="I276" i="82"/>
  <c r="L293" i="82"/>
  <c r="L291" i="82" s="1"/>
  <c r="C212" i="81"/>
  <c r="C213" i="81"/>
  <c r="C222" i="81"/>
  <c r="K204" i="81"/>
  <c r="K195" i="81" s="1"/>
  <c r="K194" i="81" s="1"/>
  <c r="C229" i="81"/>
  <c r="C234" i="81"/>
  <c r="C254" i="81"/>
  <c r="C265" i="81"/>
  <c r="O272" i="81"/>
  <c r="C295" i="81"/>
  <c r="C24" i="82"/>
  <c r="K26" i="82"/>
  <c r="K20" i="82" s="1"/>
  <c r="I58" i="82"/>
  <c r="C64" i="82"/>
  <c r="C74" i="82"/>
  <c r="M75" i="82"/>
  <c r="J76" i="82"/>
  <c r="N76" i="82"/>
  <c r="L84" i="82"/>
  <c r="I89" i="82"/>
  <c r="C96" i="82"/>
  <c r="C111" i="82"/>
  <c r="C119" i="82"/>
  <c r="I131" i="82"/>
  <c r="C139" i="82"/>
  <c r="C146" i="82"/>
  <c r="C157" i="82"/>
  <c r="C178" i="82"/>
  <c r="C182" i="82"/>
  <c r="O179" i="82"/>
  <c r="G195" i="82"/>
  <c r="C211" i="82"/>
  <c r="E204" i="82"/>
  <c r="J204" i="82"/>
  <c r="J195" i="82" s="1"/>
  <c r="J194" i="82" s="1"/>
  <c r="N204" i="82"/>
  <c r="N195" i="82" s="1"/>
  <c r="C237" i="82"/>
  <c r="C256" i="82"/>
  <c r="L264" i="82"/>
  <c r="M270" i="82"/>
  <c r="M269" i="82" s="1"/>
  <c r="O276" i="82"/>
  <c r="O270" i="82" s="1"/>
  <c r="O269" i="82" s="1"/>
  <c r="C295" i="82"/>
  <c r="O292" i="82"/>
  <c r="O291" i="82" s="1"/>
  <c r="O20" i="82"/>
  <c r="C21" i="82"/>
  <c r="C138" i="82"/>
  <c r="F136" i="82"/>
  <c r="C301" i="82"/>
  <c r="C23" i="82"/>
  <c r="L36" i="82"/>
  <c r="C36" i="82" s="1"/>
  <c r="D55" i="82"/>
  <c r="D54" i="82" s="1"/>
  <c r="F57" i="82"/>
  <c r="C62" i="82"/>
  <c r="C63" i="82"/>
  <c r="O69" i="82"/>
  <c r="C69" i="82" s="1"/>
  <c r="C73" i="82"/>
  <c r="O77" i="82"/>
  <c r="O76" i="82" s="1"/>
  <c r="C80" i="82"/>
  <c r="C81" i="82"/>
  <c r="D83" i="82"/>
  <c r="D75" i="82" s="1"/>
  <c r="H83" i="82"/>
  <c r="H75" i="82" s="1"/>
  <c r="N83" i="82"/>
  <c r="O84" i="82"/>
  <c r="C92" i="82"/>
  <c r="C93" i="82"/>
  <c r="L95" i="82"/>
  <c r="C104" i="82"/>
  <c r="F103" i="82"/>
  <c r="O103" i="82"/>
  <c r="C121" i="82"/>
  <c r="O122" i="82"/>
  <c r="F174" i="82"/>
  <c r="C90" i="82"/>
  <c r="F89" i="82"/>
  <c r="C117" i="82"/>
  <c r="F116" i="82"/>
  <c r="C240" i="82"/>
  <c r="I238" i="82"/>
  <c r="C32" i="82"/>
  <c r="L31" i="82"/>
  <c r="M53" i="82"/>
  <c r="M52" i="82" s="1"/>
  <c r="O58" i="82"/>
  <c r="C78" i="82"/>
  <c r="F77" i="82"/>
  <c r="E83" i="82"/>
  <c r="J83" i="82"/>
  <c r="J75" i="82" s="1"/>
  <c r="C106" i="82"/>
  <c r="C124" i="82"/>
  <c r="F122" i="82"/>
  <c r="C142" i="82"/>
  <c r="F141" i="82"/>
  <c r="C141" i="82" s="1"/>
  <c r="G20" i="82"/>
  <c r="K292" i="82"/>
  <c r="K291" i="82" s="1"/>
  <c r="C43" i="82"/>
  <c r="C45" i="82"/>
  <c r="E54" i="82"/>
  <c r="E53" i="82" s="1"/>
  <c r="I54" i="82"/>
  <c r="I53" i="82" s="1"/>
  <c r="O55" i="82"/>
  <c r="O54" i="82" s="1"/>
  <c r="F58" i="82"/>
  <c r="C58" i="82" s="1"/>
  <c r="C59" i="82"/>
  <c r="C66" i="82"/>
  <c r="D67" i="82"/>
  <c r="C68" i="82"/>
  <c r="C72" i="82"/>
  <c r="F84" i="82"/>
  <c r="O89" i="82"/>
  <c r="C97" i="82"/>
  <c r="C98" i="82"/>
  <c r="F95" i="82"/>
  <c r="C107" i="82"/>
  <c r="I103" i="82"/>
  <c r="C188" i="82"/>
  <c r="C277" i="82"/>
  <c r="F276" i="82"/>
  <c r="F20" i="82"/>
  <c r="J20" i="82"/>
  <c r="N20" i="82"/>
  <c r="O112" i="82"/>
  <c r="C112" i="82" s="1"/>
  <c r="I116" i="82"/>
  <c r="I122" i="82"/>
  <c r="C128" i="82"/>
  <c r="C129" i="82"/>
  <c r="L131" i="82"/>
  <c r="I136" i="82"/>
  <c r="C140" i="82"/>
  <c r="O144" i="82"/>
  <c r="F151" i="82"/>
  <c r="C168" i="82"/>
  <c r="C170" i="82"/>
  <c r="F166" i="82"/>
  <c r="N173" i="82"/>
  <c r="G174" i="82"/>
  <c r="G173" i="82" s="1"/>
  <c r="C177" i="82"/>
  <c r="I175" i="82"/>
  <c r="C175" i="82" s="1"/>
  <c r="N194" i="82"/>
  <c r="L103" i="82"/>
  <c r="C120" i="82"/>
  <c r="E130" i="82"/>
  <c r="C153" i="82"/>
  <c r="I151" i="82"/>
  <c r="C156" i="82"/>
  <c r="I160" i="82"/>
  <c r="C160" i="82" s="1"/>
  <c r="C161" i="82"/>
  <c r="C164" i="82"/>
  <c r="C172" i="82"/>
  <c r="I184" i="82"/>
  <c r="C184" i="82" s="1"/>
  <c r="C185" i="82"/>
  <c r="C209" i="82"/>
  <c r="F205" i="82"/>
  <c r="C108" i="82"/>
  <c r="O116" i="82"/>
  <c r="G130" i="82"/>
  <c r="G75" i="82" s="1"/>
  <c r="K130" i="82"/>
  <c r="K75" i="82" s="1"/>
  <c r="F131" i="82"/>
  <c r="C132" i="82"/>
  <c r="O136" i="82"/>
  <c r="I144" i="82"/>
  <c r="C144" i="82" s="1"/>
  <c r="C145" i="82"/>
  <c r="L151" i="82"/>
  <c r="J173" i="82"/>
  <c r="O174" i="82"/>
  <c r="O173" i="82" s="1"/>
  <c r="C181" i="82"/>
  <c r="I179" i="82"/>
  <c r="C179" i="82" s="1"/>
  <c r="C152" i="82"/>
  <c r="C176" i="82"/>
  <c r="C180" i="82"/>
  <c r="C197" i="82"/>
  <c r="F196" i="82"/>
  <c r="C200" i="82"/>
  <c r="I198" i="82"/>
  <c r="C203" i="82"/>
  <c r="H194" i="82"/>
  <c r="I205" i="82"/>
  <c r="C212" i="82"/>
  <c r="C223" i="82"/>
  <c r="O231" i="82"/>
  <c r="L238" i="82"/>
  <c r="L231" i="82" s="1"/>
  <c r="M230" i="82"/>
  <c r="M194" i="82" s="1"/>
  <c r="E259" i="82"/>
  <c r="E230" i="82" s="1"/>
  <c r="C261" i="82"/>
  <c r="F260" i="82"/>
  <c r="O259" i="82"/>
  <c r="C271" i="82"/>
  <c r="I270" i="82"/>
  <c r="I269" i="82" s="1"/>
  <c r="C279" i="82"/>
  <c r="C285" i="82"/>
  <c r="F284" i="82"/>
  <c r="C288" i="82"/>
  <c r="I286" i="82"/>
  <c r="D194" i="82"/>
  <c r="C215" i="82"/>
  <c r="I227" i="82"/>
  <c r="C227" i="82" s="1"/>
  <c r="C228" i="82"/>
  <c r="I235" i="82"/>
  <c r="C235" i="82" s="1"/>
  <c r="C236" i="82"/>
  <c r="C263" i="82"/>
  <c r="E270" i="82"/>
  <c r="E269" i="82" s="1"/>
  <c r="C273" i="82"/>
  <c r="F272" i="82"/>
  <c r="C193" i="82"/>
  <c r="F192" i="82"/>
  <c r="E195" i="82"/>
  <c r="O196" i="82"/>
  <c r="O205" i="82"/>
  <c r="C217" i="82"/>
  <c r="F216" i="82"/>
  <c r="O216" i="82"/>
  <c r="C232" i="82"/>
  <c r="K231" i="82"/>
  <c r="K230" i="82" s="1"/>
  <c r="K194" i="82" s="1"/>
  <c r="C241" i="82"/>
  <c r="F238" i="82"/>
  <c r="C248" i="82"/>
  <c r="I246" i="82"/>
  <c r="C246" i="82" s="1"/>
  <c r="C253" i="82"/>
  <c r="F252" i="82"/>
  <c r="O251" i="82"/>
  <c r="C265" i="82"/>
  <c r="F264" i="82"/>
  <c r="C264" i="82" s="1"/>
  <c r="L270" i="82"/>
  <c r="L269" i="82" s="1"/>
  <c r="C281" i="82"/>
  <c r="C296" i="82"/>
  <c r="C297" i="82"/>
  <c r="F293" i="82"/>
  <c r="C293" i="82" s="1"/>
  <c r="C247" i="82"/>
  <c r="J20" i="81"/>
  <c r="L54" i="81"/>
  <c r="L53" i="81" s="1"/>
  <c r="M75" i="81"/>
  <c r="L76" i="81"/>
  <c r="I83" i="81"/>
  <c r="L130" i="81"/>
  <c r="C144" i="81"/>
  <c r="C84" i="81"/>
  <c r="O83" i="81"/>
  <c r="I174" i="81"/>
  <c r="I173" i="81" s="1"/>
  <c r="C58" i="81"/>
  <c r="C80" i="81"/>
  <c r="L292" i="81"/>
  <c r="L291" i="81" s="1"/>
  <c r="C27" i="81"/>
  <c r="G53" i="81"/>
  <c r="K53" i="81"/>
  <c r="C69" i="81"/>
  <c r="F67" i="81"/>
  <c r="C67" i="81" s="1"/>
  <c r="J75" i="81"/>
  <c r="J52" i="81" s="1"/>
  <c r="N75" i="81"/>
  <c r="N52" i="81" s="1"/>
  <c r="C103" i="81"/>
  <c r="C116" i="81"/>
  <c r="L33" i="81"/>
  <c r="C33" i="81" s="1"/>
  <c r="I21" i="81"/>
  <c r="L31" i="81"/>
  <c r="C31" i="81" s="1"/>
  <c r="F89" i="81"/>
  <c r="C89" i="81" s="1"/>
  <c r="C96" i="81"/>
  <c r="C104" i="81"/>
  <c r="C241" i="81"/>
  <c r="F238" i="81"/>
  <c r="C247" i="81"/>
  <c r="L246" i="81"/>
  <c r="L260" i="81"/>
  <c r="C263" i="81"/>
  <c r="C278" i="81"/>
  <c r="F276" i="81"/>
  <c r="M292" i="81"/>
  <c r="M291" i="81" s="1"/>
  <c r="C301" i="81"/>
  <c r="G20" i="81"/>
  <c r="K20" i="81"/>
  <c r="O20" i="81"/>
  <c r="F21" i="81"/>
  <c r="C29" i="81"/>
  <c r="C40" i="81"/>
  <c r="C56" i="81"/>
  <c r="C59" i="81"/>
  <c r="C70" i="81"/>
  <c r="C77" i="81"/>
  <c r="C81" i="81"/>
  <c r="C85" i="81"/>
  <c r="C113" i="81"/>
  <c r="C117" i="81"/>
  <c r="F122" i="81"/>
  <c r="C122" i="81" s="1"/>
  <c r="C129" i="81"/>
  <c r="C137" i="81"/>
  <c r="C142" i="81"/>
  <c r="C162" i="81"/>
  <c r="C163" i="81"/>
  <c r="C170" i="81"/>
  <c r="C171" i="81"/>
  <c r="C176" i="81"/>
  <c r="O175" i="81"/>
  <c r="C175" i="81" s="1"/>
  <c r="C180" i="81"/>
  <c r="O179" i="81"/>
  <c r="C179" i="81" s="1"/>
  <c r="F187" i="81"/>
  <c r="K187" i="81"/>
  <c r="N195" i="81"/>
  <c r="N194" i="81" s="1"/>
  <c r="G230" i="81"/>
  <c r="C260" i="81"/>
  <c r="F259" i="81"/>
  <c r="J259" i="81"/>
  <c r="J230" i="81" s="1"/>
  <c r="O259" i="81"/>
  <c r="F131" i="81"/>
  <c r="I136" i="81"/>
  <c r="I130" i="81" s="1"/>
  <c r="C145" i="81"/>
  <c r="C150" i="81"/>
  <c r="O166" i="81"/>
  <c r="O165" i="81" s="1"/>
  <c r="H173" i="81"/>
  <c r="C188" i="81"/>
  <c r="C199" i="81"/>
  <c r="L198" i="81"/>
  <c r="L196" i="81" s="1"/>
  <c r="C207" i="81"/>
  <c r="L205" i="81"/>
  <c r="E20" i="81"/>
  <c r="C45" i="81"/>
  <c r="C146" i="81"/>
  <c r="F151" i="81"/>
  <c r="C151" i="81" s="1"/>
  <c r="C158" i="81"/>
  <c r="F166" i="81"/>
  <c r="C167" i="81"/>
  <c r="F173" i="81"/>
  <c r="D173" i="81"/>
  <c r="C178" i="81"/>
  <c r="C182" i="81"/>
  <c r="C183" i="81"/>
  <c r="L184" i="81"/>
  <c r="C184" i="81" s="1"/>
  <c r="C190" i="81"/>
  <c r="O204" i="81"/>
  <c r="O195" i="81" s="1"/>
  <c r="L216" i="81"/>
  <c r="C216" i="81" s="1"/>
  <c r="C219" i="81"/>
  <c r="O238" i="81"/>
  <c r="O231" i="81" s="1"/>
  <c r="L238" i="81"/>
  <c r="C243" i="81"/>
  <c r="L264" i="81"/>
  <c r="C264" i="81" s="1"/>
  <c r="C267" i="81"/>
  <c r="F270" i="81"/>
  <c r="C272" i="81"/>
  <c r="F281" i="81"/>
  <c r="C281" i="81" s="1"/>
  <c r="C282" i="81"/>
  <c r="C197" i="81"/>
  <c r="F205" i="81"/>
  <c r="I227" i="81"/>
  <c r="C227" i="81" s="1"/>
  <c r="C228" i="81"/>
  <c r="H231" i="81"/>
  <c r="H230" i="81" s="1"/>
  <c r="C233" i="81"/>
  <c r="C240" i="81"/>
  <c r="I238" i="81"/>
  <c r="E270" i="81"/>
  <c r="E269" i="81" s="1"/>
  <c r="E194" i="81" s="1"/>
  <c r="C280" i="81"/>
  <c r="C285" i="81"/>
  <c r="F284" i="81"/>
  <c r="C286" i="81"/>
  <c r="C201" i="81"/>
  <c r="C208" i="81"/>
  <c r="C209" i="81"/>
  <c r="C220" i="81"/>
  <c r="C221" i="81"/>
  <c r="C232" i="81"/>
  <c r="D231" i="81"/>
  <c r="D230" i="81" s="1"/>
  <c r="M230" i="81"/>
  <c r="M194" i="81" s="1"/>
  <c r="C245" i="81"/>
  <c r="C249" i="81"/>
  <c r="F246" i="81"/>
  <c r="F252" i="81"/>
  <c r="C253" i="81"/>
  <c r="O252" i="81"/>
  <c r="O251" i="81" s="1"/>
  <c r="C268" i="81"/>
  <c r="J270" i="81"/>
  <c r="J269" i="81" s="1"/>
  <c r="O293" i="81"/>
  <c r="O291" i="81" s="1"/>
  <c r="C200" i="81"/>
  <c r="I198" i="81"/>
  <c r="C244" i="81"/>
  <c r="C248" i="81"/>
  <c r="I246" i="81"/>
  <c r="C273" i="81"/>
  <c r="C277" i="81"/>
  <c r="O276" i="81"/>
  <c r="O270" i="81" s="1"/>
  <c r="O269" i="81" s="1"/>
  <c r="C296" i="81"/>
  <c r="C297" i="81"/>
  <c r="F293" i="81"/>
  <c r="O292" i="80"/>
  <c r="O291" i="80" s="1"/>
  <c r="O20" i="80"/>
  <c r="L292" i="80"/>
  <c r="L291" i="80" s="1"/>
  <c r="L75" i="80"/>
  <c r="L27" i="80"/>
  <c r="O173" i="80"/>
  <c r="C173" i="80" s="1"/>
  <c r="C174" i="80"/>
  <c r="C216" i="80"/>
  <c r="C55" i="80"/>
  <c r="O54" i="80"/>
  <c r="O53" i="80" s="1"/>
  <c r="F67" i="80"/>
  <c r="C68" i="80"/>
  <c r="O83" i="80"/>
  <c r="C122" i="80"/>
  <c r="F21" i="80"/>
  <c r="C84" i="80"/>
  <c r="E20" i="80"/>
  <c r="I20" i="80"/>
  <c r="M20" i="80"/>
  <c r="C192" i="80"/>
  <c r="L191" i="80"/>
  <c r="L187" i="80" s="1"/>
  <c r="C187" i="80" s="1"/>
  <c r="C281" i="80"/>
  <c r="C282" i="80"/>
  <c r="L36" i="80"/>
  <c r="C36" i="80" s="1"/>
  <c r="C132" i="80"/>
  <c r="C61" i="79"/>
  <c r="F58" i="79"/>
  <c r="F54" i="79" s="1"/>
  <c r="I84" i="79"/>
  <c r="C88" i="79"/>
  <c r="C32" i="79"/>
  <c r="L31" i="79"/>
  <c r="C31" i="79" s="1"/>
  <c r="L67" i="79"/>
  <c r="C97" i="79"/>
  <c r="F95" i="79"/>
  <c r="I103" i="79"/>
  <c r="C104" i="79"/>
  <c r="C117" i="79"/>
  <c r="F116" i="79"/>
  <c r="F251" i="79"/>
  <c r="I252" i="79"/>
  <c r="I251" i="79" s="1"/>
  <c r="C253" i="79"/>
  <c r="K20" i="79"/>
  <c r="L27" i="79"/>
  <c r="L33" i="79"/>
  <c r="C33" i="79" s="1"/>
  <c r="L43" i="79"/>
  <c r="C43" i="79" s="1"/>
  <c r="O45" i="79"/>
  <c r="O20" i="79" s="1"/>
  <c r="M20" i="79"/>
  <c r="O292" i="79"/>
  <c r="O291" i="79" s="1"/>
  <c r="J53" i="79"/>
  <c r="C56" i="79"/>
  <c r="L58" i="79"/>
  <c r="L54" i="79" s="1"/>
  <c r="L53" i="79" s="1"/>
  <c r="C63" i="79"/>
  <c r="C71" i="79"/>
  <c r="H75" i="79"/>
  <c r="I77" i="79"/>
  <c r="I76" i="79" s="1"/>
  <c r="C78" i="79"/>
  <c r="E75" i="79"/>
  <c r="E52" i="79" s="1"/>
  <c r="D292" i="79"/>
  <c r="D291" i="79" s="1"/>
  <c r="D20" i="79"/>
  <c r="C62" i="79"/>
  <c r="H292" i="79"/>
  <c r="H291" i="79" s="1"/>
  <c r="H20" i="79"/>
  <c r="L292" i="79"/>
  <c r="L291" i="79" s="1"/>
  <c r="F21" i="79"/>
  <c r="C55" i="79"/>
  <c r="C68" i="79"/>
  <c r="L151" i="79"/>
  <c r="L130" i="79" s="1"/>
  <c r="C59" i="79"/>
  <c r="I69" i="79"/>
  <c r="I67" i="79" s="1"/>
  <c r="G83" i="79"/>
  <c r="C85" i="79"/>
  <c r="F84" i="79"/>
  <c r="C89" i="79"/>
  <c r="C90" i="79"/>
  <c r="I95" i="79"/>
  <c r="C96" i="79"/>
  <c r="C99" i="79"/>
  <c r="C111" i="79"/>
  <c r="C119" i="79"/>
  <c r="D130" i="79"/>
  <c r="J130" i="79"/>
  <c r="J75" i="79" s="1"/>
  <c r="N130" i="79"/>
  <c r="N75" i="79" s="1"/>
  <c r="K130" i="79"/>
  <c r="K75" i="79" s="1"/>
  <c r="K52" i="79" s="1"/>
  <c r="I141" i="79"/>
  <c r="C141" i="79" s="1"/>
  <c r="C142" i="79"/>
  <c r="C153" i="79"/>
  <c r="C155" i="79"/>
  <c r="F151" i="79"/>
  <c r="C162" i="79"/>
  <c r="I160" i="79"/>
  <c r="C160" i="79" s="1"/>
  <c r="D174" i="79"/>
  <c r="D173" i="79" s="1"/>
  <c r="H174" i="79"/>
  <c r="H173" i="79" s="1"/>
  <c r="H289" i="79" s="1"/>
  <c r="C186" i="79"/>
  <c r="I184" i="79"/>
  <c r="C184" i="79" s="1"/>
  <c r="O187" i="79"/>
  <c r="C188" i="79"/>
  <c r="C301" i="79"/>
  <c r="M83" i="79"/>
  <c r="M75" i="79" s="1"/>
  <c r="C87" i="79"/>
  <c r="C91" i="79"/>
  <c r="O103" i="79"/>
  <c r="L103" i="79"/>
  <c r="C113" i="79"/>
  <c r="F112" i="79"/>
  <c r="C112" i="79" s="1"/>
  <c r="L116" i="79"/>
  <c r="F125" i="79"/>
  <c r="C125" i="79" s="1"/>
  <c r="D122" i="79"/>
  <c r="D83" i="79" s="1"/>
  <c r="D75" i="79" s="1"/>
  <c r="D52" i="79" s="1"/>
  <c r="C126" i="79"/>
  <c r="O130" i="79"/>
  <c r="G130" i="79"/>
  <c r="C138" i="79"/>
  <c r="I136" i="79"/>
  <c r="C136" i="79" s="1"/>
  <c r="I151" i="79"/>
  <c r="C157" i="79"/>
  <c r="I166" i="79"/>
  <c r="I165" i="79" s="1"/>
  <c r="C181" i="79"/>
  <c r="C183" i="79"/>
  <c r="F179" i="79"/>
  <c r="C179" i="79" s="1"/>
  <c r="C248" i="79"/>
  <c r="L246" i="79"/>
  <c r="C266" i="79"/>
  <c r="F264" i="79"/>
  <c r="C264" i="79" s="1"/>
  <c r="C79" i="79"/>
  <c r="C81" i="79"/>
  <c r="F80" i="79"/>
  <c r="C80" i="79" s="1"/>
  <c r="L84" i="79"/>
  <c r="L83" i="79" s="1"/>
  <c r="O95" i="79"/>
  <c r="O83" i="79" s="1"/>
  <c r="O75" i="79" s="1"/>
  <c r="O52" i="79" s="1"/>
  <c r="C124" i="79"/>
  <c r="I122" i="79"/>
  <c r="C135" i="79"/>
  <c r="F131" i="79"/>
  <c r="C146" i="79"/>
  <c r="I144" i="79"/>
  <c r="C144" i="79" s="1"/>
  <c r="C167" i="79"/>
  <c r="F166" i="79"/>
  <c r="K173" i="79"/>
  <c r="C175" i="79"/>
  <c r="L191" i="79"/>
  <c r="C192" i="79"/>
  <c r="C241" i="79"/>
  <c r="I238" i="79"/>
  <c r="C123" i="79"/>
  <c r="C129" i="79"/>
  <c r="C137" i="79"/>
  <c r="C145" i="79"/>
  <c r="C161" i="79"/>
  <c r="C185" i="79"/>
  <c r="C189" i="79"/>
  <c r="C190" i="79"/>
  <c r="K195" i="79"/>
  <c r="K194" i="79" s="1"/>
  <c r="C199" i="79"/>
  <c r="F198" i="79"/>
  <c r="L205" i="79"/>
  <c r="C217" i="79"/>
  <c r="C218" i="79"/>
  <c r="C219" i="79"/>
  <c r="D231" i="79"/>
  <c r="D230" i="79" s="1"/>
  <c r="J259" i="79"/>
  <c r="J230" i="79" s="1"/>
  <c r="N259" i="79"/>
  <c r="N230" i="79" s="1"/>
  <c r="N194" i="79" s="1"/>
  <c r="C268" i="79"/>
  <c r="C277" i="79"/>
  <c r="F276" i="79"/>
  <c r="C276" i="79" s="1"/>
  <c r="C285" i="79"/>
  <c r="F284" i="79"/>
  <c r="C286" i="79"/>
  <c r="H194" i="79"/>
  <c r="G195" i="79"/>
  <c r="G194" i="79" s="1"/>
  <c r="L196" i="79"/>
  <c r="C201" i="79"/>
  <c r="C221" i="79"/>
  <c r="F223" i="79"/>
  <c r="C223" i="79" s="1"/>
  <c r="D216" i="79"/>
  <c r="D204" i="79" s="1"/>
  <c r="D195" i="79" s="1"/>
  <c r="C224" i="79"/>
  <c r="C228" i="79"/>
  <c r="C229" i="79"/>
  <c r="C234" i="79"/>
  <c r="F233" i="79"/>
  <c r="C237" i="79"/>
  <c r="I235" i="79"/>
  <c r="O238" i="79"/>
  <c r="O231" i="79" s="1"/>
  <c r="O230" i="79" s="1"/>
  <c r="C250" i="79"/>
  <c r="F246" i="79"/>
  <c r="L252" i="79"/>
  <c r="L251" i="79" s="1"/>
  <c r="C256" i="79"/>
  <c r="F270" i="79"/>
  <c r="C272" i="79"/>
  <c r="C279" i="79"/>
  <c r="C280" i="79"/>
  <c r="C281" i="79"/>
  <c r="C193" i="79"/>
  <c r="O195" i="79"/>
  <c r="F205" i="79"/>
  <c r="I205" i="79"/>
  <c r="I204" i="79" s="1"/>
  <c r="I195" i="79" s="1"/>
  <c r="C206" i="79"/>
  <c r="L216" i="79"/>
  <c r="C236" i="79"/>
  <c r="L235" i="79"/>
  <c r="L231" i="79" s="1"/>
  <c r="C242" i="79"/>
  <c r="F238" i="79"/>
  <c r="C249" i="79"/>
  <c r="I246" i="79"/>
  <c r="I260" i="79"/>
  <c r="I259" i="79" s="1"/>
  <c r="C261" i="79"/>
  <c r="O270" i="79"/>
  <c r="O269" i="79" s="1"/>
  <c r="I270" i="79"/>
  <c r="I269" i="79" s="1"/>
  <c r="E289" i="79"/>
  <c r="C296" i="79"/>
  <c r="C297" i="79"/>
  <c r="F293" i="79"/>
  <c r="C293" i="79" s="1"/>
  <c r="H75" i="81" l="1"/>
  <c r="C103" i="79"/>
  <c r="I194" i="80"/>
  <c r="I291" i="79"/>
  <c r="D52" i="81"/>
  <c r="C89" i="80"/>
  <c r="C54" i="80"/>
  <c r="L173" i="81"/>
  <c r="G289" i="80"/>
  <c r="J52" i="80"/>
  <c r="J51" i="80" s="1"/>
  <c r="D194" i="79"/>
  <c r="I75" i="81"/>
  <c r="I52" i="81" s="1"/>
  <c r="C238" i="82"/>
  <c r="I231" i="82"/>
  <c r="I230" i="82" s="1"/>
  <c r="O130" i="80"/>
  <c r="O75" i="80" s="1"/>
  <c r="K52" i="80"/>
  <c r="K51" i="80" s="1"/>
  <c r="K289" i="80"/>
  <c r="H52" i="82"/>
  <c r="H51" i="82" s="1"/>
  <c r="H289" i="82"/>
  <c r="E52" i="81"/>
  <c r="E289" i="81"/>
  <c r="H52" i="80"/>
  <c r="H51" i="80" s="1"/>
  <c r="H289" i="80"/>
  <c r="E194" i="80"/>
  <c r="E289" i="80"/>
  <c r="J50" i="80"/>
  <c r="J290" i="80"/>
  <c r="N51" i="80"/>
  <c r="E75" i="82"/>
  <c r="L230" i="80"/>
  <c r="E52" i="80"/>
  <c r="E51" i="80" s="1"/>
  <c r="G52" i="80"/>
  <c r="G51" i="80" s="1"/>
  <c r="C69" i="79"/>
  <c r="H52" i="81"/>
  <c r="G52" i="81"/>
  <c r="G51" i="81" s="1"/>
  <c r="I83" i="80"/>
  <c r="I75" i="80" s="1"/>
  <c r="L204" i="81"/>
  <c r="O75" i="81"/>
  <c r="C76" i="81"/>
  <c r="C192" i="81"/>
  <c r="K289" i="81"/>
  <c r="M52" i="80"/>
  <c r="M51" i="80" s="1"/>
  <c r="C116" i="79"/>
  <c r="C198" i="81"/>
  <c r="M289" i="81"/>
  <c r="N75" i="82"/>
  <c r="N52" i="82" s="1"/>
  <c r="N51" i="82" s="1"/>
  <c r="I53" i="80"/>
  <c r="I289" i="80" s="1"/>
  <c r="L75" i="79"/>
  <c r="I53" i="79"/>
  <c r="C67" i="79"/>
  <c r="J52" i="82"/>
  <c r="J51" i="82" s="1"/>
  <c r="J50" i="82" s="1"/>
  <c r="J289" i="82"/>
  <c r="N289" i="82"/>
  <c r="O289" i="79"/>
  <c r="C151" i="79"/>
  <c r="H52" i="79"/>
  <c r="H51" i="79" s="1"/>
  <c r="C246" i="81"/>
  <c r="I231" i="81"/>
  <c r="I230" i="81" s="1"/>
  <c r="O230" i="81"/>
  <c r="O204" i="82"/>
  <c r="E289" i="82"/>
  <c r="L259" i="82"/>
  <c r="L230" i="82" s="1"/>
  <c r="C191" i="81"/>
  <c r="C235" i="80"/>
  <c r="F231" i="80"/>
  <c r="F83" i="80"/>
  <c r="C83" i="80" s="1"/>
  <c r="C80" i="80"/>
  <c r="D51" i="79"/>
  <c r="K51" i="79"/>
  <c r="I196" i="81"/>
  <c r="I195" i="81" s="1"/>
  <c r="I194" i="81" s="1"/>
  <c r="I51" i="81" s="1"/>
  <c r="I130" i="82"/>
  <c r="M51" i="82"/>
  <c r="M50" i="82" s="1"/>
  <c r="L83" i="82"/>
  <c r="C204" i="80"/>
  <c r="O194" i="80"/>
  <c r="F76" i="80"/>
  <c r="C77" i="80"/>
  <c r="D51" i="80"/>
  <c r="G75" i="79"/>
  <c r="L52" i="80"/>
  <c r="G194" i="81"/>
  <c r="C187" i="81"/>
  <c r="N51" i="81"/>
  <c r="C136" i="81"/>
  <c r="C216" i="82"/>
  <c r="L130" i="82"/>
  <c r="I83" i="82"/>
  <c r="G194" i="82"/>
  <c r="L54" i="82"/>
  <c r="L53" i="82" s="1"/>
  <c r="F259" i="80"/>
  <c r="C259" i="80" s="1"/>
  <c r="C260" i="80"/>
  <c r="F55" i="81"/>
  <c r="C198" i="80"/>
  <c r="F196" i="80"/>
  <c r="E194" i="79"/>
  <c r="E51" i="79" s="1"/>
  <c r="C235" i="79"/>
  <c r="C238" i="79"/>
  <c r="I231" i="79"/>
  <c r="H194" i="81"/>
  <c r="H51" i="81" s="1"/>
  <c r="L231" i="81"/>
  <c r="I204" i="81"/>
  <c r="I174" i="82"/>
  <c r="I173" i="82" s="1"/>
  <c r="O130" i="82"/>
  <c r="C276" i="82"/>
  <c r="O67" i="82"/>
  <c r="C67" i="82" s="1"/>
  <c r="C276" i="80"/>
  <c r="F270" i="80"/>
  <c r="F130" i="80"/>
  <c r="C130" i="80" s="1"/>
  <c r="L195" i="80"/>
  <c r="J290" i="82"/>
  <c r="G289" i="82"/>
  <c r="G52" i="82"/>
  <c r="H290" i="82"/>
  <c r="H50" i="82"/>
  <c r="K52" i="82"/>
  <c r="K51" i="82" s="1"/>
  <c r="K289" i="82"/>
  <c r="I75" i="82"/>
  <c r="I52" i="82" s="1"/>
  <c r="C286" i="82"/>
  <c r="C77" i="82"/>
  <c r="F76" i="82"/>
  <c r="I292" i="82"/>
  <c r="F55" i="82"/>
  <c r="C57" i="82"/>
  <c r="O195" i="82"/>
  <c r="C198" i="82"/>
  <c r="I196" i="82"/>
  <c r="C196" i="82" s="1"/>
  <c r="M290" i="82"/>
  <c r="C95" i="82"/>
  <c r="C116" i="82"/>
  <c r="F173" i="82"/>
  <c r="D53" i="82"/>
  <c r="D52" i="82" s="1"/>
  <c r="D51" i="82" s="1"/>
  <c r="F291" i="82"/>
  <c r="C284" i="82"/>
  <c r="F283" i="82"/>
  <c r="C283" i="82" s="1"/>
  <c r="O83" i="82"/>
  <c r="O75" i="82" s="1"/>
  <c r="M289" i="82"/>
  <c r="C260" i="82"/>
  <c r="F259" i="82"/>
  <c r="I204" i="82"/>
  <c r="F83" i="82"/>
  <c r="C84" i="82"/>
  <c r="E52" i="82"/>
  <c r="C31" i="82"/>
  <c r="L26" i="82"/>
  <c r="C103" i="82"/>
  <c r="C192" i="82"/>
  <c r="F191" i="82"/>
  <c r="C252" i="82"/>
  <c r="F251" i="82"/>
  <c r="C251" i="82" s="1"/>
  <c r="E194" i="82"/>
  <c r="F270" i="82"/>
  <c r="C272" i="82"/>
  <c r="O230" i="82"/>
  <c r="F130" i="82"/>
  <c r="C131" i="82"/>
  <c r="C205" i="82"/>
  <c r="F204" i="82"/>
  <c r="F231" i="82"/>
  <c r="C166" i="82"/>
  <c r="F165" i="82"/>
  <c r="C165" i="82" s="1"/>
  <c r="C151" i="82"/>
  <c r="C122" i="82"/>
  <c r="C89" i="82"/>
  <c r="C136" i="82"/>
  <c r="N50" i="81"/>
  <c r="N290" i="81"/>
  <c r="J289" i="81"/>
  <c r="J194" i="81"/>
  <c r="J51" i="81" s="1"/>
  <c r="C284" i="81"/>
  <c r="F283" i="81"/>
  <c r="C283" i="81" s="1"/>
  <c r="F292" i="81"/>
  <c r="F20" i="81"/>
  <c r="C21" i="81"/>
  <c r="C252" i="81"/>
  <c r="F251" i="81"/>
  <c r="C251" i="81" s="1"/>
  <c r="O174" i="81"/>
  <c r="O173" i="81" s="1"/>
  <c r="O289" i="81" s="1"/>
  <c r="C276" i="81"/>
  <c r="L259" i="81"/>
  <c r="I292" i="81"/>
  <c r="I291" i="81" s="1"/>
  <c r="I20" i="81"/>
  <c r="H289" i="81"/>
  <c r="L75" i="81"/>
  <c r="L52" i="81" s="1"/>
  <c r="F269" i="81"/>
  <c r="C270" i="81"/>
  <c r="C131" i="81"/>
  <c r="F130" i="81"/>
  <c r="C130" i="81" s="1"/>
  <c r="D194" i="81"/>
  <c r="D51" i="81" s="1"/>
  <c r="D289" i="81"/>
  <c r="F231" i="81"/>
  <c r="L26" i="81"/>
  <c r="E51" i="81"/>
  <c r="F83" i="81"/>
  <c r="M52" i="81"/>
  <c r="M51" i="81" s="1"/>
  <c r="O194" i="81"/>
  <c r="C293" i="81"/>
  <c r="N289" i="81"/>
  <c r="G289" i="81"/>
  <c r="C205" i="81"/>
  <c r="F204" i="81"/>
  <c r="C166" i="81"/>
  <c r="F165" i="81"/>
  <c r="C165" i="81" s="1"/>
  <c r="L195" i="81"/>
  <c r="C238" i="81"/>
  <c r="K52" i="81"/>
  <c r="K51" i="81" s="1"/>
  <c r="F292" i="80"/>
  <c r="F20" i="80"/>
  <c r="C21" i="80"/>
  <c r="C191" i="80"/>
  <c r="C67" i="80"/>
  <c r="F53" i="80"/>
  <c r="C27" i="80"/>
  <c r="L26" i="80"/>
  <c r="I52" i="80"/>
  <c r="I51" i="80" s="1"/>
  <c r="D290" i="79"/>
  <c r="D50" i="79"/>
  <c r="K50" i="79"/>
  <c r="K290" i="79"/>
  <c r="M52" i="79"/>
  <c r="M51" i="79" s="1"/>
  <c r="M289" i="79"/>
  <c r="N289" i="79"/>
  <c r="N52" i="79"/>
  <c r="N51" i="79" s="1"/>
  <c r="G289" i="79"/>
  <c r="G52" i="79"/>
  <c r="G51" i="79" s="1"/>
  <c r="J194" i="79"/>
  <c r="J289" i="79"/>
  <c r="K289" i="79"/>
  <c r="H290" i="79"/>
  <c r="H50" i="79"/>
  <c r="C205" i="79"/>
  <c r="D289" i="79"/>
  <c r="F196" i="79"/>
  <c r="C198" i="79"/>
  <c r="F76" i="79"/>
  <c r="C284" i="79"/>
  <c r="F283" i="79"/>
  <c r="C283" i="79" s="1"/>
  <c r="C166" i="79"/>
  <c r="F165" i="79"/>
  <c r="C165" i="79" s="1"/>
  <c r="C131" i="79"/>
  <c r="F130" i="79"/>
  <c r="F122" i="79"/>
  <c r="C122" i="79" s="1"/>
  <c r="J52" i="79"/>
  <c r="J51" i="79" s="1"/>
  <c r="C27" i="79"/>
  <c r="L26" i="79"/>
  <c r="C251" i="79"/>
  <c r="C95" i="79"/>
  <c r="I173" i="79"/>
  <c r="C58" i="79"/>
  <c r="C270" i="79"/>
  <c r="F269" i="79"/>
  <c r="L52" i="79"/>
  <c r="C252" i="79"/>
  <c r="O194" i="79"/>
  <c r="O51" i="79" s="1"/>
  <c r="O50" i="79" s="1"/>
  <c r="C260" i="79"/>
  <c r="L230" i="79"/>
  <c r="F259" i="79"/>
  <c r="C259" i="79" s="1"/>
  <c r="C246" i="79"/>
  <c r="F216" i="79"/>
  <c r="C216" i="79" s="1"/>
  <c r="L204" i="79"/>
  <c r="L195" i="79" s="1"/>
  <c r="L194" i="79" s="1"/>
  <c r="F174" i="79"/>
  <c r="C191" i="79"/>
  <c r="L187" i="79"/>
  <c r="C187" i="79" s="1"/>
  <c r="F292" i="79"/>
  <c r="C21" i="79"/>
  <c r="F20" i="79"/>
  <c r="C45" i="79"/>
  <c r="I230" i="79"/>
  <c r="I194" i="79" s="1"/>
  <c r="F231" i="79"/>
  <c r="C233" i="79"/>
  <c r="C84" i="79"/>
  <c r="F53" i="79"/>
  <c r="C54" i="79"/>
  <c r="I130" i="79"/>
  <c r="C77" i="79"/>
  <c r="I83" i="79"/>
  <c r="O289" i="80" l="1"/>
  <c r="O52" i="80"/>
  <c r="O51" i="80" s="1"/>
  <c r="N290" i="82"/>
  <c r="N50" i="82"/>
  <c r="C196" i="81"/>
  <c r="L230" i="81"/>
  <c r="C130" i="82"/>
  <c r="C259" i="82"/>
  <c r="M50" i="80"/>
  <c r="M290" i="80"/>
  <c r="O53" i="82"/>
  <c r="O52" i="82" s="1"/>
  <c r="H290" i="80"/>
  <c r="H50" i="80"/>
  <c r="G290" i="80"/>
  <c r="G50" i="80"/>
  <c r="E290" i="80"/>
  <c r="E50" i="80"/>
  <c r="N50" i="80"/>
  <c r="N290" i="80"/>
  <c r="K50" i="80"/>
  <c r="K290" i="80"/>
  <c r="E50" i="79"/>
  <c r="E290" i="79"/>
  <c r="L194" i="82"/>
  <c r="H50" i="81"/>
  <c r="H290" i="81"/>
  <c r="O52" i="81"/>
  <c r="O51" i="81" s="1"/>
  <c r="C173" i="81"/>
  <c r="C174" i="82"/>
  <c r="C270" i="80"/>
  <c r="F269" i="80"/>
  <c r="C269" i="80" s="1"/>
  <c r="C259" i="81"/>
  <c r="F54" i="81"/>
  <c r="C55" i="81"/>
  <c r="D290" i="80"/>
  <c r="D50" i="80"/>
  <c r="F230" i="80"/>
  <c r="C230" i="80" s="1"/>
  <c r="C231" i="80"/>
  <c r="L289" i="81"/>
  <c r="G51" i="82"/>
  <c r="G290" i="82" s="1"/>
  <c r="L194" i="80"/>
  <c r="L289" i="80"/>
  <c r="L51" i="80"/>
  <c r="L50" i="80" s="1"/>
  <c r="I75" i="79"/>
  <c r="I52" i="79" s="1"/>
  <c r="I51" i="79" s="1"/>
  <c r="I290" i="79" s="1"/>
  <c r="O289" i="82"/>
  <c r="E51" i="82"/>
  <c r="E290" i="82" s="1"/>
  <c r="C173" i="82"/>
  <c r="F195" i="80"/>
  <c r="C196" i="80"/>
  <c r="F75" i="80"/>
  <c r="C75" i="80" s="1"/>
  <c r="C76" i="80"/>
  <c r="L75" i="82"/>
  <c r="L52" i="82" s="1"/>
  <c r="D290" i="82"/>
  <c r="D50" i="82"/>
  <c r="F230" i="82"/>
  <c r="C230" i="82" s="1"/>
  <c r="C231" i="82"/>
  <c r="I291" i="82"/>
  <c r="C291" i="82" s="1"/>
  <c r="C292" i="82"/>
  <c r="C55" i="82"/>
  <c r="F54" i="82"/>
  <c r="C204" i="82"/>
  <c r="F195" i="82"/>
  <c r="F269" i="82"/>
  <c r="C270" i="82"/>
  <c r="C191" i="82"/>
  <c r="F187" i="82"/>
  <c r="C187" i="82" s="1"/>
  <c r="C26" i="82"/>
  <c r="L20" i="82"/>
  <c r="C20" i="82" s="1"/>
  <c r="C83" i="82"/>
  <c r="O194" i="82"/>
  <c r="F75" i="82"/>
  <c r="C76" i="82"/>
  <c r="E50" i="82"/>
  <c r="D289" i="82"/>
  <c r="I195" i="82"/>
  <c r="K50" i="82"/>
  <c r="K290" i="82"/>
  <c r="I290" i="81"/>
  <c r="I50" i="81"/>
  <c r="J50" i="81"/>
  <c r="J290" i="81"/>
  <c r="D290" i="81"/>
  <c r="D50" i="81"/>
  <c r="L194" i="81"/>
  <c r="L51" i="81" s="1"/>
  <c r="L50" i="81" s="1"/>
  <c r="C83" i="81"/>
  <c r="F75" i="81"/>
  <c r="C75" i="81" s="1"/>
  <c r="C174" i="81"/>
  <c r="O50" i="81"/>
  <c r="O290" i="81"/>
  <c r="K50" i="81"/>
  <c r="K290" i="81"/>
  <c r="E290" i="81"/>
  <c r="E50" i="81"/>
  <c r="F230" i="81"/>
  <c r="C230" i="81" s="1"/>
  <c r="C231" i="81"/>
  <c r="G50" i="81"/>
  <c r="G290" i="81"/>
  <c r="C204" i="81"/>
  <c r="F195" i="81"/>
  <c r="M50" i="81"/>
  <c r="M290" i="81"/>
  <c r="C26" i="81"/>
  <c r="L20" i="81"/>
  <c r="C20" i="81" s="1"/>
  <c r="C269" i="81"/>
  <c r="C292" i="81"/>
  <c r="F291" i="81"/>
  <c r="C291" i="81" s="1"/>
  <c r="I289" i="81"/>
  <c r="F52" i="80"/>
  <c r="C53" i="80"/>
  <c r="O50" i="80"/>
  <c r="O290" i="80"/>
  <c r="I290" i="80"/>
  <c r="I50" i="80"/>
  <c r="L290" i="80"/>
  <c r="C26" i="80"/>
  <c r="L20" i="80"/>
  <c r="C20" i="80" s="1"/>
  <c r="C292" i="80"/>
  <c r="F291" i="80"/>
  <c r="C291" i="80" s="1"/>
  <c r="C292" i="79"/>
  <c r="F291" i="79"/>
  <c r="C291" i="79" s="1"/>
  <c r="F230" i="79"/>
  <c r="C230" i="79" s="1"/>
  <c r="C231" i="79"/>
  <c r="C196" i="79"/>
  <c r="M50" i="79"/>
  <c r="M290" i="79"/>
  <c r="L289" i="79"/>
  <c r="C76" i="79"/>
  <c r="O290" i="79"/>
  <c r="C269" i="79"/>
  <c r="J50" i="79"/>
  <c r="J290" i="79"/>
  <c r="C130" i="79"/>
  <c r="F204" i="79"/>
  <c r="C204" i="79" s="1"/>
  <c r="G290" i="79"/>
  <c r="G50" i="79"/>
  <c r="C53" i="79"/>
  <c r="F83" i="79"/>
  <c r="C83" i="79" s="1"/>
  <c r="C174" i="79"/>
  <c r="F173" i="79"/>
  <c r="C173" i="79" s="1"/>
  <c r="C26" i="79"/>
  <c r="L20" i="79"/>
  <c r="C20" i="79" s="1"/>
  <c r="N50" i="79"/>
  <c r="N290" i="79"/>
  <c r="L51" i="79"/>
  <c r="L50" i="79" s="1"/>
  <c r="O51" i="82" l="1"/>
  <c r="O50" i="82" s="1"/>
  <c r="F195" i="79"/>
  <c r="F289" i="80"/>
  <c r="C289" i="80" s="1"/>
  <c r="I289" i="79"/>
  <c r="C75" i="82"/>
  <c r="G50" i="82"/>
  <c r="L51" i="82"/>
  <c r="C195" i="80"/>
  <c r="F194" i="80"/>
  <c r="C194" i="80" s="1"/>
  <c r="L289" i="82"/>
  <c r="I50" i="79"/>
  <c r="C54" i="81"/>
  <c r="F53" i="81"/>
  <c r="F194" i="82"/>
  <c r="C195" i="82"/>
  <c r="F53" i="82"/>
  <c r="F289" i="82" s="1"/>
  <c r="C54" i="82"/>
  <c r="C269" i="82"/>
  <c r="I194" i="82"/>
  <c r="I51" i="82" s="1"/>
  <c r="I289" i="82"/>
  <c r="F194" i="81"/>
  <c r="C194" i="81" s="1"/>
  <c r="C195" i="81"/>
  <c r="L290" i="81"/>
  <c r="C52" i="80"/>
  <c r="C195" i="79"/>
  <c r="F194" i="79"/>
  <c r="C194" i="79" s="1"/>
  <c r="L290" i="79"/>
  <c r="F75" i="79"/>
  <c r="O290" i="82" l="1"/>
  <c r="F51" i="80"/>
  <c r="C53" i="81"/>
  <c r="F52" i="81"/>
  <c r="L50" i="82"/>
  <c r="L290" i="82"/>
  <c r="F289" i="81"/>
  <c r="C289" i="81" s="1"/>
  <c r="I290" i="82"/>
  <c r="I50" i="82"/>
  <c r="C194" i="82"/>
  <c r="C289" i="82"/>
  <c r="F52" i="82"/>
  <c r="C53" i="82"/>
  <c r="F290" i="80"/>
  <c r="C290" i="80" s="1"/>
  <c r="C51" i="80"/>
  <c r="F50" i="80"/>
  <c r="C50" i="80" s="1"/>
  <c r="C75" i="79"/>
  <c r="F52" i="79"/>
  <c r="F289" i="79"/>
  <c r="C289" i="79" s="1"/>
  <c r="F51" i="81" l="1"/>
  <c r="C52" i="81"/>
  <c r="C52" i="82"/>
  <c r="F51" i="82"/>
  <c r="C52" i="79"/>
  <c r="F51" i="79"/>
  <c r="F50" i="81" l="1"/>
  <c r="C50" i="81" s="1"/>
  <c r="C51" i="81"/>
  <c r="F290" i="81"/>
  <c r="C290" i="81" s="1"/>
  <c r="F290" i="82"/>
  <c r="C290" i="82" s="1"/>
  <c r="C51" i="82"/>
  <c r="F50" i="82"/>
  <c r="C50" i="82" s="1"/>
  <c r="F290" i="79"/>
  <c r="C290" i="79" s="1"/>
  <c r="C51" i="79"/>
  <c r="F50" i="79"/>
  <c r="C50" i="79" s="1"/>
  <c r="O301" i="78" l="1"/>
  <c r="L301" i="78"/>
  <c r="I301" i="78"/>
  <c r="F301" i="78"/>
  <c r="O300" i="78"/>
  <c r="L300" i="78"/>
  <c r="I300" i="78"/>
  <c r="F300" i="78"/>
  <c r="O299" i="78"/>
  <c r="L299" i="78"/>
  <c r="I299" i="78"/>
  <c r="F299" i="78"/>
  <c r="O298" i="78"/>
  <c r="L298" i="78"/>
  <c r="I298" i="78"/>
  <c r="F298" i="78"/>
  <c r="O297" i="78"/>
  <c r="L297" i="78"/>
  <c r="I297" i="78"/>
  <c r="F297" i="78"/>
  <c r="O296" i="78"/>
  <c r="L296" i="78"/>
  <c r="I296" i="78"/>
  <c r="F296" i="78"/>
  <c r="O295" i="78"/>
  <c r="L295" i="78"/>
  <c r="I295" i="78"/>
  <c r="F295" i="78"/>
  <c r="O294" i="78"/>
  <c r="O293" i="78" s="1"/>
  <c r="L294" i="78"/>
  <c r="I294" i="78"/>
  <c r="F294" i="78"/>
  <c r="N293" i="78"/>
  <c r="M293" i="78"/>
  <c r="K293" i="78"/>
  <c r="J293" i="78"/>
  <c r="H293" i="78"/>
  <c r="G293" i="78"/>
  <c r="E293" i="78"/>
  <c r="D293" i="78"/>
  <c r="O288" i="78"/>
  <c r="L288" i="78"/>
  <c r="I288" i="78"/>
  <c r="F288" i="78"/>
  <c r="O287" i="78"/>
  <c r="L287" i="78"/>
  <c r="I287" i="78"/>
  <c r="F287" i="78"/>
  <c r="O286" i="78"/>
  <c r="N286" i="78"/>
  <c r="M286" i="78"/>
  <c r="K286" i="78"/>
  <c r="J286" i="78"/>
  <c r="H286" i="78"/>
  <c r="G286" i="78"/>
  <c r="F286" i="78"/>
  <c r="E286" i="78"/>
  <c r="D286" i="78"/>
  <c r="O285" i="78"/>
  <c r="L285" i="78"/>
  <c r="L284" i="78" s="1"/>
  <c r="L283" i="78" s="1"/>
  <c r="I285" i="78"/>
  <c r="F285" i="78"/>
  <c r="F284" i="78" s="1"/>
  <c r="O284" i="78"/>
  <c r="N284" i="78"/>
  <c r="N283" i="78" s="1"/>
  <c r="M284" i="78"/>
  <c r="M283" i="78" s="1"/>
  <c r="K284" i="78"/>
  <c r="J284" i="78"/>
  <c r="J283" i="78" s="1"/>
  <c r="I284" i="78"/>
  <c r="I283" i="78" s="1"/>
  <c r="H284" i="78"/>
  <c r="H283" i="78" s="1"/>
  <c r="G284" i="78"/>
  <c r="G283" i="78" s="1"/>
  <c r="E284" i="78"/>
  <c r="E283" i="78" s="1"/>
  <c r="D284" i="78"/>
  <c r="D283" i="78" s="1"/>
  <c r="O283" i="78"/>
  <c r="K283" i="78"/>
  <c r="O282" i="78"/>
  <c r="O281" i="78" s="1"/>
  <c r="L282" i="78"/>
  <c r="L281" i="78" s="1"/>
  <c r="I282" i="78"/>
  <c r="I281" i="78" s="1"/>
  <c r="F282" i="78"/>
  <c r="F281" i="78" s="1"/>
  <c r="N281" i="78"/>
  <c r="M281" i="78"/>
  <c r="K281" i="78"/>
  <c r="J281" i="78"/>
  <c r="H281" i="78"/>
  <c r="G281" i="78"/>
  <c r="E281" i="78"/>
  <c r="D281" i="78"/>
  <c r="O280" i="78"/>
  <c r="L280" i="78"/>
  <c r="I280" i="78"/>
  <c r="F280" i="78"/>
  <c r="O279" i="78"/>
  <c r="L279" i="78"/>
  <c r="I279" i="78"/>
  <c r="F279" i="78"/>
  <c r="O278" i="78"/>
  <c r="L278" i="78"/>
  <c r="I278" i="78"/>
  <c r="F278" i="78"/>
  <c r="O277" i="78"/>
  <c r="L277" i="78"/>
  <c r="I277" i="78"/>
  <c r="F277" i="78"/>
  <c r="N276" i="78"/>
  <c r="M276" i="78"/>
  <c r="K276" i="78"/>
  <c r="J276" i="78"/>
  <c r="H276" i="78"/>
  <c r="G276" i="78"/>
  <c r="E276" i="78"/>
  <c r="D276" i="78"/>
  <c r="O275" i="78"/>
  <c r="L275" i="78"/>
  <c r="I275" i="78"/>
  <c r="F275" i="78"/>
  <c r="O274" i="78"/>
  <c r="L274" i="78"/>
  <c r="I274" i="78"/>
  <c r="F274" i="78"/>
  <c r="O273" i="78"/>
  <c r="L273" i="78"/>
  <c r="I273" i="78"/>
  <c r="I272" i="78" s="1"/>
  <c r="F273" i="78"/>
  <c r="N272" i="78"/>
  <c r="N270" i="78" s="1"/>
  <c r="N269" i="78" s="1"/>
  <c r="M272" i="78"/>
  <c r="L272" i="78"/>
  <c r="K272" i="78"/>
  <c r="J272" i="78"/>
  <c r="H272" i="78"/>
  <c r="G272" i="78"/>
  <c r="G270" i="78" s="1"/>
  <c r="E272" i="78"/>
  <c r="D272" i="78"/>
  <c r="D270" i="78" s="1"/>
  <c r="D269" i="78" s="1"/>
  <c r="O271" i="78"/>
  <c r="L271" i="78"/>
  <c r="I271" i="78"/>
  <c r="F271" i="78"/>
  <c r="C271" i="78" s="1"/>
  <c r="O268" i="78"/>
  <c r="L268" i="78"/>
  <c r="I268" i="78"/>
  <c r="F268" i="78"/>
  <c r="O267" i="78"/>
  <c r="L267" i="78"/>
  <c r="I267" i="78"/>
  <c r="F267" i="78"/>
  <c r="O266" i="78"/>
  <c r="L266" i="78"/>
  <c r="I266" i="78"/>
  <c r="F266" i="78"/>
  <c r="O265" i="78"/>
  <c r="L265" i="78"/>
  <c r="I265" i="78"/>
  <c r="I264" i="78" s="1"/>
  <c r="F265" i="78"/>
  <c r="F264" i="78" s="1"/>
  <c r="N264" i="78"/>
  <c r="M264" i="78"/>
  <c r="K264" i="78"/>
  <c r="J264" i="78"/>
  <c r="H264" i="78"/>
  <c r="G264" i="78"/>
  <c r="E264" i="78"/>
  <c r="D264" i="78"/>
  <c r="O263" i="78"/>
  <c r="L263" i="78"/>
  <c r="I263" i="78"/>
  <c r="F263" i="78"/>
  <c r="O262" i="78"/>
  <c r="L262" i="78"/>
  <c r="I262" i="78"/>
  <c r="F262" i="78"/>
  <c r="O261" i="78"/>
  <c r="L261" i="78"/>
  <c r="I261" i="78"/>
  <c r="I260" i="78" s="1"/>
  <c r="I259" i="78" s="1"/>
  <c r="F261" i="78"/>
  <c r="N260" i="78"/>
  <c r="N259" i="78" s="1"/>
  <c r="M260" i="78"/>
  <c r="K260" i="78"/>
  <c r="K259" i="78" s="1"/>
  <c r="J260" i="78"/>
  <c r="H260" i="78"/>
  <c r="G260" i="78"/>
  <c r="E260" i="78"/>
  <c r="E259" i="78" s="1"/>
  <c r="D260" i="78"/>
  <c r="O258" i="78"/>
  <c r="L258" i="78"/>
  <c r="I258" i="78"/>
  <c r="F258" i="78"/>
  <c r="O257" i="78"/>
  <c r="L257" i="78"/>
  <c r="I257" i="78"/>
  <c r="F257" i="78"/>
  <c r="O256" i="78"/>
  <c r="L256" i="78"/>
  <c r="I256" i="78"/>
  <c r="F256" i="78"/>
  <c r="O255" i="78"/>
  <c r="L255" i="78"/>
  <c r="I255" i="78"/>
  <c r="F255" i="78"/>
  <c r="O254" i="78"/>
  <c r="L254" i="78"/>
  <c r="I254" i="78"/>
  <c r="F254" i="78"/>
  <c r="O253" i="78"/>
  <c r="L253" i="78"/>
  <c r="I253" i="78"/>
  <c r="I252" i="78" s="1"/>
  <c r="I251" i="78" s="1"/>
  <c r="F253" i="78"/>
  <c r="N252" i="78"/>
  <c r="N251" i="78" s="1"/>
  <c r="M252" i="78"/>
  <c r="M251" i="78" s="1"/>
  <c r="K252" i="78"/>
  <c r="K251" i="78" s="1"/>
  <c r="J252" i="78"/>
  <c r="H252" i="78"/>
  <c r="H251" i="78" s="1"/>
  <c r="G252" i="78"/>
  <c r="G251" i="78" s="1"/>
  <c r="E252" i="78"/>
  <c r="E251" i="78" s="1"/>
  <c r="D252" i="78"/>
  <c r="J251" i="78"/>
  <c r="D251" i="78"/>
  <c r="O250" i="78"/>
  <c r="L250" i="78"/>
  <c r="I250" i="78"/>
  <c r="F250" i="78"/>
  <c r="O249" i="78"/>
  <c r="L249" i="78"/>
  <c r="I249" i="78"/>
  <c r="F249" i="78"/>
  <c r="O248" i="78"/>
  <c r="L248" i="78"/>
  <c r="I248" i="78"/>
  <c r="F248" i="78"/>
  <c r="O247" i="78"/>
  <c r="L247" i="78"/>
  <c r="I247" i="78"/>
  <c r="F247" i="78"/>
  <c r="O246" i="78"/>
  <c r="N246" i="78"/>
  <c r="M246" i="78"/>
  <c r="K246" i="78"/>
  <c r="J246" i="78"/>
  <c r="H246" i="78"/>
  <c r="G246" i="78"/>
  <c r="E246" i="78"/>
  <c r="D246" i="78"/>
  <c r="O245" i="78"/>
  <c r="L245" i="78"/>
  <c r="I245" i="78"/>
  <c r="F245" i="78"/>
  <c r="O244" i="78"/>
  <c r="L244" i="78"/>
  <c r="I244" i="78"/>
  <c r="F244" i="78"/>
  <c r="O243" i="78"/>
  <c r="L243" i="78"/>
  <c r="I243" i="78"/>
  <c r="F243" i="78"/>
  <c r="O242" i="78"/>
  <c r="L242" i="78"/>
  <c r="I242" i="78"/>
  <c r="F242" i="78"/>
  <c r="O241" i="78"/>
  <c r="L241" i="78"/>
  <c r="I241" i="78"/>
  <c r="F241" i="78"/>
  <c r="O240" i="78"/>
  <c r="L240" i="78"/>
  <c r="I240" i="78"/>
  <c r="F240" i="78"/>
  <c r="O239" i="78"/>
  <c r="L239" i="78"/>
  <c r="I239" i="78"/>
  <c r="F239" i="78"/>
  <c r="N238" i="78"/>
  <c r="M238" i="78"/>
  <c r="K238" i="78"/>
  <c r="J238" i="78"/>
  <c r="H238" i="78"/>
  <c r="G238" i="78"/>
  <c r="E238" i="78"/>
  <c r="D238" i="78"/>
  <c r="O237" i="78"/>
  <c r="L237" i="78"/>
  <c r="I237" i="78"/>
  <c r="F237" i="78"/>
  <c r="O236" i="78"/>
  <c r="L236" i="78"/>
  <c r="L235" i="78" s="1"/>
  <c r="I236" i="78"/>
  <c r="I235" i="78" s="1"/>
  <c r="F236" i="78"/>
  <c r="O235" i="78"/>
  <c r="N235" i="78"/>
  <c r="M235" i="78"/>
  <c r="K235" i="78"/>
  <c r="J235" i="78"/>
  <c r="H235" i="78"/>
  <c r="G235" i="78"/>
  <c r="F235" i="78"/>
  <c r="E235" i="78"/>
  <c r="D235" i="78"/>
  <c r="O234" i="78"/>
  <c r="O233" i="78" s="1"/>
  <c r="L234" i="78"/>
  <c r="L233" i="78" s="1"/>
  <c r="I234" i="78"/>
  <c r="F234" i="78"/>
  <c r="F233" i="78" s="1"/>
  <c r="N233" i="78"/>
  <c r="M233" i="78"/>
  <c r="K233" i="78"/>
  <c r="J233" i="78"/>
  <c r="I233" i="78"/>
  <c r="H233" i="78"/>
  <c r="G233" i="78"/>
  <c r="E233" i="78"/>
  <c r="D233" i="78"/>
  <c r="O232" i="78"/>
  <c r="L232" i="78"/>
  <c r="I232" i="78"/>
  <c r="F232" i="78"/>
  <c r="K231" i="78"/>
  <c r="O229" i="78"/>
  <c r="L229" i="78"/>
  <c r="I229" i="78"/>
  <c r="F229" i="78"/>
  <c r="C229" i="78" s="1"/>
  <c r="O228" i="78"/>
  <c r="L228" i="78"/>
  <c r="L227" i="78" s="1"/>
  <c r="I228" i="78"/>
  <c r="I227" i="78" s="1"/>
  <c r="F228" i="78"/>
  <c r="C228" i="78" s="1"/>
  <c r="O227" i="78"/>
  <c r="N227" i="78"/>
  <c r="M227" i="78"/>
  <c r="K227" i="78"/>
  <c r="J227" i="78"/>
  <c r="H227" i="78"/>
  <c r="G227" i="78"/>
  <c r="F227" i="78"/>
  <c r="C227" i="78" s="1"/>
  <c r="E227" i="78"/>
  <c r="D227" i="78"/>
  <c r="O226" i="78"/>
  <c r="L226" i="78"/>
  <c r="I226" i="78"/>
  <c r="F226" i="78"/>
  <c r="O225" i="78"/>
  <c r="L225" i="78"/>
  <c r="I225" i="78"/>
  <c r="F225" i="78"/>
  <c r="O224" i="78"/>
  <c r="L224" i="78"/>
  <c r="I224" i="78"/>
  <c r="F224" i="78"/>
  <c r="O223" i="78"/>
  <c r="L223" i="78"/>
  <c r="I223" i="78"/>
  <c r="F223" i="78"/>
  <c r="O222" i="78"/>
  <c r="L222" i="78"/>
  <c r="I222" i="78"/>
  <c r="F222" i="78"/>
  <c r="O221" i="78"/>
  <c r="L221" i="78"/>
  <c r="I221" i="78"/>
  <c r="F221" i="78"/>
  <c r="O220" i="78"/>
  <c r="L220" i="78"/>
  <c r="I220" i="78"/>
  <c r="F220" i="78"/>
  <c r="O219" i="78"/>
  <c r="L219" i="78"/>
  <c r="I219" i="78"/>
  <c r="F219" i="78"/>
  <c r="O218" i="78"/>
  <c r="L218" i="78"/>
  <c r="I218" i="78"/>
  <c r="F218" i="78"/>
  <c r="O217" i="78"/>
  <c r="L217" i="78"/>
  <c r="I217" i="78"/>
  <c r="F217" i="78"/>
  <c r="N216" i="78"/>
  <c r="M216" i="78"/>
  <c r="K216" i="78"/>
  <c r="J216" i="78"/>
  <c r="H216" i="78"/>
  <c r="G216" i="78"/>
  <c r="E216" i="78"/>
  <c r="D216" i="78"/>
  <c r="O215" i="78"/>
  <c r="L215" i="78"/>
  <c r="I215" i="78"/>
  <c r="F215" i="78"/>
  <c r="O214" i="78"/>
  <c r="L214" i="78"/>
  <c r="I214" i="78"/>
  <c r="F214" i="78"/>
  <c r="O213" i="78"/>
  <c r="L213" i="78"/>
  <c r="I213" i="78"/>
  <c r="F213" i="78"/>
  <c r="O212" i="78"/>
  <c r="L212" i="78"/>
  <c r="I212" i="78"/>
  <c r="F212" i="78"/>
  <c r="O211" i="78"/>
  <c r="L211" i="78"/>
  <c r="I211" i="78"/>
  <c r="F211" i="78"/>
  <c r="O210" i="78"/>
  <c r="L210" i="78"/>
  <c r="I210" i="78"/>
  <c r="F210" i="78"/>
  <c r="O209" i="78"/>
  <c r="L209" i="78"/>
  <c r="I209" i="78"/>
  <c r="F209" i="78"/>
  <c r="O208" i="78"/>
  <c r="L208" i="78"/>
  <c r="I208" i="78"/>
  <c r="F208" i="78"/>
  <c r="O207" i="78"/>
  <c r="L207" i="78"/>
  <c r="I207" i="78"/>
  <c r="F207" i="78"/>
  <c r="O206" i="78"/>
  <c r="L206" i="78"/>
  <c r="I206" i="78"/>
  <c r="F206" i="78"/>
  <c r="C206" i="78"/>
  <c r="N205" i="78"/>
  <c r="M205" i="78"/>
  <c r="M204" i="78" s="1"/>
  <c r="K205" i="78"/>
  <c r="J205" i="78"/>
  <c r="J204" i="78" s="1"/>
  <c r="H205" i="78"/>
  <c r="G205" i="78"/>
  <c r="E205" i="78"/>
  <c r="D205" i="78"/>
  <c r="D204" i="78" s="1"/>
  <c r="O203" i="78"/>
  <c r="L203" i="78"/>
  <c r="I203" i="78"/>
  <c r="F203" i="78"/>
  <c r="O202" i="78"/>
  <c r="L202" i="78"/>
  <c r="I202" i="78"/>
  <c r="F202" i="78"/>
  <c r="O201" i="78"/>
  <c r="L201" i="78"/>
  <c r="I201" i="78"/>
  <c r="F201" i="78"/>
  <c r="O200" i="78"/>
  <c r="L200" i="78"/>
  <c r="I200" i="78"/>
  <c r="F200" i="78"/>
  <c r="O199" i="78"/>
  <c r="O198" i="78" s="1"/>
  <c r="L199" i="78"/>
  <c r="I199" i="78"/>
  <c r="F199" i="78"/>
  <c r="F198" i="78" s="1"/>
  <c r="N198" i="78"/>
  <c r="M198" i="78"/>
  <c r="M196" i="78" s="1"/>
  <c r="K198" i="78"/>
  <c r="K196" i="78" s="1"/>
  <c r="J198" i="78"/>
  <c r="J196" i="78" s="1"/>
  <c r="H198" i="78"/>
  <c r="H196" i="78" s="1"/>
  <c r="G198" i="78"/>
  <c r="G196" i="78" s="1"/>
  <c r="E198" i="78"/>
  <c r="E196" i="78" s="1"/>
  <c r="D198" i="78"/>
  <c r="D196" i="78" s="1"/>
  <c r="O197" i="78"/>
  <c r="L197" i="78"/>
  <c r="I197" i="78"/>
  <c r="F197" i="78"/>
  <c r="N196" i="78"/>
  <c r="O193" i="78"/>
  <c r="O192" i="78" s="1"/>
  <c r="O191" i="78" s="1"/>
  <c r="L193" i="78"/>
  <c r="L192" i="78" s="1"/>
  <c r="L191" i="78" s="1"/>
  <c r="I193" i="78"/>
  <c r="I192" i="78" s="1"/>
  <c r="I191" i="78" s="1"/>
  <c r="F193" i="78"/>
  <c r="F192" i="78" s="1"/>
  <c r="N192" i="78"/>
  <c r="M192" i="78"/>
  <c r="K192" i="78"/>
  <c r="K191" i="78" s="1"/>
  <c r="J192" i="78"/>
  <c r="H192" i="78"/>
  <c r="H191" i="78" s="1"/>
  <c r="G192" i="78"/>
  <c r="G191" i="78" s="1"/>
  <c r="E192" i="78"/>
  <c r="E191" i="78" s="1"/>
  <c r="D192" i="78"/>
  <c r="D191" i="78" s="1"/>
  <c r="N191" i="78"/>
  <c r="M191" i="78"/>
  <c r="J191" i="78"/>
  <c r="O190" i="78"/>
  <c r="L190" i="78"/>
  <c r="I190" i="78"/>
  <c r="F190" i="78"/>
  <c r="O189" i="78"/>
  <c r="L189" i="78"/>
  <c r="I189" i="78"/>
  <c r="F189" i="78"/>
  <c r="F188" i="78" s="1"/>
  <c r="O188" i="78"/>
  <c r="N188" i="78"/>
  <c r="M188" i="78"/>
  <c r="K188" i="78"/>
  <c r="K187" i="78" s="1"/>
  <c r="J188" i="78"/>
  <c r="H188" i="78"/>
  <c r="H187" i="78" s="1"/>
  <c r="G188" i="78"/>
  <c r="E188" i="78"/>
  <c r="D188" i="78"/>
  <c r="N187" i="78"/>
  <c r="J187" i="78"/>
  <c r="O186" i="78"/>
  <c r="L186" i="78"/>
  <c r="I186" i="78"/>
  <c r="F186" i="78"/>
  <c r="O185" i="78"/>
  <c r="L185" i="78"/>
  <c r="I185" i="78"/>
  <c r="F185" i="78"/>
  <c r="F184" i="78" s="1"/>
  <c r="O184" i="78"/>
  <c r="N184" i="78"/>
  <c r="M184" i="78"/>
  <c r="K184" i="78"/>
  <c r="J184" i="78"/>
  <c r="H184" i="78"/>
  <c r="G184" i="78"/>
  <c r="E184" i="78"/>
  <c r="D184" i="78"/>
  <c r="O183" i="78"/>
  <c r="L183" i="78"/>
  <c r="I183" i="78"/>
  <c r="F183" i="78"/>
  <c r="O182" i="78"/>
  <c r="L182" i="78"/>
  <c r="I182" i="78"/>
  <c r="F182" i="78"/>
  <c r="O181" i="78"/>
  <c r="L181" i="78"/>
  <c r="I181" i="78"/>
  <c r="F181" i="78"/>
  <c r="O180" i="78"/>
  <c r="O179" i="78" s="1"/>
  <c r="L180" i="78"/>
  <c r="I180" i="78"/>
  <c r="F180" i="78"/>
  <c r="N179" i="78"/>
  <c r="M179" i="78"/>
  <c r="K179" i="78"/>
  <c r="J179" i="78"/>
  <c r="H179" i="78"/>
  <c r="G179" i="78"/>
  <c r="E179" i="78"/>
  <c r="D179" i="78"/>
  <c r="O178" i="78"/>
  <c r="L178" i="78"/>
  <c r="I178" i="78"/>
  <c r="F178" i="78"/>
  <c r="O177" i="78"/>
  <c r="L177" i="78"/>
  <c r="I177" i="78"/>
  <c r="F177" i="78"/>
  <c r="O176" i="78"/>
  <c r="O175" i="78" s="1"/>
  <c r="O174" i="78" s="1"/>
  <c r="O173" i="78" s="1"/>
  <c r="L176" i="78"/>
  <c r="I176" i="78"/>
  <c r="C176" i="78" s="1"/>
  <c r="F176" i="78"/>
  <c r="F175" i="78" s="1"/>
  <c r="N175" i="78"/>
  <c r="M175" i="78"/>
  <c r="M174" i="78" s="1"/>
  <c r="K175" i="78"/>
  <c r="K174" i="78" s="1"/>
  <c r="K173" i="78" s="1"/>
  <c r="J175" i="78"/>
  <c r="J174" i="78" s="1"/>
  <c r="J173" i="78" s="1"/>
  <c r="H175" i="78"/>
  <c r="G175" i="78"/>
  <c r="E175" i="78"/>
  <c r="D175" i="78"/>
  <c r="D174" i="78" s="1"/>
  <c r="G174" i="78"/>
  <c r="G173" i="78" s="1"/>
  <c r="O172" i="78"/>
  <c r="L172" i="78"/>
  <c r="I172" i="78"/>
  <c r="F172" i="78"/>
  <c r="O171" i="78"/>
  <c r="L171" i="78"/>
  <c r="I171" i="78"/>
  <c r="F171" i="78"/>
  <c r="O170" i="78"/>
  <c r="L170" i="78"/>
  <c r="I170" i="78"/>
  <c r="F170" i="78"/>
  <c r="O169" i="78"/>
  <c r="L169" i="78"/>
  <c r="I169" i="78"/>
  <c r="F169" i="78"/>
  <c r="O168" i="78"/>
  <c r="L168" i="78"/>
  <c r="I168" i="78"/>
  <c r="F168" i="78"/>
  <c r="O167" i="78"/>
  <c r="L167" i="78"/>
  <c r="I167" i="78"/>
  <c r="I166" i="78" s="1"/>
  <c r="I165" i="78" s="1"/>
  <c r="F167" i="78"/>
  <c r="N166" i="78"/>
  <c r="N165" i="78" s="1"/>
  <c r="M166" i="78"/>
  <c r="M165" i="78" s="1"/>
  <c r="K166" i="78"/>
  <c r="K165" i="78" s="1"/>
  <c r="J166" i="78"/>
  <c r="J165" i="78" s="1"/>
  <c r="H166" i="78"/>
  <c r="G166" i="78"/>
  <c r="G165" i="78" s="1"/>
  <c r="E166" i="78"/>
  <c r="E165" i="78" s="1"/>
  <c r="D166" i="78"/>
  <c r="D165" i="78" s="1"/>
  <c r="H165" i="78"/>
  <c r="O164" i="78"/>
  <c r="L164" i="78"/>
  <c r="I164" i="78"/>
  <c r="F164" i="78"/>
  <c r="O163" i="78"/>
  <c r="L163" i="78"/>
  <c r="I163" i="78"/>
  <c r="F163" i="78"/>
  <c r="O162" i="78"/>
  <c r="L162" i="78"/>
  <c r="I162" i="78"/>
  <c r="F162" i="78"/>
  <c r="O161" i="78"/>
  <c r="O160" i="78" s="1"/>
  <c r="L161" i="78"/>
  <c r="L160" i="78" s="1"/>
  <c r="I161" i="78"/>
  <c r="F161" i="78"/>
  <c r="F160" i="78" s="1"/>
  <c r="N160" i="78"/>
  <c r="M160" i="78"/>
  <c r="K160" i="78"/>
  <c r="J160" i="78"/>
  <c r="H160" i="78"/>
  <c r="G160" i="78"/>
  <c r="E160" i="78"/>
  <c r="D160" i="78"/>
  <c r="O159" i="78"/>
  <c r="L159" i="78"/>
  <c r="I159" i="78"/>
  <c r="F159" i="78"/>
  <c r="O158" i="78"/>
  <c r="L158" i="78"/>
  <c r="I158" i="78"/>
  <c r="F158" i="78"/>
  <c r="O157" i="78"/>
  <c r="L157" i="78"/>
  <c r="I157" i="78"/>
  <c r="F157" i="78"/>
  <c r="O156" i="78"/>
  <c r="L156" i="78"/>
  <c r="I156" i="78"/>
  <c r="F156" i="78"/>
  <c r="O155" i="78"/>
  <c r="L155" i="78"/>
  <c r="I155" i="78"/>
  <c r="F155" i="78"/>
  <c r="O154" i="78"/>
  <c r="L154" i="78"/>
  <c r="I154" i="78"/>
  <c r="F154" i="78"/>
  <c r="O153" i="78"/>
  <c r="L153" i="78"/>
  <c r="I153" i="78"/>
  <c r="F153" i="78"/>
  <c r="O152" i="78"/>
  <c r="L152" i="78"/>
  <c r="I152" i="78"/>
  <c r="F152" i="78"/>
  <c r="N151" i="78"/>
  <c r="M151" i="78"/>
  <c r="K151" i="78"/>
  <c r="J151" i="78"/>
  <c r="H151" i="78"/>
  <c r="G151" i="78"/>
  <c r="E151" i="78"/>
  <c r="D151" i="78"/>
  <c r="O150" i="78"/>
  <c r="L150" i="78"/>
  <c r="I150" i="78"/>
  <c r="F150" i="78"/>
  <c r="O149" i="78"/>
  <c r="L149" i="78"/>
  <c r="I149" i="78"/>
  <c r="F149" i="78"/>
  <c r="O148" i="78"/>
  <c r="L148" i="78"/>
  <c r="I148" i="78"/>
  <c r="F148" i="78"/>
  <c r="O147" i="78"/>
  <c r="L147" i="78"/>
  <c r="I147" i="78"/>
  <c r="F147" i="78"/>
  <c r="O146" i="78"/>
  <c r="L146" i="78"/>
  <c r="I146" i="78"/>
  <c r="F146" i="78"/>
  <c r="O145" i="78"/>
  <c r="O144" i="78" s="1"/>
  <c r="L145" i="78"/>
  <c r="I145" i="78"/>
  <c r="F145" i="78"/>
  <c r="F144" i="78" s="1"/>
  <c r="N144" i="78"/>
  <c r="M144" i="78"/>
  <c r="K144" i="78"/>
  <c r="J144" i="78"/>
  <c r="H144" i="78"/>
  <c r="G144" i="78"/>
  <c r="E144" i="78"/>
  <c r="D144" i="78"/>
  <c r="O143" i="78"/>
  <c r="L143" i="78"/>
  <c r="I143" i="78"/>
  <c r="F143" i="78"/>
  <c r="O142" i="78"/>
  <c r="L142" i="78"/>
  <c r="L141" i="78" s="1"/>
  <c r="I142" i="78"/>
  <c r="F142" i="78"/>
  <c r="O141" i="78"/>
  <c r="N141" i="78"/>
  <c r="M141" i="78"/>
  <c r="K141" i="78"/>
  <c r="J141" i="78"/>
  <c r="H141" i="78"/>
  <c r="G141" i="78"/>
  <c r="F141" i="78"/>
  <c r="E141" i="78"/>
  <c r="D141" i="78"/>
  <c r="O140" i="78"/>
  <c r="L140" i="78"/>
  <c r="I140" i="78"/>
  <c r="F140" i="78"/>
  <c r="O139" i="78"/>
  <c r="L139" i="78"/>
  <c r="I139" i="78"/>
  <c r="F139" i="78"/>
  <c r="O138" i="78"/>
  <c r="L138" i="78"/>
  <c r="I138" i="78"/>
  <c r="F138" i="78"/>
  <c r="O137" i="78"/>
  <c r="O136" i="78" s="1"/>
  <c r="L137" i="78"/>
  <c r="L136" i="78" s="1"/>
  <c r="I137" i="78"/>
  <c r="F137" i="78"/>
  <c r="F136" i="78" s="1"/>
  <c r="N136" i="78"/>
  <c r="M136" i="78"/>
  <c r="K136" i="78"/>
  <c r="J136" i="78"/>
  <c r="H136" i="78"/>
  <c r="G136" i="78"/>
  <c r="E136" i="78"/>
  <c r="D136" i="78"/>
  <c r="O135" i="78"/>
  <c r="L135" i="78"/>
  <c r="I135" i="78"/>
  <c r="F135" i="78"/>
  <c r="O134" i="78"/>
  <c r="L134" i="78"/>
  <c r="I134" i="78"/>
  <c r="F134" i="78"/>
  <c r="O133" i="78"/>
  <c r="L133" i="78"/>
  <c r="I133" i="78"/>
  <c r="F133" i="78"/>
  <c r="O132" i="78"/>
  <c r="L132" i="78"/>
  <c r="L131" i="78" s="1"/>
  <c r="I132" i="78"/>
  <c r="I131" i="78" s="1"/>
  <c r="F132" i="78"/>
  <c r="N131" i="78"/>
  <c r="M131" i="78"/>
  <c r="K131" i="78"/>
  <c r="J131" i="78"/>
  <c r="H131" i="78"/>
  <c r="H130" i="78" s="1"/>
  <c r="G131" i="78"/>
  <c r="E131" i="78"/>
  <c r="D131" i="78"/>
  <c r="O129" i="78"/>
  <c r="L129" i="78"/>
  <c r="L128" i="78" s="1"/>
  <c r="I129" i="78"/>
  <c r="I128" i="78" s="1"/>
  <c r="F129" i="78"/>
  <c r="O128" i="78"/>
  <c r="N128" i="78"/>
  <c r="M128" i="78"/>
  <c r="K128" i="78"/>
  <c r="J128" i="78"/>
  <c r="H128" i="78"/>
  <c r="G128" i="78"/>
  <c r="F128" i="78"/>
  <c r="E128" i="78"/>
  <c r="D128" i="78"/>
  <c r="O127" i="78"/>
  <c r="L127" i="78"/>
  <c r="I127" i="78"/>
  <c r="C127" i="78" s="1"/>
  <c r="F127" i="78"/>
  <c r="O126" i="78"/>
  <c r="L126" i="78"/>
  <c r="I126" i="78"/>
  <c r="F126" i="78"/>
  <c r="O125" i="78"/>
  <c r="L125" i="78"/>
  <c r="I125" i="78"/>
  <c r="F125" i="78"/>
  <c r="O124" i="78"/>
  <c r="L124" i="78"/>
  <c r="I124" i="78"/>
  <c r="F124" i="78"/>
  <c r="O123" i="78"/>
  <c r="L123" i="78"/>
  <c r="L122" i="78" s="1"/>
  <c r="I123" i="78"/>
  <c r="F123" i="78"/>
  <c r="F122" i="78" s="1"/>
  <c r="N122" i="78"/>
  <c r="M122" i="78"/>
  <c r="K122" i="78"/>
  <c r="J122" i="78"/>
  <c r="H122" i="78"/>
  <c r="G122" i="78"/>
  <c r="E122" i="78"/>
  <c r="D122" i="78"/>
  <c r="O121" i="78"/>
  <c r="L121" i="78"/>
  <c r="I121" i="78"/>
  <c r="F121" i="78"/>
  <c r="O120" i="78"/>
  <c r="L120" i="78"/>
  <c r="I120" i="78"/>
  <c r="F120" i="78"/>
  <c r="O119" i="78"/>
  <c r="L119" i="78"/>
  <c r="I119" i="78"/>
  <c r="F119" i="78"/>
  <c r="O118" i="78"/>
  <c r="L118" i="78"/>
  <c r="I118" i="78"/>
  <c r="F118" i="78"/>
  <c r="O117" i="78"/>
  <c r="L117" i="78"/>
  <c r="I117" i="78"/>
  <c r="F117" i="78"/>
  <c r="N116" i="78"/>
  <c r="M116" i="78"/>
  <c r="K116" i="78"/>
  <c r="J116" i="78"/>
  <c r="H116" i="78"/>
  <c r="G116" i="78"/>
  <c r="E116" i="78"/>
  <c r="D116" i="78"/>
  <c r="O115" i="78"/>
  <c r="L115" i="78"/>
  <c r="I115" i="78"/>
  <c r="F115" i="78"/>
  <c r="O114" i="78"/>
  <c r="L114" i="78"/>
  <c r="I114" i="78"/>
  <c r="F114" i="78"/>
  <c r="O113" i="78"/>
  <c r="L113" i="78"/>
  <c r="L112" i="78" s="1"/>
  <c r="I113" i="78"/>
  <c r="F113" i="78"/>
  <c r="N112" i="78"/>
  <c r="M112" i="78"/>
  <c r="K112" i="78"/>
  <c r="J112" i="78"/>
  <c r="H112" i="78"/>
  <c r="G112" i="78"/>
  <c r="F112" i="78"/>
  <c r="E112" i="78"/>
  <c r="D112" i="78"/>
  <c r="O111" i="78"/>
  <c r="L111" i="78"/>
  <c r="I111" i="78"/>
  <c r="F111" i="78"/>
  <c r="O110" i="78"/>
  <c r="L110" i="78"/>
  <c r="I110" i="78"/>
  <c r="F110" i="78"/>
  <c r="O109" i="78"/>
  <c r="L109" i="78"/>
  <c r="I109" i="78"/>
  <c r="F109" i="78"/>
  <c r="O108" i="78"/>
  <c r="L108" i="78"/>
  <c r="I108" i="78"/>
  <c r="F108" i="78"/>
  <c r="O107" i="78"/>
  <c r="L107" i="78"/>
  <c r="I107" i="78"/>
  <c r="F107" i="78"/>
  <c r="O106" i="78"/>
  <c r="L106" i="78"/>
  <c r="I106" i="78"/>
  <c r="F106" i="78"/>
  <c r="O105" i="78"/>
  <c r="L105" i="78"/>
  <c r="I105" i="78"/>
  <c r="F105" i="78"/>
  <c r="O104" i="78"/>
  <c r="L104" i="78"/>
  <c r="I104" i="78"/>
  <c r="F104" i="78"/>
  <c r="N103" i="78"/>
  <c r="M103" i="78"/>
  <c r="K103" i="78"/>
  <c r="J103" i="78"/>
  <c r="H103" i="78"/>
  <c r="G103" i="78"/>
  <c r="E103" i="78"/>
  <c r="D103" i="78"/>
  <c r="O102" i="78"/>
  <c r="L102" i="78"/>
  <c r="I102" i="78"/>
  <c r="F102" i="78"/>
  <c r="O101" i="78"/>
  <c r="L101" i="78"/>
  <c r="I101" i="78"/>
  <c r="F101" i="78"/>
  <c r="O100" i="78"/>
  <c r="L100" i="78"/>
  <c r="I100" i="78"/>
  <c r="F100" i="78"/>
  <c r="O99" i="78"/>
  <c r="L99" i="78"/>
  <c r="I99" i="78"/>
  <c r="F99" i="78"/>
  <c r="O98" i="78"/>
  <c r="L98" i="78"/>
  <c r="I98" i="78"/>
  <c r="F98" i="78"/>
  <c r="O97" i="78"/>
  <c r="L97" i="78"/>
  <c r="I97" i="78"/>
  <c r="F97" i="78"/>
  <c r="O96" i="78"/>
  <c r="L96" i="78"/>
  <c r="I96" i="78"/>
  <c r="F96" i="78"/>
  <c r="N95" i="78"/>
  <c r="M95" i="78"/>
  <c r="K95" i="78"/>
  <c r="J95" i="78"/>
  <c r="H95" i="78"/>
  <c r="G95" i="78"/>
  <c r="E95" i="78"/>
  <c r="D95" i="78"/>
  <c r="O94" i="78"/>
  <c r="L94" i="78"/>
  <c r="I94" i="78"/>
  <c r="F94" i="78"/>
  <c r="O93" i="78"/>
  <c r="L93" i="78"/>
  <c r="I93" i="78"/>
  <c r="F93" i="78"/>
  <c r="O92" i="78"/>
  <c r="L92" i="78"/>
  <c r="I92" i="78"/>
  <c r="F92" i="78"/>
  <c r="O91" i="78"/>
  <c r="L91" i="78"/>
  <c r="I91" i="78"/>
  <c r="F91" i="78"/>
  <c r="O90" i="78"/>
  <c r="O89" i="78" s="1"/>
  <c r="L90" i="78"/>
  <c r="I90" i="78"/>
  <c r="F90" i="78"/>
  <c r="N89" i="78"/>
  <c r="M89" i="78"/>
  <c r="K89" i="78"/>
  <c r="J89" i="78"/>
  <c r="H89" i="78"/>
  <c r="G89" i="78"/>
  <c r="E89" i="78"/>
  <c r="D89" i="78"/>
  <c r="O88" i="78"/>
  <c r="L88" i="78"/>
  <c r="I88" i="78"/>
  <c r="F88" i="78"/>
  <c r="O87" i="78"/>
  <c r="L87" i="78"/>
  <c r="I87" i="78"/>
  <c r="F87" i="78"/>
  <c r="C87" i="78" s="1"/>
  <c r="O86" i="78"/>
  <c r="L86" i="78"/>
  <c r="I86" i="78"/>
  <c r="F86" i="78"/>
  <c r="C86" i="78" s="1"/>
  <c r="O85" i="78"/>
  <c r="L85" i="78"/>
  <c r="I85" i="78"/>
  <c r="F85" i="78"/>
  <c r="F84" i="78" s="1"/>
  <c r="N84" i="78"/>
  <c r="M84" i="78"/>
  <c r="K84" i="78"/>
  <c r="J84" i="78"/>
  <c r="H84" i="78"/>
  <c r="G84" i="78"/>
  <c r="E84" i="78"/>
  <c r="D84" i="78"/>
  <c r="O82" i="78"/>
  <c r="L82" i="78"/>
  <c r="I82" i="78"/>
  <c r="F82" i="78"/>
  <c r="O81" i="78"/>
  <c r="L81" i="78"/>
  <c r="L80" i="78" s="1"/>
  <c r="I81" i="78"/>
  <c r="I80" i="78" s="1"/>
  <c r="F81" i="78"/>
  <c r="O80" i="78"/>
  <c r="N80" i="78"/>
  <c r="M80" i="78"/>
  <c r="K80" i="78"/>
  <c r="J80" i="78"/>
  <c r="H80" i="78"/>
  <c r="G80" i="78"/>
  <c r="E80" i="78"/>
  <c r="D80" i="78"/>
  <c r="O79" i="78"/>
  <c r="L79" i="78"/>
  <c r="I79" i="78"/>
  <c r="F79" i="78"/>
  <c r="O78" i="78"/>
  <c r="L78" i="78"/>
  <c r="I78" i="78"/>
  <c r="I77" i="78" s="1"/>
  <c r="I76" i="78" s="1"/>
  <c r="F78" i="78"/>
  <c r="N77" i="78"/>
  <c r="M77" i="78"/>
  <c r="M76" i="78" s="1"/>
  <c r="L77" i="78"/>
  <c r="K77" i="78"/>
  <c r="J77" i="78"/>
  <c r="H77" i="78"/>
  <c r="H76" i="78" s="1"/>
  <c r="G77" i="78"/>
  <c r="G76" i="78" s="1"/>
  <c r="E77" i="78"/>
  <c r="D77" i="78"/>
  <c r="O74" i="78"/>
  <c r="L74" i="78"/>
  <c r="I74" i="78"/>
  <c r="F74" i="78"/>
  <c r="O73" i="78"/>
  <c r="L73" i="78"/>
  <c r="I73" i="78"/>
  <c r="F73" i="78"/>
  <c r="O72" i="78"/>
  <c r="L72" i="78"/>
  <c r="I72" i="78"/>
  <c r="F72" i="78"/>
  <c r="O71" i="78"/>
  <c r="L71" i="78"/>
  <c r="I71" i="78"/>
  <c r="F71" i="78"/>
  <c r="O70" i="78"/>
  <c r="L70" i="78"/>
  <c r="I70" i="78"/>
  <c r="I69" i="78" s="1"/>
  <c r="F70" i="78"/>
  <c r="N69" i="78"/>
  <c r="M69" i="78"/>
  <c r="M67" i="78" s="1"/>
  <c r="K69" i="78"/>
  <c r="K67" i="78" s="1"/>
  <c r="J69" i="78"/>
  <c r="J67" i="78" s="1"/>
  <c r="H69" i="78"/>
  <c r="H67" i="78" s="1"/>
  <c r="G69" i="78"/>
  <c r="E69" i="78"/>
  <c r="E67" i="78" s="1"/>
  <c r="D69" i="78"/>
  <c r="D67" i="78" s="1"/>
  <c r="O68" i="78"/>
  <c r="L68" i="78"/>
  <c r="I68" i="78"/>
  <c r="F68" i="78"/>
  <c r="N67" i="78"/>
  <c r="G67" i="78"/>
  <c r="O66" i="78"/>
  <c r="L66" i="78"/>
  <c r="I66" i="78"/>
  <c r="F66" i="78"/>
  <c r="O65" i="78"/>
  <c r="L65" i="78"/>
  <c r="I65" i="78"/>
  <c r="F65" i="78"/>
  <c r="O64" i="78"/>
  <c r="L64" i="78"/>
  <c r="I64" i="78"/>
  <c r="F64" i="78"/>
  <c r="O63" i="78"/>
  <c r="L63" i="78"/>
  <c r="I63" i="78"/>
  <c r="F63" i="78"/>
  <c r="O62" i="78"/>
  <c r="L62" i="78"/>
  <c r="I62" i="78"/>
  <c r="F62" i="78"/>
  <c r="O61" i="78"/>
  <c r="L61" i="78"/>
  <c r="I61" i="78"/>
  <c r="F61" i="78"/>
  <c r="O60" i="78"/>
  <c r="L60" i="78"/>
  <c r="I60" i="78"/>
  <c r="F60" i="78"/>
  <c r="O59" i="78"/>
  <c r="O58" i="78" s="1"/>
  <c r="L59" i="78"/>
  <c r="I59" i="78"/>
  <c r="F59" i="78"/>
  <c r="N58" i="78"/>
  <c r="M58" i="78"/>
  <c r="K58" i="78"/>
  <c r="J58" i="78"/>
  <c r="H58" i="78"/>
  <c r="G58" i="78"/>
  <c r="E58" i="78"/>
  <c r="D58" i="78"/>
  <c r="O57" i="78"/>
  <c r="L57" i="78"/>
  <c r="I57" i="78"/>
  <c r="F57" i="78"/>
  <c r="O56" i="78"/>
  <c r="L56" i="78"/>
  <c r="L55" i="78" s="1"/>
  <c r="I56" i="78"/>
  <c r="I55" i="78" s="1"/>
  <c r="F56" i="78"/>
  <c r="O55" i="78"/>
  <c r="N55" i="78"/>
  <c r="M55" i="78"/>
  <c r="K55" i="78"/>
  <c r="J55" i="78"/>
  <c r="J54" i="78" s="1"/>
  <c r="H55" i="78"/>
  <c r="G55" i="78"/>
  <c r="G54" i="78" s="1"/>
  <c r="F55" i="78"/>
  <c r="E55" i="78"/>
  <c r="D55" i="78"/>
  <c r="M54" i="78"/>
  <c r="M53" i="78" s="1"/>
  <c r="O47" i="78"/>
  <c r="C47" i="78" s="1"/>
  <c r="O46" i="78"/>
  <c r="N45" i="78"/>
  <c r="M45" i="78"/>
  <c r="L44" i="78"/>
  <c r="L43" i="78" s="1"/>
  <c r="I44" i="78"/>
  <c r="F44" i="78"/>
  <c r="K43" i="78"/>
  <c r="J43" i="78"/>
  <c r="I43" i="78"/>
  <c r="H43" i="78"/>
  <c r="G43" i="78"/>
  <c r="E43" i="78"/>
  <c r="D43" i="78"/>
  <c r="F42" i="78"/>
  <c r="E41" i="78"/>
  <c r="D41" i="78"/>
  <c r="L40" i="78"/>
  <c r="C40" i="78" s="1"/>
  <c r="L39" i="78"/>
  <c r="C39" i="78" s="1"/>
  <c r="L38" i="78"/>
  <c r="C38" i="78" s="1"/>
  <c r="L37" i="78"/>
  <c r="K36" i="78"/>
  <c r="J36" i="78"/>
  <c r="L35" i="78"/>
  <c r="C35" i="78" s="1"/>
  <c r="L34" i="78"/>
  <c r="C34" i="78" s="1"/>
  <c r="K33" i="78"/>
  <c r="J33" i="78"/>
  <c r="L32" i="78"/>
  <c r="C32" i="78" s="1"/>
  <c r="K31" i="78"/>
  <c r="J31" i="78"/>
  <c r="L30" i="78"/>
  <c r="C30" i="78" s="1"/>
  <c r="L29" i="78"/>
  <c r="C29" i="78" s="1"/>
  <c r="L28" i="78"/>
  <c r="C28" i="78" s="1"/>
  <c r="K27" i="78"/>
  <c r="J27" i="78"/>
  <c r="F25" i="78"/>
  <c r="C25" i="78" s="1"/>
  <c r="I24" i="78"/>
  <c r="F24" i="78"/>
  <c r="C24" i="78" s="1"/>
  <c r="O23" i="78"/>
  <c r="L23" i="78"/>
  <c r="I23" i="78"/>
  <c r="F23" i="78"/>
  <c r="O22" i="78"/>
  <c r="O21" i="78" s="1"/>
  <c r="L22" i="78"/>
  <c r="L21" i="78" s="1"/>
  <c r="I22" i="78"/>
  <c r="F22" i="78"/>
  <c r="F21" i="78" s="1"/>
  <c r="N21" i="78"/>
  <c r="N292" i="78" s="1"/>
  <c r="N291" i="78" s="1"/>
  <c r="M21" i="78"/>
  <c r="M292" i="78" s="1"/>
  <c r="K21" i="78"/>
  <c r="J21" i="78"/>
  <c r="J292" i="78" s="1"/>
  <c r="J291" i="78" s="1"/>
  <c r="H21" i="78"/>
  <c r="H292" i="78" s="1"/>
  <c r="G21" i="78"/>
  <c r="G292" i="78" s="1"/>
  <c r="G291" i="78" s="1"/>
  <c r="E21" i="78"/>
  <c r="E292" i="78" s="1"/>
  <c r="E291" i="78" s="1"/>
  <c r="D21" i="78"/>
  <c r="D292" i="78" s="1"/>
  <c r="C288" i="78" l="1"/>
  <c r="C298" i="78"/>
  <c r="C300" i="78"/>
  <c r="C65" i="78"/>
  <c r="J26" i="78"/>
  <c r="M20" i="78"/>
  <c r="K76" i="78"/>
  <c r="N204" i="78"/>
  <c r="H270" i="78"/>
  <c r="C71" i="78"/>
  <c r="I84" i="78"/>
  <c r="C145" i="78"/>
  <c r="C152" i="78"/>
  <c r="C164" i="78"/>
  <c r="C223" i="78"/>
  <c r="C242" i="78"/>
  <c r="C279" i="78"/>
  <c r="C140" i="78"/>
  <c r="K270" i="78"/>
  <c r="K269" i="78" s="1"/>
  <c r="K26" i="78"/>
  <c r="C107" i="78"/>
  <c r="C258" i="78"/>
  <c r="F292" i="78"/>
  <c r="E20" i="78"/>
  <c r="C59" i="78"/>
  <c r="L58" i="78"/>
  <c r="L54" i="78" s="1"/>
  <c r="I67" i="78"/>
  <c r="C73" i="78"/>
  <c r="K83" i="78"/>
  <c r="C91" i="78"/>
  <c r="C99" i="78"/>
  <c r="C102" i="78"/>
  <c r="O103" i="78"/>
  <c r="C111" i="78"/>
  <c r="N130" i="78"/>
  <c r="L144" i="78"/>
  <c r="C149" i="78"/>
  <c r="C181" i="78"/>
  <c r="M187" i="78"/>
  <c r="C211" i="78"/>
  <c r="C218" i="78"/>
  <c r="C222" i="78"/>
  <c r="J231" i="78"/>
  <c r="N231" i="78"/>
  <c r="L252" i="78"/>
  <c r="L251" i="78" s="1"/>
  <c r="C262" i="78"/>
  <c r="D259" i="78"/>
  <c r="H259" i="78"/>
  <c r="O264" i="78"/>
  <c r="F276" i="78"/>
  <c r="C278" i="78"/>
  <c r="C294" i="78"/>
  <c r="C193" i="78"/>
  <c r="F196" i="78"/>
  <c r="E54" i="78"/>
  <c r="E53" i="78" s="1"/>
  <c r="J53" i="78"/>
  <c r="H54" i="78"/>
  <c r="H53" i="78" s="1"/>
  <c r="N54" i="78"/>
  <c r="N53" i="78" s="1"/>
  <c r="N76" i="78"/>
  <c r="L76" i="78"/>
  <c r="I89" i="78"/>
  <c r="C168" i="78"/>
  <c r="C172" i="78"/>
  <c r="N174" i="78"/>
  <c r="N173" i="78" s="1"/>
  <c r="C214" i="78"/>
  <c r="E204" i="78"/>
  <c r="C226" i="78"/>
  <c r="C239" i="78"/>
  <c r="C240" i="78"/>
  <c r="G269" i="78"/>
  <c r="D291" i="78"/>
  <c r="C55" i="78"/>
  <c r="K54" i="78"/>
  <c r="K53" i="78" s="1"/>
  <c r="C63" i="78"/>
  <c r="E76" i="78"/>
  <c r="C79" i="78"/>
  <c r="D76" i="78"/>
  <c r="J76" i="78"/>
  <c r="C115" i="78"/>
  <c r="C119" i="78"/>
  <c r="C133" i="78"/>
  <c r="C139" i="78"/>
  <c r="M130" i="78"/>
  <c r="C148" i="78"/>
  <c r="C157" i="78"/>
  <c r="C159" i="78"/>
  <c r="C180" i="78"/>
  <c r="E187" i="78"/>
  <c r="O196" i="78"/>
  <c r="C234" i="78"/>
  <c r="C255" i="78"/>
  <c r="C256" i="78"/>
  <c r="C257" i="78"/>
  <c r="G259" i="78"/>
  <c r="C266" i="78"/>
  <c r="J195" i="78"/>
  <c r="D83" i="78"/>
  <c r="K204" i="78"/>
  <c r="K195" i="78" s="1"/>
  <c r="K292" i="78"/>
  <c r="K291" i="78" s="1"/>
  <c r="C22" i="78"/>
  <c r="J20" i="78"/>
  <c r="L31" i="78"/>
  <c r="C31" i="78" s="1"/>
  <c r="C56" i="78"/>
  <c r="D54" i="78"/>
  <c r="D53" i="78" s="1"/>
  <c r="C64" i="78"/>
  <c r="L89" i="78"/>
  <c r="C109" i="78"/>
  <c r="C110" i="78"/>
  <c r="C123" i="78"/>
  <c r="C147" i="78"/>
  <c r="C153" i="78"/>
  <c r="C161" i="78"/>
  <c r="L166" i="78"/>
  <c r="L165" i="78" s="1"/>
  <c r="C170" i="78"/>
  <c r="E174" i="78"/>
  <c r="E173" i="78" s="1"/>
  <c r="C185" i="78"/>
  <c r="G187" i="78"/>
  <c r="C202" i="78"/>
  <c r="C203" i="78"/>
  <c r="C210" i="78"/>
  <c r="C215" i="78"/>
  <c r="I216" i="78"/>
  <c r="C225" i="78"/>
  <c r="G204" i="78"/>
  <c r="G195" i="78" s="1"/>
  <c r="G231" i="78"/>
  <c r="I238" i="78"/>
  <c r="M259" i="78"/>
  <c r="M270" i="78"/>
  <c r="M269" i="78" s="1"/>
  <c r="I276" i="78"/>
  <c r="I270" i="78" s="1"/>
  <c r="I269" i="78" s="1"/>
  <c r="I286" i="78"/>
  <c r="I293" i="78"/>
  <c r="C295" i="78"/>
  <c r="L293" i="78"/>
  <c r="N20" i="78"/>
  <c r="C23" i="78"/>
  <c r="C44" i="78"/>
  <c r="G53" i="78"/>
  <c r="O69" i="78"/>
  <c r="O67" i="78" s="1"/>
  <c r="C82" i="78"/>
  <c r="E83" i="78"/>
  <c r="G83" i="78"/>
  <c r="C114" i="78"/>
  <c r="C126" i="78"/>
  <c r="C135" i="78"/>
  <c r="J130" i="78"/>
  <c r="C163" i="78"/>
  <c r="C169" i="78"/>
  <c r="M173" i="78"/>
  <c r="C189" i="78"/>
  <c r="I198" i="78"/>
  <c r="I196" i="78" s="1"/>
  <c r="I205" i="78"/>
  <c r="C212" i="78"/>
  <c r="C213" i="78"/>
  <c r="C224" i="78"/>
  <c r="M231" i="78"/>
  <c r="C250" i="78"/>
  <c r="C265" i="78"/>
  <c r="O272" i="78"/>
  <c r="C275" i="78"/>
  <c r="C287" i="78"/>
  <c r="C299" i="78"/>
  <c r="K230" i="78"/>
  <c r="H291" i="78"/>
  <c r="M291" i="78"/>
  <c r="I21" i="78"/>
  <c r="C21" i="78" s="1"/>
  <c r="F43" i="78"/>
  <c r="C43" i="78" s="1"/>
  <c r="C66" i="78"/>
  <c r="C74" i="78"/>
  <c r="O77" i="78"/>
  <c r="O76" i="78" s="1"/>
  <c r="L84" i="78"/>
  <c r="C94" i="78"/>
  <c r="C97" i="78"/>
  <c r="O95" i="78"/>
  <c r="I112" i="78"/>
  <c r="C117" i="78"/>
  <c r="C118" i="78"/>
  <c r="H83" i="78"/>
  <c r="H75" i="78" s="1"/>
  <c r="C124" i="78"/>
  <c r="K130" i="78"/>
  <c r="K75" i="78" s="1"/>
  <c r="K52" i="78" s="1"/>
  <c r="C137" i="78"/>
  <c r="C143" i="78"/>
  <c r="C150" i="78"/>
  <c r="E130" i="78"/>
  <c r="E75" i="78" s="1"/>
  <c r="E52" i="78" s="1"/>
  <c r="C156" i="78"/>
  <c r="F166" i="78"/>
  <c r="F165" i="78" s="1"/>
  <c r="C167" i="78"/>
  <c r="O166" i="78"/>
  <c r="O165" i="78" s="1"/>
  <c r="H174" i="78"/>
  <c r="C177" i="78"/>
  <c r="D187" i="78"/>
  <c r="C197" i="78"/>
  <c r="D195" i="78"/>
  <c r="H204" i="78"/>
  <c r="C217" i="78"/>
  <c r="E231" i="78"/>
  <c r="C235" i="78"/>
  <c r="C236" i="78"/>
  <c r="C237" i="78"/>
  <c r="O238" i="78"/>
  <c r="O231" i="78" s="1"/>
  <c r="C243" i="78"/>
  <c r="F260" i="78"/>
  <c r="C261" i="78"/>
  <c r="O260" i="78"/>
  <c r="H269" i="78"/>
  <c r="E270" i="78"/>
  <c r="E269" i="78" s="1"/>
  <c r="C274" i="78"/>
  <c r="L276" i="78"/>
  <c r="L270" i="78" s="1"/>
  <c r="L269" i="78" s="1"/>
  <c r="F293" i="78"/>
  <c r="F291" i="78" s="1"/>
  <c r="C297" i="78"/>
  <c r="O292" i="78"/>
  <c r="O291" i="78" s="1"/>
  <c r="I20" i="78"/>
  <c r="L33" i="78"/>
  <c r="C33" i="78" s="1"/>
  <c r="C42" i="78"/>
  <c r="F41" i="78"/>
  <c r="C41" i="78" s="1"/>
  <c r="C60" i="78"/>
  <c r="C62" i="78"/>
  <c r="F58" i="78"/>
  <c r="F80" i="78"/>
  <c r="C80" i="78" s="1"/>
  <c r="M83" i="78"/>
  <c r="C88" i="78"/>
  <c r="C90" i="78"/>
  <c r="F89" i="78"/>
  <c r="I95" i="78"/>
  <c r="C101" i="78"/>
  <c r="L103" i="78"/>
  <c r="C108" i="78"/>
  <c r="O112" i="78"/>
  <c r="F116" i="78"/>
  <c r="I116" i="78"/>
  <c r="C121" i="78"/>
  <c r="C207" i="78"/>
  <c r="L205" i="78"/>
  <c r="C46" i="78"/>
  <c r="O45" i="78"/>
  <c r="O20" i="78" s="1"/>
  <c r="C98" i="78"/>
  <c r="F95" i="78"/>
  <c r="I103" i="78"/>
  <c r="C186" i="78"/>
  <c r="I184" i="78"/>
  <c r="C301" i="78"/>
  <c r="G20" i="78"/>
  <c r="K20" i="78"/>
  <c r="L27" i="78"/>
  <c r="C37" i="78"/>
  <c r="L36" i="78"/>
  <c r="C36" i="78" s="1"/>
  <c r="O54" i="78"/>
  <c r="C61" i="78"/>
  <c r="I58" i="78"/>
  <c r="I54" i="78" s="1"/>
  <c r="I53" i="78" s="1"/>
  <c r="C68" i="78"/>
  <c r="L69" i="78"/>
  <c r="L67" i="78" s="1"/>
  <c r="C72" i="78"/>
  <c r="C78" i="78"/>
  <c r="F77" i="78"/>
  <c r="C81" i="78"/>
  <c r="N83" i="78"/>
  <c r="N75" i="78" s="1"/>
  <c r="O84" i="78"/>
  <c r="C93" i="78"/>
  <c r="L95" i="78"/>
  <c r="C100" i="78"/>
  <c r="C113" i="78"/>
  <c r="L116" i="78"/>
  <c r="C120" i="78"/>
  <c r="O122" i="78"/>
  <c r="C128" i="78"/>
  <c r="C129" i="78"/>
  <c r="G130" i="78"/>
  <c r="G75" i="78" s="1"/>
  <c r="C154" i="78"/>
  <c r="I151" i="78"/>
  <c r="C165" i="78"/>
  <c r="C178" i="78"/>
  <c r="I175" i="78"/>
  <c r="C190" i="78"/>
  <c r="I188" i="78"/>
  <c r="F191" i="78"/>
  <c r="C191" i="78" s="1"/>
  <c r="C192" i="78"/>
  <c r="L260" i="78"/>
  <c r="C260" i="78" s="1"/>
  <c r="C263" i="78"/>
  <c r="M75" i="78"/>
  <c r="M52" i="78" s="1"/>
  <c r="D20" i="78"/>
  <c r="H20" i="78"/>
  <c r="C57" i="78"/>
  <c r="C70" i="78"/>
  <c r="F69" i="78"/>
  <c r="J83" i="78"/>
  <c r="C85" i="78"/>
  <c r="C92" i="78"/>
  <c r="C105" i="78"/>
  <c r="C106" i="78"/>
  <c r="F103" i="78"/>
  <c r="O116" i="78"/>
  <c r="C125" i="78"/>
  <c r="F131" i="78"/>
  <c r="C132" i="78"/>
  <c r="C182" i="78"/>
  <c r="I179" i="78"/>
  <c r="C96" i="78"/>
  <c r="C104" i="78"/>
  <c r="I122" i="78"/>
  <c r="C122" i="78" s="1"/>
  <c r="D130" i="78"/>
  <c r="D75" i="78" s="1"/>
  <c r="O151" i="78"/>
  <c r="C166" i="78"/>
  <c r="O187" i="78"/>
  <c r="M195" i="78"/>
  <c r="O205" i="78"/>
  <c r="L216" i="78"/>
  <c r="C219" i="78"/>
  <c r="N230" i="78"/>
  <c r="C248" i="78"/>
  <c r="I246" i="78"/>
  <c r="J259" i="78"/>
  <c r="J230" i="78" s="1"/>
  <c r="O259" i="78"/>
  <c r="C284" i="78"/>
  <c r="F283" i="78"/>
  <c r="C283" i="78" s="1"/>
  <c r="C134" i="78"/>
  <c r="C138" i="78"/>
  <c r="I136" i="78"/>
  <c r="I141" i="78"/>
  <c r="C141" i="78" s="1"/>
  <c r="C142" i="78"/>
  <c r="C146" i="78"/>
  <c r="I144" i="78"/>
  <c r="C144" i="78" s="1"/>
  <c r="L151" i="78"/>
  <c r="L130" i="78" s="1"/>
  <c r="F151" i="78"/>
  <c r="C158" i="78"/>
  <c r="C162" i="78"/>
  <c r="I160" i="78"/>
  <c r="C160" i="78" s="1"/>
  <c r="H173" i="78"/>
  <c r="H52" i="78" s="1"/>
  <c r="L175" i="78"/>
  <c r="L179" i="78"/>
  <c r="F179" i="78"/>
  <c r="L184" i="78"/>
  <c r="L188" i="78"/>
  <c r="L187" i="78" s="1"/>
  <c r="E195" i="78"/>
  <c r="N195" i="78"/>
  <c r="F216" i="78"/>
  <c r="O216" i="78"/>
  <c r="L238" i="78"/>
  <c r="C241" i="78"/>
  <c r="F238" i="78"/>
  <c r="C247" i="78"/>
  <c r="L246" i="78"/>
  <c r="F259" i="78"/>
  <c r="C277" i="78"/>
  <c r="O276" i="78"/>
  <c r="C282" i="78"/>
  <c r="O131" i="78"/>
  <c r="O130" i="78" s="1"/>
  <c r="C155" i="78"/>
  <c r="C171" i="78"/>
  <c r="D173" i="78"/>
  <c r="C183" i="78"/>
  <c r="F187" i="78"/>
  <c r="C199" i="78"/>
  <c r="L198" i="78"/>
  <c r="L196" i="78" s="1"/>
  <c r="I204" i="78"/>
  <c r="C232" i="78"/>
  <c r="E230" i="78"/>
  <c r="C254" i="78"/>
  <c r="F252" i="78"/>
  <c r="L264" i="78"/>
  <c r="C264" i="78" s="1"/>
  <c r="C267" i="78"/>
  <c r="C273" i="78"/>
  <c r="F272" i="78"/>
  <c r="C281" i="78"/>
  <c r="F205" i="78"/>
  <c r="H231" i="78"/>
  <c r="H230" i="78" s="1"/>
  <c r="C233" i="78"/>
  <c r="C280" i="78"/>
  <c r="C296" i="78"/>
  <c r="H195" i="78"/>
  <c r="C200" i="78"/>
  <c r="C201" i="78"/>
  <c r="C208" i="78"/>
  <c r="C209" i="78"/>
  <c r="C220" i="78"/>
  <c r="C221" i="78"/>
  <c r="D231" i="78"/>
  <c r="D230" i="78" s="1"/>
  <c r="M230" i="78"/>
  <c r="M289" i="78" s="1"/>
  <c r="C244" i="78"/>
  <c r="C245" i="78"/>
  <c r="C249" i="78"/>
  <c r="F246" i="78"/>
  <c r="C246" i="78" s="1"/>
  <c r="C253" i="78"/>
  <c r="O252" i="78"/>
  <c r="O251" i="78" s="1"/>
  <c r="C268" i="78"/>
  <c r="J270" i="78"/>
  <c r="J269" i="78" s="1"/>
  <c r="C285" i="78"/>
  <c r="L286" i="78"/>
  <c r="L292" i="78" s="1"/>
  <c r="L291" i="78" s="1"/>
  <c r="C112" i="78" l="1"/>
  <c r="C84" i="78"/>
  <c r="O270" i="78"/>
  <c r="O269" i="78" s="1"/>
  <c r="I292" i="78"/>
  <c r="G230" i="78"/>
  <c r="H194" i="78"/>
  <c r="L174" i="78"/>
  <c r="J75" i="78"/>
  <c r="J52" i="78" s="1"/>
  <c r="C276" i="78"/>
  <c r="C151" i="78"/>
  <c r="N52" i="78"/>
  <c r="N51" i="78" s="1"/>
  <c r="K194" i="78"/>
  <c r="K51" i="78" s="1"/>
  <c r="N194" i="78"/>
  <c r="L53" i="78"/>
  <c r="O53" i="78"/>
  <c r="O230" i="78"/>
  <c r="K289" i="78"/>
  <c r="D194" i="78"/>
  <c r="H289" i="78"/>
  <c r="C293" i="78"/>
  <c r="J194" i="78"/>
  <c r="D52" i="78"/>
  <c r="D51" i="78" s="1"/>
  <c r="G194" i="78"/>
  <c r="E289" i="78"/>
  <c r="C286" i="78"/>
  <c r="I83" i="78"/>
  <c r="C103" i="78"/>
  <c r="H51" i="78"/>
  <c r="H290" i="78" s="1"/>
  <c r="L231" i="78"/>
  <c r="I231" i="78"/>
  <c r="I230" i="78" s="1"/>
  <c r="L83" i="78"/>
  <c r="L75" i="78" s="1"/>
  <c r="C89" i="78"/>
  <c r="C292" i="78"/>
  <c r="D290" i="78"/>
  <c r="D50" i="78"/>
  <c r="N50" i="78"/>
  <c r="N290" i="78"/>
  <c r="G289" i="78"/>
  <c r="G52" i="78"/>
  <c r="G51" i="78" s="1"/>
  <c r="C116" i="78"/>
  <c r="C205" i="78"/>
  <c r="F204" i="78"/>
  <c r="C216" i="78"/>
  <c r="E194" i="78"/>
  <c r="E51" i="78" s="1"/>
  <c r="I291" i="78"/>
  <c r="O204" i="78"/>
  <c r="O195" i="78" s="1"/>
  <c r="F67" i="78"/>
  <c r="C67" i="78" s="1"/>
  <c r="C69" i="78"/>
  <c r="C77" i="78"/>
  <c r="F76" i="78"/>
  <c r="D289" i="78"/>
  <c r="F83" i="78"/>
  <c r="N289" i="78"/>
  <c r="F270" i="78"/>
  <c r="C272" i="78"/>
  <c r="C252" i="78"/>
  <c r="F251" i="78"/>
  <c r="C251" i="78" s="1"/>
  <c r="I195" i="78"/>
  <c r="I194" i="78" s="1"/>
  <c r="C175" i="78"/>
  <c r="C136" i="78"/>
  <c r="I130" i="78"/>
  <c r="I75" i="78" s="1"/>
  <c r="M194" i="78"/>
  <c r="M51" i="78" s="1"/>
  <c r="C131" i="78"/>
  <c r="F130" i="78"/>
  <c r="I174" i="78"/>
  <c r="I173" i="78" s="1"/>
  <c r="O83" i="78"/>
  <c r="O75" i="78" s="1"/>
  <c r="O52" i="78" s="1"/>
  <c r="C184" i="78"/>
  <c r="C95" i="78"/>
  <c r="C45" i="78"/>
  <c r="L204" i="78"/>
  <c r="L195" i="78" s="1"/>
  <c r="F20" i="78"/>
  <c r="C179" i="78"/>
  <c r="F174" i="78"/>
  <c r="C188" i="78"/>
  <c r="I187" i="78"/>
  <c r="C187" i="78" s="1"/>
  <c r="C27" i="78"/>
  <c r="L26" i="78"/>
  <c r="C58" i="78"/>
  <c r="F54" i="78"/>
  <c r="C196" i="78"/>
  <c r="C238" i="78"/>
  <c r="F231" i="78"/>
  <c r="C198" i="78"/>
  <c r="L173" i="78"/>
  <c r="L259" i="78"/>
  <c r="C259" i="78" s="1"/>
  <c r="C291" i="78"/>
  <c r="J289" i="78" l="1"/>
  <c r="K50" i="78"/>
  <c r="K290" i="78"/>
  <c r="O194" i="78"/>
  <c r="O51" i="78" s="1"/>
  <c r="L230" i="78"/>
  <c r="L289" i="78" s="1"/>
  <c r="J51" i="78"/>
  <c r="L52" i="78"/>
  <c r="H50" i="78"/>
  <c r="I52" i="78"/>
  <c r="I51" i="78" s="1"/>
  <c r="I50" i="78" s="1"/>
  <c r="E290" i="78"/>
  <c r="E50" i="78"/>
  <c r="M50" i="78"/>
  <c r="M290" i="78"/>
  <c r="F269" i="78"/>
  <c r="C270" i="78"/>
  <c r="G50" i="78"/>
  <c r="G290" i="78"/>
  <c r="F230" i="78"/>
  <c r="C231" i="78"/>
  <c r="F75" i="78"/>
  <c r="C75" i="78" s="1"/>
  <c r="C76" i="78"/>
  <c r="C204" i="78"/>
  <c r="F195" i="78"/>
  <c r="C54" i="78"/>
  <c r="F53" i="78"/>
  <c r="O289" i="78"/>
  <c r="C26" i="78"/>
  <c r="L20" i="78"/>
  <c r="C20" i="78" s="1"/>
  <c r="C174" i="78"/>
  <c r="F173" i="78"/>
  <c r="C173" i="78" s="1"/>
  <c r="C130" i="78"/>
  <c r="J50" i="78"/>
  <c r="J290" i="78"/>
  <c r="C83" i="78"/>
  <c r="I289" i="78"/>
  <c r="L194" i="78" l="1"/>
  <c r="L51" i="78" s="1"/>
  <c r="L290" i="78" s="1"/>
  <c r="O50" i="78"/>
  <c r="O290" i="78"/>
  <c r="C230" i="78"/>
  <c r="L50" i="78"/>
  <c r="I290" i="78"/>
  <c r="C269" i="78"/>
  <c r="F289" i="78"/>
  <c r="C289" i="78" s="1"/>
  <c r="C53" i="78"/>
  <c r="F52" i="78"/>
  <c r="F194" i="78"/>
  <c r="C194" i="78" s="1"/>
  <c r="C195" i="78"/>
  <c r="F51" i="78" l="1"/>
  <c r="C52" i="78"/>
  <c r="F290" i="78" l="1"/>
  <c r="C290" i="78" s="1"/>
  <c r="F50" i="78"/>
  <c r="C50" i="78" s="1"/>
  <c r="C51" i="78"/>
  <c r="H68" i="49" l="1"/>
  <c r="H57" i="49"/>
  <c r="H24" i="49"/>
  <c r="H24" i="25"/>
  <c r="H70" i="25"/>
  <c r="H68" i="25"/>
  <c r="H57" i="25"/>
  <c r="R105" i="77" l="1"/>
  <c r="P105" i="77"/>
  <c r="O105" i="77"/>
  <c r="N105" i="77"/>
  <c r="M105" i="77"/>
  <c r="L105" i="77"/>
  <c r="K105" i="77"/>
  <c r="J105" i="77"/>
  <c r="I105" i="77"/>
  <c r="H105" i="77"/>
  <c r="G105" i="77"/>
  <c r="F105" i="77"/>
  <c r="E105" i="77"/>
  <c r="D105" i="77"/>
  <c r="R101" i="77"/>
  <c r="R100" i="77"/>
  <c r="R91" i="77"/>
  <c r="R90" i="77"/>
  <c r="A86" i="77"/>
  <c r="G87" i="77" s="1"/>
  <c r="A84" i="77"/>
  <c r="G85" i="77" s="1"/>
  <c r="O83" i="77"/>
  <c r="N83" i="77"/>
  <c r="N9" i="77" s="1"/>
  <c r="N10" i="77" s="1"/>
  <c r="M83" i="77"/>
  <c r="L83" i="77"/>
  <c r="K83" i="77"/>
  <c r="J83" i="77"/>
  <c r="I83" i="77"/>
  <c r="H83" i="77"/>
  <c r="G83" i="77"/>
  <c r="F83" i="77"/>
  <c r="D83" i="77"/>
  <c r="E83" i="77" s="1"/>
  <c r="A78" i="77"/>
  <c r="F72" i="77"/>
  <c r="E72" i="77"/>
  <c r="A72" i="77"/>
  <c r="D64" i="77"/>
  <c r="G60" i="77"/>
  <c r="F60" i="77"/>
  <c r="E60" i="77"/>
  <c r="D60" i="77"/>
  <c r="A60" i="77"/>
  <c r="R45" i="77"/>
  <c r="R44" i="77"/>
  <c r="D44" i="77"/>
  <c r="R38" i="77"/>
  <c r="Q38" i="77"/>
  <c r="P38" i="77"/>
  <c r="O38" i="77"/>
  <c r="N38" i="77"/>
  <c r="M38" i="77"/>
  <c r="L38" i="77"/>
  <c r="K38" i="77"/>
  <c r="J38" i="77"/>
  <c r="I38" i="77"/>
  <c r="H38" i="77"/>
  <c r="G38" i="77"/>
  <c r="F38" i="77"/>
  <c r="E38" i="77"/>
  <c r="Q35" i="77"/>
  <c r="P35" i="77"/>
  <c r="O35" i="77"/>
  <c r="N35" i="77"/>
  <c r="M35" i="77"/>
  <c r="L35" i="77"/>
  <c r="K35" i="77"/>
  <c r="J35" i="77"/>
  <c r="I35" i="77"/>
  <c r="H35" i="77"/>
  <c r="A35" i="77"/>
  <c r="R34" i="77"/>
  <c r="Q34" i="77"/>
  <c r="P34" i="77"/>
  <c r="O34" i="77"/>
  <c r="N34" i="77"/>
  <c r="M34" i="77"/>
  <c r="L34" i="77"/>
  <c r="K34" i="77"/>
  <c r="J34" i="77"/>
  <c r="I34" i="77"/>
  <c r="H34" i="77"/>
  <c r="G34" i="77"/>
  <c r="E34" i="77"/>
  <c r="F34" i="77" s="1"/>
  <c r="R33" i="77"/>
  <c r="N31" i="77"/>
  <c r="M31" i="77"/>
  <c r="L31" i="77"/>
  <c r="K31" i="77"/>
  <c r="J31" i="77"/>
  <c r="I31" i="77"/>
  <c r="H31" i="77"/>
  <c r="G31" i="77"/>
  <c r="F31" i="77"/>
  <c r="E31" i="77"/>
  <c r="A31" i="77"/>
  <c r="L32" i="77" s="1"/>
  <c r="A29" i="77"/>
  <c r="P30" i="77" s="1"/>
  <c r="R28" i="77"/>
  <c r="G28" i="77"/>
  <c r="E28" i="77"/>
  <c r="F28" i="77" s="1"/>
  <c r="Q27" i="77"/>
  <c r="P27" i="77"/>
  <c r="O27" i="77"/>
  <c r="N27" i="77"/>
  <c r="M27" i="77"/>
  <c r="L27" i="77"/>
  <c r="K27" i="77"/>
  <c r="J27" i="77"/>
  <c r="I27" i="77"/>
  <c r="H27" i="77"/>
  <c r="G27" i="77"/>
  <c r="P25" i="77"/>
  <c r="O25" i="77"/>
  <c r="N25" i="77"/>
  <c r="M25" i="77"/>
  <c r="L25" i="77"/>
  <c r="K25" i="77"/>
  <c r="J25" i="77"/>
  <c r="I25" i="77"/>
  <c r="H25" i="77"/>
  <c r="G25" i="77"/>
  <c r="A25" i="77"/>
  <c r="D26" i="77" s="1"/>
  <c r="E26" i="77" s="1"/>
  <c r="F26" i="77" s="1"/>
  <c r="A23" i="77"/>
  <c r="I24" i="77" s="1"/>
  <c r="P21" i="77"/>
  <c r="O21" i="77"/>
  <c r="N21" i="77"/>
  <c r="M21" i="77"/>
  <c r="L21" i="77"/>
  <c r="K21" i="77"/>
  <c r="J21" i="77"/>
  <c r="I21" i="77"/>
  <c r="H21" i="77"/>
  <c r="G21" i="77"/>
  <c r="A21" i="77"/>
  <c r="H22" i="77" s="1"/>
  <c r="P19" i="77"/>
  <c r="O19" i="77"/>
  <c r="N19" i="77"/>
  <c r="M19" i="77"/>
  <c r="L19" i="77"/>
  <c r="K19" i="77"/>
  <c r="J19" i="77"/>
  <c r="I19" i="77"/>
  <c r="H19" i="77"/>
  <c r="G19" i="77"/>
  <c r="A19" i="77"/>
  <c r="G20" i="77" s="1"/>
  <c r="Q17" i="77"/>
  <c r="M17" i="77"/>
  <c r="L17" i="77"/>
  <c r="K17" i="77"/>
  <c r="J17" i="77"/>
  <c r="I17" i="77"/>
  <c r="H17" i="77"/>
  <c r="A17" i="77"/>
  <c r="R15" i="77"/>
  <c r="R11" i="77" s="1"/>
  <c r="Q15" i="77"/>
  <c r="P15" i="77"/>
  <c r="O15" i="77"/>
  <c r="N15" i="77"/>
  <c r="M15" i="77"/>
  <c r="L15" i="77"/>
  <c r="K15" i="77"/>
  <c r="J15" i="77"/>
  <c r="I15" i="77"/>
  <c r="H15" i="77"/>
  <c r="G15" i="77"/>
  <c r="A15" i="77"/>
  <c r="Q9" i="77"/>
  <c r="Q10" i="77" s="1"/>
  <c r="P9" i="77"/>
  <c r="P10" i="77" s="1"/>
  <c r="O9" i="77"/>
  <c r="O10" i="77" s="1"/>
  <c r="M9" i="77"/>
  <c r="M10" i="77" s="1"/>
  <c r="L9" i="77"/>
  <c r="L10" i="77" s="1"/>
  <c r="K9" i="77"/>
  <c r="K10" i="77" s="1"/>
  <c r="K20" i="77" l="1"/>
  <c r="L22" i="77"/>
  <c r="O16" i="77"/>
  <c r="P18" i="77"/>
  <c r="K24" i="77"/>
  <c r="P26" i="77"/>
  <c r="R9" i="77"/>
  <c r="N18" i="77"/>
  <c r="H18" i="77"/>
  <c r="N26" i="77"/>
  <c r="H26" i="77"/>
  <c r="Q28" i="77"/>
  <c r="J32" i="77"/>
  <c r="Q36" i="77"/>
  <c r="I87" i="77"/>
  <c r="M20" i="77"/>
  <c r="N22" i="77"/>
  <c r="O28" i="77"/>
  <c r="J30" i="77"/>
  <c r="R6" i="77"/>
  <c r="A14" i="77"/>
  <c r="G24" i="77"/>
  <c r="I28" i="77"/>
  <c r="N30" i="77"/>
  <c r="I85" i="77"/>
  <c r="I9" i="77" s="1"/>
  <c r="I10" i="77" s="1"/>
  <c r="G9" i="77"/>
  <c r="G10" i="77" s="1"/>
  <c r="Q16" i="77"/>
  <c r="O20" i="77"/>
  <c r="P22" i="77"/>
  <c r="L26" i="77"/>
  <c r="M28" i="77"/>
  <c r="F32" i="77"/>
  <c r="O36" i="77"/>
  <c r="R14" i="77"/>
  <c r="G16" i="77"/>
  <c r="K16" i="77"/>
  <c r="P16" i="77"/>
  <c r="K18" i="77"/>
  <c r="O18" i="77"/>
  <c r="J20" i="77"/>
  <c r="N20" i="77"/>
  <c r="G22" i="77"/>
  <c r="K22" i="77"/>
  <c r="O22" i="77"/>
  <c r="J24" i="77"/>
  <c r="G26" i="77"/>
  <c r="K26" i="77"/>
  <c r="O26" i="77"/>
  <c r="H28" i="77"/>
  <c r="L28" i="77"/>
  <c r="P28" i="77"/>
  <c r="E30" i="77"/>
  <c r="F30" i="77" s="1"/>
  <c r="I30" i="77"/>
  <c r="M30" i="77"/>
  <c r="E32" i="77"/>
  <c r="D32" i="77" s="1"/>
  <c r="I32" i="77"/>
  <c r="M32" i="77"/>
  <c r="E36" i="77"/>
  <c r="F36" i="77" s="1"/>
  <c r="G36" i="77" s="1"/>
  <c r="I36" i="77"/>
  <c r="N36" i="77"/>
  <c r="D85" i="77"/>
  <c r="H85" i="77"/>
  <c r="D87" i="77"/>
  <c r="E87" i="77" s="1"/>
  <c r="H87" i="77"/>
  <c r="H16" i="77"/>
  <c r="L18" i="77"/>
  <c r="N32" i="77"/>
  <c r="J36" i="77"/>
  <c r="R103" i="77"/>
  <c r="E16" i="77"/>
  <c r="I16" i="77"/>
  <c r="N16" i="77"/>
  <c r="E18" i="77"/>
  <c r="F18" i="77" s="1"/>
  <c r="G18" i="77" s="1"/>
  <c r="I18" i="77"/>
  <c r="M18" i="77"/>
  <c r="Q18" i="77"/>
  <c r="D20" i="77"/>
  <c r="H20" i="77"/>
  <c r="L20" i="77"/>
  <c r="P20" i="77"/>
  <c r="P103" i="77" s="1"/>
  <c r="E22" i="77"/>
  <c r="F22" i="77" s="1"/>
  <c r="I22" i="77"/>
  <c r="M22" i="77"/>
  <c r="H24" i="77"/>
  <c r="I26" i="77"/>
  <c r="M26" i="77"/>
  <c r="J28" i="77"/>
  <c r="N28" i="77"/>
  <c r="G30" i="77"/>
  <c r="K30" i="77"/>
  <c r="O30" i="77"/>
  <c r="G32" i="77"/>
  <c r="K32" i="77"/>
  <c r="K36" i="77"/>
  <c r="P36" i="77"/>
  <c r="F85" i="77"/>
  <c r="F9" i="77" s="1"/>
  <c r="F10" i="77" s="1"/>
  <c r="J85" i="77"/>
  <c r="J9" i="77" s="1"/>
  <c r="J10" i="77" s="1"/>
  <c r="F87" i="77"/>
  <c r="J87" i="77"/>
  <c r="M16" i="77"/>
  <c r="J16" i="77"/>
  <c r="J18" i="77"/>
  <c r="I20" i="77"/>
  <c r="J22" i="77"/>
  <c r="E24" i="77"/>
  <c r="F24" i="77" s="1"/>
  <c r="J26" i="77"/>
  <c r="K28" i="77"/>
  <c r="H30" i="77"/>
  <c r="H103" i="77" s="1"/>
  <c r="L30" i="77"/>
  <c r="H32" i="77"/>
  <c r="H36" i="77"/>
  <c r="M36" i="77"/>
  <c r="J14" i="77" l="1"/>
  <c r="O14" i="77"/>
  <c r="J103" i="77"/>
  <c r="O6" i="77"/>
  <c r="O7" i="77" s="1"/>
  <c r="G103" i="77"/>
  <c r="I103" i="77"/>
  <c r="J11" i="77"/>
  <c r="J12" i="77" s="1"/>
  <c r="H9" i="77"/>
  <c r="H10" i="77" s="1"/>
  <c r="M103" i="77"/>
  <c r="M14" i="77"/>
  <c r="M11" i="77"/>
  <c r="M12" i="77" s="1"/>
  <c r="M6" i="77"/>
  <c r="M7" i="77" s="1"/>
  <c r="N6" i="77"/>
  <c r="N7" i="77" s="1"/>
  <c r="N103" i="77"/>
  <c r="H6" i="77"/>
  <c r="H7" i="77" s="1"/>
  <c r="H11" i="77"/>
  <c r="H12" i="77" s="1"/>
  <c r="H14" i="77"/>
  <c r="D9" i="77"/>
  <c r="D10" i="77" s="1"/>
  <c r="E85" i="77"/>
  <c r="E9" i="77" s="1"/>
  <c r="E10" i="77" s="1"/>
  <c r="P6" i="77"/>
  <c r="P7" i="77" s="1"/>
  <c r="P14" i="77"/>
  <c r="P11" i="77"/>
  <c r="P12" i="77" s="1"/>
  <c r="N14" i="77"/>
  <c r="Q14" i="77"/>
  <c r="Q11" i="77"/>
  <c r="Q12" i="77" s="1"/>
  <c r="Q6" i="77"/>
  <c r="Q7" i="77" s="1"/>
  <c r="O11" i="77"/>
  <c r="O12" i="77" s="1"/>
  <c r="I14" i="77"/>
  <c r="I11" i="77"/>
  <c r="I12" i="77" s="1"/>
  <c r="I6" i="77"/>
  <c r="I7" i="77" s="1"/>
  <c r="K6" i="77"/>
  <c r="K7" i="77" s="1"/>
  <c r="K14" i="77"/>
  <c r="K11" i="77"/>
  <c r="K12" i="77" s="1"/>
  <c r="O103" i="77"/>
  <c r="D103" i="77"/>
  <c r="E20" i="77"/>
  <c r="F20" i="77" s="1"/>
  <c r="D6" i="77"/>
  <c r="D7" i="77" s="1"/>
  <c r="D14" i="77"/>
  <c r="D11" i="77"/>
  <c r="D12" i="77" s="1"/>
  <c r="L6" i="77"/>
  <c r="L7" i="77" s="1"/>
  <c r="L14" i="77"/>
  <c r="L11" i="77"/>
  <c r="L12" i="77" s="1"/>
  <c r="J6" i="77"/>
  <c r="J7" i="77" s="1"/>
  <c r="F16" i="77"/>
  <c r="E14" i="77"/>
  <c r="G6" i="77"/>
  <c r="G7" i="77" s="1"/>
  <c r="G11" i="77"/>
  <c r="G12" i="77" s="1"/>
  <c r="G14" i="77"/>
  <c r="Q103" i="77"/>
  <c r="L103" i="77"/>
  <c r="N11" i="77"/>
  <c r="N12" i="77" s="1"/>
  <c r="K103" i="77"/>
  <c r="E103" i="77" l="1"/>
  <c r="E11" i="77"/>
  <c r="E12" i="77" s="1"/>
  <c r="E6" i="77"/>
  <c r="E7" i="77" s="1"/>
  <c r="F11" i="77"/>
  <c r="F12" i="77" s="1"/>
  <c r="F103" i="77"/>
  <c r="F14" i="77"/>
  <c r="F6" i="77"/>
  <c r="F7" i="77" s="1"/>
  <c r="H24" i="18" l="1"/>
  <c r="H57" i="18"/>
  <c r="H68" i="18"/>
  <c r="H24" i="66"/>
  <c r="H68" i="66"/>
  <c r="H57" i="66"/>
  <c r="O301" i="76"/>
  <c r="L301" i="76"/>
  <c r="I301" i="76"/>
  <c r="F301" i="76"/>
  <c r="O300" i="76"/>
  <c r="L300" i="76"/>
  <c r="I300" i="76"/>
  <c r="F300" i="76"/>
  <c r="O299" i="76"/>
  <c r="L299" i="76"/>
  <c r="I299" i="76"/>
  <c r="F299" i="76"/>
  <c r="O298" i="76"/>
  <c r="L298" i="76"/>
  <c r="I298" i="76"/>
  <c r="F298" i="76"/>
  <c r="O297" i="76"/>
  <c r="L297" i="76"/>
  <c r="I297" i="76"/>
  <c r="F297" i="76"/>
  <c r="O296" i="76"/>
  <c r="L296" i="76"/>
  <c r="I296" i="76"/>
  <c r="F296" i="76"/>
  <c r="O295" i="76"/>
  <c r="L295" i="76"/>
  <c r="I295" i="76"/>
  <c r="F295" i="76"/>
  <c r="O294" i="76"/>
  <c r="L294" i="76"/>
  <c r="L293" i="76" s="1"/>
  <c r="I294" i="76"/>
  <c r="F294" i="76"/>
  <c r="N293" i="76"/>
  <c r="M293" i="76"/>
  <c r="K293" i="76"/>
  <c r="J293" i="76"/>
  <c r="H293" i="76"/>
  <c r="G293" i="76"/>
  <c r="E293" i="76"/>
  <c r="D293" i="76"/>
  <c r="O288" i="76"/>
  <c r="L288" i="76"/>
  <c r="I288" i="76"/>
  <c r="F288" i="76"/>
  <c r="O287" i="76"/>
  <c r="L287" i="76"/>
  <c r="L286" i="76" s="1"/>
  <c r="I287" i="76"/>
  <c r="F287" i="76"/>
  <c r="F286" i="76" s="1"/>
  <c r="O286" i="76"/>
  <c r="N286" i="76"/>
  <c r="M286" i="76"/>
  <c r="K286" i="76"/>
  <c r="J286" i="76"/>
  <c r="H286" i="76"/>
  <c r="G286" i="76"/>
  <c r="E286" i="76"/>
  <c r="D286" i="76"/>
  <c r="O285" i="76"/>
  <c r="L285" i="76"/>
  <c r="L284" i="76" s="1"/>
  <c r="L283" i="76" s="1"/>
  <c r="I285" i="76"/>
  <c r="I284" i="76" s="1"/>
  <c r="I283" i="76" s="1"/>
  <c r="F285" i="76"/>
  <c r="O284" i="76"/>
  <c r="O283" i="76" s="1"/>
  <c r="N284" i="76"/>
  <c r="M284" i="76"/>
  <c r="M283" i="76" s="1"/>
  <c r="K284" i="76"/>
  <c r="K283" i="76" s="1"/>
  <c r="J284" i="76"/>
  <c r="H284" i="76"/>
  <c r="H283" i="76" s="1"/>
  <c r="G284" i="76"/>
  <c r="G283" i="76" s="1"/>
  <c r="E284" i="76"/>
  <c r="E283" i="76" s="1"/>
  <c r="D284" i="76"/>
  <c r="D283" i="76" s="1"/>
  <c r="N283" i="76"/>
  <c r="J283" i="76"/>
  <c r="O282" i="76"/>
  <c r="O281" i="76" s="1"/>
  <c r="L282" i="76"/>
  <c r="I282" i="76"/>
  <c r="I281" i="76" s="1"/>
  <c r="F282" i="76"/>
  <c r="C282" i="76"/>
  <c r="N281" i="76"/>
  <c r="M281" i="76"/>
  <c r="L281" i="76"/>
  <c r="K281" i="76"/>
  <c r="J281" i="76"/>
  <c r="H281" i="76"/>
  <c r="G281" i="76"/>
  <c r="F281" i="76"/>
  <c r="E281" i="76"/>
  <c r="D281" i="76"/>
  <c r="O280" i="76"/>
  <c r="L280" i="76"/>
  <c r="I280" i="76"/>
  <c r="F280" i="76"/>
  <c r="O279" i="76"/>
  <c r="L279" i="76"/>
  <c r="I279" i="76"/>
  <c r="F279" i="76"/>
  <c r="O278" i="76"/>
  <c r="L278" i="76"/>
  <c r="I278" i="76"/>
  <c r="F278" i="76"/>
  <c r="C278" i="76" s="1"/>
  <c r="O277" i="76"/>
  <c r="L277" i="76"/>
  <c r="I277" i="76"/>
  <c r="F277" i="76"/>
  <c r="N276" i="76"/>
  <c r="M276" i="76"/>
  <c r="K276" i="76"/>
  <c r="J276" i="76"/>
  <c r="I276" i="76"/>
  <c r="H276" i="76"/>
  <c r="G276" i="76"/>
  <c r="E276" i="76"/>
  <c r="D276" i="76"/>
  <c r="O275" i="76"/>
  <c r="L275" i="76"/>
  <c r="I275" i="76"/>
  <c r="F275" i="76"/>
  <c r="O274" i="76"/>
  <c r="L274" i="76"/>
  <c r="I274" i="76"/>
  <c r="F274" i="76"/>
  <c r="C274" i="76" s="1"/>
  <c r="O273" i="76"/>
  <c r="L273" i="76"/>
  <c r="L272" i="76" s="1"/>
  <c r="I273" i="76"/>
  <c r="I272" i="76" s="1"/>
  <c r="F273" i="76"/>
  <c r="N272" i="76"/>
  <c r="M272" i="76"/>
  <c r="M270" i="76" s="1"/>
  <c r="M269" i="76" s="1"/>
  <c r="K272" i="76"/>
  <c r="K270" i="76" s="1"/>
  <c r="K269" i="76" s="1"/>
  <c r="J272" i="76"/>
  <c r="H272" i="76"/>
  <c r="G272" i="76"/>
  <c r="G270" i="76" s="1"/>
  <c r="G269" i="76" s="1"/>
  <c r="E272" i="76"/>
  <c r="D272" i="76"/>
  <c r="O271" i="76"/>
  <c r="L271" i="76"/>
  <c r="I271" i="76"/>
  <c r="F271" i="76"/>
  <c r="N270" i="76"/>
  <c r="N269" i="76" s="1"/>
  <c r="J270" i="76"/>
  <c r="J269" i="76" s="1"/>
  <c r="H270" i="76"/>
  <c r="H269" i="76" s="1"/>
  <c r="O268" i="76"/>
  <c r="L268" i="76"/>
  <c r="I268" i="76"/>
  <c r="F268" i="76"/>
  <c r="O267" i="76"/>
  <c r="L267" i="76"/>
  <c r="I267" i="76"/>
  <c r="F267" i="76"/>
  <c r="O266" i="76"/>
  <c r="L266" i="76"/>
  <c r="I266" i="76"/>
  <c r="F266" i="76"/>
  <c r="O265" i="76"/>
  <c r="L265" i="76"/>
  <c r="L264" i="76" s="1"/>
  <c r="I265" i="76"/>
  <c r="F265" i="76"/>
  <c r="N264" i="76"/>
  <c r="M264" i="76"/>
  <c r="K264" i="76"/>
  <c r="J264" i="76"/>
  <c r="H264" i="76"/>
  <c r="G264" i="76"/>
  <c r="E264" i="76"/>
  <c r="D264" i="76"/>
  <c r="O263" i="76"/>
  <c r="L263" i="76"/>
  <c r="I263" i="76"/>
  <c r="F263" i="76"/>
  <c r="O262" i="76"/>
  <c r="L262" i="76"/>
  <c r="I262" i="76"/>
  <c r="F262" i="76"/>
  <c r="O261" i="76"/>
  <c r="L261" i="76"/>
  <c r="I261" i="76"/>
  <c r="F261" i="76"/>
  <c r="N260" i="76"/>
  <c r="M260" i="76"/>
  <c r="K260" i="76"/>
  <c r="J260" i="76"/>
  <c r="H260" i="76"/>
  <c r="H259" i="76" s="1"/>
  <c r="G260" i="76"/>
  <c r="G259" i="76" s="1"/>
  <c r="E260" i="76"/>
  <c r="D260" i="76"/>
  <c r="N259" i="76"/>
  <c r="J259" i="76"/>
  <c r="D259" i="76"/>
  <c r="O258" i="76"/>
  <c r="L258" i="76"/>
  <c r="I258" i="76"/>
  <c r="F258" i="76"/>
  <c r="O257" i="76"/>
  <c r="L257" i="76"/>
  <c r="I257" i="76"/>
  <c r="F257" i="76"/>
  <c r="O256" i="76"/>
  <c r="L256" i="76"/>
  <c r="I256" i="76"/>
  <c r="F256" i="76"/>
  <c r="O255" i="76"/>
  <c r="L255" i="76"/>
  <c r="I255" i="76"/>
  <c r="F255" i="76"/>
  <c r="O254" i="76"/>
  <c r="L254" i="76"/>
  <c r="I254" i="76"/>
  <c r="F254" i="76"/>
  <c r="O253" i="76"/>
  <c r="L253" i="76"/>
  <c r="I253" i="76"/>
  <c r="F253" i="76"/>
  <c r="N252" i="76"/>
  <c r="M252" i="76"/>
  <c r="M251" i="76" s="1"/>
  <c r="K252" i="76"/>
  <c r="K251" i="76" s="1"/>
  <c r="J252" i="76"/>
  <c r="J251" i="76" s="1"/>
  <c r="H252" i="76"/>
  <c r="G252" i="76"/>
  <c r="G251" i="76" s="1"/>
  <c r="E252" i="76"/>
  <c r="E251" i="76" s="1"/>
  <c r="D252" i="76"/>
  <c r="N251" i="76"/>
  <c r="H251" i="76"/>
  <c r="D251" i="76"/>
  <c r="O250" i="76"/>
  <c r="L250" i="76"/>
  <c r="I250" i="76"/>
  <c r="F250" i="76"/>
  <c r="O249" i="76"/>
  <c r="L249" i="76"/>
  <c r="I249" i="76"/>
  <c r="F249" i="76"/>
  <c r="O248" i="76"/>
  <c r="L248" i="76"/>
  <c r="I248" i="76"/>
  <c r="F248" i="76"/>
  <c r="O247" i="76"/>
  <c r="L247" i="76"/>
  <c r="I247" i="76"/>
  <c r="F247" i="76"/>
  <c r="O246" i="76"/>
  <c r="N246" i="76"/>
  <c r="M246" i="76"/>
  <c r="K246" i="76"/>
  <c r="J246" i="76"/>
  <c r="H246" i="76"/>
  <c r="G246" i="76"/>
  <c r="E246" i="76"/>
  <c r="D246" i="76"/>
  <c r="O245" i="76"/>
  <c r="L245" i="76"/>
  <c r="I245" i="76"/>
  <c r="F245" i="76"/>
  <c r="O244" i="76"/>
  <c r="L244" i="76"/>
  <c r="I244" i="76"/>
  <c r="F244" i="76"/>
  <c r="O243" i="76"/>
  <c r="L243" i="76"/>
  <c r="I243" i="76"/>
  <c r="F243" i="76"/>
  <c r="O242" i="76"/>
  <c r="L242" i="76"/>
  <c r="I242" i="76"/>
  <c r="F242" i="76"/>
  <c r="O241" i="76"/>
  <c r="L241" i="76"/>
  <c r="I241" i="76"/>
  <c r="F241" i="76"/>
  <c r="O240" i="76"/>
  <c r="L240" i="76"/>
  <c r="I240" i="76"/>
  <c r="F240" i="76"/>
  <c r="O239" i="76"/>
  <c r="L239" i="76"/>
  <c r="I239" i="76"/>
  <c r="I238" i="76" s="1"/>
  <c r="F239" i="76"/>
  <c r="N238" i="76"/>
  <c r="M238" i="76"/>
  <c r="K238" i="76"/>
  <c r="J238" i="76"/>
  <c r="H238" i="76"/>
  <c r="G238" i="76"/>
  <c r="E238" i="76"/>
  <c r="D238" i="76"/>
  <c r="O237" i="76"/>
  <c r="L237" i="76"/>
  <c r="I237" i="76"/>
  <c r="F237" i="76"/>
  <c r="O236" i="76"/>
  <c r="O235" i="76" s="1"/>
  <c r="L236" i="76"/>
  <c r="L235" i="76" s="1"/>
  <c r="I236" i="76"/>
  <c r="I235" i="76" s="1"/>
  <c r="F236" i="76"/>
  <c r="N235" i="76"/>
  <c r="M235" i="76"/>
  <c r="K235" i="76"/>
  <c r="J235" i="76"/>
  <c r="H235" i="76"/>
  <c r="G235" i="76"/>
  <c r="E235" i="76"/>
  <c r="D235" i="76"/>
  <c r="O234" i="76"/>
  <c r="O233" i="76" s="1"/>
  <c r="L234" i="76"/>
  <c r="L233" i="76" s="1"/>
  <c r="I234" i="76"/>
  <c r="I233" i="76" s="1"/>
  <c r="F234" i="76"/>
  <c r="C234" i="76" s="1"/>
  <c r="N233" i="76"/>
  <c r="N231" i="76" s="1"/>
  <c r="M233" i="76"/>
  <c r="K233" i="76"/>
  <c r="J233" i="76"/>
  <c r="J231" i="76" s="1"/>
  <c r="H233" i="76"/>
  <c r="H231" i="76" s="1"/>
  <c r="G233" i="76"/>
  <c r="F233" i="76"/>
  <c r="E233" i="76"/>
  <c r="D233" i="76"/>
  <c r="D231" i="76" s="1"/>
  <c r="D230" i="76" s="1"/>
  <c r="O232" i="76"/>
  <c r="L232" i="76"/>
  <c r="I232" i="76"/>
  <c r="F232" i="76"/>
  <c r="O229" i="76"/>
  <c r="L229" i="76"/>
  <c r="I229" i="76"/>
  <c r="F229" i="76"/>
  <c r="O228" i="76"/>
  <c r="O227" i="76" s="1"/>
  <c r="L228" i="76"/>
  <c r="I228" i="76"/>
  <c r="I227" i="76" s="1"/>
  <c r="F228" i="76"/>
  <c r="N227" i="76"/>
  <c r="M227" i="76"/>
  <c r="L227" i="76"/>
  <c r="K227" i="76"/>
  <c r="J227" i="76"/>
  <c r="H227" i="76"/>
  <c r="G227" i="76"/>
  <c r="E227" i="76"/>
  <c r="D227" i="76"/>
  <c r="O226" i="76"/>
  <c r="L226" i="76"/>
  <c r="I226" i="76"/>
  <c r="F226" i="76"/>
  <c r="O225" i="76"/>
  <c r="L225" i="76"/>
  <c r="I225" i="76"/>
  <c r="F225" i="76"/>
  <c r="O224" i="76"/>
  <c r="L224" i="76"/>
  <c r="I224" i="76"/>
  <c r="F224" i="76"/>
  <c r="O223" i="76"/>
  <c r="L223" i="76"/>
  <c r="I223" i="76"/>
  <c r="F223" i="76"/>
  <c r="O222" i="76"/>
  <c r="L222" i="76"/>
  <c r="I222" i="76"/>
  <c r="F222" i="76"/>
  <c r="O221" i="76"/>
  <c r="L221" i="76"/>
  <c r="I221" i="76"/>
  <c r="F221" i="76"/>
  <c r="O220" i="76"/>
  <c r="L220" i="76"/>
  <c r="I220" i="76"/>
  <c r="F220" i="76"/>
  <c r="O219" i="76"/>
  <c r="L219" i="76"/>
  <c r="I219" i="76"/>
  <c r="F219" i="76"/>
  <c r="O218" i="76"/>
  <c r="L218" i="76"/>
  <c r="I218" i="76"/>
  <c r="F218" i="76"/>
  <c r="O217" i="76"/>
  <c r="L217" i="76"/>
  <c r="I217" i="76"/>
  <c r="F217" i="76"/>
  <c r="N216" i="76"/>
  <c r="M216" i="76"/>
  <c r="K216" i="76"/>
  <c r="J216" i="76"/>
  <c r="H216" i="76"/>
  <c r="G216" i="76"/>
  <c r="E216" i="76"/>
  <c r="D216" i="76"/>
  <c r="O215" i="76"/>
  <c r="L215" i="76"/>
  <c r="I215" i="76"/>
  <c r="F215" i="76"/>
  <c r="O214" i="76"/>
  <c r="L214" i="76"/>
  <c r="I214" i="76"/>
  <c r="F214" i="76"/>
  <c r="O213" i="76"/>
  <c r="L213" i="76"/>
  <c r="I213" i="76"/>
  <c r="F213" i="76"/>
  <c r="O212" i="76"/>
  <c r="L212" i="76"/>
  <c r="I212" i="76"/>
  <c r="F212" i="76"/>
  <c r="C212" i="76" s="1"/>
  <c r="O211" i="76"/>
  <c r="L211" i="76"/>
  <c r="I211" i="76"/>
  <c r="F211" i="76"/>
  <c r="C211" i="76" s="1"/>
  <c r="O210" i="76"/>
  <c r="L210" i="76"/>
  <c r="I210" i="76"/>
  <c r="F210" i="76"/>
  <c r="O209" i="76"/>
  <c r="L209" i="76"/>
  <c r="I209" i="76"/>
  <c r="F209" i="76"/>
  <c r="O208" i="76"/>
  <c r="L208" i="76"/>
  <c r="I208" i="76"/>
  <c r="F208" i="76"/>
  <c r="O207" i="76"/>
  <c r="L207" i="76"/>
  <c r="I207" i="76"/>
  <c r="F207" i="76"/>
  <c r="O206" i="76"/>
  <c r="L206" i="76"/>
  <c r="I206" i="76"/>
  <c r="F206" i="76"/>
  <c r="C206" i="76" s="1"/>
  <c r="N205" i="76"/>
  <c r="N204" i="76" s="1"/>
  <c r="M205" i="76"/>
  <c r="K205" i="76"/>
  <c r="J205" i="76"/>
  <c r="J204" i="76" s="1"/>
  <c r="H205" i="76"/>
  <c r="G205" i="76"/>
  <c r="E205" i="76"/>
  <c r="E204" i="76" s="1"/>
  <c r="D205" i="76"/>
  <c r="O203" i="76"/>
  <c r="L203" i="76"/>
  <c r="I203" i="76"/>
  <c r="F203" i="76"/>
  <c r="O202" i="76"/>
  <c r="L202" i="76"/>
  <c r="I202" i="76"/>
  <c r="F202" i="76"/>
  <c r="O201" i="76"/>
  <c r="L201" i="76"/>
  <c r="I201" i="76"/>
  <c r="F201" i="76"/>
  <c r="O200" i="76"/>
  <c r="L200" i="76"/>
  <c r="I200" i="76"/>
  <c r="F200" i="76"/>
  <c r="O199" i="76"/>
  <c r="L199" i="76"/>
  <c r="L198" i="76" s="1"/>
  <c r="I199" i="76"/>
  <c r="I198" i="76" s="1"/>
  <c r="F199" i="76"/>
  <c r="O198" i="76"/>
  <c r="O196" i="76" s="1"/>
  <c r="N198" i="76"/>
  <c r="M198" i="76"/>
  <c r="K198" i="76"/>
  <c r="K196" i="76" s="1"/>
  <c r="J198" i="76"/>
  <c r="H198" i="76"/>
  <c r="G198" i="76"/>
  <c r="G196" i="76" s="1"/>
  <c r="E198" i="76"/>
  <c r="E196" i="76" s="1"/>
  <c r="D198" i="76"/>
  <c r="D196" i="76" s="1"/>
  <c r="O197" i="76"/>
  <c r="L197" i="76"/>
  <c r="I197" i="76"/>
  <c r="F197" i="76"/>
  <c r="N196" i="76"/>
  <c r="M196" i="76"/>
  <c r="J196" i="76"/>
  <c r="J195" i="76" s="1"/>
  <c r="H196" i="76"/>
  <c r="O193" i="76"/>
  <c r="L193" i="76"/>
  <c r="L192" i="76" s="1"/>
  <c r="I193" i="76"/>
  <c r="I192" i="76" s="1"/>
  <c r="I191" i="76" s="1"/>
  <c r="F193" i="76"/>
  <c r="O192" i="76"/>
  <c r="O191" i="76" s="1"/>
  <c r="N192" i="76"/>
  <c r="N191" i="76" s="1"/>
  <c r="M192" i="76"/>
  <c r="K192" i="76"/>
  <c r="K191" i="76" s="1"/>
  <c r="J192" i="76"/>
  <c r="J191" i="76" s="1"/>
  <c r="H192" i="76"/>
  <c r="H191" i="76" s="1"/>
  <c r="G192" i="76"/>
  <c r="G191" i="76" s="1"/>
  <c r="F192" i="76"/>
  <c r="F191" i="76" s="1"/>
  <c r="E192" i="76"/>
  <c r="D192" i="76"/>
  <c r="D191" i="76" s="1"/>
  <c r="M191" i="76"/>
  <c r="E191" i="76"/>
  <c r="O190" i="76"/>
  <c r="L190" i="76"/>
  <c r="I190" i="76"/>
  <c r="F190" i="76"/>
  <c r="O189" i="76"/>
  <c r="L189" i="76"/>
  <c r="L188" i="76" s="1"/>
  <c r="I189" i="76"/>
  <c r="I188" i="76" s="1"/>
  <c r="I187" i="76" s="1"/>
  <c r="F189" i="76"/>
  <c r="O188" i="76"/>
  <c r="O187" i="76" s="1"/>
  <c r="N188" i="76"/>
  <c r="M188" i="76"/>
  <c r="K188" i="76"/>
  <c r="J188" i="76"/>
  <c r="J187" i="76" s="1"/>
  <c r="H188" i="76"/>
  <c r="G188" i="76"/>
  <c r="G187" i="76" s="1"/>
  <c r="F188" i="76"/>
  <c r="E188" i="76"/>
  <c r="E187" i="76" s="1"/>
  <c r="D188" i="76"/>
  <c r="M187" i="76"/>
  <c r="O186" i="76"/>
  <c r="L186" i="76"/>
  <c r="I186" i="76"/>
  <c r="F186" i="76"/>
  <c r="O185" i="76"/>
  <c r="L185" i="76"/>
  <c r="L184" i="76" s="1"/>
  <c r="I185" i="76"/>
  <c r="I184" i="76" s="1"/>
  <c r="F185" i="76"/>
  <c r="O184" i="76"/>
  <c r="N184" i="76"/>
  <c r="M184" i="76"/>
  <c r="K184" i="76"/>
  <c r="J184" i="76"/>
  <c r="H184" i="76"/>
  <c r="G184" i="76"/>
  <c r="F184" i="76"/>
  <c r="E184" i="76"/>
  <c r="D184" i="76"/>
  <c r="O183" i="76"/>
  <c r="L183" i="76"/>
  <c r="I183" i="76"/>
  <c r="F183" i="76"/>
  <c r="O182" i="76"/>
  <c r="L182" i="76"/>
  <c r="I182" i="76"/>
  <c r="F182" i="76"/>
  <c r="O181" i="76"/>
  <c r="L181" i="76"/>
  <c r="I181" i="76"/>
  <c r="F181" i="76"/>
  <c r="O180" i="76"/>
  <c r="L180" i="76"/>
  <c r="I180" i="76"/>
  <c r="F180" i="76"/>
  <c r="O179" i="76"/>
  <c r="N179" i="76"/>
  <c r="M179" i="76"/>
  <c r="K179" i="76"/>
  <c r="J179" i="76"/>
  <c r="H179" i="76"/>
  <c r="G179" i="76"/>
  <c r="E179" i="76"/>
  <c r="D179" i="76"/>
  <c r="O178" i="76"/>
  <c r="L178" i="76"/>
  <c r="I178" i="76"/>
  <c r="F178" i="76"/>
  <c r="O177" i="76"/>
  <c r="L177" i="76"/>
  <c r="I177" i="76"/>
  <c r="F177" i="76"/>
  <c r="O176" i="76"/>
  <c r="L176" i="76"/>
  <c r="I176" i="76"/>
  <c r="F176" i="76"/>
  <c r="F175" i="76" s="1"/>
  <c r="O175" i="76"/>
  <c r="N175" i="76"/>
  <c r="M175" i="76"/>
  <c r="M174" i="76" s="1"/>
  <c r="M173" i="76" s="1"/>
  <c r="K175" i="76"/>
  <c r="K174" i="76" s="1"/>
  <c r="J175" i="76"/>
  <c r="H175" i="76"/>
  <c r="G175" i="76"/>
  <c r="G174" i="76" s="1"/>
  <c r="E175" i="76"/>
  <c r="E174" i="76" s="1"/>
  <c r="E173" i="76" s="1"/>
  <c r="D175" i="76"/>
  <c r="D174" i="76" s="1"/>
  <c r="D173" i="76" s="1"/>
  <c r="H174" i="76"/>
  <c r="H173" i="76" s="1"/>
  <c r="O172" i="76"/>
  <c r="L172" i="76"/>
  <c r="I172" i="76"/>
  <c r="F172" i="76"/>
  <c r="O171" i="76"/>
  <c r="L171" i="76"/>
  <c r="I171" i="76"/>
  <c r="F171" i="76"/>
  <c r="O170" i="76"/>
  <c r="L170" i="76"/>
  <c r="I170" i="76"/>
  <c r="F170" i="76"/>
  <c r="O169" i="76"/>
  <c r="L169" i="76"/>
  <c r="I169" i="76"/>
  <c r="F169" i="76"/>
  <c r="O168" i="76"/>
  <c r="L168" i="76"/>
  <c r="I168" i="76"/>
  <c r="F168" i="76"/>
  <c r="O167" i="76"/>
  <c r="O166" i="76" s="1"/>
  <c r="O165" i="76" s="1"/>
  <c r="L167" i="76"/>
  <c r="I167" i="76"/>
  <c r="F167" i="76"/>
  <c r="N166" i="76"/>
  <c r="M166" i="76"/>
  <c r="K166" i="76"/>
  <c r="J166" i="76"/>
  <c r="H166" i="76"/>
  <c r="H165" i="76" s="1"/>
  <c r="G166" i="76"/>
  <c r="E166" i="76"/>
  <c r="E165" i="76" s="1"/>
  <c r="D166" i="76"/>
  <c r="D165" i="76" s="1"/>
  <c r="N165" i="76"/>
  <c r="M165" i="76"/>
  <c r="K165" i="76"/>
  <c r="J165" i="76"/>
  <c r="G165" i="76"/>
  <c r="O164" i="76"/>
  <c r="L164" i="76"/>
  <c r="I164" i="76"/>
  <c r="F164" i="76"/>
  <c r="O163" i="76"/>
  <c r="L163" i="76"/>
  <c r="I163" i="76"/>
  <c r="F163" i="76"/>
  <c r="O162" i="76"/>
  <c r="L162" i="76"/>
  <c r="I162" i="76"/>
  <c r="F162" i="76"/>
  <c r="O161" i="76"/>
  <c r="L161" i="76"/>
  <c r="L160" i="76" s="1"/>
  <c r="I161" i="76"/>
  <c r="F161" i="76"/>
  <c r="O160" i="76"/>
  <c r="N160" i="76"/>
  <c r="M160" i="76"/>
  <c r="K160" i="76"/>
  <c r="J160" i="76"/>
  <c r="H160" i="76"/>
  <c r="G160" i="76"/>
  <c r="F160" i="76"/>
  <c r="E160" i="76"/>
  <c r="D160" i="76"/>
  <c r="O159" i="76"/>
  <c r="L159" i="76"/>
  <c r="I159" i="76"/>
  <c r="F159" i="76"/>
  <c r="O158" i="76"/>
  <c r="L158" i="76"/>
  <c r="I158" i="76"/>
  <c r="F158" i="76"/>
  <c r="O157" i="76"/>
  <c r="L157" i="76"/>
  <c r="I157" i="76"/>
  <c r="F157" i="76"/>
  <c r="O156" i="76"/>
  <c r="L156" i="76"/>
  <c r="I156" i="76"/>
  <c r="F156" i="76"/>
  <c r="O155" i="76"/>
  <c r="L155" i="76"/>
  <c r="I155" i="76"/>
  <c r="F155" i="76"/>
  <c r="O154" i="76"/>
  <c r="L154" i="76"/>
  <c r="I154" i="76"/>
  <c r="F154" i="76"/>
  <c r="O153" i="76"/>
  <c r="L153" i="76"/>
  <c r="I153" i="76"/>
  <c r="F153" i="76"/>
  <c r="O152" i="76"/>
  <c r="L152" i="76"/>
  <c r="I152" i="76"/>
  <c r="F152" i="76"/>
  <c r="O151" i="76"/>
  <c r="N151" i="76"/>
  <c r="M151" i="76"/>
  <c r="K151" i="76"/>
  <c r="J151" i="76"/>
  <c r="H151" i="76"/>
  <c r="G151" i="76"/>
  <c r="E151" i="76"/>
  <c r="D151" i="76"/>
  <c r="O150" i="76"/>
  <c r="L150" i="76"/>
  <c r="I150" i="76"/>
  <c r="F150" i="76"/>
  <c r="O149" i="76"/>
  <c r="L149" i="76"/>
  <c r="I149" i="76"/>
  <c r="F149" i="76"/>
  <c r="O148" i="76"/>
  <c r="L148" i="76"/>
  <c r="I148" i="76"/>
  <c r="F148" i="76"/>
  <c r="O147" i="76"/>
  <c r="L147" i="76"/>
  <c r="I147" i="76"/>
  <c r="F147" i="76"/>
  <c r="O146" i="76"/>
  <c r="L146" i="76"/>
  <c r="I146" i="76"/>
  <c r="F146" i="76"/>
  <c r="O145" i="76"/>
  <c r="L145" i="76"/>
  <c r="I145" i="76"/>
  <c r="F145" i="76"/>
  <c r="C145" i="76" s="1"/>
  <c r="N144" i="76"/>
  <c r="M144" i="76"/>
  <c r="K144" i="76"/>
  <c r="J144" i="76"/>
  <c r="H144" i="76"/>
  <c r="G144" i="76"/>
  <c r="E144" i="76"/>
  <c r="D144" i="76"/>
  <c r="O143" i="76"/>
  <c r="L143" i="76"/>
  <c r="I143" i="76"/>
  <c r="F143" i="76"/>
  <c r="O142" i="76"/>
  <c r="L142" i="76"/>
  <c r="L141" i="76" s="1"/>
  <c r="I142" i="76"/>
  <c r="F142" i="76"/>
  <c r="F141" i="76" s="1"/>
  <c r="N141" i="76"/>
  <c r="M141" i="76"/>
  <c r="K141" i="76"/>
  <c r="J141" i="76"/>
  <c r="H141" i="76"/>
  <c r="G141" i="76"/>
  <c r="E141" i="76"/>
  <c r="D141" i="76"/>
  <c r="O140" i="76"/>
  <c r="L140" i="76"/>
  <c r="I140" i="76"/>
  <c r="F140" i="76"/>
  <c r="O139" i="76"/>
  <c r="L139" i="76"/>
  <c r="I139" i="76"/>
  <c r="F139" i="76"/>
  <c r="O138" i="76"/>
  <c r="L138" i="76"/>
  <c r="I138" i="76"/>
  <c r="F138" i="76"/>
  <c r="O137" i="76"/>
  <c r="O136" i="76" s="1"/>
  <c r="L137" i="76"/>
  <c r="L136" i="76" s="1"/>
  <c r="I137" i="76"/>
  <c r="F137" i="76"/>
  <c r="N136" i="76"/>
  <c r="M136" i="76"/>
  <c r="K136" i="76"/>
  <c r="J136" i="76"/>
  <c r="H136" i="76"/>
  <c r="G136" i="76"/>
  <c r="E136" i="76"/>
  <c r="D136" i="76"/>
  <c r="O135" i="76"/>
  <c r="L135" i="76"/>
  <c r="I135" i="76"/>
  <c r="F135" i="76"/>
  <c r="O134" i="76"/>
  <c r="L134" i="76"/>
  <c r="I134" i="76"/>
  <c r="F134" i="76"/>
  <c r="O133" i="76"/>
  <c r="L133" i="76"/>
  <c r="I133" i="76"/>
  <c r="F133" i="76"/>
  <c r="O132" i="76"/>
  <c r="O131" i="76" s="1"/>
  <c r="L132" i="76"/>
  <c r="I132" i="76"/>
  <c r="I131" i="76" s="1"/>
  <c r="F132" i="76"/>
  <c r="N131" i="76"/>
  <c r="M131" i="76"/>
  <c r="M130" i="76" s="1"/>
  <c r="K131" i="76"/>
  <c r="K130" i="76" s="1"/>
  <c r="J131" i="76"/>
  <c r="J130" i="76" s="1"/>
  <c r="H131" i="76"/>
  <c r="G131" i="76"/>
  <c r="E131" i="76"/>
  <c r="E130" i="76" s="1"/>
  <c r="D131" i="76"/>
  <c r="D130" i="76" s="1"/>
  <c r="O129" i="76"/>
  <c r="L129" i="76"/>
  <c r="L128" i="76" s="1"/>
  <c r="I129" i="76"/>
  <c r="I128" i="76" s="1"/>
  <c r="F129" i="76"/>
  <c r="O128" i="76"/>
  <c r="N128" i="76"/>
  <c r="M128" i="76"/>
  <c r="K128" i="76"/>
  <c r="J128" i="76"/>
  <c r="H128" i="76"/>
  <c r="G128" i="76"/>
  <c r="F128" i="76"/>
  <c r="E128" i="76"/>
  <c r="D128" i="76"/>
  <c r="O127" i="76"/>
  <c r="L127" i="76"/>
  <c r="I127" i="76"/>
  <c r="F127" i="76"/>
  <c r="O126" i="76"/>
  <c r="L126" i="76"/>
  <c r="I126" i="76"/>
  <c r="F126" i="76"/>
  <c r="O125" i="76"/>
  <c r="L125" i="76"/>
  <c r="I125" i="76"/>
  <c r="F125" i="76"/>
  <c r="O124" i="76"/>
  <c r="L124" i="76"/>
  <c r="I124" i="76"/>
  <c r="F124" i="76"/>
  <c r="O123" i="76"/>
  <c r="L123" i="76"/>
  <c r="I123" i="76"/>
  <c r="F123" i="76"/>
  <c r="N122" i="76"/>
  <c r="M122" i="76"/>
  <c r="K122" i="76"/>
  <c r="J122" i="76"/>
  <c r="H122" i="76"/>
  <c r="G122" i="76"/>
  <c r="E122" i="76"/>
  <c r="D122" i="76"/>
  <c r="O121" i="76"/>
  <c r="L121" i="76"/>
  <c r="I121" i="76"/>
  <c r="F121" i="76"/>
  <c r="O120" i="76"/>
  <c r="L120" i="76"/>
  <c r="I120" i="76"/>
  <c r="F120" i="76"/>
  <c r="O119" i="76"/>
  <c r="L119" i="76"/>
  <c r="I119" i="76"/>
  <c r="F119" i="76"/>
  <c r="O118" i="76"/>
  <c r="L118" i="76"/>
  <c r="I118" i="76"/>
  <c r="F118" i="76"/>
  <c r="O117" i="76"/>
  <c r="L117" i="76"/>
  <c r="L116" i="76" s="1"/>
  <c r="I117" i="76"/>
  <c r="F117" i="76"/>
  <c r="N116" i="76"/>
  <c r="M116" i="76"/>
  <c r="K116" i="76"/>
  <c r="J116" i="76"/>
  <c r="H116" i="76"/>
  <c r="G116" i="76"/>
  <c r="E116" i="76"/>
  <c r="D116" i="76"/>
  <c r="O115" i="76"/>
  <c r="L115" i="76"/>
  <c r="I115" i="76"/>
  <c r="F115" i="76"/>
  <c r="O114" i="76"/>
  <c r="L114" i="76"/>
  <c r="I114" i="76"/>
  <c r="F114" i="76"/>
  <c r="O113" i="76"/>
  <c r="L113" i="76"/>
  <c r="L112" i="76" s="1"/>
  <c r="I113" i="76"/>
  <c r="I112" i="76" s="1"/>
  <c r="F113" i="76"/>
  <c r="O112" i="76"/>
  <c r="N112" i="76"/>
  <c r="M112" i="76"/>
  <c r="K112" i="76"/>
  <c r="J112" i="76"/>
  <c r="H112" i="76"/>
  <c r="G112" i="76"/>
  <c r="E112" i="76"/>
  <c r="D112" i="76"/>
  <c r="O111" i="76"/>
  <c r="L111" i="76"/>
  <c r="I111" i="76"/>
  <c r="F111" i="76"/>
  <c r="O110" i="76"/>
  <c r="L110" i="76"/>
  <c r="I110" i="76"/>
  <c r="F110" i="76"/>
  <c r="O109" i="76"/>
  <c r="L109" i="76"/>
  <c r="I109" i="76"/>
  <c r="F109" i="76"/>
  <c r="O108" i="76"/>
  <c r="L108" i="76"/>
  <c r="I108" i="76"/>
  <c r="F108" i="76"/>
  <c r="O107" i="76"/>
  <c r="L107" i="76"/>
  <c r="I107" i="76"/>
  <c r="F107" i="76"/>
  <c r="O106" i="76"/>
  <c r="L106" i="76"/>
  <c r="I106" i="76"/>
  <c r="F106" i="76"/>
  <c r="O105" i="76"/>
  <c r="L105" i="76"/>
  <c r="I105" i="76"/>
  <c r="F105" i="76"/>
  <c r="O104" i="76"/>
  <c r="L104" i="76"/>
  <c r="I104" i="76"/>
  <c r="I103" i="76" s="1"/>
  <c r="F104" i="76"/>
  <c r="N103" i="76"/>
  <c r="M103" i="76"/>
  <c r="K103" i="76"/>
  <c r="J103" i="76"/>
  <c r="H103" i="76"/>
  <c r="G103" i="76"/>
  <c r="E103" i="76"/>
  <c r="D103" i="76"/>
  <c r="O102" i="76"/>
  <c r="L102" i="76"/>
  <c r="I102" i="76"/>
  <c r="F102" i="76"/>
  <c r="O101" i="76"/>
  <c r="L101" i="76"/>
  <c r="I101" i="76"/>
  <c r="F101" i="76"/>
  <c r="O100" i="76"/>
  <c r="L100" i="76"/>
  <c r="I100" i="76"/>
  <c r="F100" i="76"/>
  <c r="O99" i="76"/>
  <c r="L99" i="76"/>
  <c r="I99" i="76"/>
  <c r="F99" i="76"/>
  <c r="O98" i="76"/>
  <c r="L98" i="76"/>
  <c r="I98" i="76"/>
  <c r="F98" i="76"/>
  <c r="O97" i="76"/>
  <c r="L97" i="76"/>
  <c r="I97" i="76"/>
  <c r="F97" i="76"/>
  <c r="O96" i="76"/>
  <c r="L96" i="76"/>
  <c r="L95" i="76" s="1"/>
  <c r="I96" i="76"/>
  <c r="F96" i="76"/>
  <c r="N95" i="76"/>
  <c r="M95" i="76"/>
  <c r="K95" i="76"/>
  <c r="J95" i="76"/>
  <c r="H95" i="76"/>
  <c r="G95" i="76"/>
  <c r="E95" i="76"/>
  <c r="D95" i="76"/>
  <c r="O94" i="76"/>
  <c r="L94" i="76"/>
  <c r="I94" i="76"/>
  <c r="F94" i="76"/>
  <c r="O93" i="76"/>
  <c r="L93" i="76"/>
  <c r="I93" i="76"/>
  <c r="F93" i="76"/>
  <c r="O92" i="76"/>
  <c r="L92" i="76"/>
  <c r="I92" i="76"/>
  <c r="F92" i="76"/>
  <c r="C92" i="76" s="1"/>
  <c r="O91" i="76"/>
  <c r="L91" i="76"/>
  <c r="I91" i="76"/>
  <c r="F91" i="76"/>
  <c r="O90" i="76"/>
  <c r="O89" i="76" s="1"/>
  <c r="L90" i="76"/>
  <c r="I90" i="76"/>
  <c r="I89" i="76" s="1"/>
  <c r="F90" i="76"/>
  <c r="N89" i="76"/>
  <c r="M89" i="76"/>
  <c r="K89" i="76"/>
  <c r="J89" i="76"/>
  <c r="H89" i="76"/>
  <c r="G89" i="76"/>
  <c r="F89" i="76"/>
  <c r="E89" i="76"/>
  <c r="D89" i="76"/>
  <c r="O88" i="76"/>
  <c r="L88" i="76"/>
  <c r="I88" i="76"/>
  <c r="F88" i="76"/>
  <c r="C88" i="76" s="1"/>
  <c r="O87" i="76"/>
  <c r="L87" i="76"/>
  <c r="I87" i="76"/>
  <c r="F87" i="76"/>
  <c r="O86" i="76"/>
  <c r="L86" i="76"/>
  <c r="I86" i="76"/>
  <c r="F86" i="76"/>
  <c r="O85" i="76"/>
  <c r="L85" i="76"/>
  <c r="I85" i="76"/>
  <c r="F85" i="76"/>
  <c r="O84" i="76"/>
  <c r="N84" i="76"/>
  <c r="M84" i="76"/>
  <c r="K84" i="76"/>
  <c r="J84" i="76"/>
  <c r="H84" i="76"/>
  <c r="G84" i="76"/>
  <c r="E84" i="76"/>
  <c r="D84" i="76"/>
  <c r="D83" i="76" s="1"/>
  <c r="O82" i="76"/>
  <c r="L82" i="76"/>
  <c r="I82" i="76"/>
  <c r="F82" i="76"/>
  <c r="O81" i="76"/>
  <c r="L81" i="76"/>
  <c r="L80" i="76" s="1"/>
  <c r="I81" i="76"/>
  <c r="F81" i="76"/>
  <c r="O80" i="76"/>
  <c r="N80" i="76"/>
  <c r="M80" i="76"/>
  <c r="K80" i="76"/>
  <c r="J80" i="76"/>
  <c r="H80" i="76"/>
  <c r="G80" i="76"/>
  <c r="F80" i="76"/>
  <c r="E80" i="76"/>
  <c r="D80" i="76"/>
  <c r="O79" i="76"/>
  <c r="L79" i="76"/>
  <c r="I79" i="76"/>
  <c r="F79" i="76"/>
  <c r="O78" i="76"/>
  <c r="O77" i="76" s="1"/>
  <c r="O76" i="76" s="1"/>
  <c r="L78" i="76"/>
  <c r="L77" i="76" s="1"/>
  <c r="L76" i="76" s="1"/>
  <c r="I78" i="76"/>
  <c r="F78" i="76"/>
  <c r="N77" i="76"/>
  <c r="N76" i="76" s="1"/>
  <c r="M77" i="76"/>
  <c r="K77" i="76"/>
  <c r="J77" i="76"/>
  <c r="J76" i="76" s="1"/>
  <c r="H77" i="76"/>
  <c r="H76" i="76" s="1"/>
  <c r="G77" i="76"/>
  <c r="G76" i="76" s="1"/>
  <c r="F77" i="76"/>
  <c r="E77" i="76"/>
  <c r="E76" i="76" s="1"/>
  <c r="D77" i="76"/>
  <c r="D76" i="76" s="1"/>
  <c r="K76" i="76"/>
  <c r="O74" i="76"/>
  <c r="L74" i="76"/>
  <c r="I74" i="76"/>
  <c r="F74" i="76"/>
  <c r="O73" i="76"/>
  <c r="L73" i="76"/>
  <c r="I73" i="76"/>
  <c r="F73" i="76"/>
  <c r="O72" i="76"/>
  <c r="L72" i="76"/>
  <c r="I72" i="76"/>
  <c r="F72" i="76"/>
  <c r="O71" i="76"/>
  <c r="L71" i="76"/>
  <c r="I71" i="76"/>
  <c r="F71" i="76"/>
  <c r="O70" i="76"/>
  <c r="L70" i="76"/>
  <c r="I70" i="76"/>
  <c r="F70" i="76"/>
  <c r="F69" i="76" s="1"/>
  <c r="N69" i="76"/>
  <c r="N67" i="76" s="1"/>
  <c r="M69" i="76"/>
  <c r="M67" i="76" s="1"/>
  <c r="K69" i="76"/>
  <c r="K67" i="76" s="1"/>
  <c r="J69" i="76"/>
  <c r="J67" i="76" s="1"/>
  <c r="H69" i="76"/>
  <c r="H67" i="76" s="1"/>
  <c r="G69" i="76"/>
  <c r="E69" i="76"/>
  <c r="E67" i="76" s="1"/>
  <c r="D69" i="76"/>
  <c r="O68" i="76"/>
  <c r="L68" i="76"/>
  <c r="I68" i="76"/>
  <c r="F68" i="76"/>
  <c r="G67" i="76"/>
  <c r="D67" i="76"/>
  <c r="O66" i="76"/>
  <c r="L66" i="76"/>
  <c r="I66" i="76"/>
  <c r="F66" i="76"/>
  <c r="O65" i="76"/>
  <c r="L65" i="76"/>
  <c r="I65" i="76"/>
  <c r="F65" i="76"/>
  <c r="O64" i="76"/>
  <c r="L64" i="76"/>
  <c r="I64" i="76"/>
  <c r="F64" i="76"/>
  <c r="O63" i="76"/>
  <c r="L63" i="76"/>
  <c r="I63" i="76"/>
  <c r="F63" i="76"/>
  <c r="O62" i="76"/>
  <c r="L62" i="76"/>
  <c r="I62" i="76"/>
  <c r="F62" i="76"/>
  <c r="O61" i="76"/>
  <c r="L61" i="76"/>
  <c r="I61" i="76"/>
  <c r="F61" i="76"/>
  <c r="O60" i="76"/>
  <c r="L60" i="76"/>
  <c r="I60" i="76"/>
  <c r="F60" i="76"/>
  <c r="O59" i="76"/>
  <c r="L59" i="76"/>
  <c r="I59" i="76"/>
  <c r="F59" i="76"/>
  <c r="N58" i="76"/>
  <c r="M58" i="76"/>
  <c r="K58" i="76"/>
  <c r="J58" i="76"/>
  <c r="H58" i="76"/>
  <c r="G58" i="76"/>
  <c r="E58" i="76"/>
  <c r="D58" i="76"/>
  <c r="O57" i="76"/>
  <c r="L57" i="76"/>
  <c r="I57" i="76"/>
  <c r="F57" i="76"/>
  <c r="O56" i="76"/>
  <c r="L56" i="76"/>
  <c r="I56" i="76"/>
  <c r="I55" i="76" s="1"/>
  <c r="F56" i="76"/>
  <c r="O55" i="76"/>
  <c r="N55" i="76"/>
  <c r="N54" i="76" s="1"/>
  <c r="N53" i="76" s="1"/>
  <c r="M55" i="76"/>
  <c r="K55" i="76"/>
  <c r="J55" i="76"/>
  <c r="J54" i="76" s="1"/>
  <c r="H55" i="76"/>
  <c r="H54" i="76" s="1"/>
  <c r="G55" i="76"/>
  <c r="E55" i="76"/>
  <c r="D55" i="76"/>
  <c r="D54" i="76" s="1"/>
  <c r="D53" i="76" s="1"/>
  <c r="G54" i="76"/>
  <c r="G53" i="76" s="1"/>
  <c r="O47" i="76"/>
  <c r="C47" i="76" s="1"/>
  <c r="O46" i="76"/>
  <c r="O45" i="76" s="1"/>
  <c r="C45" i="76" s="1"/>
  <c r="C46" i="76"/>
  <c r="N45" i="76"/>
  <c r="M45" i="76"/>
  <c r="L44" i="76"/>
  <c r="L43" i="76" s="1"/>
  <c r="I44" i="76"/>
  <c r="F44" i="76"/>
  <c r="K43" i="76"/>
  <c r="J43" i="76"/>
  <c r="H43" i="76"/>
  <c r="G43" i="76"/>
  <c r="F43" i="76"/>
  <c r="E43" i="76"/>
  <c r="D43" i="76"/>
  <c r="F42" i="76"/>
  <c r="C42" i="76" s="1"/>
  <c r="E41" i="76"/>
  <c r="D41" i="76"/>
  <c r="L40" i="76"/>
  <c r="C40" i="76" s="1"/>
  <c r="L39" i="76"/>
  <c r="C39" i="76" s="1"/>
  <c r="L38" i="76"/>
  <c r="C38" i="76" s="1"/>
  <c r="L37" i="76"/>
  <c r="C37" i="76" s="1"/>
  <c r="K36" i="76"/>
  <c r="J36" i="76"/>
  <c r="L35" i="76"/>
  <c r="C35" i="76" s="1"/>
  <c r="L34" i="76"/>
  <c r="C34" i="76" s="1"/>
  <c r="K33" i="76"/>
  <c r="J33" i="76"/>
  <c r="L32" i="76"/>
  <c r="L31" i="76" s="1"/>
  <c r="K31" i="76"/>
  <c r="J31" i="76"/>
  <c r="L30" i="76"/>
  <c r="C30" i="76" s="1"/>
  <c r="L29" i="76"/>
  <c r="C29" i="76" s="1"/>
  <c r="L28" i="76"/>
  <c r="C28" i="76" s="1"/>
  <c r="K27" i="76"/>
  <c r="J27" i="76"/>
  <c r="K26" i="76"/>
  <c r="F25" i="76"/>
  <c r="C25" i="76" s="1"/>
  <c r="I24" i="76"/>
  <c r="F24" i="76"/>
  <c r="C24" i="76" s="1"/>
  <c r="O23" i="76"/>
  <c r="L23" i="76"/>
  <c r="I23" i="76"/>
  <c r="F23" i="76"/>
  <c r="C23" i="76" s="1"/>
  <c r="O22" i="76"/>
  <c r="L22" i="76"/>
  <c r="I22" i="76"/>
  <c r="F22" i="76"/>
  <c r="N21" i="76"/>
  <c r="N292" i="76" s="1"/>
  <c r="N291" i="76" s="1"/>
  <c r="M21" i="76"/>
  <c r="M20" i="76" s="1"/>
  <c r="K21" i="76"/>
  <c r="J21" i="76"/>
  <c r="J292" i="76" s="1"/>
  <c r="I21" i="76"/>
  <c r="H21" i="76"/>
  <c r="H292" i="76" s="1"/>
  <c r="G21" i="76"/>
  <c r="G292" i="76" s="1"/>
  <c r="G291" i="76" s="1"/>
  <c r="E21" i="76"/>
  <c r="D21" i="76"/>
  <c r="D292" i="76" s="1"/>
  <c r="D291" i="76" s="1"/>
  <c r="H20" i="76"/>
  <c r="C232" i="76" l="1"/>
  <c r="C236" i="76"/>
  <c r="C96" i="76"/>
  <c r="C104" i="76"/>
  <c r="C137" i="76"/>
  <c r="D187" i="76"/>
  <c r="C224" i="76"/>
  <c r="C226" i="76"/>
  <c r="C254" i="76"/>
  <c r="C100" i="76"/>
  <c r="C124" i="76"/>
  <c r="C127" i="76"/>
  <c r="C128" i="76"/>
  <c r="C228" i="76"/>
  <c r="C229" i="76"/>
  <c r="C64" i="76"/>
  <c r="C72" i="76"/>
  <c r="C108" i="76"/>
  <c r="C159" i="76"/>
  <c r="C163" i="76"/>
  <c r="J174" i="76"/>
  <c r="J173" i="76" s="1"/>
  <c r="C240" i="76"/>
  <c r="M76" i="76"/>
  <c r="I80" i="76"/>
  <c r="C120" i="76"/>
  <c r="C156" i="76"/>
  <c r="C158" i="76"/>
  <c r="C214" i="76"/>
  <c r="C225" i="76"/>
  <c r="C242" i="76"/>
  <c r="C244" i="76"/>
  <c r="C262" i="76"/>
  <c r="C44" i="76"/>
  <c r="C60" i="76"/>
  <c r="C63" i="76"/>
  <c r="J53" i="76"/>
  <c r="C71" i="76"/>
  <c r="C94" i="76"/>
  <c r="C147" i="76"/>
  <c r="C172" i="76"/>
  <c r="H187" i="76"/>
  <c r="C218" i="76"/>
  <c r="C222" i="76"/>
  <c r="D270" i="76"/>
  <c r="F41" i="76"/>
  <c r="C41" i="76" s="1"/>
  <c r="E54" i="76"/>
  <c r="E53" i="76" s="1"/>
  <c r="C68" i="76"/>
  <c r="C139" i="76"/>
  <c r="C167" i="76"/>
  <c r="G204" i="76"/>
  <c r="M204" i="76"/>
  <c r="I270" i="76"/>
  <c r="I269" i="76" s="1"/>
  <c r="C294" i="76"/>
  <c r="C298" i="76"/>
  <c r="H53" i="76"/>
  <c r="D75" i="76"/>
  <c r="N174" i="76"/>
  <c r="N173" i="76" s="1"/>
  <c r="O252" i="76"/>
  <c r="O251" i="76" s="1"/>
  <c r="C266" i="76"/>
  <c r="C267" i="76"/>
  <c r="I196" i="76"/>
  <c r="C132" i="76"/>
  <c r="E292" i="76"/>
  <c r="E291" i="76" s="1"/>
  <c r="J291" i="76"/>
  <c r="F21" i="76"/>
  <c r="O21" i="76"/>
  <c r="J26" i="76"/>
  <c r="L55" i="76"/>
  <c r="M54" i="76"/>
  <c r="M53" i="76" s="1"/>
  <c r="L58" i="76"/>
  <c r="C62" i="76"/>
  <c r="C65" i="76"/>
  <c r="C73" i="76"/>
  <c r="C79" i="76"/>
  <c r="C80" i="76"/>
  <c r="C109" i="76"/>
  <c r="C110" i="76"/>
  <c r="C111" i="76"/>
  <c r="I122" i="76"/>
  <c r="I141" i="76"/>
  <c r="K173" i="76"/>
  <c r="G195" i="76"/>
  <c r="C203" i="76"/>
  <c r="C208" i="76"/>
  <c r="C210" i="76"/>
  <c r="C213" i="76"/>
  <c r="H230" i="76"/>
  <c r="C233" i="76"/>
  <c r="C248" i="76"/>
  <c r="I260" i="76"/>
  <c r="O276" i="76"/>
  <c r="E195" i="76"/>
  <c r="I216" i="76"/>
  <c r="D20" i="76"/>
  <c r="K292" i="76"/>
  <c r="K291" i="76" s="1"/>
  <c r="L27" i="76"/>
  <c r="C27" i="76" s="1"/>
  <c r="D52" i="76"/>
  <c r="C66" i="76"/>
  <c r="C74" i="76"/>
  <c r="G83" i="76"/>
  <c r="M83" i="76"/>
  <c r="I84" i="76"/>
  <c r="N83" i="76"/>
  <c r="L89" i="76"/>
  <c r="C97" i="76"/>
  <c r="C98" i="76"/>
  <c r="L103" i="76"/>
  <c r="C114" i="76"/>
  <c r="C117" i="76"/>
  <c r="C118" i="76"/>
  <c r="O116" i="76"/>
  <c r="L122" i="76"/>
  <c r="G130" i="76"/>
  <c r="C164" i="76"/>
  <c r="C171" i="76"/>
  <c r="C183" i="76"/>
  <c r="C184" i="76"/>
  <c r="F187" i="76"/>
  <c r="K187" i="76"/>
  <c r="C200" i="76"/>
  <c r="C202" i="76"/>
  <c r="N195" i="76"/>
  <c r="L205" i="76"/>
  <c r="O216" i="76"/>
  <c r="G231" i="76"/>
  <c r="K231" i="76"/>
  <c r="C241" i="76"/>
  <c r="I252" i="76"/>
  <c r="I251" i="76" s="1"/>
  <c r="C258" i="76"/>
  <c r="E259" i="76"/>
  <c r="O260" i="76"/>
  <c r="C279" i="76"/>
  <c r="D269" i="76"/>
  <c r="C295" i="76"/>
  <c r="L33" i="76"/>
  <c r="C33" i="76" s="1"/>
  <c r="L36" i="76"/>
  <c r="C36" i="76" s="1"/>
  <c r="J230" i="76"/>
  <c r="J194" i="76" s="1"/>
  <c r="N20" i="76"/>
  <c r="L21" i="76"/>
  <c r="L20" i="76" s="1"/>
  <c r="C32" i="76"/>
  <c r="K54" i="76"/>
  <c r="K53" i="76" s="1"/>
  <c r="C57" i="76"/>
  <c r="O58" i="76"/>
  <c r="O54" i="76" s="1"/>
  <c r="O69" i="76"/>
  <c r="L69" i="76"/>
  <c r="L67" i="76" s="1"/>
  <c r="C82" i="76"/>
  <c r="L84" i="76"/>
  <c r="J83" i="76"/>
  <c r="J75" i="76" s="1"/>
  <c r="C91" i="76"/>
  <c r="H83" i="76"/>
  <c r="C101" i="76"/>
  <c r="O103" i="76"/>
  <c r="I116" i="76"/>
  <c r="C121" i="76"/>
  <c r="H130" i="76"/>
  <c r="L131" i="76"/>
  <c r="O141" i="76"/>
  <c r="C155" i="76"/>
  <c r="C162" i="76"/>
  <c r="I166" i="76"/>
  <c r="I165" i="76" s="1"/>
  <c r="O205" i="76"/>
  <c r="O204" i="76" s="1"/>
  <c r="O195" i="76" s="1"/>
  <c r="K204" i="76"/>
  <c r="C223" i="76"/>
  <c r="F227" i="76"/>
  <c r="M231" i="76"/>
  <c r="K259" i="76"/>
  <c r="O264" i="76"/>
  <c r="O272" i="76"/>
  <c r="L276" i="76"/>
  <c r="C280" i="76"/>
  <c r="I293" i="76"/>
  <c r="C296" i="76"/>
  <c r="C299" i="76"/>
  <c r="L26" i="76"/>
  <c r="C31" i="76"/>
  <c r="F292" i="76"/>
  <c r="C21" i="76"/>
  <c r="F20" i="76"/>
  <c r="O292" i="76"/>
  <c r="O20" i="76"/>
  <c r="J20" i="76"/>
  <c r="L292" i="76"/>
  <c r="L291" i="76" s="1"/>
  <c r="I69" i="76"/>
  <c r="I67" i="76" s="1"/>
  <c r="C70" i="76"/>
  <c r="I43" i="76"/>
  <c r="C43" i="76" s="1"/>
  <c r="F55" i="76"/>
  <c r="C59" i="76"/>
  <c r="F58" i="76"/>
  <c r="C81" i="76"/>
  <c r="C89" i="76"/>
  <c r="C93" i="76"/>
  <c r="C113" i="76"/>
  <c r="C115" i="76"/>
  <c r="F112" i="76"/>
  <c r="C112" i="76" s="1"/>
  <c r="C123" i="76"/>
  <c r="F122" i="76"/>
  <c r="C129" i="76"/>
  <c r="C140" i="76"/>
  <c r="C176" i="76"/>
  <c r="L175" i="76"/>
  <c r="M292" i="76"/>
  <c r="M291" i="76" s="1"/>
  <c r="C301" i="76"/>
  <c r="E20" i="76"/>
  <c r="H291" i="76"/>
  <c r="C22" i="76"/>
  <c r="C56" i="76"/>
  <c r="C61" i="76"/>
  <c r="M75" i="76"/>
  <c r="M52" i="76" s="1"/>
  <c r="F76" i="76"/>
  <c r="E83" i="76"/>
  <c r="E75" i="76" s="1"/>
  <c r="E52" i="76" s="1"/>
  <c r="K83" i="76"/>
  <c r="K75" i="76" s="1"/>
  <c r="K52" i="76" s="1"/>
  <c r="C85" i="76"/>
  <c r="C86" i="76"/>
  <c r="C87" i="76"/>
  <c r="F84" i="76"/>
  <c r="O95" i="76"/>
  <c r="C105" i="76"/>
  <c r="C106" i="76"/>
  <c r="C107" i="76"/>
  <c r="F103" i="76"/>
  <c r="C103" i="76" s="1"/>
  <c r="C125" i="76"/>
  <c r="C126" i="76"/>
  <c r="C133" i="76"/>
  <c r="C135" i="76"/>
  <c r="C143" i="76"/>
  <c r="O144" i="76"/>
  <c r="O130" i="76" s="1"/>
  <c r="L144" i="76"/>
  <c r="C148" i="76"/>
  <c r="C168" i="76"/>
  <c r="L166" i="76"/>
  <c r="L165" i="76" s="1"/>
  <c r="O174" i="76"/>
  <c r="O173" i="76" s="1"/>
  <c r="C180" i="76"/>
  <c r="L179" i="76"/>
  <c r="N187" i="76"/>
  <c r="C188" i="76"/>
  <c r="C268" i="76"/>
  <c r="I264" i="76"/>
  <c r="F67" i="76"/>
  <c r="I77" i="76"/>
  <c r="I76" i="76" s="1"/>
  <c r="C78" i="76"/>
  <c r="C99" i="76"/>
  <c r="F95" i="76"/>
  <c r="C119" i="76"/>
  <c r="F116" i="76"/>
  <c r="C146" i="76"/>
  <c r="F144" i="76"/>
  <c r="C152" i="76"/>
  <c r="L151" i="76"/>
  <c r="C237" i="76"/>
  <c r="F235" i="76"/>
  <c r="G20" i="76"/>
  <c r="K20" i="76"/>
  <c r="I58" i="76"/>
  <c r="I54" i="76" s="1"/>
  <c r="O67" i="76"/>
  <c r="O53" i="76" s="1"/>
  <c r="G75" i="76"/>
  <c r="C90" i="76"/>
  <c r="I95" i="76"/>
  <c r="C102" i="76"/>
  <c r="O122" i="76"/>
  <c r="N130" i="76"/>
  <c r="N75" i="76" s="1"/>
  <c r="N52" i="76" s="1"/>
  <c r="C138" i="76"/>
  <c r="F136" i="76"/>
  <c r="C192" i="76"/>
  <c r="L191" i="76"/>
  <c r="L187" i="76" s="1"/>
  <c r="C187" i="76" s="1"/>
  <c r="I136" i="76"/>
  <c r="I144" i="76"/>
  <c r="C157" i="76"/>
  <c r="I160" i="76"/>
  <c r="C160" i="76" s="1"/>
  <c r="C161" i="76"/>
  <c r="F166" i="76"/>
  <c r="G173" i="76"/>
  <c r="L196" i="76"/>
  <c r="K195" i="76"/>
  <c r="F205" i="76"/>
  <c r="C261" i="76"/>
  <c r="F260" i="76"/>
  <c r="F131" i="76"/>
  <c r="C134" i="76"/>
  <c r="C142" i="76"/>
  <c r="C150" i="76"/>
  <c r="F151" i="76"/>
  <c r="C154" i="76"/>
  <c r="C170" i="76"/>
  <c r="F174" i="76"/>
  <c r="C178" i="76"/>
  <c r="F179" i="76"/>
  <c r="C182" i="76"/>
  <c r="C186" i="76"/>
  <c r="C190" i="76"/>
  <c r="N230" i="76"/>
  <c r="O238" i="76"/>
  <c r="O231" i="76" s="1"/>
  <c r="I246" i="76"/>
  <c r="C250" i="76"/>
  <c r="C253" i="76"/>
  <c r="F252" i="76"/>
  <c r="C149" i="76"/>
  <c r="C153" i="76"/>
  <c r="I151" i="76"/>
  <c r="C169" i="76"/>
  <c r="C177" i="76"/>
  <c r="I175" i="76"/>
  <c r="C181" i="76"/>
  <c r="I179" i="76"/>
  <c r="N194" i="76"/>
  <c r="C217" i="76"/>
  <c r="F216" i="76"/>
  <c r="G230" i="76"/>
  <c r="G194" i="76" s="1"/>
  <c r="C185" i="76"/>
  <c r="C189" i="76"/>
  <c r="C193" i="76"/>
  <c r="F198" i="76"/>
  <c r="C198" i="76" s="1"/>
  <c r="C199" i="76"/>
  <c r="C207" i="76"/>
  <c r="C215" i="76"/>
  <c r="C219" i="76"/>
  <c r="C220" i="76"/>
  <c r="L238" i="76"/>
  <c r="C243" i="76"/>
  <c r="F246" i="76"/>
  <c r="C247" i="76"/>
  <c r="C255" i="76"/>
  <c r="C256" i="76"/>
  <c r="M259" i="76"/>
  <c r="M230" i="76" s="1"/>
  <c r="C263" i="76"/>
  <c r="E270" i="76"/>
  <c r="E269" i="76" s="1"/>
  <c r="C273" i="76"/>
  <c r="F272" i="76"/>
  <c r="C272" i="76" s="1"/>
  <c r="C288" i="76"/>
  <c r="I286" i="76"/>
  <c r="I292" i="76" s="1"/>
  <c r="I291" i="76" s="1"/>
  <c r="C300" i="76"/>
  <c r="C197" i="76"/>
  <c r="C201" i="76"/>
  <c r="D204" i="76"/>
  <c r="D195" i="76" s="1"/>
  <c r="D194" i="76" s="1"/>
  <c r="D51" i="76" s="1"/>
  <c r="H204" i="76"/>
  <c r="H195" i="76" s="1"/>
  <c r="I205" i="76"/>
  <c r="I204" i="76" s="1"/>
  <c r="I195" i="76" s="1"/>
  <c r="C209" i="76"/>
  <c r="L216" i="76"/>
  <c r="L204" i="76" s="1"/>
  <c r="C221" i="76"/>
  <c r="E231" i="76"/>
  <c r="E230" i="76" s="1"/>
  <c r="C245" i="76"/>
  <c r="C249" i="76"/>
  <c r="L252" i="76"/>
  <c r="L251" i="76" s="1"/>
  <c r="C257" i="76"/>
  <c r="I259" i="76"/>
  <c r="L260" i="76"/>
  <c r="L259" i="76" s="1"/>
  <c r="C265" i="76"/>
  <c r="F264" i="76"/>
  <c r="C264" i="76" s="1"/>
  <c r="L270" i="76"/>
  <c r="L269" i="76" s="1"/>
  <c r="C275" i="76"/>
  <c r="C281" i="76"/>
  <c r="C285" i="76"/>
  <c r="F284" i="76"/>
  <c r="O293" i="76"/>
  <c r="M195" i="76"/>
  <c r="C227" i="76"/>
  <c r="I231" i="76"/>
  <c r="I230" i="76" s="1"/>
  <c r="F238" i="76"/>
  <c r="C239" i="76"/>
  <c r="L246" i="76"/>
  <c r="C277" i="76"/>
  <c r="F276" i="76"/>
  <c r="C297" i="76"/>
  <c r="F293" i="76"/>
  <c r="C271" i="76"/>
  <c r="C287" i="76"/>
  <c r="M289" i="76" l="1"/>
  <c r="O83" i="76"/>
  <c r="L174" i="76"/>
  <c r="L173" i="76" s="1"/>
  <c r="H75" i="76"/>
  <c r="H52" i="76" s="1"/>
  <c r="H51" i="76" s="1"/>
  <c r="K230" i="76"/>
  <c r="I83" i="76"/>
  <c r="C293" i="76"/>
  <c r="L130" i="76"/>
  <c r="C141" i="76"/>
  <c r="L54" i="76"/>
  <c r="O259" i="76"/>
  <c r="L83" i="76"/>
  <c r="J52" i="76"/>
  <c r="J51" i="76" s="1"/>
  <c r="J50" i="76" s="1"/>
  <c r="J289" i="76"/>
  <c r="E289" i="76"/>
  <c r="N51" i="76"/>
  <c r="H194" i="76"/>
  <c r="O230" i="76"/>
  <c r="G52" i="76"/>
  <c r="G51" i="76" s="1"/>
  <c r="G290" i="76" s="1"/>
  <c r="C69" i="76"/>
  <c r="F291" i="76"/>
  <c r="C58" i="76"/>
  <c r="O270" i="76"/>
  <c r="O269" i="76" s="1"/>
  <c r="I194" i="76"/>
  <c r="F196" i="76"/>
  <c r="L231" i="76"/>
  <c r="L230" i="76" s="1"/>
  <c r="L195" i="76"/>
  <c r="C276" i="76"/>
  <c r="D289" i="76"/>
  <c r="C116" i="76"/>
  <c r="O291" i="76"/>
  <c r="K194" i="76"/>
  <c r="K51" i="76" s="1"/>
  <c r="L53" i="76"/>
  <c r="N50" i="76"/>
  <c r="N290" i="76"/>
  <c r="D290" i="76"/>
  <c r="D50" i="76"/>
  <c r="N289" i="76"/>
  <c r="O75" i="76"/>
  <c r="C286" i="76"/>
  <c r="C260" i="76"/>
  <c r="F259" i="76"/>
  <c r="C259" i="76" s="1"/>
  <c r="F83" i="76"/>
  <c r="C84" i="76"/>
  <c r="I130" i="76"/>
  <c r="I75" i="76" s="1"/>
  <c r="C26" i="76"/>
  <c r="M194" i="76"/>
  <c r="M51" i="76" s="1"/>
  <c r="C246" i="76"/>
  <c r="C216" i="76"/>
  <c r="C191" i="76"/>
  <c r="C235" i="76"/>
  <c r="F231" i="76"/>
  <c r="C67" i="76"/>
  <c r="C122" i="76"/>
  <c r="I20" i="76"/>
  <c r="C20" i="76" s="1"/>
  <c r="C175" i="76"/>
  <c r="I174" i="76"/>
  <c r="I173" i="76" s="1"/>
  <c r="F173" i="76"/>
  <c r="L194" i="76"/>
  <c r="E194" i="76"/>
  <c r="E51" i="76" s="1"/>
  <c r="C291" i="76"/>
  <c r="C238" i="76"/>
  <c r="F270" i="76"/>
  <c r="C179" i="76"/>
  <c r="K289" i="76"/>
  <c r="C205" i="76"/>
  <c r="F204" i="76"/>
  <c r="C204" i="76" s="1"/>
  <c r="C166" i="76"/>
  <c r="F165" i="76"/>
  <c r="C165" i="76" s="1"/>
  <c r="C136" i="76"/>
  <c r="C144" i="76"/>
  <c r="C95" i="76"/>
  <c r="C77" i="76"/>
  <c r="F54" i="76"/>
  <c r="C55" i="76"/>
  <c r="C196" i="76"/>
  <c r="F195" i="76"/>
  <c r="C284" i="76"/>
  <c r="F283" i="76"/>
  <c r="C283" i="76" s="1"/>
  <c r="G289" i="76"/>
  <c r="C252" i="76"/>
  <c r="F251" i="76"/>
  <c r="C251" i="76" s="1"/>
  <c r="C151" i="76"/>
  <c r="C131" i="76"/>
  <c r="F130" i="76"/>
  <c r="C130" i="76" s="1"/>
  <c r="I53" i="76"/>
  <c r="O194" i="76"/>
  <c r="C76" i="76"/>
  <c r="O52" i="76"/>
  <c r="O51" i="76" s="1"/>
  <c r="C292" i="76"/>
  <c r="H290" i="76" l="1"/>
  <c r="H50" i="76"/>
  <c r="C83" i="76"/>
  <c r="G50" i="76"/>
  <c r="L75" i="76"/>
  <c r="H289" i="76"/>
  <c r="K50" i="76"/>
  <c r="K290" i="76"/>
  <c r="J290" i="76"/>
  <c r="O289" i="76"/>
  <c r="C174" i="76"/>
  <c r="I289" i="76"/>
  <c r="M50" i="76"/>
  <c r="M290" i="76"/>
  <c r="E290" i="76"/>
  <c r="E50" i="76"/>
  <c r="C195" i="76"/>
  <c r="C54" i="76"/>
  <c r="F53" i="76"/>
  <c r="F269" i="76"/>
  <c r="C270" i="76"/>
  <c r="F230" i="76"/>
  <c r="C230" i="76" s="1"/>
  <c r="C231" i="76"/>
  <c r="F75" i="76"/>
  <c r="C75" i="76" s="1"/>
  <c r="O50" i="76"/>
  <c r="O290" i="76"/>
  <c r="I52" i="76"/>
  <c r="I51" i="76" s="1"/>
  <c r="C173" i="76"/>
  <c r="L289" i="76" l="1"/>
  <c r="L52" i="76"/>
  <c r="L51" i="76" s="1"/>
  <c r="L50" i="76" s="1"/>
  <c r="L290" i="76"/>
  <c r="I290" i="76"/>
  <c r="I50" i="76"/>
  <c r="C53" i="76"/>
  <c r="F52" i="76"/>
  <c r="C269" i="76"/>
  <c r="F289" i="76"/>
  <c r="C289" i="76" s="1"/>
  <c r="F194" i="76"/>
  <c r="C194" i="76" s="1"/>
  <c r="F51" i="76" l="1"/>
  <c r="C52" i="76"/>
  <c r="F290" i="76" l="1"/>
  <c r="C290" i="76" s="1"/>
  <c r="F50" i="76"/>
  <c r="C50" i="76" s="1"/>
  <c r="C51" i="76"/>
  <c r="K288" i="75" l="1"/>
  <c r="K275" i="75"/>
  <c r="O301" i="75"/>
  <c r="L301" i="75"/>
  <c r="I301" i="75"/>
  <c r="F301" i="75"/>
  <c r="O300" i="75"/>
  <c r="L300" i="75"/>
  <c r="I300" i="75"/>
  <c r="F300" i="75"/>
  <c r="O299" i="75"/>
  <c r="L299" i="75"/>
  <c r="I299" i="75"/>
  <c r="F299" i="75"/>
  <c r="O298" i="75"/>
  <c r="L298" i="75"/>
  <c r="I298" i="75"/>
  <c r="F298" i="75"/>
  <c r="O297" i="75"/>
  <c r="L297" i="75"/>
  <c r="I297" i="75"/>
  <c r="F297" i="75"/>
  <c r="O296" i="75"/>
  <c r="L296" i="75"/>
  <c r="I296" i="75"/>
  <c r="F296" i="75"/>
  <c r="O295" i="75"/>
  <c r="L295" i="75"/>
  <c r="I295" i="75"/>
  <c r="F295" i="75"/>
  <c r="O294" i="75"/>
  <c r="L294" i="75"/>
  <c r="I294" i="75"/>
  <c r="I293" i="75" s="1"/>
  <c r="F294" i="75"/>
  <c r="N293" i="75"/>
  <c r="M293" i="75"/>
  <c r="K293" i="75"/>
  <c r="J293" i="75"/>
  <c r="H293" i="75"/>
  <c r="G293" i="75"/>
  <c r="E293" i="75"/>
  <c r="D293" i="75"/>
  <c r="O288" i="75"/>
  <c r="L288" i="75"/>
  <c r="I288" i="75"/>
  <c r="F288" i="75"/>
  <c r="O287" i="75"/>
  <c r="O286" i="75" s="1"/>
  <c r="L287" i="75"/>
  <c r="I287" i="75"/>
  <c r="F287" i="75"/>
  <c r="F286" i="75" s="1"/>
  <c r="N286" i="75"/>
  <c r="M286" i="75"/>
  <c r="K286" i="75"/>
  <c r="J286" i="75"/>
  <c r="H286" i="75"/>
  <c r="G286" i="75"/>
  <c r="E286" i="75"/>
  <c r="D286" i="75"/>
  <c r="O285" i="75"/>
  <c r="L285" i="75"/>
  <c r="L284" i="75" s="1"/>
  <c r="L283" i="75" s="1"/>
  <c r="I285" i="75"/>
  <c r="I284" i="75" s="1"/>
  <c r="I283" i="75" s="1"/>
  <c r="F285" i="75"/>
  <c r="F284" i="75" s="1"/>
  <c r="O284" i="75"/>
  <c r="O283" i="75" s="1"/>
  <c r="N284" i="75"/>
  <c r="N283" i="75" s="1"/>
  <c r="M284" i="75"/>
  <c r="M283" i="75" s="1"/>
  <c r="K284" i="75"/>
  <c r="K283" i="75" s="1"/>
  <c r="J284" i="75"/>
  <c r="J283" i="75" s="1"/>
  <c r="H284" i="75"/>
  <c r="G284" i="75"/>
  <c r="E284" i="75"/>
  <c r="E283" i="75" s="1"/>
  <c r="D284" i="75"/>
  <c r="D283" i="75" s="1"/>
  <c r="H283" i="75"/>
  <c r="G283" i="75"/>
  <c r="O282" i="75"/>
  <c r="O281" i="75" s="1"/>
  <c r="L282" i="75"/>
  <c r="L281" i="75" s="1"/>
  <c r="I282" i="75"/>
  <c r="I281" i="75" s="1"/>
  <c r="F282" i="75"/>
  <c r="F281" i="75" s="1"/>
  <c r="N281" i="75"/>
  <c r="M281" i="75"/>
  <c r="K281" i="75"/>
  <c r="J281" i="75"/>
  <c r="H281" i="75"/>
  <c r="G281" i="75"/>
  <c r="E281" i="75"/>
  <c r="D281" i="75"/>
  <c r="O280" i="75"/>
  <c r="L280" i="75"/>
  <c r="I280" i="75"/>
  <c r="F280" i="75"/>
  <c r="O279" i="75"/>
  <c r="L279" i="75"/>
  <c r="I279" i="75"/>
  <c r="F279" i="75"/>
  <c r="O278" i="75"/>
  <c r="L278" i="75"/>
  <c r="I278" i="75"/>
  <c r="F278" i="75"/>
  <c r="O277" i="75"/>
  <c r="L277" i="75"/>
  <c r="I277" i="75"/>
  <c r="I276" i="75" s="1"/>
  <c r="F277" i="75"/>
  <c r="N276" i="75"/>
  <c r="M276" i="75"/>
  <c r="K276" i="75"/>
  <c r="J276" i="75"/>
  <c r="H276" i="75"/>
  <c r="G276" i="75"/>
  <c r="E276" i="75"/>
  <c r="D276" i="75"/>
  <c r="O275" i="75"/>
  <c r="L275" i="75"/>
  <c r="I275" i="75"/>
  <c r="F275" i="75"/>
  <c r="O274" i="75"/>
  <c r="L274" i="75"/>
  <c r="I274" i="75"/>
  <c r="F274" i="75"/>
  <c r="O273" i="75"/>
  <c r="L273" i="75"/>
  <c r="I273" i="75"/>
  <c r="I272" i="75" s="1"/>
  <c r="F273" i="75"/>
  <c r="N272" i="75"/>
  <c r="N270" i="75" s="1"/>
  <c r="N269" i="75" s="1"/>
  <c r="M272" i="75"/>
  <c r="M270" i="75" s="1"/>
  <c r="L272" i="75"/>
  <c r="K272" i="75"/>
  <c r="J272" i="75"/>
  <c r="H272" i="75"/>
  <c r="G272" i="75"/>
  <c r="G270" i="75" s="1"/>
  <c r="G269" i="75" s="1"/>
  <c r="E272" i="75"/>
  <c r="D272" i="75"/>
  <c r="O271" i="75"/>
  <c r="L271" i="75"/>
  <c r="I271" i="75"/>
  <c r="F271" i="75"/>
  <c r="O268" i="75"/>
  <c r="L268" i="75"/>
  <c r="I268" i="75"/>
  <c r="F268" i="75"/>
  <c r="O267" i="75"/>
  <c r="L267" i="75"/>
  <c r="I267" i="75"/>
  <c r="F267" i="75"/>
  <c r="O266" i="75"/>
  <c r="L266" i="75"/>
  <c r="I266" i="75"/>
  <c r="F266" i="75"/>
  <c r="O265" i="75"/>
  <c r="L265" i="75"/>
  <c r="I265" i="75"/>
  <c r="F265" i="75"/>
  <c r="N264" i="75"/>
  <c r="M264" i="75"/>
  <c r="K264" i="75"/>
  <c r="J264" i="75"/>
  <c r="H264" i="75"/>
  <c r="G264" i="75"/>
  <c r="E264" i="75"/>
  <c r="D264" i="75"/>
  <c r="O263" i="75"/>
  <c r="L263" i="75"/>
  <c r="I263" i="75"/>
  <c r="F263" i="75"/>
  <c r="O262" i="75"/>
  <c r="L262" i="75"/>
  <c r="I262" i="75"/>
  <c r="F262" i="75"/>
  <c r="O261" i="75"/>
  <c r="L261" i="75"/>
  <c r="I261" i="75"/>
  <c r="I260" i="75" s="1"/>
  <c r="F261" i="75"/>
  <c r="N260" i="75"/>
  <c r="N259" i="75" s="1"/>
  <c r="M260" i="75"/>
  <c r="M259" i="75" s="1"/>
  <c r="K260" i="75"/>
  <c r="J260" i="75"/>
  <c r="H260" i="75"/>
  <c r="G260" i="75"/>
  <c r="F260" i="75"/>
  <c r="E260" i="75"/>
  <c r="D260" i="75"/>
  <c r="K259" i="75"/>
  <c r="O258" i="75"/>
  <c r="L258" i="75"/>
  <c r="I258" i="75"/>
  <c r="F258" i="75"/>
  <c r="O257" i="75"/>
  <c r="L257" i="75"/>
  <c r="I257" i="75"/>
  <c r="F257" i="75"/>
  <c r="O256" i="75"/>
  <c r="L256" i="75"/>
  <c r="I256" i="75"/>
  <c r="F256" i="75"/>
  <c r="O255" i="75"/>
  <c r="L255" i="75"/>
  <c r="I255" i="75"/>
  <c r="F255" i="75"/>
  <c r="O254" i="75"/>
  <c r="L254" i="75"/>
  <c r="I254" i="75"/>
  <c r="F254" i="75"/>
  <c r="O253" i="75"/>
  <c r="L253" i="75"/>
  <c r="I253" i="75"/>
  <c r="F253" i="75"/>
  <c r="N252" i="75"/>
  <c r="N251" i="75" s="1"/>
  <c r="M252" i="75"/>
  <c r="M251" i="75" s="1"/>
  <c r="K252" i="75"/>
  <c r="J252" i="75"/>
  <c r="J251" i="75" s="1"/>
  <c r="H252" i="75"/>
  <c r="H251" i="75" s="1"/>
  <c r="G252" i="75"/>
  <c r="G251" i="75" s="1"/>
  <c r="E252" i="75"/>
  <c r="E251" i="75" s="1"/>
  <c r="D252" i="75"/>
  <c r="D251" i="75" s="1"/>
  <c r="K251" i="75"/>
  <c r="O250" i="75"/>
  <c r="L250" i="75"/>
  <c r="I250" i="75"/>
  <c r="F250" i="75"/>
  <c r="O249" i="75"/>
  <c r="L249" i="75"/>
  <c r="I249" i="75"/>
  <c r="F249" i="75"/>
  <c r="O248" i="75"/>
  <c r="L248" i="75"/>
  <c r="I248" i="75"/>
  <c r="F248" i="75"/>
  <c r="O247" i="75"/>
  <c r="O246" i="75" s="1"/>
  <c r="L247" i="75"/>
  <c r="I247" i="75"/>
  <c r="F247" i="75"/>
  <c r="N246" i="75"/>
  <c r="M246" i="75"/>
  <c r="K246" i="75"/>
  <c r="J246" i="75"/>
  <c r="H246" i="75"/>
  <c r="G246" i="75"/>
  <c r="E246" i="75"/>
  <c r="D246" i="75"/>
  <c r="O245" i="75"/>
  <c r="L245" i="75"/>
  <c r="I245" i="75"/>
  <c r="F245" i="75"/>
  <c r="O244" i="75"/>
  <c r="L244" i="75"/>
  <c r="I244" i="75"/>
  <c r="F244" i="75"/>
  <c r="O243" i="75"/>
  <c r="L243" i="75"/>
  <c r="I243" i="75"/>
  <c r="F243" i="75"/>
  <c r="O242" i="75"/>
  <c r="L242" i="75"/>
  <c r="I242" i="75"/>
  <c r="F242" i="75"/>
  <c r="O241" i="75"/>
  <c r="L241" i="75"/>
  <c r="I241" i="75"/>
  <c r="F241" i="75"/>
  <c r="O240" i="75"/>
  <c r="L240" i="75"/>
  <c r="I240" i="75"/>
  <c r="F240" i="75"/>
  <c r="O239" i="75"/>
  <c r="O238" i="75" s="1"/>
  <c r="L239" i="75"/>
  <c r="I239" i="75"/>
  <c r="F239" i="75"/>
  <c r="N238" i="75"/>
  <c r="M238" i="75"/>
  <c r="K238" i="75"/>
  <c r="J238" i="75"/>
  <c r="H238" i="75"/>
  <c r="G238" i="75"/>
  <c r="E238" i="75"/>
  <c r="D238" i="75"/>
  <c r="O237" i="75"/>
  <c r="L237" i="75"/>
  <c r="I237" i="75"/>
  <c r="F237" i="75"/>
  <c r="O236" i="75"/>
  <c r="L236" i="75"/>
  <c r="L235" i="75" s="1"/>
  <c r="I236" i="75"/>
  <c r="I235" i="75" s="1"/>
  <c r="F236" i="75"/>
  <c r="O235" i="75"/>
  <c r="N235" i="75"/>
  <c r="M235" i="75"/>
  <c r="K235" i="75"/>
  <c r="J235" i="75"/>
  <c r="H235" i="75"/>
  <c r="G235" i="75"/>
  <c r="F235" i="75"/>
  <c r="E235" i="75"/>
  <c r="D235" i="75"/>
  <c r="O234" i="75"/>
  <c r="O233" i="75" s="1"/>
  <c r="L234" i="75"/>
  <c r="L233" i="75" s="1"/>
  <c r="I234" i="75"/>
  <c r="I233" i="75" s="1"/>
  <c r="F234" i="75"/>
  <c r="F233" i="75" s="1"/>
  <c r="N233" i="75"/>
  <c r="M233" i="75"/>
  <c r="K233" i="75"/>
  <c r="K231" i="75" s="1"/>
  <c r="J233" i="75"/>
  <c r="H233" i="75"/>
  <c r="G233" i="75"/>
  <c r="E233" i="75"/>
  <c r="D233" i="75"/>
  <c r="O232" i="75"/>
  <c r="L232" i="75"/>
  <c r="I232" i="75"/>
  <c r="F232" i="75"/>
  <c r="N231" i="75"/>
  <c r="O229" i="75"/>
  <c r="L229" i="75"/>
  <c r="I229" i="75"/>
  <c r="F229" i="75"/>
  <c r="O228" i="75"/>
  <c r="L228" i="75"/>
  <c r="L227" i="75" s="1"/>
  <c r="I228" i="75"/>
  <c r="I227" i="75" s="1"/>
  <c r="F228" i="75"/>
  <c r="O227" i="75"/>
  <c r="N227" i="75"/>
  <c r="M227" i="75"/>
  <c r="K227" i="75"/>
  <c r="J227" i="75"/>
  <c r="H227" i="75"/>
  <c r="G227" i="75"/>
  <c r="F227" i="75"/>
  <c r="E227" i="75"/>
  <c r="D227" i="75"/>
  <c r="O226" i="75"/>
  <c r="L226" i="75"/>
  <c r="I226" i="75"/>
  <c r="F226" i="75"/>
  <c r="O225" i="75"/>
  <c r="L225" i="75"/>
  <c r="I225" i="75"/>
  <c r="F225" i="75"/>
  <c r="O224" i="75"/>
  <c r="L224" i="75"/>
  <c r="I224" i="75"/>
  <c r="F224" i="75"/>
  <c r="O223" i="75"/>
  <c r="L223" i="75"/>
  <c r="I223" i="75"/>
  <c r="F223" i="75"/>
  <c r="O222" i="75"/>
  <c r="L222" i="75"/>
  <c r="I222" i="75"/>
  <c r="F222" i="75"/>
  <c r="O221" i="75"/>
  <c r="L221" i="75"/>
  <c r="I221" i="75"/>
  <c r="F221" i="75"/>
  <c r="O220" i="75"/>
  <c r="L220" i="75"/>
  <c r="I220" i="75"/>
  <c r="F220" i="75"/>
  <c r="O219" i="75"/>
  <c r="L219" i="75"/>
  <c r="I219" i="75"/>
  <c r="F219" i="75"/>
  <c r="O218" i="75"/>
  <c r="L218" i="75"/>
  <c r="I218" i="75"/>
  <c r="F218" i="75"/>
  <c r="O217" i="75"/>
  <c r="L217" i="75"/>
  <c r="I217" i="75"/>
  <c r="F217" i="75"/>
  <c r="N216" i="75"/>
  <c r="M216" i="75"/>
  <c r="K216" i="75"/>
  <c r="J216" i="75"/>
  <c r="H216" i="75"/>
  <c r="G216" i="75"/>
  <c r="E216" i="75"/>
  <c r="D216" i="75"/>
  <c r="O215" i="75"/>
  <c r="L215" i="75"/>
  <c r="I215" i="75"/>
  <c r="F215" i="75"/>
  <c r="O214" i="75"/>
  <c r="L214" i="75"/>
  <c r="I214" i="75"/>
  <c r="F214" i="75"/>
  <c r="O213" i="75"/>
  <c r="L213" i="75"/>
  <c r="I213" i="75"/>
  <c r="F213" i="75"/>
  <c r="O212" i="75"/>
  <c r="L212" i="75"/>
  <c r="I212" i="75"/>
  <c r="F212" i="75"/>
  <c r="O211" i="75"/>
  <c r="L211" i="75"/>
  <c r="I211" i="75"/>
  <c r="F211" i="75"/>
  <c r="O210" i="75"/>
  <c r="L210" i="75"/>
  <c r="I210" i="75"/>
  <c r="F210" i="75"/>
  <c r="O209" i="75"/>
  <c r="L209" i="75"/>
  <c r="I209" i="75"/>
  <c r="F209" i="75"/>
  <c r="O208" i="75"/>
  <c r="L208" i="75"/>
  <c r="I208" i="75"/>
  <c r="F208" i="75"/>
  <c r="O207" i="75"/>
  <c r="L207" i="75"/>
  <c r="I207" i="75"/>
  <c r="F207" i="75"/>
  <c r="O206" i="75"/>
  <c r="L206" i="75"/>
  <c r="I206" i="75"/>
  <c r="F206" i="75"/>
  <c r="N205" i="75"/>
  <c r="M205" i="75"/>
  <c r="K205" i="75"/>
  <c r="J205" i="75"/>
  <c r="J204" i="75" s="1"/>
  <c r="H205" i="75"/>
  <c r="G205" i="75"/>
  <c r="E205" i="75"/>
  <c r="D205" i="75"/>
  <c r="D204" i="75" s="1"/>
  <c r="O203" i="75"/>
  <c r="L203" i="75"/>
  <c r="I203" i="75"/>
  <c r="F203" i="75"/>
  <c r="O202" i="75"/>
  <c r="L202" i="75"/>
  <c r="I202" i="75"/>
  <c r="F202" i="75"/>
  <c r="O201" i="75"/>
  <c r="L201" i="75"/>
  <c r="I201" i="75"/>
  <c r="F201" i="75"/>
  <c r="O200" i="75"/>
  <c r="L200" i="75"/>
  <c r="I200" i="75"/>
  <c r="F200" i="75"/>
  <c r="O199" i="75"/>
  <c r="O198" i="75" s="1"/>
  <c r="L199" i="75"/>
  <c r="L198" i="75" s="1"/>
  <c r="I199" i="75"/>
  <c r="F199" i="75"/>
  <c r="F198" i="75" s="1"/>
  <c r="N198" i="75"/>
  <c r="M198" i="75"/>
  <c r="M196" i="75" s="1"/>
  <c r="K198" i="75"/>
  <c r="J198" i="75"/>
  <c r="J196" i="75" s="1"/>
  <c r="H198" i="75"/>
  <c r="H196" i="75" s="1"/>
  <c r="G198" i="75"/>
  <c r="G196" i="75" s="1"/>
  <c r="E198" i="75"/>
  <c r="E196" i="75" s="1"/>
  <c r="D198" i="75"/>
  <c r="D196" i="75" s="1"/>
  <c r="O197" i="75"/>
  <c r="L197" i="75"/>
  <c r="I197" i="75"/>
  <c r="F197" i="75"/>
  <c r="N196" i="75"/>
  <c r="K196" i="75"/>
  <c r="O193" i="75"/>
  <c r="L193" i="75"/>
  <c r="I193" i="75"/>
  <c r="I192" i="75" s="1"/>
  <c r="I191" i="75" s="1"/>
  <c r="F193" i="75"/>
  <c r="F192" i="75" s="1"/>
  <c r="F191" i="75" s="1"/>
  <c r="O192" i="75"/>
  <c r="O191" i="75" s="1"/>
  <c r="N192" i="75"/>
  <c r="M192" i="75"/>
  <c r="K192" i="75"/>
  <c r="K191" i="75" s="1"/>
  <c r="J192" i="75"/>
  <c r="J191" i="75" s="1"/>
  <c r="H192" i="75"/>
  <c r="G192" i="75"/>
  <c r="G191" i="75" s="1"/>
  <c r="E192" i="75"/>
  <c r="E191" i="75" s="1"/>
  <c r="D192" i="75"/>
  <c r="D191" i="75" s="1"/>
  <c r="N191" i="75"/>
  <c r="M191" i="75"/>
  <c r="H191" i="75"/>
  <c r="O190" i="75"/>
  <c r="L190" i="75"/>
  <c r="I190" i="75"/>
  <c r="F190" i="75"/>
  <c r="O189" i="75"/>
  <c r="L189" i="75"/>
  <c r="I189" i="75"/>
  <c r="F189" i="75"/>
  <c r="F188" i="75" s="1"/>
  <c r="O188" i="75"/>
  <c r="N188" i="75"/>
  <c r="M188" i="75"/>
  <c r="K188" i="75"/>
  <c r="K187" i="75" s="1"/>
  <c r="J188" i="75"/>
  <c r="H188" i="75"/>
  <c r="G188" i="75"/>
  <c r="E188" i="75"/>
  <c r="D188" i="75"/>
  <c r="N187" i="75"/>
  <c r="O186" i="75"/>
  <c r="L186" i="75"/>
  <c r="I186" i="75"/>
  <c r="F186" i="75"/>
  <c r="O185" i="75"/>
  <c r="L185" i="75"/>
  <c r="I185" i="75"/>
  <c r="F185" i="75"/>
  <c r="F184" i="75" s="1"/>
  <c r="O184" i="75"/>
  <c r="N184" i="75"/>
  <c r="M184" i="75"/>
  <c r="K184" i="75"/>
  <c r="J184" i="75"/>
  <c r="H184" i="75"/>
  <c r="G184" i="75"/>
  <c r="E184" i="75"/>
  <c r="D184" i="75"/>
  <c r="O183" i="75"/>
  <c r="L183" i="75"/>
  <c r="I183" i="75"/>
  <c r="F183" i="75"/>
  <c r="O182" i="75"/>
  <c r="L182" i="75"/>
  <c r="I182" i="75"/>
  <c r="F182" i="75"/>
  <c r="O181" i="75"/>
  <c r="L181" i="75"/>
  <c r="I181" i="75"/>
  <c r="F181" i="75"/>
  <c r="O180" i="75"/>
  <c r="O179" i="75" s="1"/>
  <c r="L180" i="75"/>
  <c r="I180" i="75"/>
  <c r="F180" i="75"/>
  <c r="F179" i="75" s="1"/>
  <c r="N179" i="75"/>
  <c r="M179" i="75"/>
  <c r="K179" i="75"/>
  <c r="J179" i="75"/>
  <c r="H179" i="75"/>
  <c r="G179" i="75"/>
  <c r="E179" i="75"/>
  <c r="D179" i="75"/>
  <c r="O178" i="75"/>
  <c r="L178" i="75"/>
  <c r="I178" i="75"/>
  <c r="F178" i="75"/>
  <c r="O177" i="75"/>
  <c r="L177" i="75"/>
  <c r="I177" i="75"/>
  <c r="F177" i="75"/>
  <c r="O176" i="75"/>
  <c r="O175" i="75" s="1"/>
  <c r="L176" i="75"/>
  <c r="I176" i="75"/>
  <c r="F176" i="75"/>
  <c r="F175" i="75" s="1"/>
  <c r="N175" i="75"/>
  <c r="M175" i="75"/>
  <c r="K175" i="75"/>
  <c r="J175" i="75"/>
  <c r="J174" i="75" s="1"/>
  <c r="J173" i="75" s="1"/>
  <c r="H175" i="75"/>
  <c r="H174" i="75" s="1"/>
  <c r="H173" i="75" s="1"/>
  <c r="G175" i="75"/>
  <c r="G174" i="75" s="1"/>
  <c r="G173" i="75" s="1"/>
  <c r="E175" i="75"/>
  <c r="E174" i="75" s="1"/>
  <c r="D175" i="75"/>
  <c r="D174" i="75" s="1"/>
  <c r="D173" i="75" s="1"/>
  <c r="N174" i="75"/>
  <c r="N173" i="75" s="1"/>
  <c r="K174" i="75"/>
  <c r="O172" i="75"/>
  <c r="L172" i="75"/>
  <c r="I172" i="75"/>
  <c r="F172" i="75"/>
  <c r="O171" i="75"/>
  <c r="L171" i="75"/>
  <c r="I171" i="75"/>
  <c r="F171" i="75"/>
  <c r="O170" i="75"/>
  <c r="L170" i="75"/>
  <c r="I170" i="75"/>
  <c r="F170" i="75"/>
  <c r="O169" i="75"/>
  <c r="L169" i="75"/>
  <c r="I169" i="75"/>
  <c r="F169" i="75"/>
  <c r="O168" i="75"/>
  <c r="L168" i="75"/>
  <c r="I168" i="75"/>
  <c r="F168" i="75"/>
  <c r="O167" i="75"/>
  <c r="L167" i="75"/>
  <c r="I167" i="75"/>
  <c r="F167" i="75"/>
  <c r="N166" i="75"/>
  <c r="M166" i="75"/>
  <c r="M165" i="75" s="1"/>
  <c r="K166" i="75"/>
  <c r="K165" i="75" s="1"/>
  <c r="J166" i="75"/>
  <c r="J165" i="75" s="1"/>
  <c r="H166" i="75"/>
  <c r="H165" i="75" s="1"/>
  <c r="G166" i="75"/>
  <c r="G165" i="75" s="1"/>
  <c r="E166" i="75"/>
  <c r="E165" i="75" s="1"/>
  <c r="D166" i="75"/>
  <c r="D165" i="75" s="1"/>
  <c r="N165" i="75"/>
  <c r="O164" i="75"/>
  <c r="L164" i="75"/>
  <c r="I164" i="75"/>
  <c r="F164" i="75"/>
  <c r="O163" i="75"/>
  <c r="L163" i="75"/>
  <c r="I163" i="75"/>
  <c r="F163" i="75"/>
  <c r="O162" i="75"/>
  <c r="L162" i="75"/>
  <c r="I162" i="75"/>
  <c r="F162" i="75"/>
  <c r="O161" i="75"/>
  <c r="O160" i="75" s="1"/>
  <c r="L161" i="75"/>
  <c r="L160" i="75" s="1"/>
  <c r="I161" i="75"/>
  <c r="F161" i="75"/>
  <c r="F160" i="75" s="1"/>
  <c r="N160" i="75"/>
  <c r="M160" i="75"/>
  <c r="K160" i="75"/>
  <c r="J160" i="75"/>
  <c r="H160" i="75"/>
  <c r="G160" i="75"/>
  <c r="E160" i="75"/>
  <c r="D160" i="75"/>
  <c r="O159" i="75"/>
  <c r="L159" i="75"/>
  <c r="I159" i="75"/>
  <c r="F159" i="75"/>
  <c r="O158" i="75"/>
  <c r="L158" i="75"/>
  <c r="I158" i="75"/>
  <c r="F158" i="75"/>
  <c r="O157" i="75"/>
  <c r="L157" i="75"/>
  <c r="I157" i="75"/>
  <c r="F157" i="75"/>
  <c r="O156" i="75"/>
  <c r="L156" i="75"/>
  <c r="I156" i="75"/>
  <c r="F156" i="75"/>
  <c r="O155" i="75"/>
  <c r="L155" i="75"/>
  <c r="I155" i="75"/>
  <c r="F155" i="75"/>
  <c r="O154" i="75"/>
  <c r="L154" i="75"/>
  <c r="I154" i="75"/>
  <c r="F154" i="75"/>
  <c r="O153" i="75"/>
  <c r="L153" i="75"/>
  <c r="I153" i="75"/>
  <c r="F153" i="75"/>
  <c r="O152" i="75"/>
  <c r="O151" i="75" s="1"/>
  <c r="L152" i="75"/>
  <c r="I152" i="75"/>
  <c r="F152" i="75"/>
  <c r="N151" i="75"/>
  <c r="M151" i="75"/>
  <c r="K151" i="75"/>
  <c r="J151" i="75"/>
  <c r="H151" i="75"/>
  <c r="G151" i="75"/>
  <c r="E151" i="75"/>
  <c r="D151" i="75"/>
  <c r="O150" i="75"/>
  <c r="L150" i="75"/>
  <c r="I150" i="75"/>
  <c r="F150" i="75"/>
  <c r="O149" i="75"/>
  <c r="L149" i="75"/>
  <c r="I149" i="75"/>
  <c r="F149" i="75"/>
  <c r="O148" i="75"/>
  <c r="L148" i="75"/>
  <c r="C148" i="75" s="1"/>
  <c r="I148" i="75"/>
  <c r="F148" i="75"/>
  <c r="O147" i="75"/>
  <c r="L147" i="75"/>
  <c r="I147" i="75"/>
  <c r="F147" i="75"/>
  <c r="O146" i="75"/>
  <c r="L146" i="75"/>
  <c r="I146" i="75"/>
  <c r="F146" i="75"/>
  <c r="O145" i="75"/>
  <c r="L145" i="75"/>
  <c r="I145" i="75"/>
  <c r="F145" i="75"/>
  <c r="F144" i="75" s="1"/>
  <c r="N144" i="75"/>
  <c r="M144" i="75"/>
  <c r="K144" i="75"/>
  <c r="J144" i="75"/>
  <c r="H144" i="75"/>
  <c r="G144" i="75"/>
  <c r="E144" i="75"/>
  <c r="D144" i="75"/>
  <c r="O143" i="75"/>
  <c r="L143" i="75"/>
  <c r="I143" i="75"/>
  <c r="F143" i="75"/>
  <c r="O142" i="75"/>
  <c r="O141" i="75" s="1"/>
  <c r="L142" i="75"/>
  <c r="L141" i="75" s="1"/>
  <c r="I142" i="75"/>
  <c r="F142" i="75"/>
  <c r="F141" i="75" s="1"/>
  <c r="N141" i="75"/>
  <c r="M141" i="75"/>
  <c r="K141" i="75"/>
  <c r="J141" i="75"/>
  <c r="H141" i="75"/>
  <c r="G141" i="75"/>
  <c r="E141" i="75"/>
  <c r="D141" i="75"/>
  <c r="O140" i="75"/>
  <c r="L140" i="75"/>
  <c r="I140" i="75"/>
  <c r="F140" i="75"/>
  <c r="O139" i="75"/>
  <c r="L139" i="75"/>
  <c r="I139" i="75"/>
  <c r="F139" i="75"/>
  <c r="O138" i="75"/>
  <c r="L138" i="75"/>
  <c r="I138" i="75"/>
  <c r="F138" i="75"/>
  <c r="O137" i="75"/>
  <c r="O136" i="75" s="1"/>
  <c r="L137" i="75"/>
  <c r="L136" i="75" s="1"/>
  <c r="I137" i="75"/>
  <c r="F137" i="75"/>
  <c r="F136" i="75" s="1"/>
  <c r="N136" i="75"/>
  <c r="M136" i="75"/>
  <c r="K136" i="75"/>
  <c r="J136" i="75"/>
  <c r="H136" i="75"/>
  <c r="G136" i="75"/>
  <c r="E136" i="75"/>
  <c r="D136" i="75"/>
  <c r="O135" i="75"/>
  <c r="L135" i="75"/>
  <c r="I135" i="75"/>
  <c r="F135" i="75"/>
  <c r="O134" i="75"/>
  <c r="L134" i="75"/>
  <c r="I134" i="75"/>
  <c r="F134" i="75"/>
  <c r="O133" i="75"/>
  <c r="L133" i="75"/>
  <c r="I133" i="75"/>
  <c r="F133" i="75"/>
  <c r="O132" i="75"/>
  <c r="L132" i="75"/>
  <c r="L131" i="75" s="1"/>
  <c r="I132" i="75"/>
  <c r="I131" i="75" s="1"/>
  <c r="F132" i="75"/>
  <c r="N131" i="75"/>
  <c r="M131" i="75"/>
  <c r="K131" i="75"/>
  <c r="J131" i="75"/>
  <c r="H131" i="75"/>
  <c r="G131" i="75"/>
  <c r="E131" i="75"/>
  <c r="D131" i="75"/>
  <c r="D130" i="75" s="1"/>
  <c r="O129" i="75"/>
  <c r="O128" i="75" s="1"/>
  <c r="L129" i="75"/>
  <c r="L128" i="75" s="1"/>
  <c r="I129" i="75"/>
  <c r="F129" i="75"/>
  <c r="N128" i="75"/>
  <c r="M128" i="75"/>
  <c r="K128" i="75"/>
  <c r="J128" i="75"/>
  <c r="I128" i="75"/>
  <c r="H128" i="75"/>
  <c r="G128" i="75"/>
  <c r="E128" i="75"/>
  <c r="D128" i="75"/>
  <c r="O127" i="75"/>
  <c r="L127" i="75"/>
  <c r="I127" i="75"/>
  <c r="F127" i="75"/>
  <c r="O126" i="75"/>
  <c r="L126" i="75"/>
  <c r="I126" i="75"/>
  <c r="C126" i="75" s="1"/>
  <c r="F126" i="75"/>
  <c r="O125" i="75"/>
  <c r="L125" i="75"/>
  <c r="I125" i="75"/>
  <c r="F125" i="75"/>
  <c r="O124" i="75"/>
  <c r="L124" i="75"/>
  <c r="I124" i="75"/>
  <c r="C124" i="75" s="1"/>
  <c r="F124" i="75"/>
  <c r="O123" i="75"/>
  <c r="L123" i="75"/>
  <c r="I123" i="75"/>
  <c r="F123" i="75"/>
  <c r="N122" i="75"/>
  <c r="M122" i="75"/>
  <c r="K122" i="75"/>
  <c r="J122" i="75"/>
  <c r="H122" i="75"/>
  <c r="G122" i="75"/>
  <c r="E122" i="75"/>
  <c r="D122" i="75"/>
  <c r="O121" i="75"/>
  <c r="L121" i="75"/>
  <c r="I121" i="75"/>
  <c r="F121" i="75"/>
  <c r="O120" i="75"/>
  <c r="L120" i="75"/>
  <c r="I120" i="75"/>
  <c r="F120" i="75"/>
  <c r="O119" i="75"/>
  <c r="L119" i="75"/>
  <c r="I119" i="75"/>
  <c r="F119" i="75"/>
  <c r="O118" i="75"/>
  <c r="L118" i="75"/>
  <c r="I118" i="75"/>
  <c r="F118" i="75"/>
  <c r="O117" i="75"/>
  <c r="O116" i="75" s="1"/>
  <c r="L117" i="75"/>
  <c r="L116" i="75" s="1"/>
  <c r="I117" i="75"/>
  <c r="F117" i="75"/>
  <c r="N116" i="75"/>
  <c r="M116" i="75"/>
  <c r="K116" i="75"/>
  <c r="J116" i="75"/>
  <c r="H116" i="75"/>
  <c r="G116" i="75"/>
  <c r="E116" i="75"/>
  <c r="D116" i="75"/>
  <c r="O115" i="75"/>
  <c r="L115" i="75"/>
  <c r="I115" i="75"/>
  <c r="F115" i="75"/>
  <c r="O114" i="75"/>
  <c r="L114" i="75"/>
  <c r="I114" i="75"/>
  <c r="F114" i="75"/>
  <c r="O113" i="75"/>
  <c r="L113" i="75"/>
  <c r="I113" i="75"/>
  <c r="I112" i="75" s="1"/>
  <c r="F113" i="75"/>
  <c r="O112" i="75"/>
  <c r="N112" i="75"/>
  <c r="M112" i="75"/>
  <c r="K112" i="75"/>
  <c r="J112" i="75"/>
  <c r="H112" i="75"/>
  <c r="G112" i="75"/>
  <c r="E112" i="75"/>
  <c r="D112" i="75"/>
  <c r="O111" i="75"/>
  <c r="L111" i="75"/>
  <c r="I111" i="75"/>
  <c r="F111" i="75"/>
  <c r="O110" i="75"/>
  <c r="L110" i="75"/>
  <c r="I110" i="75"/>
  <c r="F110" i="75"/>
  <c r="O109" i="75"/>
  <c r="L109" i="75"/>
  <c r="I109" i="75"/>
  <c r="F109" i="75"/>
  <c r="O108" i="75"/>
  <c r="L108" i="75"/>
  <c r="I108" i="75"/>
  <c r="F108" i="75"/>
  <c r="O107" i="75"/>
  <c r="L107" i="75"/>
  <c r="I107" i="75"/>
  <c r="F107" i="75"/>
  <c r="O106" i="75"/>
  <c r="L106" i="75"/>
  <c r="I106" i="75"/>
  <c r="F106" i="75"/>
  <c r="O105" i="75"/>
  <c r="L105" i="75"/>
  <c r="C105" i="75" s="1"/>
  <c r="I105" i="75"/>
  <c r="F105" i="75"/>
  <c r="O104" i="75"/>
  <c r="O103" i="75" s="1"/>
  <c r="L104" i="75"/>
  <c r="C104" i="75" s="1"/>
  <c r="I104" i="75"/>
  <c r="F104" i="75"/>
  <c r="F103" i="75" s="1"/>
  <c r="N103" i="75"/>
  <c r="M103" i="75"/>
  <c r="K103" i="75"/>
  <c r="J103" i="75"/>
  <c r="H103" i="75"/>
  <c r="G103" i="75"/>
  <c r="E103" i="75"/>
  <c r="D103" i="75"/>
  <c r="O102" i="75"/>
  <c r="L102" i="75"/>
  <c r="I102" i="75"/>
  <c r="F102" i="75"/>
  <c r="O101" i="75"/>
  <c r="L101" i="75"/>
  <c r="I101" i="75"/>
  <c r="F101" i="75"/>
  <c r="O100" i="75"/>
  <c r="L100" i="75"/>
  <c r="I100" i="75"/>
  <c r="F100" i="75"/>
  <c r="O99" i="75"/>
  <c r="L99" i="75"/>
  <c r="I99" i="75"/>
  <c r="F99" i="75"/>
  <c r="O98" i="75"/>
  <c r="L98" i="75"/>
  <c r="I98" i="75"/>
  <c r="F98" i="75"/>
  <c r="O97" i="75"/>
  <c r="L97" i="75"/>
  <c r="I97" i="75"/>
  <c r="F97" i="75"/>
  <c r="O96" i="75"/>
  <c r="L96" i="75"/>
  <c r="I96" i="75"/>
  <c r="F96" i="75"/>
  <c r="F95" i="75" s="1"/>
  <c r="N95" i="75"/>
  <c r="M95" i="75"/>
  <c r="K95" i="75"/>
  <c r="J95" i="75"/>
  <c r="H95" i="75"/>
  <c r="G95" i="75"/>
  <c r="E95" i="75"/>
  <c r="D95" i="75"/>
  <c r="O94" i="75"/>
  <c r="L94" i="75"/>
  <c r="I94" i="75"/>
  <c r="F94" i="75"/>
  <c r="O93" i="75"/>
  <c r="L93" i="75"/>
  <c r="I93" i="75"/>
  <c r="F93" i="75"/>
  <c r="O92" i="75"/>
  <c r="L92" i="75"/>
  <c r="I92" i="75"/>
  <c r="F92" i="75"/>
  <c r="O91" i="75"/>
  <c r="L91" i="75"/>
  <c r="I91" i="75"/>
  <c r="F91" i="75"/>
  <c r="O90" i="75"/>
  <c r="L90" i="75"/>
  <c r="L89" i="75" s="1"/>
  <c r="I90" i="75"/>
  <c r="F90" i="75"/>
  <c r="N89" i="75"/>
  <c r="M89" i="75"/>
  <c r="K89" i="75"/>
  <c r="J89" i="75"/>
  <c r="H89" i="75"/>
  <c r="G89" i="75"/>
  <c r="E89" i="75"/>
  <c r="D89" i="75"/>
  <c r="O88" i="75"/>
  <c r="L88" i="75"/>
  <c r="I88" i="75"/>
  <c r="F88" i="75"/>
  <c r="O87" i="75"/>
  <c r="L87" i="75"/>
  <c r="I87" i="75"/>
  <c r="F87" i="75"/>
  <c r="O86" i="75"/>
  <c r="L86" i="75"/>
  <c r="I86" i="75"/>
  <c r="F86" i="75"/>
  <c r="O85" i="75"/>
  <c r="O84" i="75" s="1"/>
  <c r="L85" i="75"/>
  <c r="I85" i="75"/>
  <c r="I84" i="75" s="1"/>
  <c r="F85" i="75"/>
  <c r="N84" i="75"/>
  <c r="M84" i="75"/>
  <c r="K84" i="75"/>
  <c r="J84" i="75"/>
  <c r="H84" i="75"/>
  <c r="G84" i="75"/>
  <c r="E84" i="75"/>
  <c r="D84" i="75"/>
  <c r="D83" i="75" s="1"/>
  <c r="O82" i="75"/>
  <c r="L82" i="75"/>
  <c r="I82" i="75"/>
  <c r="F82" i="75"/>
  <c r="O81" i="75"/>
  <c r="L81" i="75"/>
  <c r="I81" i="75"/>
  <c r="F81" i="75"/>
  <c r="O80" i="75"/>
  <c r="N80" i="75"/>
  <c r="M80" i="75"/>
  <c r="K80" i="75"/>
  <c r="J80" i="75"/>
  <c r="H80" i="75"/>
  <c r="G80" i="75"/>
  <c r="F80" i="75"/>
  <c r="E80" i="75"/>
  <c r="D80" i="75"/>
  <c r="O79" i="75"/>
  <c r="L79" i="75"/>
  <c r="I79" i="75"/>
  <c r="F79" i="75"/>
  <c r="O78" i="75"/>
  <c r="L78" i="75"/>
  <c r="L77" i="75" s="1"/>
  <c r="I78" i="75"/>
  <c r="I77" i="75" s="1"/>
  <c r="F78" i="75"/>
  <c r="O77" i="75"/>
  <c r="N77" i="75"/>
  <c r="M77" i="75"/>
  <c r="K77" i="75"/>
  <c r="K76" i="75" s="1"/>
  <c r="J77" i="75"/>
  <c r="H77" i="75"/>
  <c r="G77" i="75"/>
  <c r="E77" i="75"/>
  <c r="D77" i="75"/>
  <c r="O76" i="75"/>
  <c r="M76" i="75"/>
  <c r="E76" i="75"/>
  <c r="O74" i="75"/>
  <c r="L74" i="75"/>
  <c r="I74" i="75"/>
  <c r="F74" i="75"/>
  <c r="O73" i="75"/>
  <c r="L73" i="75"/>
  <c r="I73" i="75"/>
  <c r="F73" i="75"/>
  <c r="O72" i="75"/>
  <c r="L72" i="75"/>
  <c r="I72" i="75"/>
  <c r="F72" i="75"/>
  <c r="O71" i="75"/>
  <c r="L71" i="75"/>
  <c r="I71" i="75"/>
  <c r="F71" i="75"/>
  <c r="O70" i="75"/>
  <c r="L70" i="75"/>
  <c r="L69" i="75" s="1"/>
  <c r="I70" i="75"/>
  <c r="F70" i="75"/>
  <c r="N69" i="75"/>
  <c r="N67" i="75" s="1"/>
  <c r="M69" i="75"/>
  <c r="M67" i="75" s="1"/>
  <c r="K69" i="75"/>
  <c r="K67" i="75" s="1"/>
  <c r="J69" i="75"/>
  <c r="J67" i="75" s="1"/>
  <c r="H69" i="75"/>
  <c r="H67" i="75" s="1"/>
  <c r="G69" i="75"/>
  <c r="G67" i="75" s="1"/>
  <c r="E69" i="75"/>
  <c r="E67" i="75" s="1"/>
  <c r="D69" i="75"/>
  <c r="D67" i="75" s="1"/>
  <c r="O68" i="75"/>
  <c r="L68" i="75"/>
  <c r="I68" i="75"/>
  <c r="F68" i="75"/>
  <c r="O66" i="75"/>
  <c r="L66" i="75"/>
  <c r="I66" i="75"/>
  <c r="F66" i="75"/>
  <c r="O65" i="75"/>
  <c r="L65" i="75"/>
  <c r="I65" i="75"/>
  <c r="F65" i="75"/>
  <c r="O64" i="75"/>
  <c r="L64" i="75"/>
  <c r="I64" i="75"/>
  <c r="F64" i="75"/>
  <c r="O63" i="75"/>
  <c r="L63" i="75"/>
  <c r="I63" i="75"/>
  <c r="F63" i="75"/>
  <c r="O62" i="75"/>
  <c r="L62" i="75"/>
  <c r="I62" i="75"/>
  <c r="F62" i="75"/>
  <c r="O61" i="75"/>
  <c r="L61" i="75"/>
  <c r="I61" i="75"/>
  <c r="F61" i="75"/>
  <c r="O60" i="75"/>
  <c r="L60" i="75"/>
  <c r="I60" i="75"/>
  <c r="F60" i="75"/>
  <c r="O59" i="75"/>
  <c r="L59" i="75"/>
  <c r="I59" i="75"/>
  <c r="I58" i="75" s="1"/>
  <c r="F59" i="75"/>
  <c r="N58" i="75"/>
  <c r="M58" i="75"/>
  <c r="K58" i="75"/>
  <c r="J58" i="75"/>
  <c r="H58" i="75"/>
  <c r="G58" i="75"/>
  <c r="E58" i="75"/>
  <c r="D58" i="75"/>
  <c r="O57" i="75"/>
  <c r="L57" i="75"/>
  <c r="I57" i="75"/>
  <c r="F57" i="75"/>
  <c r="O56" i="75"/>
  <c r="O55" i="75" s="1"/>
  <c r="L56" i="75"/>
  <c r="L55" i="75" s="1"/>
  <c r="I56" i="75"/>
  <c r="I55" i="75" s="1"/>
  <c r="F56" i="75"/>
  <c r="F55" i="75" s="1"/>
  <c r="N55" i="75"/>
  <c r="N54" i="75" s="1"/>
  <c r="N53" i="75" s="1"/>
  <c r="M55" i="75"/>
  <c r="M54" i="75" s="1"/>
  <c r="K55" i="75"/>
  <c r="J55" i="75"/>
  <c r="J54" i="75" s="1"/>
  <c r="H55" i="75"/>
  <c r="H54" i="75" s="1"/>
  <c r="G55" i="75"/>
  <c r="E55" i="75"/>
  <c r="D55" i="75"/>
  <c r="D54" i="75" s="1"/>
  <c r="K54" i="75"/>
  <c r="O47" i="75"/>
  <c r="C47" i="75" s="1"/>
  <c r="O46" i="75"/>
  <c r="C46" i="75" s="1"/>
  <c r="N45" i="75"/>
  <c r="M45" i="75"/>
  <c r="L44" i="75"/>
  <c r="L43" i="75" s="1"/>
  <c r="I44" i="75"/>
  <c r="I43" i="75" s="1"/>
  <c r="F44" i="75"/>
  <c r="K43" i="75"/>
  <c r="J43" i="75"/>
  <c r="H43" i="75"/>
  <c r="G43" i="75"/>
  <c r="E43" i="75"/>
  <c r="D43" i="75"/>
  <c r="F42" i="75"/>
  <c r="C42" i="75" s="1"/>
  <c r="E41" i="75"/>
  <c r="D41" i="75"/>
  <c r="L40" i="75"/>
  <c r="C40" i="75" s="1"/>
  <c r="L39" i="75"/>
  <c r="C39" i="75" s="1"/>
  <c r="L38" i="75"/>
  <c r="C38" i="75" s="1"/>
  <c r="L37" i="75"/>
  <c r="C37" i="75" s="1"/>
  <c r="K36" i="75"/>
  <c r="J36" i="75"/>
  <c r="L35" i="75"/>
  <c r="L34" i="75"/>
  <c r="C34" i="75" s="1"/>
  <c r="K33" i="75"/>
  <c r="J33" i="75"/>
  <c r="L32" i="75"/>
  <c r="L31" i="75" s="1"/>
  <c r="C31" i="75" s="1"/>
  <c r="K31" i="75"/>
  <c r="J31" i="75"/>
  <c r="L30" i="75"/>
  <c r="C30" i="75" s="1"/>
  <c r="L29" i="75"/>
  <c r="C29" i="75" s="1"/>
  <c r="L28" i="75"/>
  <c r="C28" i="75" s="1"/>
  <c r="K27" i="75"/>
  <c r="J27" i="75"/>
  <c r="L25" i="75"/>
  <c r="F25" i="75"/>
  <c r="I24" i="75"/>
  <c r="F24" i="75"/>
  <c r="O23" i="75"/>
  <c r="L23" i="75"/>
  <c r="I23" i="75"/>
  <c r="F23" i="75"/>
  <c r="O22" i="75"/>
  <c r="L22" i="75"/>
  <c r="L21" i="75" s="1"/>
  <c r="I22" i="75"/>
  <c r="I21" i="75" s="1"/>
  <c r="F22" i="75"/>
  <c r="O21" i="75"/>
  <c r="N21" i="75"/>
  <c r="M21" i="75"/>
  <c r="K21" i="75"/>
  <c r="K292" i="75" s="1"/>
  <c r="K291" i="75" s="1"/>
  <c r="J21" i="75"/>
  <c r="H21" i="75"/>
  <c r="H292" i="75" s="1"/>
  <c r="H291" i="75" s="1"/>
  <c r="G21" i="75"/>
  <c r="F21" i="75"/>
  <c r="E21" i="75"/>
  <c r="D21" i="75"/>
  <c r="D292" i="75" s="1"/>
  <c r="D291" i="75" s="1"/>
  <c r="M20" i="75"/>
  <c r="C226" i="75" l="1"/>
  <c r="C210" i="75"/>
  <c r="L33" i="75"/>
  <c r="C33" i="75" s="1"/>
  <c r="C44" i="75"/>
  <c r="J76" i="75"/>
  <c r="E187" i="75"/>
  <c r="C78" i="75"/>
  <c r="C79" i="75"/>
  <c r="I270" i="75"/>
  <c r="E20" i="75"/>
  <c r="C176" i="75"/>
  <c r="C211" i="75"/>
  <c r="J187" i="75"/>
  <c r="D195" i="75"/>
  <c r="H270" i="75"/>
  <c r="H269" i="75" s="1"/>
  <c r="D76" i="75"/>
  <c r="H76" i="75"/>
  <c r="K270" i="75"/>
  <c r="K269" i="75" s="1"/>
  <c r="O276" i="75"/>
  <c r="G292" i="75"/>
  <c r="M292" i="75"/>
  <c r="M291" i="75" s="1"/>
  <c r="C24" i="75"/>
  <c r="C72" i="75"/>
  <c r="C74" i="75"/>
  <c r="D259" i="75"/>
  <c r="J26" i="75"/>
  <c r="C64" i="75"/>
  <c r="M130" i="75"/>
  <c r="E259" i="75"/>
  <c r="C298" i="75"/>
  <c r="C168" i="75"/>
  <c r="H187" i="75"/>
  <c r="O196" i="75"/>
  <c r="M269" i="75"/>
  <c r="H20" i="75"/>
  <c r="H53" i="75"/>
  <c r="C57" i="75"/>
  <c r="G54" i="75"/>
  <c r="C100" i="75"/>
  <c r="C118" i="75"/>
  <c r="N130" i="75"/>
  <c r="C140" i="75"/>
  <c r="C143" i="75"/>
  <c r="C145" i="75"/>
  <c r="C167" i="75"/>
  <c r="O166" i="75"/>
  <c r="O165" i="75" s="1"/>
  <c r="C218" i="75"/>
  <c r="C223" i="75"/>
  <c r="C224" i="75"/>
  <c r="C225" i="75"/>
  <c r="C242" i="75"/>
  <c r="C255" i="75"/>
  <c r="C258" i="75"/>
  <c r="D270" i="75"/>
  <c r="D269" i="75" s="1"/>
  <c r="C277" i="75"/>
  <c r="F293" i="75"/>
  <c r="C297" i="75"/>
  <c r="I54" i="75"/>
  <c r="M174" i="75"/>
  <c r="M173" i="75" s="1"/>
  <c r="D20" i="75"/>
  <c r="C23" i="75"/>
  <c r="D75" i="75"/>
  <c r="C88" i="75"/>
  <c r="C99" i="75"/>
  <c r="J130" i="75"/>
  <c r="C157" i="75"/>
  <c r="C159" i="75"/>
  <c r="I166" i="75"/>
  <c r="I165" i="75" s="1"/>
  <c r="O187" i="75"/>
  <c r="M187" i="75"/>
  <c r="C203" i="75"/>
  <c r="C239" i="75"/>
  <c r="C266" i="75"/>
  <c r="I269" i="75"/>
  <c r="L27" i="75"/>
  <c r="C60" i="75"/>
  <c r="C63" i="75"/>
  <c r="C68" i="75"/>
  <c r="E83" i="75"/>
  <c r="C92" i="75"/>
  <c r="C108" i="75"/>
  <c r="C114" i="75"/>
  <c r="C133" i="75"/>
  <c r="C134" i="75"/>
  <c r="E130" i="75"/>
  <c r="C152" i="75"/>
  <c r="C164" i="75"/>
  <c r="K173" i="75"/>
  <c r="C199" i="75"/>
  <c r="H204" i="75"/>
  <c r="H195" i="75" s="1"/>
  <c r="C214" i="75"/>
  <c r="C215" i="75"/>
  <c r="M204" i="75"/>
  <c r="K230" i="75"/>
  <c r="G231" i="75"/>
  <c r="H259" i="75"/>
  <c r="G259" i="75"/>
  <c r="C275" i="75"/>
  <c r="I151" i="75"/>
  <c r="I179" i="75"/>
  <c r="G204" i="75"/>
  <c r="G195" i="75" s="1"/>
  <c r="C278" i="75"/>
  <c r="G291" i="75"/>
  <c r="F41" i="75"/>
  <c r="C41" i="75" s="1"/>
  <c r="M53" i="75"/>
  <c r="C56" i="75"/>
  <c r="C62" i="75"/>
  <c r="C73" i="75"/>
  <c r="C86" i="75"/>
  <c r="N83" i="75"/>
  <c r="C93" i="75"/>
  <c r="I95" i="75"/>
  <c r="C102" i="75"/>
  <c r="C109" i="75"/>
  <c r="C117" i="75"/>
  <c r="C125" i="75"/>
  <c r="C139" i="75"/>
  <c r="G130" i="75"/>
  <c r="C147" i="75"/>
  <c r="C158" i="75"/>
  <c r="C161" i="75"/>
  <c r="C172" i="75"/>
  <c r="G187" i="75"/>
  <c r="C202" i="75"/>
  <c r="C213" i="75"/>
  <c r="N204" i="75"/>
  <c r="N195" i="75" s="1"/>
  <c r="M231" i="75"/>
  <c r="J231" i="75"/>
  <c r="C244" i="75"/>
  <c r="C250" i="75"/>
  <c r="L252" i="75"/>
  <c r="L251" i="75" s="1"/>
  <c r="O260" i="75"/>
  <c r="C288" i="75"/>
  <c r="C300" i="75"/>
  <c r="G53" i="75"/>
  <c r="C137" i="75"/>
  <c r="I264" i="75"/>
  <c r="I259" i="75" s="1"/>
  <c r="K26" i="75"/>
  <c r="C35" i="75"/>
  <c r="F43" i="75"/>
  <c r="C43" i="75" s="1"/>
  <c r="C66" i="75"/>
  <c r="J53" i="75"/>
  <c r="C71" i="75"/>
  <c r="O69" i="75"/>
  <c r="O67" i="75" s="1"/>
  <c r="N76" i="75"/>
  <c r="C82" i="75"/>
  <c r="J83" i="75"/>
  <c r="J75" i="75" s="1"/>
  <c r="C90" i="75"/>
  <c r="C91" i="75"/>
  <c r="O89" i="75"/>
  <c r="H83" i="75"/>
  <c r="C97" i="75"/>
  <c r="C106" i="75"/>
  <c r="C107" i="75"/>
  <c r="C120" i="75"/>
  <c r="C121" i="75"/>
  <c r="O122" i="75"/>
  <c r="C132" i="75"/>
  <c r="C163" i="75"/>
  <c r="E173" i="75"/>
  <c r="C180" i="75"/>
  <c r="C193" i="75"/>
  <c r="C212" i="75"/>
  <c r="C217" i="75"/>
  <c r="E231" i="75"/>
  <c r="C236" i="75"/>
  <c r="C237" i="75"/>
  <c r="C243" i="75"/>
  <c r="C261" i="75"/>
  <c r="C265" i="75"/>
  <c r="O264" i="75"/>
  <c r="O272" i="75"/>
  <c r="O270" i="75" s="1"/>
  <c r="O269" i="75" s="1"/>
  <c r="I286" i="75"/>
  <c r="C295" i="75"/>
  <c r="L293" i="75"/>
  <c r="L67" i="75"/>
  <c r="F77" i="75"/>
  <c r="E292" i="75"/>
  <c r="E291" i="75" s="1"/>
  <c r="O292" i="75"/>
  <c r="C25" i="75"/>
  <c r="G20" i="75"/>
  <c r="O45" i="75"/>
  <c r="C45" i="75" s="1"/>
  <c r="D53" i="75"/>
  <c r="E54" i="75"/>
  <c r="E53" i="75" s="1"/>
  <c r="O58" i="75"/>
  <c r="C65" i="75"/>
  <c r="K53" i="75"/>
  <c r="G76" i="75"/>
  <c r="I80" i="75"/>
  <c r="I89" i="75"/>
  <c r="C94" i="75"/>
  <c r="C96" i="75"/>
  <c r="O95" i="75"/>
  <c r="C101" i="75"/>
  <c r="C111" i="75"/>
  <c r="I116" i="75"/>
  <c r="I122" i="75"/>
  <c r="M83" i="75"/>
  <c r="M75" i="75" s="1"/>
  <c r="M52" i="75" s="1"/>
  <c r="C135" i="75"/>
  <c r="F151" i="75"/>
  <c r="C156" i="75"/>
  <c r="C169" i="75"/>
  <c r="I175" i="75"/>
  <c r="I174" i="75" s="1"/>
  <c r="J195" i="75"/>
  <c r="C197" i="75"/>
  <c r="O205" i="75"/>
  <c r="E204" i="75"/>
  <c r="E195" i="75" s="1"/>
  <c r="C222" i="75"/>
  <c r="C227" i="75"/>
  <c r="K204" i="75"/>
  <c r="K195" i="75" s="1"/>
  <c r="K194" i="75" s="1"/>
  <c r="C228" i="75"/>
  <c r="C229" i="75"/>
  <c r="C234" i="75"/>
  <c r="O231" i="75"/>
  <c r="I252" i="75"/>
  <c r="I251" i="75" s="1"/>
  <c r="C256" i="75"/>
  <c r="C257" i="75"/>
  <c r="E270" i="75"/>
  <c r="E269" i="75" s="1"/>
  <c r="C274" i="75"/>
  <c r="L276" i="75"/>
  <c r="C282" i="75"/>
  <c r="C287" i="75"/>
  <c r="C294" i="75"/>
  <c r="O293" i="75"/>
  <c r="C299" i="75"/>
  <c r="C27" i="75"/>
  <c r="N20" i="75"/>
  <c r="N292" i="75"/>
  <c r="N291" i="75" s="1"/>
  <c r="C55" i="75"/>
  <c r="L58" i="75"/>
  <c r="L54" i="75" s="1"/>
  <c r="C61" i="75"/>
  <c r="C85" i="75"/>
  <c r="L84" i="75"/>
  <c r="F128" i="75"/>
  <c r="C128" i="75" s="1"/>
  <c r="C129" i="75"/>
  <c r="C153" i="75"/>
  <c r="L151" i="75"/>
  <c r="L184" i="75"/>
  <c r="C185" i="75"/>
  <c r="C220" i="75"/>
  <c r="I216" i="75"/>
  <c r="C301" i="75"/>
  <c r="J292" i="75"/>
  <c r="J291" i="75" s="1"/>
  <c r="J20" i="75"/>
  <c r="L36" i="75"/>
  <c r="C36" i="75" s="1"/>
  <c r="C59" i="75"/>
  <c r="F58" i="75"/>
  <c r="F54" i="75" s="1"/>
  <c r="F76" i="75"/>
  <c r="C77" i="75"/>
  <c r="O83" i="75"/>
  <c r="F89" i="75"/>
  <c r="C115" i="75"/>
  <c r="F112" i="75"/>
  <c r="C123" i="75"/>
  <c r="F122" i="75"/>
  <c r="O20" i="75"/>
  <c r="C22" i="75"/>
  <c r="I76" i="75"/>
  <c r="C81" i="75"/>
  <c r="L80" i="75"/>
  <c r="C80" i="75" s="1"/>
  <c r="K83" i="75"/>
  <c r="C87" i="75"/>
  <c r="F84" i="75"/>
  <c r="L103" i="75"/>
  <c r="F166" i="75"/>
  <c r="C177" i="75"/>
  <c r="L175" i="75"/>
  <c r="L188" i="75"/>
  <c r="C189" i="75"/>
  <c r="C207" i="75"/>
  <c r="L205" i="75"/>
  <c r="L260" i="75"/>
  <c r="C263" i="75"/>
  <c r="F264" i="75"/>
  <c r="F259" i="75" s="1"/>
  <c r="K20" i="75"/>
  <c r="C21" i="75"/>
  <c r="I292" i="75"/>
  <c r="I291" i="75" s="1"/>
  <c r="I20" i="75"/>
  <c r="C32" i="75"/>
  <c r="O54" i="75"/>
  <c r="F69" i="75"/>
  <c r="I69" i="75"/>
  <c r="I67" i="75" s="1"/>
  <c r="C70" i="75"/>
  <c r="G83" i="75"/>
  <c r="G75" i="75" s="1"/>
  <c r="L95" i="75"/>
  <c r="C98" i="75"/>
  <c r="I103" i="75"/>
  <c r="I83" i="75" s="1"/>
  <c r="C110" i="75"/>
  <c r="C113" i="75"/>
  <c r="L112" i="75"/>
  <c r="O144" i="75"/>
  <c r="L144" i="75"/>
  <c r="C149" i="75"/>
  <c r="O174" i="75"/>
  <c r="O173" i="75" s="1"/>
  <c r="C181" i="75"/>
  <c r="L179" i="75"/>
  <c r="C179" i="75" s="1"/>
  <c r="D187" i="75"/>
  <c r="D52" i="75" s="1"/>
  <c r="F292" i="75"/>
  <c r="F291" i="75" s="1"/>
  <c r="F116" i="75"/>
  <c r="C116" i="75" s="1"/>
  <c r="I141" i="75"/>
  <c r="C141" i="75" s="1"/>
  <c r="C142" i="75"/>
  <c r="C162" i="75"/>
  <c r="I160" i="75"/>
  <c r="C160" i="75" s="1"/>
  <c r="N230" i="75"/>
  <c r="J259" i="75"/>
  <c r="O259" i="75"/>
  <c r="C284" i="75"/>
  <c r="F283" i="75"/>
  <c r="C283" i="75" s="1"/>
  <c r="C119" i="75"/>
  <c r="L122" i="75"/>
  <c r="O131" i="75"/>
  <c r="O130" i="75" s="1"/>
  <c r="K130" i="75"/>
  <c r="C155" i="75"/>
  <c r="L166" i="75"/>
  <c r="L165" i="75" s="1"/>
  <c r="C171" i="75"/>
  <c r="C183" i="75"/>
  <c r="F187" i="75"/>
  <c r="L192" i="75"/>
  <c r="L191" i="75" s="1"/>
  <c r="C191" i="75" s="1"/>
  <c r="C200" i="75"/>
  <c r="I198" i="75"/>
  <c r="C198" i="75" s="1"/>
  <c r="F216" i="75"/>
  <c r="O216" i="75"/>
  <c r="O204" i="75" s="1"/>
  <c r="O195" i="75" s="1"/>
  <c r="L238" i="75"/>
  <c r="C241" i="75"/>
  <c r="F238" i="75"/>
  <c r="C247" i="75"/>
  <c r="L246" i="75"/>
  <c r="C138" i="75"/>
  <c r="I136" i="75"/>
  <c r="C136" i="75" s="1"/>
  <c r="C146" i="75"/>
  <c r="I144" i="75"/>
  <c r="C206" i="75"/>
  <c r="L216" i="75"/>
  <c r="C219" i="75"/>
  <c r="C248" i="75"/>
  <c r="I246" i="75"/>
  <c r="C262" i="75"/>
  <c r="C271" i="75"/>
  <c r="C127" i="75"/>
  <c r="H130" i="75"/>
  <c r="H75" i="75" s="1"/>
  <c r="H52" i="75" s="1"/>
  <c r="F131" i="75"/>
  <c r="C150" i="75"/>
  <c r="C154" i="75"/>
  <c r="C170" i="75"/>
  <c r="F174" i="75"/>
  <c r="C178" i="75"/>
  <c r="C182" i="75"/>
  <c r="C186" i="75"/>
  <c r="I184" i="75"/>
  <c r="C184" i="75" s="1"/>
  <c r="C190" i="75"/>
  <c r="I188" i="75"/>
  <c r="F196" i="75"/>
  <c r="C208" i="75"/>
  <c r="I205" i="75"/>
  <c r="E230" i="75"/>
  <c r="C235" i="75"/>
  <c r="C254" i="75"/>
  <c r="F252" i="75"/>
  <c r="L264" i="75"/>
  <c r="C267" i="75"/>
  <c r="C273" i="75"/>
  <c r="F272" i="75"/>
  <c r="L270" i="75"/>
  <c r="L269" i="75" s="1"/>
  <c r="F276" i="75"/>
  <c r="C276" i="75" s="1"/>
  <c r="C279" i="75"/>
  <c r="C281" i="75"/>
  <c r="M195" i="75"/>
  <c r="F205" i="75"/>
  <c r="H231" i="75"/>
  <c r="H230" i="75" s="1"/>
  <c r="C233" i="75"/>
  <c r="C240" i="75"/>
  <c r="I238" i="75"/>
  <c r="I231" i="75" s="1"/>
  <c r="O252" i="75"/>
  <c r="O251" i="75" s="1"/>
  <c r="C280" i="75"/>
  <c r="C296" i="75"/>
  <c r="L196" i="75"/>
  <c r="C201" i="75"/>
  <c r="C209" i="75"/>
  <c r="C221" i="75"/>
  <c r="C232" i="75"/>
  <c r="D231" i="75"/>
  <c r="D230" i="75" s="1"/>
  <c r="D194" i="75" s="1"/>
  <c r="M230" i="75"/>
  <c r="C245" i="75"/>
  <c r="C249" i="75"/>
  <c r="F246" i="75"/>
  <c r="C253" i="75"/>
  <c r="C268" i="75"/>
  <c r="J270" i="75"/>
  <c r="J269" i="75" s="1"/>
  <c r="C285" i="75"/>
  <c r="L286" i="75"/>
  <c r="G230" i="75" l="1"/>
  <c r="C293" i="75"/>
  <c r="C151" i="75"/>
  <c r="C144" i="75"/>
  <c r="I196" i="75"/>
  <c r="G194" i="75"/>
  <c r="D289" i="75"/>
  <c r="H194" i="75"/>
  <c r="H51" i="75" s="1"/>
  <c r="I204" i="75"/>
  <c r="I195" i="75" s="1"/>
  <c r="J230" i="75"/>
  <c r="C95" i="75"/>
  <c r="I53" i="75"/>
  <c r="C89" i="75"/>
  <c r="N75" i="75"/>
  <c r="L231" i="75"/>
  <c r="O75" i="75"/>
  <c r="E194" i="75"/>
  <c r="I173" i="75"/>
  <c r="N194" i="75"/>
  <c r="E75" i="75"/>
  <c r="E289" i="75" s="1"/>
  <c r="L76" i="75"/>
  <c r="C76" i="75" s="1"/>
  <c r="C246" i="75"/>
  <c r="O230" i="75"/>
  <c r="C69" i="75"/>
  <c r="L204" i="75"/>
  <c r="C103" i="75"/>
  <c r="K75" i="75"/>
  <c r="K289" i="75" s="1"/>
  <c r="L53" i="75"/>
  <c r="O291" i="75"/>
  <c r="L259" i="75"/>
  <c r="C175" i="75"/>
  <c r="O53" i="75"/>
  <c r="O52" i="75" s="1"/>
  <c r="C122" i="75"/>
  <c r="J52" i="75"/>
  <c r="I230" i="75"/>
  <c r="M194" i="75"/>
  <c r="M51" i="75" s="1"/>
  <c r="F20" i="75"/>
  <c r="O194" i="75"/>
  <c r="J289" i="75"/>
  <c r="J194" i="75"/>
  <c r="G289" i="75"/>
  <c r="G52" i="75"/>
  <c r="K52" i="75"/>
  <c r="K51" i="75" s="1"/>
  <c r="I187" i="75"/>
  <c r="C188" i="75"/>
  <c r="C238" i="75"/>
  <c r="F231" i="75"/>
  <c r="D51" i="75"/>
  <c r="M289" i="75"/>
  <c r="C216" i="75"/>
  <c r="C166" i="75"/>
  <c r="F165" i="75"/>
  <c r="C165" i="75" s="1"/>
  <c r="F67" i="75"/>
  <c r="C67" i="75" s="1"/>
  <c r="C259" i="75"/>
  <c r="C196" i="75"/>
  <c r="F173" i="75"/>
  <c r="C131" i="75"/>
  <c r="F130" i="75"/>
  <c r="C260" i="75"/>
  <c r="C264" i="75"/>
  <c r="L187" i="75"/>
  <c r="F83" i="75"/>
  <c r="C84" i="75"/>
  <c r="C58" i="75"/>
  <c r="L26" i="75"/>
  <c r="C286" i="75"/>
  <c r="L83" i="75"/>
  <c r="C54" i="75"/>
  <c r="H289" i="75"/>
  <c r="L195" i="75"/>
  <c r="C205" i="75"/>
  <c r="F204" i="75"/>
  <c r="F195" i="75" s="1"/>
  <c r="F270" i="75"/>
  <c r="C272" i="75"/>
  <c r="C252" i="75"/>
  <c r="F251" i="75"/>
  <c r="C251" i="75" s="1"/>
  <c r="L130" i="75"/>
  <c r="C192" i="75"/>
  <c r="L174" i="75"/>
  <c r="L173" i="75" s="1"/>
  <c r="C112" i="75"/>
  <c r="L292" i="75"/>
  <c r="L291" i="75" s="1"/>
  <c r="I130" i="75"/>
  <c r="I75" i="75" s="1"/>
  <c r="I52" i="75" l="1"/>
  <c r="I194" i="75"/>
  <c r="F75" i="75"/>
  <c r="L230" i="75"/>
  <c r="L194" i="75" s="1"/>
  <c r="C291" i="75"/>
  <c r="L75" i="75"/>
  <c r="L52" i="75" s="1"/>
  <c r="G51" i="75"/>
  <c r="G50" i="75" s="1"/>
  <c r="I51" i="75"/>
  <c r="I50" i="75" s="1"/>
  <c r="C204" i="75"/>
  <c r="E52" i="75"/>
  <c r="E51" i="75" s="1"/>
  <c r="N52" i="75"/>
  <c r="N51" i="75" s="1"/>
  <c r="N289" i="75"/>
  <c r="C187" i="75"/>
  <c r="C130" i="75"/>
  <c r="O289" i="75"/>
  <c r="J51" i="75"/>
  <c r="J50" i="75" s="1"/>
  <c r="F230" i="75"/>
  <c r="C231" i="75"/>
  <c r="F269" i="75"/>
  <c r="C270" i="75"/>
  <c r="F53" i="75"/>
  <c r="M50" i="75"/>
  <c r="M290" i="75"/>
  <c r="C173" i="75"/>
  <c r="D290" i="75"/>
  <c r="D50" i="75"/>
  <c r="C195" i="75"/>
  <c r="H50" i="75"/>
  <c r="H290" i="75"/>
  <c r="C292" i="75"/>
  <c r="C26" i="75"/>
  <c r="L20" i="75"/>
  <c r="C20" i="75" s="1"/>
  <c r="C83" i="75"/>
  <c r="C174" i="75"/>
  <c r="O51" i="75"/>
  <c r="K50" i="75"/>
  <c r="K290" i="75"/>
  <c r="I289" i="75"/>
  <c r="G290" i="75" l="1"/>
  <c r="C230" i="75"/>
  <c r="I290" i="75"/>
  <c r="L51" i="75"/>
  <c r="L50" i="75" s="1"/>
  <c r="J290" i="75"/>
  <c r="L289" i="75"/>
  <c r="C75" i="75"/>
  <c r="E290" i="75"/>
  <c r="E50" i="75"/>
  <c r="N50" i="75"/>
  <c r="N290" i="75"/>
  <c r="L290" i="75"/>
  <c r="F52" i="75"/>
  <c r="C53" i="75"/>
  <c r="C269" i="75"/>
  <c r="F289" i="75"/>
  <c r="O50" i="75"/>
  <c r="O290" i="75"/>
  <c r="F194" i="75"/>
  <c r="C194" i="75" s="1"/>
  <c r="C289" i="75" l="1"/>
  <c r="F51" i="75"/>
  <c r="C52" i="75"/>
  <c r="F290" i="75" l="1"/>
  <c r="C290" i="75" s="1"/>
  <c r="C51" i="75"/>
  <c r="F50" i="75"/>
  <c r="C50" i="75" s="1"/>
  <c r="O301" i="74" l="1"/>
  <c r="L301" i="74"/>
  <c r="I301" i="74"/>
  <c r="F301" i="74"/>
  <c r="O300" i="74"/>
  <c r="L300" i="74"/>
  <c r="I300" i="74"/>
  <c r="F300" i="74"/>
  <c r="O299" i="74"/>
  <c r="L299" i="74"/>
  <c r="I299" i="74"/>
  <c r="F299" i="74"/>
  <c r="O298" i="74"/>
  <c r="L298" i="74"/>
  <c r="I298" i="74"/>
  <c r="F298" i="74"/>
  <c r="O297" i="74"/>
  <c r="L297" i="74"/>
  <c r="I297" i="74"/>
  <c r="F297" i="74"/>
  <c r="O296" i="74"/>
  <c r="L296" i="74"/>
  <c r="I296" i="74"/>
  <c r="F296" i="74"/>
  <c r="O295" i="74"/>
  <c r="L295" i="74"/>
  <c r="I295" i="74"/>
  <c r="F295" i="74"/>
  <c r="O294" i="74"/>
  <c r="L294" i="74"/>
  <c r="I294" i="74"/>
  <c r="I293" i="74" s="1"/>
  <c r="F294" i="74"/>
  <c r="N293" i="74"/>
  <c r="M293" i="74"/>
  <c r="K293" i="74"/>
  <c r="J293" i="74"/>
  <c r="H293" i="74"/>
  <c r="G293" i="74"/>
  <c r="E293" i="74"/>
  <c r="D293" i="74"/>
  <c r="O288" i="74"/>
  <c r="L288" i="74"/>
  <c r="I288" i="74"/>
  <c r="F288" i="74"/>
  <c r="O287" i="74"/>
  <c r="L287" i="74"/>
  <c r="L286" i="74" s="1"/>
  <c r="I287" i="74"/>
  <c r="F287" i="74"/>
  <c r="F286" i="74" s="1"/>
  <c r="O286" i="74"/>
  <c r="N286" i="74"/>
  <c r="M286" i="74"/>
  <c r="K286" i="74"/>
  <c r="J286" i="74"/>
  <c r="H286" i="74"/>
  <c r="G286" i="74"/>
  <c r="E286" i="74"/>
  <c r="D286" i="74"/>
  <c r="O285" i="74"/>
  <c r="L285" i="74"/>
  <c r="L284" i="74" s="1"/>
  <c r="L283" i="74" s="1"/>
  <c r="I285" i="74"/>
  <c r="I284" i="74" s="1"/>
  <c r="I283" i="74" s="1"/>
  <c r="F285" i="74"/>
  <c r="O284" i="74"/>
  <c r="O283" i="74" s="1"/>
  <c r="N284" i="74"/>
  <c r="N283" i="74" s="1"/>
  <c r="M284" i="74"/>
  <c r="M283" i="74" s="1"/>
  <c r="K284" i="74"/>
  <c r="K283" i="74" s="1"/>
  <c r="J284" i="74"/>
  <c r="J283" i="74" s="1"/>
  <c r="H284" i="74"/>
  <c r="H283" i="74" s="1"/>
  <c r="G284" i="74"/>
  <c r="G283" i="74" s="1"/>
  <c r="E284" i="74"/>
  <c r="E283" i="74" s="1"/>
  <c r="D284" i="74"/>
  <c r="D283" i="74" s="1"/>
  <c r="O282" i="74"/>
  <c r="O281" i="74" s="1"/>
  <c r="L282" i="74"/>
  <c r="L281" i="74" s="1"/>
  <c r="I282" i="74"/>
  <c r="I281" i="74" s="1"/>
  <c r="F282" i="74"/>
  <c r="N281" i="74"/>
  <c r="M281" i="74"/>
  <c r="K281" i="74"/>
  <c r="J281" i="74"/>
  <c r="H281" i="74"/>
  <c r="G281" i="74"/>
  <c r="E281" i="74"/>
  <c r="D281" i="74"/>
  <c r="O280" i="74"/>
  <c r="L280" i="74"/>
  <c r="I280" i="74"/>
  <c r="F280" i="74"/>
  <c r="O279" i="74"/>
  <c r="L279" i="74"/>
  <c r="I279" i="74"/>
  <c r="F279" i="74"/>
  <c r="O278" i="74"/>
  <c r="L278" i="74"/>
  <c r="I278" i="74"/>
  <c r="F278" i="74"/>
  <c r="O277" i="74"/>
  <c r="L277" i="74"/>
  <c r="L276" i="74" s="1"/>
  <c r="I277" i="74"/>
  <c r="I276" i="74" s="1"/>
  <c r="F277" i="74"/>
  <c r="N276" i="74"/>
  <c r="M276" i="74"/>
  <c r="K276" i="74"/>
  <c r="J276" i="74"/>
  <c r="H276" i="74"/>
  <c r="G276" i="74"/>
  <c r="E276" i="74"/>
  <c r="D276" i="74"/>
  <c r="O275" i="74"/>
  <c r="L275" i="74"/>
  <c r="I275" i="74"/>
  <c r="F275" i="74"/>
  <c r="O274" i="74"/>
  <c r="L274" i="74"/>
  <c r="I274" i="74"/>
  <c r="F274" i="74"/>
  <c r="O273" i="74"/>
  <c r="L273" i="74"/>
  <c r="I273" i="74"/>
  <c r="F273" i="74"/>
  <c r="N272" i="74"/>
  <c r="N270" i="74" s="1"/>
  <c r="N269" i="74" s="1"/>
  <c r="M272" i="74"/>
  <c r="K272" i="74"/>
  <c r="J272" i="74"/>
  <c r="H272" i="74"/>
  <c r="G272" i="74"/>
  <c r="E272" i="74"/>
  <c r="D272" i="74"/>
  <c r="O271" i="74"/>
  <c r="L271" i="74"/>
  <c r="I271" i="74"/>
  <c r="F271" i="74"/>
  <c r="K270" i="74"/>
  <c r="K269" i="74" s="1"/>
  <c r="D270" i="74"/>
  <c r="O268" i="74"/>
  <c r="L268" i="74"/>
  <c r="I268" i="74"/>
  <c r="F268" i="74"/>
  <c r="O267" i="74"/>
  <c r="L267" i="74"/>
  <c r="I267" i="74"/>
  <c r="F267" i="74"/>
  <c r="O266" i="74"/>
  <c r="L266" i="74"/>
  <c r="I266" i="74"/>
  <c r="F266" i="74"/>
  <c r="O265" i="74"/>
  <c r="L265" i="74"/>
  <c r="I265" i="74"/>
  <c r="F265" i="74"/>
  <c r="N264" i="74"/>
  <c r="M264" i="74"/>
  <c r="K264" i="74"/>
  <c r="J264" i="74"/>
  <c r="H264" i="74"/>
  <c r="G264" i="74"/>
  <c r="E264" i="74"/>
  <c r="D264" i="74"/>
  <c r="O263" i="74"/>
  <c r="L263" i="74"/>
  <c r="I263" i="74"/>
  <c r="F263" i="74"/>
  <c r="O262" i="74"/>
  <c r="L262" i="74"/>
  <c r="I262" i="74"/>
  <c r="F262" i="74"/>
  <c r="O261" i="74"/>
  <c r="L261" i="74"/>
  <c r="I261" i="74"/>
  <c r="F261" i="74"/>
  <c r="N260" i="74"/>
  <c r="M260" i="74"/>
  <c r="K260" i="74"/>
  <c r="J260" i="74"/>
  <c r="H260" i="74"/>
  <c r="G260" i="74"/>
  <c r="E260" i="74"/>
  <c r="E259" i="74" s="1"/>
  <c r="D260" i="74"/>
  <c r="H259" i="74"/>
  <c r="O258" i="74"/>
  <c r="L258" i="74"/>
  <c r="I258" i="74"/>
  <c r="F258" i="74"/>
  <c r="O257" i="74"/>
  <c r="L257" i="74"/>
  <c r="I257" i="74"/>
  <c r="F257" i="74"/>
  <c r="O256" i="74"/>
  <c r="L256" i="74"/>
  <c r="I256" i="74"/>
  <c r="F256" i="74"/>
  <c r="O255" i="74"/>
  <c r="L255" i="74"/>
  <c r="I255" i="74"/>
  <c r="F255" i="74"/>
  <c r="O254" i="74"/>
  <c r="L254" i="74"/>
  <c r="I254" i="74"/>
  <c r="F254" i="74"/>
  <c r="O253" i="74"/>
  <c r="L253" i="74"/>
  <c r="I253" i="74"/>
  <c r="I252" i="74" s="1"/>
  <c r="I251" i="74" s="1"/>
  <c r="F253" i="74"/>
  <c r="N252" i="74"/>
  <c r="N251" i="74" s="1"/>
  <c r="M252" i="74"/>
  <c r="M251" i="74" s="1"/>
  <c r="K252" i="74"/>
  <c r="K251" i="74" s="1"/>
  <c r="J252" i="74"/>
  <c r="H252" i="74"/>
  <c r="G252" i="74"/>
  <c r="G251" i="74" s="1"/>
  <c r="E252" i="74"/>
  <c r="E251" i="74" s="1"/>
  <c r="D252" i="74"/>
  <c r="D251" i="74" s="1"/>
  <c r="J251" i="74"/>
  <c r="H251" i="74"/>
  <c r="O250" i="74"/>
  <c r="L250" i="74"/>
  <c r="I250" i="74"/>
  <c r="F250" i="74"/>
  <c r="O249" i="74"/>
  <c r="L249" i="74"/>
  <c r="I249" i="74"/>
  <c r="F249" i="74"/>
  <c r="O248" i="74"/>
  <c r="L248" i="74"/>
  <c r="I248" i="74"/>
  <c r="F248" i="74"/>
  <c r="O247" i="74"/>
  <c r="L247" i="74"/>
  <c r="I247" i="74"/>
  <c r="F247" i="74"/>
  <c r="O246" i="74"/>
  <c r="N246" i="74"/>
  <c r="M246" i="74"/>
  <c r="K246" i="74"/>
  <c r="J246" i="74"/>
  <c r="H246" i="74"/>
  <c r="G246" i="74"/>
  <c r="E246" i="74"/>
  <c r="D246" i="74"/>
  <c r="O245" i="74"/>
  <c r="L245" i="74"/>
  <c r="I245" i="74"/>
  <c r="F245" i="74"/>
  <c r="O244" i="74"/>
  <c r="L244" i="74"/>
  <c r="I244" i="74"/>
  <c r="F244" i="74"/>
  <c r="O243" i="74"/>
  <c r="L243" i="74"/>
  <c r="I243" i="74"/>
  <c r="F243" i="74"/>
  <c r="O242" i="74"/>
  <c r="L242" i="74"/>
  <c r="I242" i="74"/>
  <c r="F242" i="74"/>
  <c r="O241" i="74"/>
  <c r="L241" i="74"/>
  <c r="I241" i="74"/>
  <c r="F241" i="74"/>
  <c r="O240" i="74"/>
  <c r="L240" i="74"/>
  <c r="I240" i="74"/>
  <c r="F240" i="74"/>
  <c r="O239" i="74"/>
  <c r="L239" i="74"/>
  <c r="I239" i="74"/>
  <c r="F239" i="74"/>
  <c r="O238" i="74"/>
  <c r="N238" i="74"/>
  <c r="M238" i="74"/>
  <c r="K238" i="74"/>
  <c r="J238" i="74"/>
  <c r="H238" i="74"/>
  <c r="G238" i="74"/>
  <c r="E238" i="74"/>
  <c r="D238" i="74"/>
  <c r="O237" i="74"/>
  <c r="L237" i="74"/>
  <c r="I237" i="74"/>
  <c r="F237" i="74"/>
  <c r="O236" i="74"/>
  <c r="O235" i="74" s="1"/>
  <c r="L236" i="74"/>
  <c r="L235" i="74" s="1"/>
  <c r="I236" i="74"/>
  <c r="F236" i="74"/>
  <c r="N235" i="74"/>
  <c r="M235" i="74"/>
  <c r="K235" i="74"/>
  <c r="J235" i="74"/>
  <c r="H235" i="74"/>
  <c r="G235" i="74"/>
  <c r="F235" i="74"/>
  <c r="E235" i="74"/>
  <c r="D235" i="74"/>
  <c r="O234" i="74"/>
  <c r="O233" i="74" s="1"/>
  <c r="L234" i="74"/>
  <c r="L233" i="74" s="1"/>
  <c r="I234" i="74"/>
  <c r="I233" i="74" s="1"/>
  <c r="F234" i="74"/>
  <c r="N233" i="74"/>
  <c r="M233" i="74"/>
  <c r="K233" i="74"/>
  <c r="J233" i="74"/>
  <c r="H233" i="74"/>
  <c r="G233" i="74"/>
  <c r="E233" i="74"/>
  <c r="D233" i="74"/>
  <c r="O232" i="74"/>
  <c r="L232" i="74"/>
  <c r="I232" i="74"/>
  <c r="F232" i="74"/>
  <c r="O229" i="74"/>
  <c r="L229" i="74"/>
  <c r="I229" i="74"/>
  <c r="F229" i="74"/>
  <c r="O228" i="74"/>
  <c r="O227" i="74" s="1"/>
  <c r="L228" i="74"/>
  <c r="L227" i="74" s="1"/>
  <c r="I228" i="74"/>
  <c r="I227" i="74" s="1"/>
  <c r="F228" i="74"/>
  <c r="N227" i="74"/>
  <c r="M227" i="74"/>
  <c r="K227" i="74"/>
  <c r="J227" i="74"/>
  <c r="H227" i="74"/>
  <c r="G227" i="74"/>
  <c r="F227" i="74"/>
  <c r="E227" i="74"/>
  <c r="D227" i="74"/>
  <c r="O226" i="74"/>
  <c r="L226" i="74"/>
  <c r="I226" i="74"/>
  <c r="F226" i="74"/>
  <c r="O225" i="74"/>
  <c r="L225" i="74"/>
  <c r="I225" i="74"/>
  <c r="F225" i="74"/>
  <c r="O224" i="74"/>
  <c r="L224" i="74"/>
  <c r="I224" i="74"/>
  <c r="F224" i="74"/>
  <c r="O223" i="74"/>
  <c r="L223" i="74"/>
  <c r="I223" i="74"/>
  <c r="F223" i="74"/>
  <c r="O222" i="74"/>
  <c r="L222" i="74"/>
  <c r="I222" i="74"/>
  <c r="F222" i="74"/>
  <c r="O221" i="74"/>
  <c r="L221" i="74"/>
  <c r="I221" i="74"/>
  <c r="F221" i="74"/>
  <c r="O220" i="74"/>
  <c r="L220" i="74"/>
  <c r="I220" i="74"/>
  <c r="F220" i="74"/>
  <c r="O219" i="74"/>
  <c r="L219" i="74"/>
  <c r="I219" i="74"/>
  <c r="F219" i="74"/>
  <c r="O218" i="74"/>
  <c r="L218" i="74"/>
  <c r="I218" i="74"/>
  <c r="F218" i="74"/>
  <c r="O217" i="74"/>
  <c r="L217" i="74"/>
  <c r="I217" i="74"/>
  <c r="F217" i="74"/>
  <c r="N216" i="74"/>
  <c r="M216" i="74"/>
  <c r="K216" i="74"/>
  <c r="J216" i="74"/>
  <c r="H216" i="74"/>
  <c r="G216" i="74"/>
  <c r="E216" i="74"/>
  <c r="D216" i="74"/>
  <c r="O215" i="74"/>
  <c r="L215" i="74"/>
  <c r="I215" i="74"/>
  <c r="F215" i="74"/>
  <c r="O214" i="74"/>
  <c r="L214" i="74"/>
  <c r="I214" i="74"/>
  <c r="F214" i="74"/>
  <c r="O213" i="74"/>
  <c r="L213" i="74"/>
  <c r="I213" i="74"/>
  <c r="F213" i="74"/>
  <c r="O212" i="74"/>
  <c r="L212" i="74"/>
  <c r="I212" i="74"/>
  <c r="F212" i="74"/>
  <c r="O211" i="74"/>
  <c r="L211" i="74"/>
  <c r="I211" i="74"/>
  <c r="F211" i="74"/>
  <c r="O210" i="74"/>
  <c r="L210" i="74"/>
  <c r="I210" i="74"/>
  <c r="F210" i="74"/>
  <c r="O209" i="74"/>
  <c r="L209" i="74"/>
  <c r="I209" i="74"/>
  <c r="F209" i="74"/>
  <c r="O208" i="74"/>
  <c r="L208" i="74"/>
  <c r="I208" i="74"/>
  <c r="F208" i="74"/>
  <c r="O207" i="74"/>
  <c r="L207" i="74"/>
  <c r="I207" i="74"/>
  <c r="F207" i="74"/>
  <c r="O206" i="74"/>
  <c r="L206" i="74"/>
  <c r="I206" i="74"/>
  <c r="F206" i="74"/>
  <c r="N205" i="74"/>
  <c r="M205" i="74"/>
  <c r="K205" i="74"/>
  <c r="K204" i="74" s="1"/>
  <c r="J205" i="74"/>
  <c r="H205" i="74"/>
  <c r="G205" i="74"/>
  <c r="E205" i="74"/>
  <c r="E204" i="74" s="1"/>
  <c r="D205" i="74"/>
  <c r="O203" i="74"/>
  <c r="L203" i="74"/>
  <c r="I203" i="74"/>
  <c r="F203" i="74"/>
  <c r="O202" i="74"/>
  <c r="L202" i="74"/>
  <c r="I202" i="74"/>
  <c r="F202" i="74"/>
  <c r="O201" i="74"/>
  <c r="L201" i="74"/>
  <c r="I201" i="74"/>
  <c r="F201" i="74"/>
  <c r="O200" i="74"/>
  <c r="L200" i="74"/>
  <c r="I200" i="74"/>
  <c r="F200" i="74"/>
  <c r="O199" i="74"/>
  <c r="O198" i="74" s="1"/>
  <c r="L199" i="74"/>
  <c r="L198" i="74" s="1"/>
  <c r="I199" i="74"/>
  <c r="F199" i="74"/>
  <c r="F198" i="74" s="1"/>
  <c r="N198" i="74"/>
  <c r="M198" i="74"/>
  <c r="K198" i="74"/>
  <c r="K196" i="74" s="1"/>
  <c r="J198" i="74"/>
  <c r="J196" i="74" s="1"/>
  <c r="H198" i="74"/>
  <c r="H196" i="74" s="1"/>
  <c r="G198" i="74"/>
  <c r="G196" i="74" s="1"/>
  <c r="E198" i="74"/>
  <c r="E196" i="74" s="1"/>
  <c r="D198" i="74"/>
  <c r="D196" i="74" s="1"/>
  <c r="O197" i="74"/>
  <c r="L197" i="74"/>
  <c r="I197" i="74"/>
  <c r="F197" i="74"/>
  <c r="N196" i="74"/>
  <c r="M196" i="74"/>
  <c r="O193" i="74"/>
  <c r="O192" i="74" s="1"/>
  <c r="O191" i="74" s="1"/>
  <c r="L193" i="74"/>
  <c r="L192" i="74" s="1"/>
  <c r="L191" i="74" s="1"/>
  <c r="I193" i="74"/>
  <c r="F193" i="74"/>
  <c r="F192" i="74" s="1"/>
  <c r="N192" i="74"/>
  <c r="N191" i="74" s="1"/>
  <c r="M192" i="74"/>
  <c r="M191" i="74" s="1"/>
  <c r="K192" i="74"/>
  <c r="K191" i="74" s="1"/>
  <c r="J192" i="74"/>
  <c r="J191" i="74" s="1"/>
  <c r="H192" i="74"/>
  <c r="H191" i="74" s="1"/>
  <c r="G192" i="74"/>
  <c r="G191" i="74" s="1"/>
  <c r="E192" i="74"/>
  <c r="E191" i="74" s="1"/>
  <c r="D192" i="74"/>
  <c r="D191" i="74" s="1"/>
  <c r="O190" i="74"/>
  <c r="L190" i="74"/>
  <c r="I190" i="74"/>
  <c r="F190" i="74"/>
  <c r="O189" i="74"/>
  <c r="O188" i="74" s="1"/>
  <c r="L189" i="74"/>
  <c r="I189" i="74"/>
  <c r="F189" i="74"/>
  <c r="N188" i="74"/>
  <c r="M188" i="74"/>
  <c r="L188" i="74"/>
  <c r="K188" i="74"/>
  <c r="J188" i="74"/>
  <c r="H188" i="74"/>
  <c r="G188" i="74"/>
  <c r="F188" i="74"/>
  <c r="E188" i="74"/>
  <c r="D188" i="74"/>
  <c r="O186" i="74"/>
  <c r="L186" i="74"/>
  <c r="I186" i="74"/>
  <c r="F186" i="74"/>
  <c r="O185" i="74"/>
  <c r="O184" i="74" s="1"/>
  <c r="L185" i="74"/>
  <c r="L184" i="74" s="1"/>
  <c r="I185" i="74"/>
  <c r="F185" i="74"/>
  <c r="N184" i="74"/>
  <c r="M184" i="74"/>
  <c r="K184" i="74"/>
  <c r="J184" i="74"/>
  <c r="H184" i="74"/>
  <c r="G184" i="74"/>
  <c r="E184" i="74"/>
  <c r="D184" i="74"/>
  <c r="O183" i="74"/>
  <c r="L183" i="74"/>
  <c r="I183" i="74"/>
  <c r="F183" i="74"/>
  <c r="O182" i="74"/>
  <c r="L182" i="74"/>
  <c r="I182" i="74"/>
  <c r="F182" i="74"/>
  <c r="O181" i="74"/>
  <c r="L181" i="74"/>
  <c r="I181" i="74"/>
  <c r="F181" i="74"/>
  <c r="O180" i="74"/>
  <c r="L180" i="74"/>
  <c r="I180" i="74"/>
  <c r="F180" i="74"/>
  <c r="N179" i="74"/>
  <c r="M179" i="74"/>
  <c r="K179" i="74"/>
  <c r="J179" i="74"/>
  <c r="H179" i="74"/>
  <c r="G179" i="74"/>
  <c r="E179" i="74"/>
  <c r="D179" i="74"/>
  <c r="O178" i="74"/>
  <c r="L178" i="74"/>
  <c r="I178" i="74"/>
  <c r="F178" i="74"/>
  <c r="O177" i="74"/>
  <c r="L177" i="74"/>
  <c r="I177" i="74"/>
  <c r="F177" i="74"/>
  <c r="O176" i="74"/>
  <c r="L176" i="74"/>
  <c r="I176" i="74"/>
  <c r="I175" i="74" s="1"/>
  <c r="F176" i="74"/>
  <c r="N175" i="74"/>
  <c r="M175" i="74"/>
  <c r="M174" i="74" s="1"/>
  <c r="K175" i="74"/>
  <c r="J175" i="74"/>
  <c r="H175" i="74"/>
  <c r="H174" i="74" s="1"/>
  <c r="G175" i="74"/>
  <c r="G174" i="74" s="1"/>
  <c r="E175" i="74"/>
  <c r="D175" i="74"/>
  <c r="D174" i="74" s="1"/>
  <c r="D173" i="74" s="1"/>
  <c r="N174" i="74"/>
  <c r="N173" i="74" s="1"/>
  <c r="K174" i="74"/>
  <c r="K173" i="74" s="1"/>
  <c r="O172" i="74"/>
  <c r="L172" i="74"/>
  <c r="I172" i="74"/>
  <c r="F172" i="74"/>
  <c r="O171" i="74"/>
  <c r="L171" i="74"/>
  <c r="I171" i="74"/>
  <c r="F171" i="74"/>
  <c r="O170" i="74"/>
  <c r="L170" i="74"/>
  <c r="I170" i="74"/>
  <c r="F170" i="74"/>
  <c r="O169" i="74"/>
  <c r="L169" i="74"/>
  <c r="I169" i="74"/>
  <c r="F169" i="74"/>
  <c r="O168" i="74"/>
  <c r="L168" i="74"/>
  <c r="I168" i="74"/>
  <c r="F168" i="74"/>
  <c r="O167" i="74"/>
  <c r="L167" i="74"/>
  <c r="I167" i="74"/>
  <c r="F167" i="74"/>
  <c r="N166" i="74"/>
  <c r="N165" i="74" s="1"/>
  <c r="M166" i="74"/>
  <c r="M165" i="74" s="1"/>
  <c r="K166" i="74"/>
  <c r="K165" i="74" s="1"/>
  <c r="J166" i="74"/>
  <c r="J165" i="74" s="1"/>
  <c r="H166" i="74"/>
  <c r="G166" i="74"/>
  <c r="G165" i="74" s="1"/>
  <c r="E166" i="74"/>
  <c r="E165" i="74" s="1"/>
  <c r="D166" i="74"/>
  <c r="D165" i="74" s="1"/>
  <c r="H165" i="74"/>
  <c r="O164" i="74"/>
  <c r="L164" i="74"/>
  <c r="I164" i="74"/>
  <c r="F164" i="74"/>
  <c r="O163" i="74"/>
  <c r="L163" i="74"/>
  <c r="I163" i="74"/>
  <c r="F163" i="74"/>
  <c r="O162" i="74"/>
  <c r="L162" i="74"/>
  <c r="I162" i="74"/>
  <c r="F162" i="74"/>
  <c r="O161" i="74"/>
  <c r="O160" i="74" s="1"/>
  <c r="L161" i="74"/>
  <c r="L160" i="74" s="1"/>
  <c r="I161" i="74"/>
  <c r="F161" i="74"/>
  <c r="N160" i="74"/>
  <c r="M160" i="74"/>
  <c r="K160" i="74"/>
  <c r="J160" i="74"/>
  <c r="H160" i="74"/>
  <c r="G160" i="74"/>
  <c r="E160" i="74"/>
  <c r="D160" i="74"/>
  <c r="O159" i="74"/>
  <c r="L159" i="74"/>
  <c r="I159" i="74"/>
  <c r="F159" i="74"/>
  <c r="O158" i="74"/>
  <c r="L158" i="74"/>
  <c r="I158" i="74"/>
  <c r="F158" i="74"/>
  <c r="O157" i="74"/>
  <c r="L157" i="74"/>
  <c r="I157" i="74"/>
  <c r="F157" i="74"/>
  <c r="O156" i="74"/>
  <c r="L156" i="74"/>
  <c r="I156" i="74"/>
  <c r="F156" i="74"/>
  <c r="O155" i="74"/>
  <c r="L155" i="74"/>
  <c r="I155" i="74"/>
  <c r="F155" i="74"/>
  <c r="O154" i="74"/>
  <c r="L154" i="74"/>
  <c r="I154" i="74"/>
  <c r="F154" i="74"/>
  <c r="O153" i="74"/>
  <c r="L153" i="74"/>
  <c r="I153" i="74"/>
  <c r="F153" i="74"/>
  <c r="O152" i="74"/>
  <c r="L152" i="74"/>
  <c r="I152" i="74"/>
  <c r="F152" i="74"/>
  <c r="N151" i="74"/>
  <c r="M151" i="74"/>
  <c r="K151" i="74"/>
  <c r="J151" i="74"/>
  <c r="H151" i="74"/>
  <c r="G151" i="74"/>
  <c r="E151" i="74"/>
  <c r="D151" i="74"/>
  <c r="O150" i="74"/>
  <c r="L150" i="74"/>
  <c r="I150" i="74"/>
  <c r="F150" i="74"/>
  <c r="O149" i="74"/>
  <c r="L149" i="74"/>
  <c r="I149" i="74"/>
  <c r="F149" i="74"/>
  <c r="O148" i="74"/>
  <c r="L148" i="74"/>
  <c r="I148" i="74"/>
  <c r="F148" i="74"/>
  <c r="O147" i="74"/>
  <c r="L147" i="74"/>
  <c r="I147" i="74"/>
  <c r="F147" i="74"/>
  <c r="O146" i="74"/>
  <c r="L146" i="74"/>
  <c r="I146" i="74"/>
  <c r="F146" i="74"/>
  <c r="O145" i="74"/>
  <c r="L145" i="74"/>
  <c r="L144" i="74" s="1"/>
  <c r="I145" i="74"/>
  <c r="F145" i="74"/>
  <c r="N144" i="74"/>
  <c r="M144" i="74"/>
  <c r="K144" i="74"/>
  <c r="J144" i="74"/>
  <c r="H144" i="74"/>
  <c r="G144" i="74"/>
  <c r="E144" i="74"/>
  <c r="D144" i="74"/>
  <c r="O143" i="74"/>
  <c r="L143" i="74"/>
  <c r="I143" i="74"/>
  <c r="F143" i="74"/>
  <c r="O142" i="74"/>
  <c r="L142" i="74"/>
  <c r="L141" i="74" s="1"/>
  <c r="I142" i="74"/>
  <c r="I141" i="74" s="1"/>
  <c r="F142" i="74"/>
  <c r="O141" i="74"/>
  <c r="N141" i="74"/>
  <c r="M141" i="74"/>
  <c r="K141" i="74"/>
  <c r="J141" i="74"/>
  <c r="H141" i="74"/>
  <c r="G141" i="74"/>
  <c r="F141" i="74"/>
  <c r="E141" i="74"/>
  <c r="D141" i="74"/>
  <c r="O140" i="74"/>
  <c r="L140" i="74"/>
  <c r="I140" i="74"/>
  <c r="F140" i="74"/>
  <c r="O139" i="74"/>
  <c r="L139" i="74"/>
  <c r="I139" i="74"/>
  <c r="F139" i="74"/>
  <c r="O138" i="74"/>
  <c r="L138" i="74"/>
  <c r="I138" i="74"/>
  <c r="F138" i="74"/>
  <c r="O137" i="74"/>
  <c r="O136" i="74" s="1"/>
  <c r="L137" i="74"/>
  <c r="L136" i="74" s="1"/>
  <c r="I137" i="74"/>
  <c r="F137" i="74"/>
  <c r="N136" i="74"/>
  <c r="M136" i="74"/>
  <c r="K136" i="74"/>
  <c r="J136" i="74"/>
  <c r="H136" i="74"/>
  <c r="G136" i="74"/>
  <c r="E136" i="74"/>
  <c r="D136" i="74"/>
  <c r="O135" i="74"/>
  <c r="L135" i="74"/>
  <c r="I135" i="74"/>
  <c r="F135" i="74"/>
  <c r="O134" i="74"/>
  <c r="L134" i="74"/>
  <c r="I134" i="74"/>
  <c r="F134" i="74"/>
  <c r="O133" i="74"/>
  <c r="L133" i="74"/>
  <c r="I133" i="74"/>
  <c r="F133" i="74"/>
  <c r="O132" i="74"/>
  <c r="L132" i="74"/>
  <c r="I132" i="74"/>
  <c r="F132" i="74"/>
  <c r="N131" i="74"/>
  <c r="M131" i="74"/>
  <c r="K131" i="74"/>
  <c r="J131" i="74"/>
  <c r="H131" i="74"/>
  <c r="G131" i="74"/>
  <c r="E131" i="74"/>
  <c r="D131" i="74"/>
  <c r="O129" i="74"/>
  <c r="O128" i="74" s="1"/>
  <c r="L129" i="74"/>
  <c r="I129" i="74"/>
  <c r="I128" i="74" s="1"/>
  <c r="F129" i="74"/>
  <c r="N128" i="74"/>
  <c r="M128" i="74"/>
  <c r="L128" i="74"/>
  <c r="K128" i="74"/>
  <c r="J128" i="74"/>
  <c r="H128" i="74"/>
  <c r="G128" i="74"/>
  <c r="E128" i="74"/>
  <c r="D128" i="74"/>
  <c r="O127" i="74"/>
  <c r="L127" i="74"/>
  <c r="I127" i="74"/>
  <c r="F127" i="74"/>
  <c r="O126" i="74"/>
  <c r="L126" i="74"/>
  <c r="I126" i="74"/>
  <c r="F126" i="74"/>
  <c r="O125" i="74"/>
  <c r="L125" i="74"/>
  <c r="I125" i="74"/>
  <c r="F125" i="74"/>
  <c r="O124" i="74"/>
  <c r="L124" i="74"/>
  <c r="I124" i="74"/>
  <c r="F124" i="74"/>
  <c r="O123" i="74"/>
  <c r="L123" i="74"/>
  <c r="I123" i="74"/>
  <c r="I122" i="74" s="1"/>
  <c r="F123" i="74"/>
  <c r="N122" i="74"/>
  <c r="M122" i="74"/>
  <c r="K122" i="74"/>
  <c r="J122" i="74"/>
  <c r="H122" i="74"/>
  <c r="G122" i="74"/>
  <c r="F122" i="74"/>
  <c r="E122" i="74"/>
  <c r="D122" i="74"/>
  <c r="O121" i="74"/>
  <c r="L121" i="74"/>
  <c r="I121" i="74"/>
  <c r="F121" i="74"/>
  <c r="O120" i="74"/>
  <c r="L120" i="74"/>
  <c r="I120" i="74"/>
  <c r="F120" i="74"/>
  <c r="O119" i="74"/>
  <c r="L119" i="74"/>
  <c r="I119" i="74"/>
  <c r="F119" i="74"/>
  <c r="O118" i="74"/>
  <c r="L118" i="74"/>
  <c r="I118" i="74"/>
  <c r="F118" i="74"/>
  <c r="O117" i="74"/>
  <c r="O116" i="74" s="1"/>
  <c r="L117" i="74"/>
  <c r="I117" i="74"/>
  <c r="F117" i="74"/>
  <c r="N116" i="74"/>
  <c r="M116" i="74"/>
  <c r="K116" i="74"/>
  <c r="J116" i="74"/>
  <c r="H116" i="74"/>
  <c r="G116" i="74"/>
  <c r="E116" i="74"/>
  <c r="D116" i="74"/>
  <c r="O115" i="74"/>
  <c r="L115" i="74"/>
  <c r="I115" i="74"/>
  <c r="F115" i="74"/>
  <c r="O114" i="74"/>
  <c r="L114" i="74"/>
  <c r="I114" i="74"/>
  <c r="F114" i="74"/>
  <c r="O113" i="74"/>
  <c r="O112" i="74" s="1"/>
  <c r="L113" i="74"/>
  <c r="L112" i="74" s="1"/>
  <c r="I113" i="74"/>
  <c r="F113" i="74"/>
  <c r="N112" i="74"/>
  <c r="M112" i="74"/>
  <c r="K112" i="74"/>
  <c r="J112" i="74"/>
  <c r="H112" i="74"/>
  <c r="G112" i="74"/>
  <c r="E112" i="74"/>
  <c r="D112" i="74"/>
  <c r="O111" i="74"/>
  <c r="L111" i="74"/>
  <c r="I111" i="74"/>
  <c r="F111" i="74"/>
  <c r="O110" i="74"/>
  <c r="L110" i="74"/>
  <c r="I110" i="74"/>
  <c r="F110" i="74"/>
  <c r="O109" i="74"/>
  <c r="L109" i="74"/>
  <c r="I109" i="74"/>
  <c r="F109" i="74"/>
  <c r="O108" i="74"/>
  <c r="L108" i="74"/>
  <c r="I108" i="74"/>
  <c r="F108" i="74"/>
  <c r="O107" i="74"/>
  <c r="L107" i="74"/>
  <c r="I107" i="74"/>
  <c r="F107" i="74"/>
  <c r="O106" i="74"/>
  <c r="L106" i="74"/>
  <c r="I106" i="74"/>
  <c r="F106" i="74"/>
  <c r="O105" i="74"/>
  <c r="L105" i="74"/>
  <c r="I105" i="74"/>
  <c r="F105" i="74"/>
  <c r="O104" i="74"/>
  <c r="O103" i="74" s="1"/>
  <c r="L104" i="74"/>
  <c r="I104" i="74"/>
  <c r="F104" i="74"/>
  <c r="N103" i="74"/>
  <c r="M103" i="74"/>
  <c r="K103" i="74"/>
  <c r="J103" i="74"/>
  <c r="I103" i="74"/>
  <c r="H103" i="74"/>
  <c r="G103" i="74"/>
  <c r="E103" i="74"/>
  <c r="D103" i="74"/>
  <c r="O102" i="74"/>
  <c r="L102" i="74"/>
  <c r="I102" i="74"/>
  <c r="F102" i="74"/>
  <c r="O101" i="74"/>
  <c r="L101" i="74"/>
  <c r="I101" i="74"/>
  <c r="F101" i="74"/>
  <c r="O100" i="74"/>
  <c r="L100" i="74"/>
  <c r="I100" i="74"/>
  <c r="F100" i="74"/>
  <c r="O99" i="74"/>
  <c r="L99" i="74"/>
  <c r="I99" i="74"/>
  <c r="F99" i="74"/>
  <c r="O98" i="74"/>
  <c r="L98" i="74"/>
  <c r="I98" i="74"/>
  <c r="F98" i="74"/>
  <c r="O97" i="74"/>
  <c r="L97" i="74"/>
  <c r="I97" i="74"/>
  <c r="F97" i="74"/>
  <c r="O96" i="74"/>
  <c r="L96" i="74"/>
  <c r="I96" i="74"/>
  <c r="I95" i="74" s="1"/>
  <c r="F96" i="74"/>
  <c r="N95" i="74"/>
  <c r="M95" i="74"/>
  <c r="K95" i="74"/>
  <c r="J95" i="74"/>
  <c r="H95" i="74"/>
  <c r="G95" i="74"/>
  <c r="E95" i="74"/>
  <c r="D95" i="74"/>
  <c r="O94" i="74"/>
  <c r="L94" i="74"/>
  <c r="I94" i="74"/>
  <c r="F94" i="74"/>
  <c r="O93" i="74"/>
  <c r="L93" i="74"/>
  <c r="I93" i="74"/>
  <c r="F93" i="74"/>
  <c r="O92" i="74"/>
  <c r="L92" i="74"/>
  <c r="I92" i="74"/>
  <c r="F92" i="74"/>
  <c r="O91" i="74"/>
  <c r="L91" i="74"/>
  <c r="I91" i="74"/>
  <c r="F91" i="74"/>
  <c r="O90" i="74"/>
  <c r="L90" i="74"/>
  <c r="I90" i="74"/>
  <c r="F90" i="74"/>
  <c r="N89" i="74"/>
  <c r="M89" i="74"/>
  <c r="K89" i="74"/>
  <c r="J89" i="74"/>
  <c r="H89" i="74"/>
  <c r="G89" i="74"/>
  <c r="E89" i="74"/>
  <c r="D89" i="74"/>
  <c r="O88" i="74"/>
  <c r="L88" i="74"/>
  <c r="I88" i="74"/>
  <c r="F88" i="74"/>
  <c r="O87" i="74"/>
  <c r="L87" i="74"/>
  <c r="I87" i="74"/>
  <c r="F87" i="74"/>
  <c r="O86" i="74"/>
  <c r="L86" i="74"/>
  <c r="I86" i="74"/>
  <c r="F86" i="74"/>
  <c r="O85" i="74"/>
  <c r="L85" i="74"/>
  <c r="L84" i="74" s="1"/>
  <c r="I85" i="74"/>
  <c r="F85" i="74"/>
  <c r="N84" i="74"/>
  <c r="M84" i="74"/>
  <c r="K84" i="74"/>
  <c r="J84" i="74"/>
  <c r="H84" i="74"/>
  <c r="G84" i="74"/>
  <c r="E84" i="74"/>
  <c r="D84" i="74"/>
  <c r="O82" i="74"/>
  <c r="L82" i="74"/>
  <c r="I82" i="74"/>
  <c r="F82" i="74"/>
  <c r="O81" i="74"/>
  <c r="L81" i="74"/>
  <c r="L80" i="74" s="1"/>
  <c r="I81" i="74"/>
  <c r="F81" i="74"/>
  <c r="F80" i="74" s="1"/>
  <c r="N80" i="74"/>
  <c r="M80" i="74"/>
  <c r="K80" i="74"/>
  <c r="J80" i="74"/>
  <c r="H80" i="74"/>
  <c r="G80" i="74"/>
  <c r="E80" i="74"/>
  <c r="D80" i="74"/>
  <c r="O79" i="74"/>
  <c r="L79" i="74"/>
  <c r="I79" i="74"/>
  <c r="F79" i="74"/>
  <c r="O78" i="74"/>
  <c r="O77" i="74" s="1"/>
  <c r="L78" i="74"/>
  <c r="L77" i="74" s="1"/>
  <c r="L76" i="74" s="1"/>
  <c r="I78" i="74"/>
  <c r="F78" i="74"/>
  <c r="F77" i="74" s="1"/>
  <c r="N77" i="74"/>
  <c r="N76" i="74" s="1"/>
  <c r="M77" i="74"/>
  <c r="M76" i="74" s="1"/>
  <c r="K77" i="74"/>
  <c r="J77" i="74"/>
  <c r="H77" i="74"/>
  <c r="H76" i="74" s="1"/>
  <c r="G77" i="74"/>
  <c r="G76" i="74" s="1"/>
  <c r="E77" i="74"/>
  <c r="E76" i="74" s="1"/>
  <c r="D77" i="74"/>
  <c r="O74" i="74"/>
  <c r="L74" i="74"/>
  <c r="I74" i="74"/>
  <c r="F74" i="74"/>
  <c r="O73" i="74"/>
  <c r="L73" i="74"/>
  <c r="I73" i="74"/>
  <c r="F73" i="74"/>
  <c r="O72" i="74"/>
  <c r="L72" i="74"/>
  <c r="I72" i="74"/>
  <c r="F72" i="74"/>
  <c r="O71" i="74"/>
  <c r="L71" i="74"/>
  <c r="I71" i="74"/>
  <c r="F71" i="74"/>
  <c r="O70" i="74"/>
  <c r="L70" i="74"/>
  <c r="I70" i="74"/>
  <c r="F70" i="74"/>
  <c r="F69" i="74" s="1"/>
  <c r="N69" i="74"/>
  <c r="N67" i="74" s="1"/>
  <c r="M69" i="74"/>
  <c r="M67" i="74" s="1"/>
  <c r="K69" i="74"/>
  <c r="K67" i="74" s="1"/>
  <c r="J69" i="74"/>
  <c r="J67" i="74" s="1"/>
  <c r="J53" i="74" s="1"/>
  <c r="H69" i="74"/>
  <c r="H67" i="74" s="1"/>
  <c r="G69" i="74"/>
  <c r="E69" i="74"/>
  <c r="E67" i="74" s="1"/>
  <c r="D69" i="74"/>
  <c r="D67" i="74" s="1"/>
  <c r="O68" i="74"/>
  <c r="L68" i="74"/>
  <c r="I68" i="74"/>
  <c r="F68" i="74"/>
  <c r="G67" i="74"/>
  <c r="O66" i="74"/>
  <c r="L66" i="74"/>
  <c r="I66" i="74"/>
  <c r="F66" i="74"/>
  <c r="O65" i="74"/>
  <c r="L65" i="74"/>
  <c r="I65" i="74"/>
  <c r="F65" i="74"/>
  <c r="O64" i="74"/>
  <c r="L64" i="74"/>
  <c r="I64" i="74"/>
  <c r="F64" i="74"/>
  <c r="O63" i="74"/>
  <c r="L63" i="74"/>
  <c r="I63" i="74"/>
  <c r="F63" i="74"/>
  <c r="O62" i="74"/>
  <c r="L62" i="74"/>
  <c r="I62" i="74"/>
  <c r="F62" i="74"/>
  <c r="O61" i="74"/>
  <c r="L61" i="74"/>
  <c r="I61" i="74"/>
  <c r="F61" i="74"/>
  <c r="O60" i="74"/>
  <c r="L60" i="74"/>
  <c r="I60" i="74"/>
  <c r="F60" i="74"/>
  <c r="O59" i="74"/>
  <c r="L59" i="74"/>
  <c r="I59" i="74"/>
  <c r="I58" i="74" s="1"/>
  <c r="F59" i="74"/>
  <c r="N58" i="74"/>
  <c r="M58" i="74"/>
  <c r="K58" i="74"/>
  <c r="J58" i="74"/>
  <c r="H58" i="74"/>
  <c r="G58" i="74"/>
  <c r="E58" i="74"/>
  <c r="D58" i="74"/>
  <c r="O57" i="74"/>
  <c r="L57" i="74"/>
  <c r="I57" i="74"/>
  <c r="F57" i="74"/>
  <c r="O56" i="74"/>
  <c r="O55" i="74" s="1"/>
  <c r="L56" i="74"/>
  <c r="L55" i="74" s="1"/>
  <c r="I56" i="74"/>
  <c r="I55" i="74" s="1"/>
  <c r="F56" i="74"/>
  <c r="N55" i="74"/>
  <c r="M55" i="74"/>
  <c r="M54" i="74" s="1"/>
  <c r="M53" i="74" s="1"/>
  <c r="K55" i="74"/>
  <c r="J55" i="74"/>
  <c r="J54" i="74" s="1"/>
  <c r="H55" i="74"/>
  <c r="G55" i="74"/>
  <c r="G54" i="74" s="1"/>
  <c r="G53" i="74" s="1"/>
  <c r="F55" i="74"/>
  <c r="E55" i="74"/>
  <c r="E54" i="74" s="1"/>
  <c r="D55" i="74"/>
  <c r="D54" i="74" s="1"/>
  <c r="K54" i="74"/>
  <c r="O47" i="74"/>
  <c r="C47" i="74" s="1"/>
  <c r="O46" i="74"/>
  <c r="C46" i="74" s="1"/>
  <c r="N45" i="74"/>
  <c r="M45" i="74"/>
  <c r="L44" i="74"/>
  <c r="L43" i="74" s="1"/>
  <c r="I44" i="74"/>
  <c r="I43" i="74" s="1"/>
  <c r="F44" i="74"/>
  <c r="F43" i="74" s="1"/>
  <c r="K43" i="74"/>
  <c r="J43" i="74"/>
  <c r="H43" i="74"/>
  <c r="G43" i="74"/>
  <c r="E43" i="74"/>
  <c r="D43" i="74"/>
  <c r="F42" i="74"/>
  <c r="F41" i="74" s="1"/>
  <c r="C41" i="74" s="1"/>
  <c r="E41" i="74"/>
  <c r="D41" i="74"/>
  <c r="L40" i="74"/>
  <c r="C40" i="74" s="1"/>
  <c r="L39" i="74"/>
  <c r="C39" i="74" s="1"/>
  <c r="L38" i="74"/>
  <c r="C38" i="74" s="1"/>
  <c r="L37" i="74"/>
  <c r="C37" i="74" s="1"/>
  <c r="K36" i="74"/>
  <c r="J36" i="74"/>
  <c r="L35" i="74"/>
  <c r="C35" i="74" s="1"/>
  <c r="L34" i="74"/>
  <c r="C34" i="74" s="1"/>
  <c r="K33" i="74"/>
  <c r="J33" i="74"/>
  <c r="L32" i="74"/>
  <c r="C32" i="74" s="1"/>
  <c r="K31" i="74"/>
  <c r="J31" i="74"/>
  <c r="L30" i="74"/>
  <c r="C30" i="74" s="1"/>
  <c r="L29" i="74"/>
  <c r="C29" i="74" s="1"/>
  <c r="L28" i="74"/>
  <c r="K27" i="74"/>
  <c r="J27" i="74"/>
  <c r="J26" i="74"/>
  <c r="F25" i="74"/>
  <c r="C25" i="74" s="1"/>
  <c r="I24" i="74"/>
  <c r="F24" i="74"/>
  <c r="O23" i="74"/>
  <c r="L23" i="74"/>
  <c r="I23" i="74"/>
  <c r="F23" i="74"/>
  <c r="O22" i="74"/>
  <c r="L22" i="74"/>
  <c r="I22" i="74"/>
  <c r="I21" i="74" s="1"/>
  <c r="F22" i="74"/>
  <c r="N21" i="74"/>
  <c r="N292" i="74" s="1"/>
  <c r="N291" i="74" s="1"/>
  <c r="M21" i="74"/>
  <c r="K21" i="74"/>
  <c r="J21" i="74"/>
  <c r="H21" i="74"/>
  <c r="H292" i="74" s="1"/>
  <c r="G21" i="74"/>
  <c r="E21" i="74"/>
  <c r="D21" i="74"/>
  <c r="D20" i="74" s="1"/>
  <c r="J20" i="74"/>
  <c r="C149" i="74" l="1"/>
  <c r="C226" i="74"/>
  <c r="E53" i="74"/>
  <c r="C133" i="74"/>
  <c r="C181" i="74"/>
  <c r="K187" i="74"/>
  <c r="E231" i="74"/>
  <c r="C258" i="74"/>
  <c r="C262" i="74"/>
  <c r="N130" i="74"/>
  <c r="I179" i="74"/>
  <c r="N187" i="74"/>
  <c r="C206" i="74"/>
  <c r="C208" i="74"/>
  <c r="C92" i="74"/>
  <c r="L187" i="74"/>
  <c r="C62" i="74"/>
  <c r="O80" i="74"/>
  <c r="O76" i="74" s="1"/>
  <c r="C117" i="74"/>
  <c r="C121" i="74"/>
  <c r="D187" i="74"/>
  <c r="J231" i="74"/>
  <c r="C234" i="74"/>
  <c r="M231" i="74"/>
  <c r="C274" i="74"/>
  <c r="C298" i="74"/>
  <c r="C299" i="74"/>
  <c r="C88" i="74"/>
  <c r="F89" i="74"/>
  <c r="C91" i="74"/>
  <c r="H83" i="74"/>
  <c r="C109" i="74"/>
  <c r="C145" i="74"/>
  <c r="C146" i="74"/>
  <c r="C147" i="74"/>
  <c r="C148" i="74"/>
  <c r="J187" i="74"/>
  <c r="C214" i="74"/>
  <c r="C222" i="74"/>
  <c r="C223" i="74"/>
  <c r="C225" i="74"/>
  <c r="D259" i="74"/>
  <c r="G270" i="74"/>
  <c r="L31" i="74"/>
  <c r="C31" i="74" s="1"/>
  <c r="C189" i="74"/>
  <c r="C190" i="74"/>
  <c r="E187" i="74"/>
  <c r="J83" i="74"/>
  <c r="J75" i="74" s="1"/>
  <c r="J52" i="74" s="1"/>
  <c r="J174" i="74"/>
  <c r="J173" i="74" s="1"/>
  <c r="O196" i="74"/>
  <c r="C23" i="74"/>
  <c r="C24" i="74"/>
  <c r="N54" i="74"/>
  <c r="N53" i="74" s="1"/>
  <c r="D76" i="74"/>
  <c r="C96" i="74"/>
  <c r="C100" i="74"/>
  <c r="D83" i="74"/>
  <c r="K130" i="74"/>
  <c r="C137" i="74"/>
  <c r="C138" i="74"/>
  <c r="C140" i="74"/>
  <c r="C141" i="74"/>
  <c r="I144" i="74"/>
  <c r="C153" i="74"/>
  <c r="J130" i="74"/>
  <c r="C161" i="74"/>
  <c r="C169" i="74"/>
  <c r="I174" i="74"/>
  <c r="C177" i="74"/>
  <c r="H187" i="74"/>
  <c r="C202" i="74"/>
  <c r="G204" i="74"/>
  <c r="M204" i="74"/>
  <c r="C218" i="74"/>
  <c r="C220" i="74"/>
  <c r="C237" i="74"/>
  <c r="J259" i="74"/>
  <c r="J230" i="74" s="1"/>
  <c r="O260" i="74"/>
  <c r="N259" i="74"/>
  <c r="J270" i="74"/>
  <c r="J269" i="74" s="1"/>
  <c r="O272" i="74"/>
  <c r="O270" i="74" s="1"/>
  <c r="O269" i="74" s="1"/>
  <c r="H270" i="74"/>
  <c r="H269" i="74" s="1"/>
  <c r="O276" i="74"/>
  <c r="C296" i="74"/>
  <c r="L33" i="74"/>
  <c r="C33" i="74" s="1"/>
  <c r="K26" i="74"/>
  <c r="K20" i="74" s="1"/>
  <c r="C44" i="74"/>
  <c r="C56" i="74"/>
  <c r="C68" i="74"/>
  <c r="C266" i="74"/>
  <c r="C282" i="74"/>
  <c r="L293" i="74"/>
  <c r="C108" i="74"/>
  <c r="L131" i="74"/>
  <c r="G130" i="74"/>
  <c r="C157" i="74"/>
  <c r="M173" i="74"/>
  <c r="C185" i="74"/>
  <c r="O187" i="74"/>
  <c r="C193" i="74"/>
  <c r="C242" i="74"/>
  <c r="H20" i="74"/>
  <c r="L27" i="74"/>
  <c r="C43" i="74"/>
  <c r="C60" i="74"/>
  <c r="C64" i="74"/>
  <c r="C65" i="74"/>
  <c r="C72" i="74"/>
  <c r="C73" i="74"/>
  <c r="K76" i="74"/>
  <c r="O84" i="74"/>
  <c r="C113" i="74"/>
  <c r="C114" i="74"/>
  <c r="C129" i="74"/>
  <c r="G173" i="74"/>
  <c r="I192" i="74"/>
  <c r="I191" i="74" s="1"/>
  <c r="D204" i="74"/>
  <c r="D195" i="74" s="1"/>
  <c r="C210" i="74"/>
  <c r="C211" i="74"/>
  <c r="C213" i="74"/>
  <c r="O216" i="74"/>
  <c r="C250" i="74"/>
  <c r="C254" i="74"/>
  <c r="G259" i="74"/>
  <c r="I260" i="74"/>
  <c r="L272" i="74"/>
  <c r="L270" i="74" s="1"/>
  <c r="L269" i="74" s="1"/>
  <c r="I272" i="74"/>
  <c r="I270" i="74" s="1"/>
  <c r="I269" i="74" s="1"/>
  <c r="C278" i="74"/>
  <c r="C280" i="74"/>
  <c r="M187" i="74"/>
  <c r="N20" i="74"/>
  <c r="H291" i="74"/>
  <c r="L21" i="74"/>
  <c r="L292" i="74" s="1"/>
  <c r="O45" i="74"/>
  <c r="C45" i="74" s="1"/>
  <c r="C57" i="74"/>
  <c r="C66" i="74"/>
  <c r="C74" i="74"/>
  <c r="J76" i="74"/>
  <c r="C93" i="74"/>
  <c r="C97" i="74"/>
  <c r="C107" i="74"/>
  <c r="I112" i="74"/>
  <c r="C120" i="74"/>
  <c r="F128" i="74"/>
  <c r="C128" i="74" s="1"/>
  <c r="F160" i="74"/>
  <c r="L166" i="74"/>
  <c r="L165" i="74" s="1"/>
  <c r="O175" i="74"/>
  <c r="L175" i="74"/>
  <c r="C182" i="74"/>
  <c r="C183" i="74"/>
  <c r="C186" i="74"/>
  <c r="K195" i="74"/>
  <c r="C201" i="74"/>
  <c r="H204" i="74"/>
  <c r="H195" i="74" s="1"/>
  <c r="L205" i="74"/>
  <c r="C215" i="74"/>
  <c r="I216" i="74"/>
  <c r="L216" i="74"/>
  <c r="F233" i="74"/>
  <c r="C233" i="74" s="1"/>
  <c r="F238" i="74"/>
  <c r="C241" i="74"/>
  <c r="L246" i="74"/>
  <c r="E230" i="74"/>
  <c r="O252" i="74"/>
  <c r="O251" i="74" s="1"/>
  <c r="K259" i="74"/>
  <c r="O264" i="74"/>
  <c r="G269" i="74"/>
  <c r="F281" i="74"/>
  <c r="C281" i="74" s="1"/>
  <c r="K53" i="74"/>
  <c r="D292" i="74"/>
  <c r="D291" i="74" s="1"/>
  <c r="L36" i="74"/>
  <c r="C36" i="74" s="1"/>
  <c r="H54" i="74"/>
  <c r="H53" i="74" s="1"/>
  <c r="I54" i="74"/>
  <c r="O58" i="74"/>
  <c r="O54" i="74" s="1"/>
  <c r="O69" i="74"/>
  <c r="O67" i="74" s="1"/>
  <c r="L69" i="74"/>
  <c r="L67" i="74" s="1"/>
  <c r="C79" i="74"/>
  <c r="E83" i="74"/>
  <c r="K83" i="74"/>
  <c r="K75" i="74" s="1"/>
  <c r="F84" i="74"/>
  <c r="C87" i="74"/>
  <c r="C94" i="74"/>
  <c r="C101" i="74"/>
  <c r="C110" i="74"/>
  <c r="C111" i="74"/>
  <c r="C118" i="74"/>
  <c r="O122" i="74"/>
  <c r="E130" i="74"/>
  <c r="C143" i="74"/>
  <c r="C154" i="74"/>
  <c r="C156" i="74"/>
  <c r="C162" i="74"/>
  <c r="C164" i="74"/>
  <c r="C167" i="74"/>
  <c r="C168" i="74"/>
  <c r="G195" i="74"/>
  <c r="C203" i="74"/>
  <c r="J204" i="74"/>
  <c r="J195" i="74" s="1"/>
  <c r="N204" i="74"/>
  <c r="N195" i="74" s="1"/>
  <c r="G231" i="74"/>
  <c r="G230" i="74" s="1"/>
  <c r="C243" i="74"/>
  <c r="C245" i="74"/>
  <c r="C257" i="74"/>
  <c r="C267" i="74"/>
  <c r="M270" i="74"/>
  <c r="M269" i="74" s="1"/>
  <c r="C294" i="74"/>
  <c r="J292" i="74"/>
  <c r="J291" i="74" s="1"/>
  <c r="O21" i="74"/>
  <c r="C28" i="74"/>
  <c r="C42" i="74"/>
  <c r="C63" i="74"/>
  <c r="C71" i="74"/>
  <c r="G83" i="74"/>
  <c r="G75" i="74" s="1"/>
  <c r="N83" i="74"/>
  <c r="N75" i="74" s="1"/>
  <c r="L89" i="74"/>
  <c r="C98" i="74"/>
  <c r="C99" i="74"/>
  <c r="L116" i="74"/>
  <c r="C124" i="74"/>
  <c r="C125" i="74"/>
  <c r="C126" i="74"/>
  <c r="C127" i="74"/>
  <c r="I131" i="74"/>
  <c r="I151" i="74"/>
  <c r="C158" i="74"/>
  <c r="C159" i="74"/>
  <c r="I160" i="74"/>
  <c r="C160" i="74" s="1"/>
  <c r="I166" i="74"/>
  <c r="I165" i="74" s="1"/>
  <c r="C170" i="74"/>
  <c r="C172" i="74"/>
  <c r="O179" i="74"/>
  <c r="L179" i="74"/>
  <c r="F184" i="74"/>
  <c r="C221" i="74"/>
  <c r="C229" i="74"/>
  <c r="D231" i="74"/>
  <c r="D230" i="74" s="1"/>
  <c r="H231" i="74"/>
  <c r="H230" i="74" s="1"/>
  <c r="N231" i="74"/>
  <c r="N230" i="74" s="1"/>
  <c r="L238" i="74"/>
  <c r="C244" i="74"/>
  <c r="F246" i="74"/>
  <c r="C249" i="74"/>
  <c r="C256" i="74"/>
  <c r="L264" i="74"/>
  <c r="C279" i="74"/>
  <c r="D269" i="74"/>
  <c r="C295" i="74"/>
  <c r="G292" i="74"/>
  <c r="G291" i="74" s="1"/>
  <c r="G20" i="74"/>
  <c r="C22" i="74"/>
  <c r="F21" i="74"/>
  <c r="M20" i="74"/>
  <c r="M292" i="74"/>
  <c r="M291" i="74" s="1"/>
  <c r="D53" i="74"/>
  <c r="C59" i="74"/>
  <c r="F58" i="74"/>
  <c r="C82" i="74"/>
  <c r="I80" i="74"/>
  <c r="C80" i="74" s="1"/>
  <c r="K292" i="74"/>
  <c r="K291" i="74" s="1"/>
  <c r="C27" i="74"/>
  <c r="I89" i="74"/>
  <c r="C90" i="74"/>
  <c r="C104" i="74"/>
  <c r="I136" i="74"/>
  <c r="I20" i="74"/>
  <c r="C61" i="74"/>
  <c r="F76" i="74"/>
  <c r="M83" i="74"/>
  <c r="C86" i="74"/>
  <c r="I84" i="74"/>
  <c r="O89" i="74"/>
  <c r="C132" i="74"/>
  <c r="F131" i="74"/>
  <c r="E292" i="74"/>
  <c r="E291" i="74" s="1"/>
  <c r="E20" i="74"/>
  <c r="C55" i="74"/>
  <c r="L58" i="74"/>
  <c r="L54" i="74" s="1"/>
  <c r="F67" i="74"/>
  <c r="I69" i="74"/>
  <c r="I67" i="74" s="1"/>
  <c r="I53" i="74" s="1"/>
  <c r="C70" i="74"/>
  <c r="I77" i="74"/>
  <c r="C78" i="74"/>
  <c r="C105" i="74"/>
  <c r="L103" i="74"/>
  <c r="C232" i="74"/>
  <c r="C268" i="74"/>
  <c r="I264" i="74"/>
  <c r="I259" i="74" s="1"/>
  <c r="C301" i="74"/>
  <c r="C81" i="74"/>
  <c r="C85" i="74"/>
  <c r="F103" i="74"/>
  <c r="C119" i="74"/>
  <c r="L122" i="74"/>
  <c r="C134" i="74"/>
  <c r="C135" i="74"/>
  <c r="C150" i="74"/>
  <c r="O151" i="74"/>
  <c r="L151" i="74"/>
  <c r="O166" i="74"/>
  <c r="O165" i="74" s="1"/>
  <c r="E174" i="74"/>
  <c r="E173" i="74" s="1"/>
  <c r="C176" i="74"/>
  <c r="F175" i="74"/>
  <c r="C261" i="74"/>
  <c r="F260" i="74"/>
  <c r="O95" i="74"/>
  <c r="C102" i="74"/>
  <c r="C106" i="74"/>
  <c r="H130" i="74"/>
  <c r="H75" i="74" s="1"/>
  <c r="M130" i="74"/>
  <c r="C142" i="74"/>
  <c r="C152" i="74"/>
  <c r="F151" i="74"/>
  <c r="C178" i="74"/>
  <c r="C197" i="74"/>
  <c r="F196" i="74"/>
  <c r="C253" i="74"/>
  <c r="F252" i="74"/>
  <c r="L95" i="74"/>
  <c r="F95" i="74"/>
  <c r="C115" i="74"/>
  <c r="C123" i="74"/>
  <c r="D130" i="74"/>
  <c r="O131" i="74"/>
  <c r="C139" i="74"/>
  <c r="O144" i="74"/>
  <c r="C155" i="74"/>
  <c r="C163" i="74"/>
  <c r="F166" i="74"/>
  <c r="C171" i="74"/>
  <c r="H173" i="74"/>
  <c r="C180" i="74"/>
  <c r="F179" i="74"/>
  <c r="G187" i="74"/>
  <c r="C192" i="74"/>
  <c r="F191" i="74"/>
  <c r="I116" i="74"/>
  <c r="I184" i="74"/>
  <c r="I188" i="74"/>
  <c r="O205" i="74"/>
  <c r="O204" i="74" s="1"/>
  <c r="O195" i="74" s="1"/>
  <c r="C217" i="74"/>
  <c r="F216" i="74"/>
  <c r="C216" i="74" s="1"/>
  <c r="I235" i="74"/>
  <c r="C235" i="74" s="1"/>
  <c r="C236" i="74"/>
  <c r="C255" i="74"/>
  <c r="C263" i="74"/>
  <c r="E270" i="74"/>
  <c r="E269" i="74" s="1"/>
  <c r="C273" i="74"/>
  <c r="F272" i="74"/>
  <c r="C272" i="74" s="1"/>
  <c r="C288" i="74"/>
  <c r="I286" i="74"/>
  <c r="C300" i="74"/>
  <c r="F112" i="74"/>
  <c r="F116" i="74"/>
  <c r="F136" i="74"/>
  <c r="F144" i="74"/>
  <c r="E195" i="74"/>
  <c r="M195" i="74"/>
  <c r="L196" i="74"/>
  <c r="C207" i="74"/>
  <c r="C209" i="74"/>
  <c r="F205" i="74"/>
  <c r="C219" i="74"/>
  <c r="C227" i="74"/>
  <c r="C228" i="74"/>
  <c r="O231" i="74"/>
  <c r="L231" i="74"/>
  <c r="K231" i="74"/>
  <c r="K230" i="74" s="1"/>
  <c r="C248" i="74"/>
  <c r="I246" i="74"/>
  <c r="L252" i="74"/>
  <c r="L251" i="74" s="1"/>
  <c r="M259" i="74"/>
  <c r="L260" i="74"/>
  <c r="C265" i="74"/>
  <c r="F264" i="74"/>
  <c r="C264" i="74" s="1"/>
  <c r="C275" i="74"/>
  <c r="C285" i="74"/>
  <c r="F284" i="74"/>
  <c r="O293" i="74"/>
  <c r="C200" i="74"/>
  <c r="I198" i="74"/>
  <c r="I205" i="74"/>
  <c r="I204" i="74" s="1"/>
  <c r="C212" i="74"/>
  <c r="C224" i="74"/>
  <c r="C240" i="74"/>
  <c r="I238" i="74"/>
  <c r="C238" i="74" s="1"/>
  <c r="C277" i="74"/>
  <c r="F276" i="74"/>
  <c r="C276" i="74" s="1"/>
  <c r="C297" i="74"/>
  <c r="F293" i="74"/>
  <c r="C199" i="74"/>
  <c r="C239" i="74"/>
  <c r="C247" i="74"/>
  <c r="C271" i="74"/>
  <c r="C287" i="74"/>
  <c r="I76" i="74" l="1"/>
  <c r="M230" i="74"/>
  <c r="K194" i="74"/>
  <c r="K51" i="74" s="1"/>
  <c r="L291" i="74"/>
  <c r="E75" i="74"/>
  <c r="E289" i="74" s="1"/>
  <c r="K52" i="74"/>
  <c r="C293" i="74"/>
  <c r="G52" i="74"/>
  <c r="M75" i="74"/>
  <c r="M52" i="74" s="1"/>
  <c r="G289" i="74"/>
  <c r="O174" i="74"/>
  <c r="O173" i="74" s="1"/>
  <c r="J289" i="74"/>
  <c r="J194" i="74"/>
  <c r="L130" i="74"/>
  <c r="J51" i="74"/>
  <c r="J50" i="74" s="1"/>
  <c r="D194" i="74"/>
  <c r="O259" i="74"/>
  <c r="O230" i="74" s="1"/>
  <c r="O194" i="74" s="1"/>
  <c r="H194" i="74"/>
  <c r="H289" i="74"/>
  <c r="D75" i="74"/>
  <c r="D52" i="74" s="1"/>
  <c r="D51" i="74" s="1"/>
  <c r="C122" i="74"/>
  <c r="F231" i="74"/>
  <c r="O20" i="74"/>
  <c r="L259" i="74"/>
  <c r="L230" i="74" s="1"/>
  <c r="C179" i="74"/>
  <c r="H52" i="74"/>
  <c r="L53" i="74"/>
  <c r="O292" i="74"/>
  <c r="N52" i="74"/>
  <c r="N289" i="74"/>
  <c r="O53" i="74"/>
  <c r="O291" i="74"/>
  <c r="C246" i="74"/>
  <c r="M194" i="74"/>
  <c r="C116" i="74"/>
  <c r="C184" i="74"/>
  <c r="L83" i="74"/>
  <c r="L75" i="74" s="1"/>
  <c r="I130" i="74"/>
  <c r="C89" i="74"/>
  <c r="C58" i="74"/>
  <c r="C112" i="74"/>
  <c r="I231" i="74"/>
  <c r="I230" i="74" s="1"/>
  <c r="O83" i="74"/>
  <c r="C103" i="74"/>
  <c r="C69" i="74"/>
  <c r="N194" i="74"/>
  <c r="G194" i="74"/>
  <c r="L174" i="74"/>
  <c r="L173" i="74" s="1"/>
  <c r="L26" i="74"/>
  <c r="C26" i="74" s="1"/>
  <c r="H51" i="74"/>
  <c r="H290" i="74" s="1"/>
  <c r="K289" i="74"/>
  <c r="L204" i="74"/>
  <c r="L195" i="74" s="1"/>
  <c r="E52" i="74"/>
  <c r="H50" i="74"/>
  <c r="M289" i="74"/>
  <c r="C252" i="74"/>
  <c r="F251" i="74"/>
  <c r="C251" i="74" s="1"/>
  <c r="C175" i="74"/>
  <c r="F174" i="74"/>
  <c r="C198" i="74"/>
  <c r="I196" i="74"/>
  <c r="I195" i="74" s="1"/>
  <c r="I194" i="74" s="1"/>
  <c r="C284" i="74"/>
  <c r="F283" i="74"/>
  <c r="C283" i="74" s="1"/>
  <c r="E194" i="74"/>
  <c r="C188" i="74"/>
  <c r="I187" i="74"/>
  <c r="C191" i="74"/>
  <c r="F187" i="74"/>
  <c r="F165" i="74"/>
  <c r="C165" i="74" s="1"/>
  <c r="C166" i="74"/>
  <c r="C151" i="74"/>
  <c r="C286" i="74"/>
  <c r="C260" i="74"/>
  <c r="F259" i="74"/>
  <c r="C67" i="74"/>
  <c r="I173" i="74"/>
  <c r="C205" i="74"/>
  <c r="F204" i="74"/>
  <c r="C131" i="74"/>
  <c r="F130" i="74"/>
  <c r="I83" i="74"/>
  <c r="I75" i="74" s="1"/>
  <c r="C84" i="74"/>
  <c r="C76" i="74"/>
  <c r="C144" i="74"/>
  <c r="J290" i="74"/>
  <c r="F195" i="74"/>
  <c r="F54" i="74"/>
  <c r="F292" i="74"/>
  <c r="C21" i="74"/>
  <c r="F20" i="74"/>
  <c r="C136" i="74"/>
  <c r="O130" i="74"/>
  <c r="C95" i="74"/>
  <c r="F270" i="74"/>
  <c r="C231" i="74"/>
  <c r="C77" i="74"/>
  <c r="I292" i="74"/>
  <c r="I291" i="74" s="1"/>
  <c r="F83" i="74"/>
  <c r="K50" i="74" l="1"/>
  <c r="K290" i="74"/>
  <c r="G51" i="74"/>
  <c r="O75" i="74"/>
  <c r="O289" i="74" s="1"/>
  <c r="C187" i="74"/>
  <c r="M51" i="74"/>
  <c r="M50" i="74" s="1"/>
  <c r="L20" i="74"/>
  <c r="C20" i="74" s="1"/>
  <c r="I289" i="74"/>
  <c r="L52" i="74"/>
  <c r="F75" i="74"/>
  <c r="F230" i="74"/>
  <c r="C230" i="74" s="1"/>
  <c r="C196" i="74"/>
  <c r="D289" i="74"/>
  <c r="C204" i="74"/>
  <c r="C259" i="74"/>
  <c r="E51" i="74"/>
  <c r="E50" i="74" s="1"/>
  <c r="N51" i="74"/>
  <c r="N290" i="74" s="1"/>
  <c r="L194" i="74"/>
  <c r="G50" i="74"/>
  <c r="G290" i="74"/>
  <c r="L289" i="74"/>
  <c r="C130" i="74"/>
  <c r="I52" i="74"/>
  <c r="I51" i="74" s="1"/>
  <c r="I50" i="74" s="1"/>
  <c r="N50" i="74"/>
  <c r="F269" i="74"/>
  <c r="C270" i="74"/>
  <c r="F173" i="74"/>
  <c r="C173" i="74" s="1"/>
  <c r="C174" i="74"/>
  <c r="C83" i="74"/>
  <c r="D290" i="74"/>
  <c r="D50" i="74"/>
  <c r="E290" i="74"/>
  <c r="C292" i="74"/>
  <c r="F291" i="74"/>
  <c r="C291" i="74" s="1"/>
  <c r="C54" i="74"/>
  <c r="F53" i="74"/>
  <c r="C195" i="74"/>
  <c r="C75" i="74" l="1"/>
  <c r="O52" i="74"/>
  <c r="O51" i="74" s="1"/>
  <c r="I290" i="74"/>
  <c r="L51" i="74"/>
  <c r="L50" i="74" s="1"/>
  <c r="M290" i="74"/>
  <c r="C269" i="74"/>
  <c r="F289" i="74"/>
  <c r="C289" i="74" s="1"/>
  <c r="F194" i="74"/>
  <c r="C194" i="74" s="1"/>
  <c r="F52" i="74"/>
  <c r="C53" i="74"/>
  <c r="O50" i="74"/>
  <c r="O290" i="74"/>
  <c r="L290" i="74" l="1"/>
  <c r="F51" i="74"/>
  <c r="C52" i="74"/>
  <c r="F290" i="74" l="1"/>
  <c r="C290" i="74" s="1"/>
  <c r="C51" i="74"/>
  <c r="F50" i="74"/>
  <c r="C50" i="74" s="1"/>
  <c r="O301" i="73" l="1"/>
  <c r="L301" i="73"/>
  <c r="I301" i="73"/>
  <c r="F301" i="73"/>
  <c r="O300" i="73"/>
  <c r="L300" i="73"/>
  <c r="I300" i="73"/>
  <c r="F300" i="73"/>
  <c r="O299" i="73"/>
  <c r="L299" i="73"/>
  <c r="I299" i="73"/>
  <c r="F299" i="73"/>
  <c r="O298" i="73"/>
  <c r="L298" i="73"/>
  <c r="I298" i="73"/>
  <c r="F298" i="73"/>
  <c r="O297" i="73"/>
  <c r="L297" i="73"/>
  <c r="I297" i="73"/>
  <c r="F297" i="73"/>
  <c r="O296" i="73"/>
  <c r="L296" i="73"/>
  <c r="I296" i="73"/>
  <c r="F296" i="73"/>
  <c r="O295" i="73"/>
  <c r="L295" i="73"/>
  <c r="I295" i="73"/>
  <c r="F295" i="73"/>
  <c r="O294" i="73"/>
  <c r="L294" i="73"/>
  <c r="I294" i="73"/>
  <c r="F294" i="73"/>
  <c r="O293" i="73"/>
  <c r="N293" i="73"/>
  <c r="M293" i="73"/>
  <c r="K293" i="73"/>
  <c r="J293" i="73"/>
  <c r="H293" i="73"/>
  <c r="G293" i="73"/>
  <c r="E293" i="73"/>
  <c r="D293" i="73"/>
  <c r="O288" i="73"/>
  <c r="L288" i="73"/>
  <c r="I288" i="73"/>
  <c r="F288" i="73"/>
  <c r="O287" i="73"/>
  <c r="O286" i="73" s="1"/>
  <c r="L287" i="73"/>
  <c r="I287" i="73"/>
  <c r="F287" i="73"/>
  <c r="N286" i="73"/>
  <c r="M286" i="73"/>
  <c r="L286" i="73"/>
  <c r="K286" i="73"/>
  <c r="J286" i="73"/>
  <c r="H286" i="73"/>
  <c r="G286" i="73"/>
  <c r="F286" i="73"/>
  <c r="E286" i="73"/>
  <c r="D286" i="73"/>
  <c r="O285" i="73"/>
  <c r="O284" i="73" s="1"/>
  <c r="O283" i="73" s="1"/>
  <c r="L285" i="73"/>
  <c r="L284" i="73" s="1"/>
  <c r="L283" i="73" s="1"/>
  <c r="I285" i="73"/>
  <c r="I284" i="73" s="1"/>
  <c r="F285" i="73"/>
  <c r="F284" i="73" s="1"/>
  <c r="N284" i="73"/>
  <c r="N283" i="73" s="1"/>
  <c r="M284" i="73"/>
  <c r="K284" i="73"/>
  <c r="J284" i="73"/>
  <c r="J283" i="73" s="1"/>
  <c r="H284" i="73"/>
  <c r="H283" i="73" s="1"/>
  <c r="G284" i="73"/>
  <c r="G283" i="73" s="1"/>
  <c r="E284" i="73"/>
  <c r="E283" i="73" s="1"/>
  <c r="D284" i="73"/>
  <c r="D283" i="73" s="1"/>
  <c r="M283" i="73"/>
  <c r="K283" i="73"/>
  <c r="I283" i="73"/>
  <c r="O282" i="73"/>
  <c r="L282" i="73"/>
  <c r="L281" i="73" s="1"/>
  <c r="I282" i="73"/>
  <c r="I281" i="73" s="1"/>
  <c r="F282" i="73"/>
  <c r="F281" i="73" s="1"/>
  <c r="O281" i="73"/>
  <c r="N281" i="73"/>
  <c r="M281" i="73"/>
  <c r="K281" i="73"/>
  <c r="J281" i="73"/>
  <c r="H281" i="73"/>
  <c r="G281" i="73"/>
  <c r="E281" i="73"/>
  <c r="D281" i="73"/>
  <c r="O280" i="73"/>
  <c r="L280" i="73"/>
  <c r="I280" i="73"/>
  <c r="F280" i="73"/>
  <c r="O279" i="73"/>
  <c r="L279" i="73"/>
  <c r="I279" i="73"/>
  <c r="F279" i="73"/>
  <c r="O278" i="73"/>
  <c r="L278" i="73"/>
  <c r="I278" i="73"/>
  <c r="F278" i="73"/>
  <c r="O277" i="73"/>
  <c r="O276" i="73" s="1"/>
  <c r="L277" i="73"/>
  <c r="I277" i="73"/>
  <c r="F277" i="73"/>
  <c r="F276" i="73" s="1"/>
  <c r="N276" i="73"/>
  <c r="M276" i="73"/>
  <c r="K276" i="73"/>
  <c r="J276" i="73"/>
  <c r="H276" i="73"/>
  <c r="G276" i="73"/>
  <c r="E276" i="73"/>
  <c r="D276" i="73"/>
  <c r="O275" i="73"/>
  <c r="L275" i="73"/>
  <c r="I275" i="73"/>
  <c r="F275" i="73"/>
  <c r="O274" i="73"/>
  <c r="L274" i="73"/>
  <c r="I274" i="73"/>
  <c r="F274" i="73"/>
  <c r="O273" i="73"/>
  <c r="O272" i="73" s="1"/>
  <c r="L273" i="73"/>
  <c r="L272" i="73" s="1"/>
  <c r="I273" i="73"/>
  <c r="I272" i="73" s="1"/>
  <c r="F273" i="73"/>
  <c r="N272" i="73"/>
  <c r="N270" i="73" s="1"/>
  <c r="N269" i="73" s="1"/>
  <c r="M272" i="73"/>
  <c r="M270" i="73" s="1"/>
  <c r="M269" i="73" s="1"/>
  <c r="K272" i="73"/>
  <c r="J272" i="73"/>
  <c r="H272" i="73"/>
  <c r="H270" i="73" s="1"/>
  <c r="H269" i="73" s="1"/>
  <c r="G272" i="73"/>
  <c r="F272" i="73"/>
  <c r="E272" i="73"/>
  <c r="E270" i="73" s="1"/>
  <c r="E269" i="73" s="1"/>
  <c r="D272" i="73"/>
  <c r="D270" i="73" s="1"/>
  <c r="O271" i="73"/>
  <c r="L271" i="73"/>
  <c r="I271" i="73"/>
  <c r="F271" i="73"/>
  <c r="G270" i="73"/>
  <c r="G269" i="73" s="1"/>
  <c r="O268" i="73"/>
  <c r="L268" i="73"/>
  <c r="I268" i="73"/>
  <c r="F268" i="73"/>
  <c r="O267" i="73"/>
  <c r="L267" i="73"/>
  <c r="I267" i="73"/>
  <c r="F267" i="73"/>
  <c r="O266" i="73"/>
  <c r="L266" i="73"/>
  <c r="I266" i="73"/>
  <c r="F266" i="73"/>
  <c r="O265" i="73"/>
  <c r="O264" i="73" s="1"/>
  <c r="L265" i="73"/>
  <c r="I265" i="73"/>
  <c r="F265" i="73"/>
  <c r="N264" i="73"/>
  <c r="M264" i="73"/>
  <c r="K264" i="73"/>
  <c r="J264" i="73"/>
  <c r="H264" i="73"/>
  <c r="G264" i="73"/>
  <c r="E264" i="73"/>
  <c r="D264" i="73"/>
  <c r="O263" i="73"/>
  <c r="L263" i="73"/>
  <c r="I263" i="73"/>
  <c r="F263" i="73"/>
  <c r="O262" i="73"/>
  <c r="L262" i="73"/>
  <c r="I262" i="73"/>
  <c r="F262" i="73"/>
  <c r="O261" i="73"/>
  <c r="O260" i="73" s="1"/>
  <c r="O259" i="73" s="1"/>
  <c r="L261" i="73"/>
  <c r="L260" i="73" s="1"/>
  <c r="I261" i="73"/>
  <c r="F261" i="73"/>
  <c r="N260" i="73"/>
  <c r="N259" i="73" s="1"/>
  <c r="M260" i="73"/>
  <c r="K260" i="73"/>
  <c r="K259" i="73" s="1"/>
  <c r="J260" i="73"/>
  <c r="H260" i="73"/>
  <c r="G260" i="73"/>
  <c r="F260" i="73"/>
  <c r="E260" i="73"/>
  <c r="D260" i="73"/>
  <c r="M259" i="73"/>
  <c r="J259" i="73"/>
  <c r="O258" i="73"/>
  <c r="L258" i="73"/>
  <c r="I258" i="73"/>
  <c r="F258" i="73"/>
  <c r="O257" i="73"/>
  <c r="L257" i="73"/>
  <c r="I257" i="73"/>
  <c r="F257" i="73"/>
  <c r="O256" i="73"/>
  <c r="L256" i="73"/>
  <c r="I256" i="73"/>
  <c r="F256" i="73"/>
  <c r="O255" i="73"/>
  <c r="L255" i="73"/>
  <c r="I255" i="73"/>
  <c r="F255" i="73"/>
  <c r="O254" i="73"/>
  <c r="L254" i="73"/>
  <c r="I254" i="73"/>
  <c r="F254" i="73"/>
  <c r="O253" i="73"/>
  <c r="O252" i="73" s="1"/>
  <c r="O251" i="73" s="1"/>
  <c r="L253" i="73"/>
  <c r="I253" i="73"/>
  <c r="C253" i="73" s="1"/>
  <c r="F253" i="73"/>
  <c r="N252" i="73"/>
  <c r="M252" i="73"/>
  <c r="K252" i="73"/>
  <c r="J252" i="73"/>
  <c r="H252" i="73"/>
  <c r="H251" i="73" s="1"/>
  <c r="G252" i="73"/>
  <c r="G251" i="73" s="1"/>
  <c r="E252" i="73"/>
  <c r="E251" i="73" s="1"/>
  <c r="D252" i="73"/>
  <c r="D251" i="73" s="1"/>
  <c r="N251" i="73"/>
  <c r="M251" i="73"/>
  <c r="K251" i="73"/>
  <c r="J251" i="73"/>
  <c r="O250" i="73"/>
  <c r="L250" i="73"/>
  <c r="I250" i="73"/>
  <c r="F250" i="73"/>
  <c r="O249" i="73"/>
  <c r="L249" i="73"/>
  <c r="I249" i="73"/>
  <c r="F249" i="73"/>
  <c r="O248" i="73"/>
  <c r="L248" i="73"/>
  <c r="I248" i="73"/>
  <c r="F248" i="73"/>
  <c r="O247" i="73"/>
  <c r="L247" i="73"/>
  <c r="I247" i="73"/>
  <c r="F247" i="73"/>
  <c r="N246" i="73"/>
  <c r="M246" i="73"/>
  <c r="K246" i="73"/>
  <c r="J246" i="73"/>
  <c r="H246" i="73"/>
  <c r="G246" i="73"/>
  <c r="F246" i="73"/>
  <c r="E246" i="73"/>
  <c r="D246" i="73"/>
  <c r="O245" i="73"/>
  <c r="L245" i="73"/>
  <c r="I245" i="73"/>
  <c r="F245" i="73"/>
  <c r="O244" i="73"/>
  <c r="L244" i="73"/>
  <c r="I244" i="73"/>
  <c r="F244" i="73"/>
  <c r="O243" i="73"/>
  <c r="L243" i="73"/>
  <c r="I243" i="73"/>
  <c r="F243" i="73"/>
  <c r="O242" i="73"/>
  <c r="L242" i="73"/>
  <c r="I242" i="73"/>
  <c r="F242" i="73"/>
  <c r="O241" i="73"/>
  <c r="L241" i="73"/>
  <c r="I241" i="73"/>
  <c r="F241" i="73"/>
  <c r="O240" i="73"/>
  <c r="L240" i="73"/>
  <c r="I240" i="73"/>
  <c r="F240" i="73"/>
  <c r="O239" i="73"/>
  <c r="L239" i="73"/>
  <c r="I239" i="73"/>
  <c r="F239" i="73"/>
  <c r="N238" i="73"/>
  <c r="M238" i="73"/>
  <c r="K238" i="73"/>
  <c r="J238" i="73"/>
  <c r="H238" i="73"/>
  <c r="G238" i="73"/>
  <c r="E238" i="73"/>
  <c r="D238" i="73"/>
  <c r="O237" i="73"/>
  <c r="L237" i="73"/>
  <c r="I237" i="73"/>
  <c r="F237" i="73"/>
  <c r="O236" i="73"/>
  <c r="L236" i="73"/>
  <c r="I236" i="73"/>
  <c r="I235" i="73" s="1"/>
  <c r="F236" i="73"/>
  <c r="N235" i="73"/>
  <c r="M235" i="73"/>
  <c r="K235" i="73"/>
  <c r="J235" i="73"/>
  <c r="H235" i="73"/>
  <c r="G235" i="73"/>
  <c r="E235" i="73"/>
  <c r="D235" i="73"/>
  <c r="O234" i="73"/>
  <c r="L234" i="73"/>
  <c r="L233" i="73" s="1"/>
  <c r="I234" i="73"/>
  <c r="I233" i="73" s="1"/>
  <c r="F234" i="73"/>
  <c r="F233" i="73" s="1"/>
  <c r="O233" i="73"/>
  <c r="N233" i="73"/>
  <c r="M233" i="73"/>
  <c r="K233" i="73"/>
  <c r="K231" i="73" s="1"/>
  <c r="J233" i="73"/>
  <c r="H233" i="73"/>
  <c r="G233" i="73"/>
  <c r="E233" i="73"/>
  <c r="E231" i="73" s="1"/>
  <c r="D233" i="73"/>
  <c r="D231" i="73" s="1"/>
  <c r="O232" i="73"/>
  <c r="L232" i="73"/>
  <c r="I232" i="73"/>
  <c r="F232" i="73"/>
  <c r="O229" i="73"/>
  <c r="L229" i="73"/>
  <c r="I229" i="73"/>
  <c r="F229" i="73"/>
  <c r="O228" i="73"/>
  <c r="L228" i="73"/>
  <c r="L227" i="73" s="1"/>
  <c r="I228" i="73"/>
  <c r="I227" i="73" s="1"/>
  <c r="F228" i="73"/>
  <c r="O227" i="73"/>
  <c r="N227" i="73"/>
  <c r="M227" i="73"/>
  <c r="K227" i="73"/>
  <c r="J227" i="73"/>
  <c r="H227" i="73"/>
  <c r="G227" i="73"/>
  <c r="E227" i="73"/>
  <c r="D227" i="73"/>
  <c r="O226" i="73"/>
  <c r="L226" i="73"/>
  <c r="I226" i="73"/>
  <c r="F226" i="73"/>
  <c r="O225" i="73"/>
  <c r="L225" i="73"/>
  <c r="C225" i="73" s="1"/>
  <c r="I225" i="73"/>
  <c r="F225" i="73"/>
  <c r="O224" i="73"/>
  <c r="L224" i="73"/>
  <c r="I224" i="73"/>
  <c r="F224" i="73"/>
  <c r="O223" i="73"/>
  <c r="L223" i="73"/>
  <c r="I223" i="73"/>
  <c r="F223" i="73"/>
  <c r="O222" i="73"/>
  <c r="L222" i="73"/>
  <c r="I222" i="73"/>
  <c r="F222" i="73"/>
  <c r="O221" i="73"/>
  <c r="L221" i="73"/>
  <c r="I221" i="73"/>
  <c r="F221" i="73"/>
  <c r="O220" i="73"/>
  <c r="L220" i="73"/>
  <c r="I220" i="73"/>
  <c r="F220" i="73"/>
  <c r="O219" i="73"/>
  <c r="L219" i="73"/>
  <c r="I219" i="73"/>
  <c r="F219" i="73"/>
  <c r="O218" i="73"/>
  <c r="L218" i="73"/>
  <c r="I218" i="73"/>
  <c r="F218" i="73"/>
  <c r="O217" i="73"/>
  <c r="L217" i="73"/>
  <c r="L216" i="73" s="1"/>
  <c r="L204" i="73" s="1"/>
  <c r="I217" i="73"/>
  <c r="F217" i="73"/>
  <c r="N216" i="73"/>
  <c r="N204" i="73" s="1"/>
  <c r="M216" i="73"/>
  <c r="K216" i="73"/>
  <c r="J216" i="73"/>
  <c r="H216" i="73"/>
  <c r="G216" i="73"/>
  <c r="E216" i="73"/>
  <c r="D216" i="73"/>
  <c r="O215" i="73"/>
  <c r="L215" i="73"/>
  <c r="I215" i="73"/>
  <c r="F215" i="73"/>
  <c r="O214" i="73"/>
  <c r="L214" i="73"/>
  <c r="I214" i="73"/>
  <c r="F214" i="73"/>
  <c r="O213" i="73"/>
  <c r="L213" i="73"/>
  <c r="I213" i="73"/>
  <c r="F213" i="73"/>
  <c r="O212" i="73"/>
  <c r="L212" i="73"/>
  <c r="I212" i="73"/>
  <c r="F212" i="73"/>
  <c r="O211" i="73"/>
  <c r="L211" i="73"/>
  <c r="I211" i="73"/>
  <c r="F211" i="73"/>
  <c r="O210" i="73"/>
  <c r="L210" i="73"/>
  <c r="I210" i="73"/>
  <c r="F210" i="73"/>
  <c r="O209" i="73"/>
  <c r="L209" i="73"/>
  <c r="I209" i="73"/>
  <c r="F209" i="73"/>
  <c r="C209" i="73"/>
  <c r="O208" i="73"/>
  <c r="L208" i="73"/>
  <c r="I208" i="73"/>
  <c r="F208" i="73"/>
  <c r="C208" i="73" s="1"/>
  <c r="O207" i="73"/>
  <c r="L207" i="73"/>
  <c r="I207" i="73"/>
  <c r="F207" i="73"/>
  <c r="O206" i="73"/>
  <c r="L206" i="73"/>
  <c r="I206" i="73"/>
  <c r="I205" i="73" s="1"/>
  <c r="F206" i="73"/>
  <c r="N205" i="73"/>
  <c r="M205" i="73"/>
  <c r="L205" i="73"/>
  <c r="K205" i="73"/>
  <c r="K204" i="73" s="1"/>
  <c r="J205" i="73"/>
  <c r="H205" i="73"/>
  <c r="G205" i="73"/>
  <c r="G204" i="73" s="1"/>
  <c r="E205" i="73"/>
  <c r="E204" i="73" s="1"/>
  <c r="D205" i="73"/>
  <c r="J204" i="73"/>
  <c r="O203" i="73"/>
  <c r="L203" i="73"/>
  <c r="I203" i="73"/>
  <c r="F203" i="73"/>
  <c r="O202" i="73"/>
  <c r="L202" i="73"/>
  <c r="I202" i="73"/>
  <c r="F202" i="73"/>
  <c r="O201" i="73"/>
  <c r="L201" i="73"/>
  <c r="I201" i="73"/>
  <c r="F201" i="73"/>
  <c r="O200" i="73"/>
  <c r="L200" i="73"/>
  <c r="I200" i="73"/>
  <c r="F200" i="73"/>
  <c r="O199" i="73"/>
  <c r="O198" i="73" s="1"/>
  <c r="L199" i="73"/>
  <c r="I199" i="73"/>
  <c r="F199" i="73"/>
  <c r="N198" i="73"/>
  <c r="N196" i="73" s="1"/>
  <c r="M198" i="73"/>
  <c r="L198" i="73"/>
  <c r="K198" i="73"/>
  <c r="K196" i="73" s="1"/>
  <c r="J198" i="73"/>
  <c r="J196" i="73" s="1"/>
  <c r="H198" i="73"/>
  <c r="G198" i="73"/>
  <c r="G196" i="73" s="1"/>
  <c r="E198" i="73"/>
  <c r="D198" i="73"/>
  <c r="D196" i="73" s="1"/>
  <c r="O197" i="73"/>
  <c r="L197" i="73"/>
  <c r="I197" i="73"/>
  <c r="F197" i="73"/>
  <c r="M196" i="73"/>
  <c r="H196" i="73"/>
  <c r="E196" i="73"/>
  <c r="O193" i="73"/>
  <c r="L193" i="73"/>
  <c r="L192" i="73" s="1"/>
  <c r="I193" i="73"/>
  <c r="I192" i="73" s="1"/>
  <c r="I191" i="73" s="1"/>
  <c r="F193" i="73"/>
  <c r="O192" i="73"/>
  <c r="O191" i="73" s="1"/>
  <c r="N192" i="73"/>
  <c r="N191" i="73" s="1"/>
  <c r="M192" i="73"/>
  <c r="M191" i="73" s="1"/>
  <c r="K192" i="73"/>
  <c r="K191" i="73" s="1"/>
  <c r="J192" i="73"/>
  <c r="J191" i="73" s="1"/>
  <c r="H192" i="73"/>
  <c r="G192" i="73"/>
  <c r="G191" i="73" s="1"/>
  <c r="F192" i="73"/>
  <c r="F191" i="73" s="1"/>
  <c r="E192" i="73"/>
  <c r="E191" i="73" s="1"/>
  <c r="D192" i="73"/>
  <c r="D191" i="73" s="1"/>
  <c r="H191" i="73"/>
  <c r="O190" i="73"/>
  <c r="L190" i="73"/>
  <c r="I190" i="73"/>
  <c r="F190" i="73"/>
  <c r="O189" i="73"/>
  <c r="L189" i="73"/>
  <c r="L188" i="73" s="1"/>
  <c r="I189" i="73"/>
  <c r="I188" i="73" s="1"/>
  <c r="I187" i="73" s="1"/>
  <c r="F189" i="73"/>
  <c r="O188" i="73"/>
  <c r="N188" i="73"/>
  <c r="M188" i="73"/>
  <c r="M187" i="73" s="1"/>
  <c r="K188" i="73"/>
  <c r="K187" i="73" s="1"/>
  <c r="J188" i="73"/>
  <c r="H188" i="73"/>
  <c r="G188" i="73"/>
  <c r="G187" i="73" s="1"/>
  <c r="F188" i="73"/>
  <c r="F187" i="73" s="1"/>
  <c r="E188" i="73"/>
  <c r="D188" i="73"/>
  <c r="O186" i="73"/>
  <c r="L186" i="73"/>
  <c r="I186" i="73"/>
  <c r="F186" i="73"/>
  <c r="O185" i="73"/>
  <c r="L185" i="73"/>
  <c r="L184" i="73" s="1"/>
  <c r="I185" i="73"/>
  <c r="I184" i="73" s="1"/>
  <c r="F185" i="73"/>
  <c r="O184" i="73"/>
  <c r="N184" i="73"/>
  <c r="M184" i="73"/>
  <c r="K184" i="73"/>
  <c r="J184" i="73"/>
  <c r="H184" i="73"/>
  <c r="G184" i="73"/>
  <c r="F184" i="73"/>
  <c r="E184" i="73"/>
  <c r="D184" i="73"/>
  <c r="O183" i="73"/>
  <c r="L183" i="73"/>
  <c r="I183" i="73"/>
  <c r="F183" i="73"/>
  <c r="O182" i="73"/>
  <c r="L182" i="73"/>
  <c r="I182" i="73"/>
  <c r="F182" i="73"/>
  <c r="O181" i="73"/>
  <c r="L181" i="73"/>
  <c r="I181" i="73"/>
  <c r="F181" i="73"/>
  <c r="O180" i="73"/>
  <c r="O179" i="73" s="1"/>
  <c r="L180" i="73"/>
  <c r="I180" i="73"/>
  <c r="I179" i="73" s="1"/>
  <c r="F180" i="73"/>
  <c r="N179" i="73"/>
  <c r="M179" i="73"/>
  <c r="K179" i="73"/>
  <c r="J179" i="73"/>
  <c r="H179" i="73"/>
  <c r="G179" i="73"/>
  <c r="E179" i="73"/>
  <c r="D179" i="73"/>
  <c r="O178" i="73"/>
  <c r="L178" i="73"/>
  <c r="I178" i="73"/>
  <c r="F178" i="73"/>
  <c r="O177" i="73"/>
  <c r="L177" i="73"/>
  <c r="I177" i="73"/>
  <c r="F177" i="73"/>
  <c r="O176" i="73"/>
  <c r="O175" i="73" s="1"/>
  <c r="O174" i="73" s="1"/>
  <c r="L176" i="73"/>
  <c r="L175" i="73" s="1"/>
  <c r="I176" i="73"/>
  <c r="I175" i="73" s="1"/>
  <c r="I174" i="73" s="1"/>
  <c r="I173" i="73" s="1"/>
  <c r="F176" i="73"/>
  <c r="N175" i="73"/>
  <c r="N174" i="73" s="1"/>
  <c r="N173" i="73" s="1"/>
  <c r="M175" i="73"/>
  <c r="M174" i="73" s="1"/>
  <c r="M173" i="73" s="1"/>
  <c r="K175" i="73"/>
  <c r="J175" i="73"/>
  <c r="J174" i="73" s="1"/>
  <c r="H175" i="73"/>
  <c r="G175" i="73"/>
  <c r="E175" i="73"/>
  <c r="D175" i="73"/>
  <c r="O172" i="73"/>
  <c r="L172" i="73"/>
  <c r="C172" i="73" s="1"/>
  <c r="I172" i="73"/>
  <c r="F172" i="73"/>
  <c r="O171" i="73"/>
  <c r="L171" i="73"/>
  <c r="I171" i="73"/>
  <c r="F171" i="73"/>
  <c r="O170" i="73"/>
  <c r="L170" i="73"/>
  <c r="I170" i="73"/>
  <c r="F170" i="73"/>
  <c r="O169" i="73"/>
  <c r="L169" i="73"/>
  <c r="I169" i="73"/>
  <c r="F169" i="73"/>
  <c r="O168" i="73"/>
  <c r="L168" i="73"/>
  <c r="I168" i="73"/>
  <c r="F168" i="73"/>
  <c r="O167" i="73"/>
  <c r="L167" i="73"/>
  <c r="I167" i="73"/>
  <c r="F167" i="73"/>
  <c r="N166" i="73"/>
  <c r="M166" i="73"/>
  <c r="M165" i="73" s="1"/>
  <c r="K166" i="73"/>
  <c r="K165" i="73" s="1"/>
  <c r="J166" i="73"/>
  <c r="J165" i="73" s="1"/>
  <c r="H166" i="73"/>
  <c r="H165" i="73" s="1"/>
  <c r="G166" i="73"/>
  <c r="G165" i="73" s="1"/>
  <c r="E166" i="73"/>
  <c r="D166" i="73"/>
  <c r="D165" i="73" s="1"/>
  <c r="N165" i="73"/>
  <c r="E165" i="73"/>
  <c r="O164" i="73"/>
  <c r="L164" i="73"/>
  <c r="I164" i="73"/>
  <c r="F164" i="73"/>
  <c r="O163" i="73"/>
  <c r="L163" i="73"/>
  <c r="I163" i="73"/>
  <c r="F163" i="73"/>
  <c r="O162" i="73"/>
  <c r="L162" i="73"/>
  <c r="I162" i="73"/>
  <c r="F162" i="73"/>
  <c r="O161" i="73"/>
  <c r="L161" i="73"/>
  <c r="L160" i="73" s="1"/>
  <c r="I161" i="73"/>
  <c r="I160" i="73" s="1"/>
  <c r="F161" i="73"/>
  <c r="O160" i="73"/>
  <c r="N160" i="73"/>
  <c r="M160" i="73"/>
  <c r="K160" i="73"/>
  <c r="J160" i="73"/>
  <c r="H160" i="73"/>
  <c r="G160" i="73"/>
  <c r="F160" i="73"/>
  <c r="E160" i="73"/>
  <c r="D160" i="73"/>
  <c r="O159" i="73"/>
  <c r="L159" i="73"/>
  <c r="I159" i="73"/>
  <c r="F159" i="73"/>
  <c r="O158" i="73"/>
  <c r="L158" i="73"/>
  <c r="I158" i="73"/>
  <c r="F158" i="73"/>
  <c r="O157" i="73"/>
  <c r="L157" i="73"/>
  <c r="I157" i="73"/>
  <c r="F157" i="73"/>
  <c r="O156" i="73"/>
  <c r="L156" i="73"/>
  <c r="I156" i="73"/>
  <c r="F156" i="73"/>
  <c r="O155" i="73"/>
  <c r="L155" i="73"/>
  <c r="I155" i="73"/>
  <c r="F155" i="73"/>
  <c r="C155" i="73" s="1"/>
  <c r="O154" i="73"/>
  <c r="L154" i="73"/>
  <c r="I154" i="73"/>
  <c r="F154" i="73"/>
  <c r="O153" i="73"/>
  <c r="L153" i="73"/>
  <c r="I153" i="73"/>
  <c r="F153" i="73"/>
  <c r="O152" i="73"/>
  <c r="O151" i="73" s="1"/>
  <c r="L152" i="73"/>
  <c r="I152" i="73"/>
  <c r="F152" i="73"/>
  <c r="C152" i="73" s="1"/>
  <c r="N151" i="73"/>
  <c r="M151" i="73"/>
  <c r="K151" i="73"/>
  <c r="J151" i="73"/>
  <c r="H151" i="73"/>
  <c r="G151" i="73"/>
  <c r="E151" i="73"/>
  <c r="D151" i="73"/>
  <c r="O150" i="73"/>
  <c r="L150" i="73"/>
  <c r="I150" i="73"/>
  <c r="F150" i="73"/>
  <c r="O149" i="73"/>
  <c r="L149" i="73"/>
  <c r="I149" i="73"/>
  <c r="F149" i="73"/>
  <c r="O148" i="73"/>
  <c r="L148" i="73"/>
  <c r="I148" i="73"/>
  <c r="F148" i="73"/>
  <c r="C148" i="73" s="1"/>
  <c r="O147" i="73"/>
  <c r="L147" i="73"/>
  <c r="I147" i="73"/>
  <c r="F147" i="73"/>
  <c r="O146" i="73"/>
  <c r="L146" i="73"/>
  <c r="I146" i="73"/>
  <c r="F146" i="73"/>
  <c r="O145" i="73"/>
  <c r="L145" i="73"/>
  <c r="L144" i="73" s="1"/>
  <c r="I145" i="73"/>
  <c r="F145" i="73"/>
  <c r="O144" i="73"/>
  <c r="N144" i="73"/>
  <c r="M144" i="73"/>
  <c r="K144" i="73"/>
  <c r="J144" i="73"/>
  <c r="H144" i="73"/>
  <c r="G144" i="73"/>
  <c r="E144" i="73"/>
  <c r="D144" i="73"/>
  <c r="O143" i="73"/>
  <c r="L143" i="73"/>
  <c r="I143" i="73"/>
  <c r="F143" i="73"/>
  <c r="O142" i="73"/>
  <c r="O141" i="73" s="1"/>
  <c r="L142" i="73"/>
  <c r="L141" i="73" s="1"/>
  <c r="I142" i="73"/>
  <c r="I141" i="73" s="1"/>
  <c r="F142" i="73"/>
  <c r="N141" i="73"/>
  <c r="M141" i="73"/>
  <c r="K141" i="73"/>
  <c r="J141" i="73"/>
  <c r="H141" i="73"/>
  <c r="G141" i="73"/>
  <c r="F141" i="73"/>
  <c r="E141" i="73"/>
  <c r="D141" i="73"/>
  <c r="O140" i="73"/>
  <c r="L140" i="73"/>
  <c r="I140" i="73"/>
  <c r="F140" i="73"/>
  <c r="O139" i="73"/>
  <c r="L139" i="73"/>
  <c r="I139" i="73"/>
  <c r="F139" i="73"/>
  <c r="O138" i="73"/>
  <c r="L138" i="73"/>
  <c r="I138" i="73"/>
  <c r="F138" i="73"/>
  <c r="O137" i="73"/>
  <c r="L137" i="73"/>
  <c r="L136" i="73" s="1"/>
  <c r="I137" i="73"/>
  <c r="F137" i="73"/>
  <c r="N136" i="73"/>
  <c r="M136" i="73"/>
  <c r="K136" i="73"/>
  <c r="J136" i="73"/>
  <c r="H136" i="73"/>
  <c r="G136" i="73"/>
  <c r="E136" i="73"/>
  <c r="D136" i="73"/>
  <c r="O135" i="73"/>
  <c r="L135" i="73"/>
  <c r="L131" i="73" s="1"/>
  <c r="I135" i="73"/>
  <c r="F135" i="73"/>
  <c r="O134" i="73"/>
  <c r="L134" i="73"/>
  <c r="I134" i="73"/>
  <c r="F134" i="73"/>
  <c r="O133" i="73"/>
  <c r="L133" i="73"/>
  <c r="I133" i="73"/>
  <c r="F133" i="73"/>
  <c r="O132" i="73"/>
  <c r="O131" i="73" s="1"/>
  <c r="L132" i="73"/>
  <c r="I132" i="73"/>
  <c r="F132" i="73"/>
  <c r="N131" i="73"/>
  <c r="M131" i="73"/>
  <c r="K131" i="73"/>
  <c r="J131" i="73"/>
  <c r="H131" i="73"/>
  <c r="G131" i="73"/>
  <c r="E131" i="73"/>
  <c r="D131" i="73"/>
  <c r="D130" i="73" s="1"/>
  <c r="O129" i="73"/>
  <c r="L129" i="73"/>
  <c r="L128" i="73" s="1"/>
  <c r="I129" i="73"/>
  <c r="I128" i="73" s="1"/>
  <c r="F129" i="73"/>
  <c r="F128" i="73" s="1"/>
  <c r="O128" i="73"/>
  <c r="N128" i="73"/>
  <c r="M128" i="73"/>
  <c r="K128" i="73"/>
  <c r="J128" i="73"/>
  <c r="H128" i="73"/>
  <c r="G128" i="73"/>
  <c r="E128" i="73"/>
  <c r="D128" i="73"/>
  <c r="O127" i="73"/>
  <c r="L127" i="73"/>
  <c r="I127" i="73"/>
  <c r="F127" i="73"/>
  <c r="O126" i="73"/>
  <c r="L126" i="73"/>
  <c r="I126" i="73"/>
  <c r="F126" i="73"/>
  <c r="O125" i="73"/>
  <c r="L125" i="73"/>
  <c r="I125" i="73"/>
  <c r="F125" i="73"/>
  <c r="O124" i="73"/>
  <c r="L124" i="73"/>
  <c r="I124" i="73"/>
  <c r="F124" i="73"/>
  <c r="O123" i="73"/>
  <c r="L123" i="73"/>
  <c r="I123" i="73"/>
  <c r="F123" i="73"/>
  <c r="N122" i="73"/>
  <c r="M122" i="73"/>
  <c r="K122" i="73"/>
  <c r="J122" i="73"/>
  <c r="H122" i="73"/>
  <c r="G122" i="73"/>
  <c r="E122" i="73"/>
  <c r="D122" i="73"/>
  <c r="O121" i="73"/>
  <c r="L121" i="73"/>
  <c r="I121" i="73"/>
  <c r="F121" i="73"/>
  <c r="O120" i="73"/>
  <c r="L120" i="73"/>
  <c r="I120" i="73"/>
  <c r="F120" i="73"/>
  <c r="O119" i="73"/>
  <c r="L119" i="73"/>
  <c r="I119" i="73"/>
  <c r="F119" i="73"/>
  <c r="O118" i="73"/>
  <c r="L118" i="73"/>
  <c r="I118" i="73"/>
  <c r="F118" i="73"/>
  <c r="O117" i="73"/>
  <c r="L117" i="73"/>
  <c r="L116" i="73" s="1"/>
  <c r="I117" i="73"/>
  <c r="I116" i="73" s="1"/>
  <c r="F117" i="73"/>
  <c r="N116" i="73"/>
  <c r="M116" i="73"/>
  <c r="K116" i="73"/>
  <c r="J116" i="73"/>
  <c r="H116" i="73"/>
  <c r="G116" i="73"/>
  <c r="E116" i="73"/>
  <c r="D116" i="73"/>
  <c r="O115" i="73"/>
  <c r="L115" i="73"/>
  <c r="I115" i="73"/>
  <c r="F115" i="73"/>
  <c r="O114" i="73"/>
  <c r="L114" i="73"/>
  <c r="I114" i="73"/>
  <c r="F114" i="73"/>
  <c r="O113" i="73"/>
  <c r="L113" i="73"/>
  <c r="I113" i="73"/>
  <c r="F113" i="73"/>
  <c r="N112" i="73"/>
  <c r="M112" i="73"/>
  <c r="K112" i="73"/>
  <c r="J112" i="73"/>
  <c r="I112" i="73"/>
  <c r="H112" i="73"/>
  <c r="G112" i="73"/>
  <c r="E112" i="73"/>
  <c r="D112" i="73"/>
  <c r="O111" i="73"/>
  <c r="L111" i="73"/>
  <c r="I111" i="73"/>
  <c r="F111" i="73"/>
  <c r="O110" i="73"/>
  <c r="L110" i="73"/>
  <c r="I110" i="73"/>
  <c r="F110" i="73"/>
  <c r="O109" i="73"/>
  <c r="L109" i="73"/>
  <c r="I109" i="73"/>
  <c r="F109" i="73"/>
  <c r="O108" i="73"/>
  <c r="L108" i="73"/>
  <c r="I108" i="73"/>
  <c r="F108" i="73"/>
  <c r="O107" i="73"/>
  <c r="L107" i="73"/>
  <c r="I107" i="73"/>
  <c r="F107" i="73"/>
  <c r="O106" i="73"/>
  <c r="L106" i="73"/>
  <c r="I106" i="73"/>
  <c r="F106" i="73"/>
  <c r="O105" i="73"/>
  <c r="L105" i="73"/>
  <c r="I105" i="73"/>
  <c r="F105" i="73"/>
  <c r="O104" i="73"/>
  <c r="O103" i="73" s="1"/>
  <c r="L104" i="73"/>
  <c r="I104" i="73"/>
  <c r="F104" i="73"/>
  <c r="N103" i="73"/>
  <c r="M103" i="73"/>
  <c r="K103" i="73"/>
  <c r="J103" i="73"/>
  <c r="H103" i="73"/>
  <c r="G103" i="73"/>
  <c r="E103" i="73"/>
  <c r="D103" i="73"/>
  <c r="O102" i="73"/>
  <c r="L102" i="73"/>
  <c r="I102" i="73"/>
  <c r="F102" i="73"/>
  <c r="O101" i="73"/>
  <c r="L101" i="73"/>
  <c r="I101" i="73"/>
  <c r="F101" i="73"/>
  <c r="O100" i="73"/>
  <c r="L100" i="73"/>
  <c r="I100" i="73"/>
  <c r="F100" i="73"/>
  <c r="O99" i="73"/>
  <c r="L99" i="73"/>
  <c r="I99" i="73"/>
  <c r="F99" i="73"/>
  <c r="O98" i="73"/>
  <c r="L98" i="73"/>
  <c r="I98" i="73"/>
  <c r="F98" i="73"/>
  <c r="O97" i="73"/>
  <c r="L97" i="73"/>
  <c r="I97" i="73"/>
  <c r="F97" i="73"/>
  <c r="O96" i="73"/>
  <c r="O95" i="73" s="1"/>
  <c r="L96" i="73"/>
  <c r="I96" i="73"/>
  <c r="I95" i="73" s="1"/>
  <c r="F96" i="73"/>
  <c r="N95" i="73"/>
  <c r="M95" i="73"/>
  <c r="K95" i="73"/>
  <c r="J95" i="73"/>
  <c r="H95" i="73"/>
  <c r="G95" i="73"/>
  <c r="E95" i="73"/>
  <c r="D95" i="73"/>
  <c r="O94" i="73"/>
  <c r="L94" i="73"/>
  <c r="I94" i="73"/>
  <c r="F94" i="73"/>
  <c r="O93" i="73"/>
  <c r="L93" i="73"/>
  <c r="I93" i="73"/>
  <c r="F93" i="73"/>
  <c r="O92" i="73"/>
  <c r="L92" i="73"/>
  <c r="I92" i="73"/>
  <c r="F92" i="73"/>
  <c r="O91" i="73"/>
  <c r="L91" i="73"/>
  <c r="I91" i="73"/>
  <c r="F91" i="73"/>
  <c r="O90" i="73"/>
  <c r="O89" i="73" s="1"/>
  <c r="L90" i="73"/>
  <c r="L89" i="73" s="1"/>
  <c r="I90" i="73"/>
  <c r="I89" i="73" s="1"/>
  <c r="F90" i="73"/>
  <c r="N89" i="73"/>
  <c r="M89" i="73"/>
  <c r="K89" i="73"/>
  <c r="J89" i="73"/>
  <c r="H89" i="73"/>
  <c r="G89" i="73"/>
  <c r="E89" i="73"/>
  <c r="D89" i="73"/>
  <c r="O88" i="73"/>
  <c r="L88" i="73"/>
  <c r="I88" i="73"/>
  <c r="F88" i="73"/>
  <c r="O87" i="73"/>
  <c r="L87" i="73"/>
  <c r="I87" i="73"/>
  <c r="F87" i="73"/>
  <c r="O86" i="73"/>
  <c r="L86" i="73"/>
  <c r="I86" i="73"/>
  <c r="F86" i="73"/>
  <c r="O85" i="73"/>
  <c r="O84" i="73" s="1"/>
  <c r="L85" i="73"/>
  <c r="I85" i="73"/>
  <c r="F85" i="73"/>
  <c r="N84" i="73"/>
  <c r="N83" i="73" s="1"/>
  <c r="M84" i="73"/>
  <c r="M83" i="73" s="1"/>
  <c r="K84" i="73"/>
  <c r="J84" i="73"/>
  <c r="J83" i="73" s="1"/>
  <c r="I84" i="73"/>
  <c r="H84" i="73"/>
  <c r="H83" i="73" s="1"/>
  <c r="G84" i="73"/>
  <c r="E84" i="73"/>
  <c r="E83" i="73" s="1"/>
  <c r="D84" i="73"/>
  <c r="D83" i="73" s="1"/>
  <c r="O82" i="73"/>
  <c r="L82" i="73"/>
  <c r="I82" i="73"/>
  <c r="F82" i="73"/>
  <c r="O81" i="73"/>
  <c r="O80" i="73" s="1"/>
  <c r="L81" i="73"/>
  <c r="L80" i="73" s="1"/>
  <c r="I81" i="73"/>
  <c r="F81" i="73"/>
  <c r="N80" i="73"/>
  <c r="M80" i="73"/>
  <c r="K80" i="73"/>
  <c r="J80" i="73"/>
  <c r="I80" i="73"/>
  <c r="H80" i="73"/>
  <c r="G80" i="73"/>
  <c r="E80" i="73"/>
  <c r="D80" i="73"/>
  <c r="O79" i="73"/>
  <c r="L79" i="73"/>
  <c r="I79" i="73"/>
  <c r="F79" i="73"/>
  <c r="O78" i="73"/>
  <c r="O77" i="73" s="1"/>
  <c r="L78" i="73"/>
  <c r="I78" i="73"/>
  <c r="I77" i="73" s="1"/>
  <c r="F78" i="73"/>
  <c r="C78" i="73" s="1"/>
  <c r="N77" i="73"/>
  <c r="M77" i="73"/>
  <c r="L77" i="73"/>
  <c r="K77" i="73"/>
  <c r="K76" i="73" s="1"/>
  <c r="J77" i="73"/>
  <c r="H77" i="73"/>
  <c r="H76" i="73" s="1"/>
  <c r="G77" i="73"/>
  <c r="G76" i="73" s="1"/>
  <c r="F77" i="73"/>
  <c r="E77" i="73"/>
  <c r="D77" i="73"/>
  <c r="M76" i="73"/>
  <c r="E76" i="73"/>
  <c r="O74" i="73"/>
  <c r="L74" i="73"/>
  <c r="I74" i="73"/>
  <c r="F74" i="73"/>
  <c r="O73" i="73"/>
  <c r="L73" i="73"/>
  <c r="I73" i="73"/>
  <c r="F73" i="73"/>
  <c r="O72" i="73"/>
  <c r="L72" i="73"/>
  <c r="I72" i="73"/>
  <c r="F72" i="73"/>
  <c r="O71" i="73"/>
  <c r="L71" i="73"/>
  <c r="I71" i="73"/>
  <c r="F71" i="73"/>
  <c r="O70" i="73"/>
  <c r="O69" i="73" s="1"/>
  <c r="L70" i="73"/>
  <c r="L69" i="73" s="1"/>
  <c r="I70" i="73"/>
  <c r="I69" i="73" s="1"/>
  <c r="F70" i="73"/>
  <c r="C70" i="73" s="1"/>
  <c r="N69" i="73"/>
  <c r="M69" i="73"/>
  <c r="K69" i="73"/>
  <c r="K67" i="73" s="1"/>
  <c r="J69" i="73"/>
  <c r="J67" i="73" s="1"/>
  <c r="H69" i="73"/>
  <c r="H67" i="73" s="1"/>
  <c r="G69" i="73"/>
  <c r="G67" i="73" s="1"/>
  <c r="E69" i="73"/>
  <c r="D69" i="73"/>
  <c r="D67" i="73" s="1"/>
  <c r="O68" i="73"/>
  <c r="L68" i="73"/>
  <c r="I68" i="73"/>
  <c r="F68" i="73"/>
  <c r="C68" i="73" s="1"/>
  <c r="N67" i="73"/>
  <c r="M67" i="73"/>
  <c r="E67" i="73"/>
  <c r="O66" i="73"/>
  <c r="L66" i="73"/>
  <c r="I66" i="73"/>
  <c r="F66" i="73"/>
  <c r="O65" i="73"/>
  <c r="L65" i="73"/>
  <c r="I65" i="73"/>
  <c r="F65" i="73"/>
  <c r="O64" i="73"/>
  <c r="L64" i="73"/>
  <c r="I64" i="73"/>
  <c r="F64" i="73"/>
  <c r="O63" i="73"/>
  <c r="L63" i="73"/>
  <c r="I63" i="73"/>
  <c r="F63" i="73"/>
  <c r="O62" i="73"/>
  <c r="L62" i="73"/>
  <c r="I62" i="73"/>
  <c r="F62" i="73"/>
  <c r="O61" i="73"/>
  <c r="L61" i="73"/>
  <c r="I61" i="73"/>
  <c r="F61" i="73"/>
  <c r="O60" i="73"/>
  <c r="L60" i="73"/>
  <c r="I60" i="73"/>
  <c r="F60" i="73"/>
  <c r="O59" i="73"/>
  <c r="L59" i="73"/>
  <c r="I59" i="73"/>
  <c r="I58" i="73" s="1"/>
  <c r="F59" i="73"/>
  <c r="N58" i="73"/>
  <c r="M58" i="73"/>
  <c r="K58" i="73"/>
  <c r="J58" i="73"/>
  <c r="H58" i="73"/>
  <c r="G58" i="73"/>
  <c r="E58" i="73"/>
  <c r="D58" i="73"/>
  <c r="O57" i="73"/>
  <c r="L57" i="73"/>
  <c r="I57" i="73"/>
  <c r="F57" i="73"/>
  <c r="O56" i="73"/>
  <c r="O55" i="73" s="1"/>
  <c r="L56" i="73"/>
  <c r="I56" i="73"/>
  <c r="I55" i="73" s="1"/>
  <c r="F56" i="73"/>
  <c r="N55" i="73"/>
  <c r="N54" i="73" s="1"/>
  <c r="N53" i="73" s="1"/>
  <c r="M55" i="73"/>
  <c r="M54" i="73" s="1"/>
  <c r="L55" i="73"/>
  <c r="K55" i="73"/>
  <c r="J55" i="73"/>
  <c r="J54" i="73" s="1"/>
  <c r="H55" i="73"/>
  <c r="G55" i="73"/>
  <c r="F55" i="73"/>
  <c r="E55" i="73"/>
  <c r="E54" i="73" s="1"/>
  <c r="E53" i="73" s="1"/>
  <c r="D55" i="73"/>
  <c r="G54" i="73"/>
  <c r="G53" i="73" s="1"/>
  <c r="O47" i="73"/>
  <c r="C47" i="73" s="1"/>
  <c r="O46" i="73"/>
  <c r="O45" i="73" s="1"/>
  <c r="C45" i="73" s="1"/>
  <c r="N45" i="73"/>
  <c r="M45" i="73"/>
  <c r="L44" i="73"/>
  <c r="L43" i="73" s="1"/>
  <c r="I44" i="73"/>
  <c r="I43" i="73" s="1"/>
  <c r="F44" i="73"/>
  <c r="K43" i="73"/>
  <c r="J43" i="73"/>
  <c r="H43" i="73"/>
  <c r="G43" i="73"/>
  <c r="E43" i="73"/>
  <c r="D43" i="73"/>
  <c r="F42" i="73"/>
  <c r="C42" i="73" s="1"/>
  <c r="E41" i="73"/>
  <c r="D41" i="73"/>
  <c r="L40" i="73"/>
  <c r="C40" i="73" s="1"/>
  <c r="L39" i="73"/>
  <c r="C39" i="73"/>
  <c r="L38" i="73"/>
  <c r="C38" i="73" s="1"/>
  <c r="L37" i="73"/>
  <c r="C37" i="73" s="1"/>
  <c r="K36" i="73"/>
  <c r="J36" i="73"/>
  <c r="L35" i="73"/>
  <c r="C35" i="73" s="1"/>
  <c r="L34" i="73"/>
  <c r="L33" i="73" s="1"/>
  <c r="C33" i="73" s="1"/>
  <c r="K33" i="73"/>
  <c r="J33" i="73"/>
  <c r="L32" i="73"/>
  <c r="C32" i="73" s="1"/>
  <c r="K31" i="73"/>
  <c r="J31" i="73"/>
  <c r="L30" i="73"/>
  <c r="C30" i="73" s="1"/>
  <c r="L29" i="73"/>
  <c r="C29" i="73" s="1"/>
  <c r="L28" i="73"/>
  <c r="K27" i="73"/>
  <c r="J27" i="73"/>
  <c r="F25" i="73"/>
  <c r="C25" i="73" s="1"/>
  <c r="I24" i="73"/>
  <c r="F24" i="73"/>
  <c r="O23" i="73"/>
  <c r="L23" i="73"/>
  <c r="I23" i="73"/>
  <c r="F23" i="73"/>
  <c r="O22" i="73"/>
  <c r="L22" i="73"/>
  <c r="L21" i="73" s="1"/>
  <c r="L292" i="73" s="1"/>
  <c r="I22" i="73"/>
  <c r="I21" i="73" s="1"/>
  <c r="F22" i="73"/>
  <c r="O21" i="73"/>
  <c r="N21" i="73"/>
  <c r="N292" i="73" s="1"/>
  <c r="N291" i="73" s="1"/>
  <c r="M21" i="73"/>
  <c r="M292" i="73" s="1"/>
  <c r="M291" i="73" s="1"/>
  <c r="K21" i="73"/>
  <c r="J21" i="73"/>
  <c r="J292" i="73" s="1"/>
  <c r="J291" i="73" s="1"/>
  <c r="H21" i="73"/>
  <c r="H292" i="73" s="1"/>
  <c r="H291" i="73" s="1"/>
  <c r="G21" i="73"/>
  <c r="F21" i="73"/>
  <c r="F292" i="73" s="1"/>
  <c r="E21" i="73"/>
  <c r="E292" i="73" s="1"/>
  <c r="E291" i="73" s="1"/>
  <c r="D21" i="73"/>
  <c r="D292" i="73" s="1"/>
  <c r="D291" i="73" s="1"/>
  <c r="M20" i="73"/>
  <c r="D76" i="73" l="1"/>
  <c r="D75" i="73" s="1"/>
  <c r="C94" i="73"/>
  <c r="C96" i="73"/>
  <c r="C97" i="73"/>
  <c r="C99" i="73"/>
  <c r="C100" i="73"/>
  <c r="C101" i="73"/>
  <c r="C106" i="73"/>
  <c r="C110" i="73"/>
  <c r="O122" i="73"/>
  <c r="E130" i="73"/>
  <c r="C132" i="73"/>
  <c r="C133" i="73"/>
  <c r="C134" i="73"/>
  <c r="C135" i="73"/>
  <c r="C168" i="73"/>
  <c r="C169" i="73"/>
  <c r="C171" i="73"/>
  <c r="C237" i="73"/>
  <c r="C245" i="73"/>
  <c r="D269" i="73"/>
  <c r="D20" i="73"/>
  <c r="D54" i="73"/>
  <c r="D53" i="73" s="1"/>
  <c r="H54" i="73"/>
  <c r="H53" i="73" s="1"/>
  <c r="M53" i="73"/>
  <c r="G83" i="73"/>
  <c r="K83" i="73"/>
  <c r="C127" i="73"/>
  <c r="G130" i="73"/>
  <c r="C197" i="73"/>
  <c r="J195" i="73"/>
  <c r="N195" i="73"/>
  <c r="H204" i="73"/>
  <c r="M204" i="73"/>
  <c r="C217" i="73"/>
  <c r="C218" i="73"/>
  <c r="C221" i="73"/>
  <c r="G231" i="73"/>
  <c r="C114" i="73"/>
  <c r="J173" i="73"/>
  <c r="C180" i="73"/>
  <c r="C183" i="73"/>
  <c r="E195" i="73"/>
  <c r="K195" i="73"/>
  <c r="D204" i="73"/>
  <c r="C213" i="73"/>
  <c r="C229" i="73"/>
  <c r="H231" i="73"/>
  <c r="C261" i="73"/>
  <c r="E259" i="73"/>
  <c r="J270" i="73"/>
  <c r="K54" i="73"/>
  <c r="K53" i="73" s="1"/>
  <c r="L67" i="73"/>
  <c r="L103" i="73"/>
  <c r="C120" i="73"/>
  <c r="C128" i="73"/>
  <c r="C139" i="73"/>
  <c r="C164" i="73"/>
  <c r="L196" i="73"/>
  <c r="C44" i="73"/>
  <c r="C86" i="73"/>
  <c r="C123" i="73"/>
  <c r="C126" i="73"/>
  <c r="C140" i="73"/>
  <c r="C241" i="73"/>
  <c r="C243" i="73"/>
  <c r="C249" i="73"/>
  <c r="G259" i="73"/>
  <c r="G230" i="73" s="1"/>
  <c r="C301" i="73"/>
  <c r="H20" i="73"/>
  <c r="O58" i="73"/>
  <c r="E75" i="73"/>
  <c r="C159" i="73"/>
  <c r="C184" i="73"/>
  <c r="D187" i="73"/>
  <c r="C214" i="73"/>
  <c r="J269" i="73"/>
  <c r="C297" i="73"/>
  <c r="C21" i="73"/>
  <c r="L27" i="73"/>
  <c r="C27" i="73" s="1"/>
  <c r="C34" i="73"/>
  <c r="F41" i="73"/>
  <c r="C41" i="73" s="1"/>
  <c r="F43" i="73"/>
  <c r="F20" i="73" s="1"/>
  <c r="C62" i="73"/>
  <c r="C63" i="73"/>
  <c r="C64" i="73"/>
  <c r="C66" i="73"/>
  <c r="C82" i="73"/>
  <c r="C113" i="73"/>
  <c r="E174" i="73"/>
  <c r="E173" i="73" s="1"/>
  <c r="H187" i="73"/>
  <c r="C257" i="73"/>
  <c r="C265" i="73"/>
  <c r="K270" i="73"/>
  <c r="K269" i="73" s="1"/>
  <c r="C277" i="73"/>
  <c r="C280" i="73"/>
  <c r="C288" i="73"/>
  <c r="C28" i="73"/>
  <c r="E20" i="73"/>
  <c r="C46" i="73"/>
  <c r="C59" i="73"/>
  <c r="C71" i="73"/>
  <c r="C72" i="73"/>
  <c r="C73" i="73"/>
  <c r="O76" i="73"/>
  <c r="C91" i="73"/>
  <c r="C92" i="73"/>
  <c r="C93" i="73"/>
  <c r="L95" i="73"/>
  <c r="F103" i="73"/>
  <c r="I103" i="73"/>
  <c r="C107" i="73"/>
  <c r="C108" i="73"/>
  <c r="C109" i="73"/>
  <c r="F116" i="73"/>
  <c r="C118" i="73"/>
  <c r="C119" i="73"/>
  <c r="L122" i="73"/>
  <c r="K130" i="73"/>
  <c r="K75" i="73" s="1"/>
  <c r="I136" i="73"/>
  <c r="C147" i="73"/>
  <c r="L151" i="73"/>
  <c r="L130" i="73" s="1"/>
  <c r="C163" i="73"/>
  <c r="G174" i="73"/>
  <c r="G173" i="73" s="1"/>
  <c r="C177" i="73"/>
  <c r="C178" i="73"/>
  <c r="C192" i="73"/>
  <c r="C203" i="73"/>
  <c r="C215" i="73"/>
  <c r="M231" i="73"/>
  <c r="M230" i="73" s="1"/>
  <c r="L235" i="73"/>
  <c r="C244" i="73"/>
  <c r="L252" i="73"/>
  <c r="C262" i="73"/>
  <c r="C275" i="73"/>
  <c r="L293" i="73"/>
  <c r="C299" i="73"/>
  <c r="C22" i="73"/>
  <c r="C24" i="73"/>
  <c r="J26" i="73"/>
  <c r="C65" i="73"/>
  <c r="L76" i="73"/>
  <c r="C79" i="73"/>
  <c r="L84" i="73"/>
  <c r="C98" i="73"/>
  <c r="C102" i="73"/>
  <c r="C111" i="73"/>
  <c r="O112" i="73"/>
  <c r="L112" i="73"/>
  <c r="M130" i="73"/>
  <c r="M75" i="73" s="1"/>
  <c r="C156" i="73"/>
  <c r="K230" i="73"/>
  <c r="L246" i="73"/>
  <c r="C281" i="73"/>
  <c r="K26" i="73"/>
  <c r="L36" i="73"/>
  <c r="C36" i="73" s="1"/>
  <c r="J53" i="73"/>
  <c r="O54" i="73"/>
  <c r="C141" i="73"/>
  <c r="C160" i="73"/>
  <c r="I166" i="73"/>
  <c r="I165" i="73" s="1"/>
  <c r="C189" i="73"/>
  <c r="F198" i="73"/>
  <c r="F196" i="73" s="1"/>
  <c r="C201" i="73"/>
  <c r="C202" i="73"/>
  <c r="C207" i="73"/>
  <c r="C210" i="73"/>
  <c r="C212" i="73"/>
  <c r="C222" i="73"/>
  <c r="C224" i="73"/>
  <c r="O235" i="73"/>
  <c r="N231" i="73"/>
  <c r="N230" i="73" s="1"/>
  <c r="L238" i="73"/>
  <c r="C248" i="73"/>
  <c r="O246" i="73"/>
  <c r="C273" i="73"/>
  <c r="O270" i="73"/>
  <c r="O269" i="73" s="1"/>
  <c r="C284" i="73"/>
  <c r="C285" i="73"/>
  <c r="L291" i="73"/>
  <c r="C57" i="73"/>
  <c r="I67" i="73"/>
  <c r="C74" i="73"/>
  <c r="J76" i="73"/>
  <c r="N76" i="73"/>
  <c r="C81" i="73"/>
  <c r="C85" i="73"/>
  <c r="C87" i="73"/>
  <c r="C88" i="73"/>
  <c r="F95" i="73"/>
  <c r="C95" i="73" s="1"/>
  <c r="C104" i="73"/>
  <c r="C105" i="73"/>
  <c r="C115" i="73"/>
  <c r="O116" i="73"/>
  <c r="C124" i="73"/>
  <c r="H130" i="73"/>
  <c r="H75" i="73" s="1"/>
  <c r="I131" i="73"/>
  <c r="C137" i="73"/>
  <c r="C138" i="73"/>
  <c r="O136" i="73"/>
  <c r="O130" i="73" s="1"/>
  <c r="C143" i="73"/>
  <c r="L166" i="73"/>
  <c r="L165" i="73" s="1"/>
  <c r="K174" i="73"/>
  <c r="K173" i="73" s="1"/>
  <c r="C176" i="73"/>
  <c r="L179" i="73"/>
  <c r="C188" i="73"/>
  <c r="G195" i="73"/>
  <c r="C211" i="73"/>
  <c r="C223" i="73"/>
  <c r="J231" i="73"/>
  <c r="J230" i="73" s="1"/>
  <c r="J194" i="73" s="1"/>
  <c r="O238" i="73"/>
  <c r="C250" i="73"/>
  <c r="L264" i="73"/>
  <c r="L259" i="73" s="1"/>
  <c r="C274" i="73"/>
  <c r="L276" i="73"/>
  <c r="C298" i="73"/>
  <c r="G292" i="73"/>
  <c r="G291" i="73" s="1"/>
  <c r="G20" i="73"/>
  <c r="C55" i="73"/>
  <c r="C56" i="73"/>
  <c r="L58" i="73"/>
  <c r="L54" i="73" s="1"/>
  <c r="L53" i="73" s="1"/>
  <c r="O67" i="73"/>
  <c r="O53" i="73" s="1"/>
  <c r="G75" i="73"/>
  <c r="G52" i="73" s="1"/>
  <c r="L83" i="73"/>
  <c r="I20" i="73"/>
  <c r="O292" i="73"/>
  <c r="O291" i="73" s="1"/>
  <c r="O20" i="73"/>
  <c r="I54" i="73"/>
  <c r="C77" i="73"/>
  <c r="I76" i="73"/>
  <c r="K292" i="73"/>
  <c r="K291" i="73" s="1"/>
  <c r="K20" i="73"/>
  <c r="C23" i="73"/>
  <c r="C60" i="73"/>
  <c r="C61" i="73"/>
  <c r="F58" i="73"/>
  <c r="F136" i="73"/>
  <c r="L31" i="73"/>
  <c r="F80" i="73"/>
  <c r="C80" i="73" s="1"/>
  <c r="F84" i="73"/>
  <c r="F112" i="73"/>
  <c r="C121" i="73"/>
  <c r="C129" i="73"/>
  <c r="J130" i="73"/>
  <c r="J75" i="73" s="1"/>
  <c r="N130" i="73"/>
  <c r="N75" i="73" s="1"/>
  <c r="C142" i="73"/>
  <c r="F144" i="73"/>
  <c r="C145" i="73"/>
  <c r="C146" i="73"/>
  <c r="C157" i="73"/>
  <c r="C158" i="73"/>
  <c r="C161" i="73"/>
  <c r="C162" i="73"/>
  <c r="O166" i="73"/>
  <c r="O165" i="73" s="1"/>
  <c r="H174" i="73"/>
  <c r="H173" i="73" s="1"/>
  <c r="C185" i="73"/>
  <c r="C186" i="73"/>
  <c r="N187" i="73"/>
  <c r="L191" i="73"/>
  <c r="L187" i="73" s="1"/>
  <c r="C187" i="73" s="1"/>
  <c r="C193" i="73"/>
  <c r="L195" i="73"/>
  <c r="C90" i="73"/>
  <c r="I151" i="73"/>
  <c r="L174" i="73"/>
  <c r="L173" i="73" s="1"/>
  <c r="C271" i="73"/>
  <c r="J20" i="73"/>
  <c r="N20" i="73"/>
  <c r="F69" i="73"/>
  <c r="F89" i="73"/>
  <c r="C89" i="73" s="1"/>
  <c r="C117" i="73"/>
  <c r="I122" i="73"/>
  <c r="F122" i="73"/>
  <c r="F131" i="73"/>
  <c r="I144" i="73"/>
  <c r="I130" i="73" s="1"/>
  <c r="C167" i="73"/>
  <c r="F166" i="73"/>
  <c r="D174" i="73"/>
  <c r="D173" i="73" s="1"/>
  <c r="C181" i="73"/>
  <c r="C182" i="73"/>
  <c r="E187" i="73"/>
  <c r="E52" i="73" s="1"/>
  <c r="J187" i="73"/>
  <c r="O187" i="73"/>
  <c r="O205" i="73"/>
  <c r="C233" i="73"/>
  <c r="C240" i="73"/>
  <c r="F238" i="73"/>
  <c r="I246" i="73"/>
  <c r="C246" i="73" s="1"/>
  <c r="C247" i="73"/>
  <c r="I286" i="73"/>
  <c r="C287" i="73"/>
  <c r="C125" i="73"/>
  <c r="C149" i="73"/>
  <c r="C150" i="73"/>
  <c r="C153" i="73"/>
  <c r="C154" i="73"/>
  <c r="F151" i="73"/>
  <c r="C170" i="73"/>
  <c r="O173" i="73"/>
  <c r="C190" i="73"/>
  <c r="D195" i="73"/>
  <c r="M195" i="73"/>
  <c r="M194" i="73" s="1"/>
  <c r="I198" i="73"/>
  <c r="I196" i="73" s="1"/>
  <c r="C199" i="73"/>
  <c r="C219" i="73"/>
  <c r="I216" i="73"/>
  <c r="I204" i="73" s="1"/>
  <c r="L251" i="73"/>
  <c r="O196" i="73"/>
  <c r="C226" i="73"/>
  <c r="I238" i="73"/>
  <c r="I231" i="73" s="1"/>
  <c r="C239" i="73"/>
  <c r="C242" i="73"/>
  <c r="C254" i="73"/>
  <c r="C256" i="73"/>
  <c r="F252" i="73"/>
  <c r="D259" i="73"/>
  <c r="D230" i="73" s="1"/>
  <c r="H259" i="73"/>
  <c r="C263" i="73"/>
  <c r="I260" i="73"/>
  <c r="C260" i="73" s="1"/>
  <c r="F270" i="73"/>
  <c r="C272" i="73"/>
  <c r="F175" i="73"/>
  <c r="F179" i="73"/>
  <c r="C179" i="73" s="1"/>
  <c r="O216" i="73"/>
  <c r="C232" i="73"/>
  <c r="C236" i="73"/>
  <c r="F235" i="73"/>
  <c r="C255" i="73"/>
  <c r="I252" i="73"/>
  <c r="I251" i="73" s="1"/>
  <c r="C258" i="73"/>
  <c r="C266" i="73"/>
  <c r="C268" i="73"/>
  <c r="F264" i="73"/>
  <c r="C278" i="73"/>
  <c r="C294" i="73"/>
  <c r="C296" i="73"/>
  <c r="F293" i="73"/>
  <c r="F291" i="73" s="1"/>
  <c r="H195" i="73"/>
  <c r="C200" i="73"/>
  <c r="F205" i="73"/>
  <c r="C220" i="73"/>
  <c r="F216" i="73"/>
  <c r="C228" i="73"/>
  <c r="F227" i="73"/>
  <c r="C227" i="73" s="1"/>
  <c r="E230" i="73"/>
  <c r="E194" i="73" s="1"/>
  <c r="C267" i="73"/>
  <c r="I264" i="73"/>
  <c r="L270" i="73"/>
  <c r="L269" i="73" s="1"/>
  <c r="C279" i="73"/>
  <c r="I276" i="73"/>
  <c r="C276" i="73" s="1"/>
  <c r="C295" i="73"/>
  <c r="I293" i="73"/>
  <c r="C300" i="73"/>
  <c r="C206" i="73"/>
  <c r="C234" i="73"/>
  <c r="C282" i="73"/>
  <c r="F283" i="73"/>
  <c r="C283" i="73" s="1"/>
  <c r="C235" i="73" l="1"/>
  <c r="I83" i="73"/>
  <c r="L231" i="73"/>
  <c r="L230" i="73" s="1"/>
  <c r="C43" i="73"/>
  <c r="C58" i="73"/>
  <c r="L75" i="73"/>
  <c r="N194" i="73"/>
  <c r="K194" i="73"/>
  <c r="H230" i="73"/>
  <c r="D52" i="73"/>
  <c r="G194" i="73"/>
  <c r="G51" i="73" s="1"/>
  <c r="K289" i="73"/>
  <c r="E289" i="73"/>
  <c r="O231" i="73"/>
  <c r="O230" i="73" s="1"/>
  <c r="G289" i="73"/>
  <c r="O83" i="73"/>
  <c r="O75" i="73" s="1"/>
  <c r="O52" i="73" s="1"/>
  <c r="K52" i="73"/>
  <c r="C103" i="73"/>
  <c r="E51" i="73"/>
  <c r="E50" i="73" s="1"/>
  <c r="C122" i="73"/>
  <c r="H52" i="73"/>
  <c r="M52" i="73"/>
  <c r="M51" i="73" s="1"/>
  <c r="M289" i="73"/>
  <c r="C112" i="73"/>
  <c r="C136" i="73"/>
  <c r="I53" i="73"/>
  <c r="C191" i="73"/>
  <c r="J52" i="73"/>
  <c r="J51" i="73" s="1"/>
  <c r="J290" i="73" s="1"/>
  <c r="C116" i="73"/>
  <c r="L52" i="73"/>
  <c r="H289" i="73"/>
  <c r="D289" i="73"/>
  <c r="O204" i="73"/>
  <c r="N52" i="73"/>
  <c r="N289" i="73"/>
  <c r="J289" i="73"/>
  <c r="C205" i="73"/>
  <c r="F204" i="73"/>
  <c r="I195" i="73"/>
  <c r="F130" i="73"/>
  <c r="C130" i="73" s="1"/>
  <c r="C131" i="73"/>
  <c r="I270" i="73"/>
  <c r="I269" i="73" s="1"/>
  <c r="C84" i="73"/>
  <c r="F83" i="73"/>
  <c r="C83" i="73" s="1"/>
  <c r="I292" i="73"/>
  <c r="F269" i="73"/>
  <c r="C270" i="73"/>
  <c r="O195" i="73"/>
  <c r="C238" i="73"/>
  <c r="C196" i="73"/>
  <c r="C166" i="73"/>
  <c r="F165" i="73"/>
  <c r="C165" i="73" s="1"/>
  <c r="C69" i="73"/>
  <c r="F67" i="73"/>
  <c r="C67" i="73" s="1"/>
  <c r="C144" i="73"/>
  <c r="I75" i="73"/>
  <c r="C286" i="73"/>
  <c r="C216" i="73"/>
  <c r="H194" i="73"/>
  <c r="H51" i="73" s="1"/>
  <c r="C264" i="73"/>
  <c r="F259" i="73"/>
  <c r="I259" i="73"/>
  <c r="C252" i="73"/>
  <c r="F251" i="73"/>
  <c r="C251" i="73" s="1"/>
  <c r="D194" i="73"/>
  <c r="D51" i="73" s="1"/>
  <c r="C198" i="73"/>
  <c r="I52" i="73"/>
  <c r="F76" i="73"/>
  <c r="C293" i="73"/>
  <c r="F231" i="73"/>
  <c r="C175" i="73"/>
  <c r="F174" i="73"/>
  <c r="I230" i="73"/>
  <c r="C151" i="73"/>
  <c r="L26" i="73"/>
  <c r="C31" i="73"/>
  <c r="F54" i="73"/>
  <c r="G50" i="73" l="1"/>
  <c r="G290" i="73"/>
  <c r="L289" i="73"/>
  <c r="L194" i="73"/>
  <c r="L51" i="73" s="1"/>
  <c r="L50" i="73" s="1"/>
  <c r="E290" i="73"/>
  <c r="N51" i="73"/>
  <c r="K51" i="73"/>
  <c r="J50" i="73"/>
  <c r="O194" i="73"/>
  <c r="I289" i="73"/>
  <c r="C204" i="73"/>
  <c r="H290" i="73"/>
  <c r="H50" i="73"/>
  <c r="C174" i="73"/>
  <c r="F173" i="73"/>
  <c r="C173" i="73" s="1"/>
  <c r="L290" i="73"/>
  <c r="C26" i="73"/>
  <c r="L20" i="73"/>
  <c r="C20" i="73" s="1"/>
  <c r="M50" i="73"/>
  <c r="M290" i="73"/>
  <c r="C259" i="73"/>
  <c r="F195" i="73"/>
  <c r="C76" i="73"/>
  <c r="F75" i="73"/>
  <c r="C75" i="73" s="1"/>
  <c r="D290" i="73"/>
  <c r="D50" i="73"/>
  <c r="C231" i="73"/>
  <c r="F230" i="73"/>
  <c r="C230" i="73" s="1"/>
  <c r="C269" i="73"/>
  <c r="I194" i="73"/>
  <c r="I51" i="73" s="1"/>
  <c r="O289" i="73"/>
  <c r="F53" i="73"/>
  <c r="C54" i="73"/>
  <c r="I291" i="73"/>
  <c r="C291" i="73" s="1"/>
  <c r="C292" i="73"/>
  <c r="O51" i="73"/>
  <c r="N50" i="73"/>
  <c r="N290" i="73"/>
  <c r="K290" i="73" l="1"/>
  <c r="K50" i="73"/>
  <c r="I290" i="73"/>
  <c r="I50" i="73"/>
  <c r="F289" i="73"/>
  <c r="C289" i="73" s="1"/>
  <c r="O50" i="73"/>
  <c r="O290" i="73"/>
  <c r="C53" i="73"/>
  <c r="F52" i="73"/>
  <c r="C195" i="73"/>
  <c r="F194" i="73"/>
  <c r="C194" i="73" s="1"/>
  <c r="C52" i="73" l="1"/>
  <c r="F51" i="73"/>
  <c r="F290" i="73" l="1"/>
  <c r="C290" i="73" s="1"/>
  <c r="F50" i="73"/>
  <c r="C50" i="73" s="1"/>
  <c r="C51" i="73"/>
  <c r="O301" i="72" l="1"/>
  <c r="L301" i="72"/>
  <c r="I301" i="72"/>
  <c r="F301" i="72"/>
  <c r="O300" i="72"/>
  <c r="L300" i="72"/>
  <c r="I300" i="72"/>
  <c r="F300" i="72"/>
  <c r="O299" i="72"/>
  <c r="L299" i="72"/>
  <c r="I299" i="72"/>
  <c r="F299" i="72"/>
  <c r="O298" i="72"/>
  <c r="L298" i="72"/>
  <c r="I298" i="72"/>
  <c r="F298" i="72"/>
  <c r="O297" i="72"/>
  <c r="L297" i="72"/>
  <c r="I297" i="72"/>
  <c r="F297" i="72"/>
  <c r="O296" i="72"/>
  <c r="L296" i="72"/>
  <c r="I296" i="72"/>
  <c r="F296" i="72"/>
  <c r="O295" i="72"/>
  <c r="L295" i="72"/>
  <c r="I295" i="72"/>
  <c r="F295" i="72"/>
  <c r="O294" i="72"/>
  <c r="L294" i="72"/>
  <c r="I294" i="72"/>
  <c r="F294" i="72"/>
  <c r="N293" i="72"/>
  <c r="M293" i="72"/>
  <c r="K293" i="72"/>
  <c r="J293" i="72"/>
  <c r="H293" i="72"/>
  <c r="G293" i="72"/>
  <c r="E293" i="72"/>
  <c r="D293" i="72"/>
  <c r="O288" i="72"/>
  <c r="L288" i="72"/>
  <c r="I288" i="72"/>
  <c r="F288" i="72"/>
  <c r="O287" i="72"/>
  <c r="L287" i="72"/>
  <c r="L286" i="72" s="1"/>
  <c r="I287" i="72"/>
  <c r="F287" i="72"/>
  <c r="N286" i="72"/>
  <c r="M286" i="72"/>
  <c r="K286" i="72"/>
  <c r="J286" i="72"/>
  <c r="H286" i="72"/>
  <c r="G286" i="72"/>
  <c r="E286" i="72"/>
  <c r="D286" i="72"/>
  <c r="O285" i="72"/>
  <c r="O284" i="72" s="1"/>
  <c r="O283" i="72" s="1"/>
  <c r="L285" i="72"/>
  <c r="L284" i="72" s="1"/>
  <c r="L283" i="72" s="1"/>
  <c r="I285" i="72"/>
  <c r="I284" i="72" s="1"/>
  <c r="I283" i="72" s="1"/>
  <c r="F285" i="72"/>
  <c r="N284" i="72"/>
  <c r="N283" i="72" s="1"/>
  <c r="M284" i="72"/>
  <c r="K284" i="72"/>
  <c r="K283" i="72" s="1"/>
  <c r="J284" i="72"/>
  <c r="J283" i="72" s="1"/>
  <c r="H284" i="72"/>
  <c r="H283" i="72" s="1"/>
  <c r="G284" i="72"/>
  <c r="G283" i="72" s="1"/>
  <c r="F284" i="72"/>
  <c r="F283" i="72" s="1"/>
  <c r="E284" i="72"/>
  <c r="E283" i="72" s="1"/>
  <c r="D284" i="72"/>
  <c r="D283" i="72" s="1"/>
  <c r="M283" i="72"/>
  <c r="O282" i="72"/>
  <c r="L282" i="72"/>
  <c r="L281" i="72" s="1"/>
  <c r="I282" i="72"/>
  <c r="I281" i="72" s="1"/>
  <c r="F282" i="72"/>
  <c r="O281" i="72"/>
  <c r="N281" i="72"/>
  <c r="M281" i="72"/>
  <c r="K281" i="72"/>
  <c r="J281" i="72"/>
  <c r="H281" i="72"/>
  <c r="G281" i="72"/>
  <c r="F281" i="72"/>
  <c r="E281" i="72"/>
  <c r="D281" i="72"/>
  <c r="O280" i="72"/>
  <c r="L280" i="72"/>
  <c r="I280" i="72"/>
  <c r="F280" i="72"/>
  <c r="O279" i="72"/>
  <c r="L279" i="72"/>
  <c r="I279" i="72"/>
  <c r="F279" i="72"/>
  <c r="O278" i="72"/>
  <c r="L278" i="72"/>
  <c r="I278" i="72"/>
  <c r="F278" i="72"/>
  <c r="O277" i="72"/>
  <c r="O276" i="72" s="1"/>
  <c r="L277" i="72"/>
  <c r="I277" i="72"/>
  <c r="F277" i="72"/>
  <c r="N276" i="72"/>
  <c r="M276" i="72"/>
  <c r="K276" i="72"/>
  <c r="J276" i="72"/>
  <c r="J270" i="72" s="1"/>
  <c r="J269" i="72" s="1"/>
  <c r="H276" i="72"/>
  <c r="G276" i="72"/>
  <c r="E276" i="72"/>
  <c r="D276" i="72"/>
  <c r="O275" i="72"/>
  <c r="L275" i="72"/>
  <c r="I275" i="72"/>
  <c r="F275" i="72"/>
  <c r="O274" i="72"/>
  <c r="L274" i="72"/>
  <c r="I274" i="72"/>
  <c r="F274" i="72"/>
  <c r="O273" i="72"/>
  <c r="L273" i="72"/>
  <c r="I273" i="72"/>
  <c r="F273" i="72"/>
  <c r="O272" i="72"/>
  <c r="N272" i="72"/>
  <c r="M272" i="72"/>
  <c r="K272" i="72"/>
  <c r="J272" i="72"/>
  <c r="H272" i="72"/>
  <c r="G272" i="72"/>
  <c r="F272" i="72"/>
  <c r="E272" i="72"/>
  <c r="D272" i="72"/>
  <c r="O271" i="72"/>
  <c r="L271" i="72"/>
  <c r="I271" i="72"/>
  <c r="F271" i="72"/>
  <c r="O268" i="72"/>
  <c r="L268" i="72"/>
  <c r="I268" i="72"/>
  <c r="F268" i="72"/>
  <c r="O267" i="72"/>
  <c r="L267" i="72"/>
  <c r="I267" i="72"/>
  <c r="F267" i="72"/>
  <c r="O266" i="72"/>
  <c r="L266" i="72"/>
  <c r="I266" i="72"/>
  <c r="F266" i="72"/>
  <c r="O265" i="72"/>
  <c r="O264" i="72" s="1"/>
  <c r="L265" i="72"/>
  <c r="L264" i="72" s="1"/>
  <c r="I265" i="72"/>
  <c r="F265" i="72"/>
  <c r="N264" i="72"/>
  <c r="M264" i="72"/>
  <c r="K264" i="72"/>
  <c r="J264" i="72"/>
  <c r="H264" i="72"/>
  <c r="G264" i="72"/>
  <c r="E264" i="72"/>
  <c r="D264" i="72"/>
  <c r="O263" i="72"/>
  <c r="L263" i="72"/>
  <c r="I263" i="72"/>
  <c r="F263" i="72"/>
  <c r="O262" i="72"/>
  <c r="L262" i="72"/>
  <c r="I262" i="72"/>
  <c r="F262" i="72"/>
  <c r="O261" i="72"/>
  <c r="L261" i="72"/>
  <c r="L260" i="72" s="1"/>
  <c r="I261" i="72"/>
  <c r="F261" i="72"/>
  <c r="N260" i="72"/>
  <c r="M260" i="72"/>
  <c r="K260" i="72"/>
  <c r="J260" i="72"/>
  <c r="H260" i="72"/>
  <c r="G260" i="72"/>
  <c r="G259" i="72" s="1"/>
  <c r="E260" i="72"/>
  <c r="D260" i="72"/>
  <c r="J259" i="72"/>
  <c r="O258" i="72"/>
  <c r="L258" i="72"/>
  <c r="I258" i="72"/>
  <c r="F258" i="72"/>
  <c r="O257" i="72"/>
  <c r="L257" i="72"/>
  <c r="I257" i="72"/>
  <c r="F257" i="72"/>
  <c r="C257" i="72" s="1"/>
  <c r="O256" i="72"/>
  <c r="L256" i="72"/>
  <c r="I256" i="72"/>
  <c r="F256" i="72"/>
  <c r="O255" i="72"/>
  <c r="L255" i="72"/>
  <c r="I255" i="72"/>
  <c r="F255" i="72"/>
  <c r="O254" i="72"/>
  <c r="L254" i="72"/>
  <c r="I254" i="72"/>
  <c r="F254" i="72"/>
  <c r="O253" i="72"/>
  <c r="O252" i="72" s="1"/>
  <c r="L253" i="72"/>
  <c r="L252" i="72" s="1"/>
  <c r="L251" i="72" s="1"/>
  <c r="I253" i="72"/>
  <c r="F253" i="72"/>
  <c r="N252" i="72"/>
  <c r="N251" i="72" s="1"/>
  <c r="M252" i="72"/>
  <c r="K252" i="72"/>
  <c r="K251" i="72" s="1"/>
  <c r="J252" i="72"/>
  <c r="J251" i="72" s="1"/>
  <c r="H252" i="72"/>
  <c r="H251" i="72" s="1"/>
  <c r="G252" i="72"/>
  <c r="G251" i="72" s="1"/>
  <c r="E252" i="72"/>
  <c r="E251" i="72" s="1"/>
  <c r="D252" i="72"/>
  <c r="D251" i="72" s="1"/>
  <c r="M251" i="72"/>
  <c r="O250" i="72"/>
  <c r="L250" i="72"/>
  <c r="I250" i="72"/>
  <c r="F250" i="72"/>
  <c r="O249" i="72"/>
  <c r="L249" i="72"/>
  <c r="I249" i="72"/>
  <c r="F249" i="72"/>
  <c r="O248" i="72"/>
  <c r="L248" i="72"/>
  <c r="I248" i="72"/>
  <c r="F248" i="72"/>
  <c r="O247" i="72"/>
  <c r="L247" i="72"/>
  <c r="I247" i="72"/>
  <c r="I246" i="72" s="1"/>
  <c r="F247" i="72"/>
  <c r="N246" i="72"/>
  <c r="M246" i="72"/>
  <c r="K246" i="72"/>
  <c r="J246" i="72"/>
  <c r="H246" i="72"/>
  <c r="G246" i="72"/>
  <c r="E246" i="72"/>
  <c r="D246" i="72"/>
  <c r="O245" i="72"/>
  <c r="L245" i="72"/>
  <c r="I245" i="72"/>
  <c r="F245" i="72"/>
  <c r="O244" i="72"/>
  <c r="L244" i="72"/>
  <c r="I244" i="72"/>
  <c r="F244" i="72"/>
  <c r="O243" i="72"/>
  <c r="L243" i="72"/>
  <c r="I243" i="72"/>
  <c r="F243" i="72"/>
  <c r="O242" i="72"/>
  <c r="L242" i="72"/>
  <c r="I242" i="72"/>
  <c r="F242" i="72"/>
  <c r="O241" i="72"/>
  <c r="L241" i="72"/>
  <c r="I241" i="72"/>
  <c r="F241" i="72"/>
  <c r="O240" i="72"/>
  <c r="L240" i="72"/>
  <c r="I240" i="72"/>
  <c r="F240" i="72"/>
  <c r="O239" i="72"/>
  <c r="L239" i="72"/>
  <c r="I239" i="72"/>
  <c r="I238" i="72" s="1"/>
  <c r="F239" i="72"/>
  <c r="N238" i="72"/>
  <c r="M238" i="72"/>
  <c r="K238" i="72"/>
  <c r="J238" i="72"/>
  <c r="H238" i="72"/>
  <c r="G238" i="72"/>
  <c r="E238" i="72"/>
  <c r="D238" i="72"/>
  <c r="O237" i="72"/>
  <c r="L237" i="72"/>
  <c r="I237" i="72"/>
  <c r="F237" i="72"/>
  <c r="O236" i="72"/>
  <c r="L236" i="72"/>
  <c r="L235" i="72" s="1"/>
  <c r="I236" i="72"/>
  <c r="F236" i="72"/>
  <c r="N235" i="72"/>
  <c r="M235" i="72"/>
  <c r="K235" i="72"/>
  <c r="J235" i="72"/>
  <c r="H235" i="72"/>
  <c r="G235" i="72"/>
  <c r="E235" i="72"/>
  <c r="D235" i="72"/>
  <c r="O234" i="72"/>
  <c r="L234" i="72"/>
  <c r="L233" i="72" s="1"/>
  <c r="I234" i="72"/>
  <c r="F234" i="72"/>
  <c r="O233" i="72"/>
  <c r="N233" i="72"/>
  <c r="M233" i="72"/>
  <c r="K233" i="72"/>
  <c r="J233" i="72"/>
  <c r="H233" i="72"/>
  <c r="G233" i="72"/>
  <c r="F233" i="72"/>
  <c r="E233" i="72"/>
  <c r="D233" i="72"/>
  <c r="D231" i="72" s="1"/>
  <c r="O232" i="72"/>
  <c r="L232" i="72"/>
  <c r="I232" i="72"/>
  <c r="F232" i="72"/>
  <c r="M231" i="72"/>
  <c r="O229" i="72"/>
  <c r="L229" i="72"/>
  <c r="I229" i="72"/>
  <c r="F229" i="72"/>
  <c r="O228" i="72"/>
  <c r="O227" i="72" s="1"/>
  <c r="L228" i="72"/>
  <c r="L227" i="72" s="1"/>
  <c r="I228" i="72"/>
  <c r="I227" i="72" s="1"/>
  <c r="F228" i="72"/>
  <c r="N227" i="72"/>
  <c r="M227" i="72"/>
  <c r="K227" i="72"/>
  <c r="J227" i="72"/>
  <c r="H227" i="72"/>
  <c r="G227" i="72"/>
  <c r="E227" i="72"/>
  <c r="D227" i="72"/>
  <c r="O226" i="72"/>
  <c r="L226" i="72"/>
  <c r="I226" i="72"/>
  <c r="F226" i="72"/>
  <c r="O225" i="72"/>
  <c r="L225" i="72"/>
  <c r="I225" i="72"/>
  <c r="F225" i="72"/>
  <c r="O224" i="72"/>
  <c r="L224" i="72"/>
  <c r="I224" i="72"/>
  <c r="F224" i="72"/>
  <c r="O223" i="72"/>
  <c r="L223" i="72"/>
  <c r="I223" i="72"/>
  <c r="F223" i="72"/>
  <c r="O222" i="72"/>
  <c r="L222" i="72"/>
  <c r="I222" i="72"/>
  <c r="F222" i="72"/>
  <c r="O221" i="72"/>
  <c r="L221" i="72"/>
  <c r="I221" i="72"/>
  <c r="F221" i="72"/>
  <c r="O220" i="72"/>
  <c r="L220" i="72"/>
  <c r="I220" i="72"/>
  <c r="F220" i="72"/>
  <c r="O219" i="72"/>
  <c r="L219" i="72"/>
  <c r="I219" i="72"/>
  <c r="F219" i="72"/>
  <c r="O218" i="72"/>
  <c r="L218" i="72"/>
  <c r="I218" i="72"/>
  <c r="F218" i="72"/>
  <c r="O217" i="72"/>
  <c r="O216" i="72" s="1"/>
  <c r="L217" i="72"/>
  <c r="I217" i="72"/>
  <c r="F217" i="72"/>
  <c r="N216" i="72"/>
  <c r="M216" i="72"/>
  <c r="K216" i="72"/>
  <c r="J216" i="72"/>
  <c r="H216" i="72"/>
  <c r="G216" i="72"/>
  <c r="E216" i="72"/>
  <c r="D216" i="72"/>
  <c r="O215" i="72"/>
  <c r="L215" i="72"/>
  <c r="I215" i="72"/>
  <c r="F215" i="72"/>
  <c r="O214" i="72"/>
  <c r="L214" i="72"/>
  <c r="I214" i="72"/>
  <c r="F214" i="72"/>
  <c r="O213" i="72"/>
  <c r="L213" i="72"/>
  <c r="I213" i="72"/>
  <c r="F213" i="72"/>
  <c r="O212" i="72"/>
  <c r="L212" i="72"/>
  <c r="I212" i="72"/>
  <c r="F212" i="72"/>
  <c r="O211" i="72"/>
  <c r="L211" i="72"/>
  <c r="I211" i="72"/>
  <c r="F211" i="72"/>
  <c r="O210" i="72"/>
  <c r="L210" i="72"/>
  <c r="I210" i="72"/>
  <c r="F210" i="72"/>
  <c r="O209" i="72"/>
  <c r="L209" i="72"/>
  <c r="I209" i="72"/>
  <c r="F209" i="72"/>
  <c r="O208" i="72"/>
  <c r="L208" i="72"/>
  <c r="I208" i="72"/>
  <c r="F208" i="72"/>
  <c r="O207" i="72"/>
  <c r="L207" i="72"/>
  <c r="I207" i="72"/>
  <c r="F207" i="72"/>
  <c r="O206" i="72"/>
  <c r="L206" i="72"/>
  <c r="I206" i="72"/>
  <c r="F206" i="72"/>
  <c r="N205" i="72"/>
  <c r="N204" i="72" s="1"/>
  <c r="M205" i="72"/>
  <c r="M204" i="72" s="1"/>
  <c r="K205" i="72"/>
  <c r="J205" i="72"/>
  <c r="H205" i="72"/>
  <c r="G205" i="72"/>
  <c r="E205" i="72"/>
  <c r="D205" i="72"/>
  <c r="D204" i="72" s="1"/>
  <c r="O203" i="72"/>
  <c r="L203" i="72"/>
  <c r="I203" i="72"/>
  <c r="F203" i="72"/>
  <c r="O202" i="72"/>
  <c r="L202" i="72"/>
  <c r="I202" i="72"/>
  <c r="F202" i="72"/>
  <c r="O201" i="72"/>
  <c r="L201" i="72"/>
  <c r="I201" i="72"/>
  <c r="F201" i="72"/>
  <c r="O200" i="72"/>
  <c r="L200" i="72"/>
  <c r="I200" i="72"/>
  <c r="F200" i="72"/>
  <c r="O199" i="72"/>
  <c r="L199" i="72"/>
  <c r="L198" i="72" s="1"/>
  <c r="I199" i="72"/>
  <c r="I198" i="72" s="1"/>
  <c r="F199" i="72"/>
  <c r="F198" i="72" s="1"/>
  <c r="N198" i="72"/>
  <c r="N196" i="72" s="1"/>
  <c r="N195" i="72" s="1"/>
  <c r="M198" i="72"/>
  <c r="M196" i="72" s="1"/>
  <c r="M195" i="72" s="1"/>
  <c r="K198" i="72"/>
  <c r="K196" i="72" s="1"/>
  <c r="J198" i="72"/>
  <c r="J196" i="72" s="1"/>
  <c r="H198" i="72"/>
  <c r="H196" i="72" s="1"/>
  <c r="G198" i="72"/>
  <c r="E198" i="72"/>
  <c r="E196" i="72" s="1"/>
  <c r="D198" i="72"/>
  <c r="D196" i="72" s="1"/>
  <c r="O197" i="72"/>
  <c r="L197" i="72"/>
  <c r="I197" i="72"/>
  <c r="F197" i="72"/>
  <c r="G196" i="72"/>
  <c r="O193" i="72"/>
  <c r="L193" i="72"/>
  <c r="L192" i="72" s="1"/>
  <c r="L191" i="72" s="1"/>
  <c r="I193" i="72"/>
  <c r="I192" i="72" s="1"/>
  <c r="I191" i="72" s="1"/>
  <c r="F193" i="72"/>
  <c r="O192" i="72"/>
  <c r="O191" i="72" s="1"/>
  <c r="N192" i="72"/>
  <c r="N191" i="72" s="1"/>
  <c r="M192" i="72"/>
  <c r="K192" i="72"/>
  <c r="K191" i="72" s="1"/>
  <c r="J192" i="72"/>
  <c r="J191" i="72" s="1"/>
  <c r="H192" i="72"/>
  <c r="H191" i="72" s="1"/>
  <c r="G192" i="72"/>
  <c r="G191" i="72" s="1"/>
  <c r="F192" i="72"/>
  <c r="E192" i="72"/>
  <c r="E191" i="72" s="1"/>
  <c r="D192" i="72"/>
  <c r="D191" i="72" s="1"/>
  <c r="M191" i="72"/>
  <c r="O190" i="72"/>
  <c r="L190" i="72"/>
  <c r="I190" i="72"/>
  <c r="F190" i="72"/>
  <c r="O189" i="72"/>
  <c r="L189" i="72"/>
  <c r="L188" i="72" s="1"/>
  <c r="I189" i="72"/>
  <c r="F189" i="72"/>
  <c r="F188" i="72" s="1"/>
  <c r="O188" i="72"/>
  <c r="N188" i="72"/>
  <c r="M188" i="72"/>
  <c r="M187" i="72" s="1"/>
  <c r="K188" i="72"/>
  <c r="J188" i="72"/>
  <c r="H188" i="72"/>
  <c r="G188" i="72"/>
  <c r="E188" i="72"/>
  <c r="D188" i="72"/>
  <c r="O186" i="72"/>
  <c r="L186" i="72"/>
  <c r="I186" i="72"/>
  <c r="F186" i="72"/>
  <c r="O185" i="72"/>
  <c r="L185" i="72"/>
  <c r="L184" i="72" s="1"/>
  <c r="I185" i="72"/>
  <c r="F185" i="72"/>
  <c r="F184" i="72" s="1"/>
  <c r="O184" i="72"/>
  <c r="N184" i="72"/>
  <c r="M184" i="72"/>
  <c r="K184" i="72"/>
  <c r="J184" i="72"/>
  <c r="H184" i="72"/>
  <c r="G184" i="72"/>
  <c r="E184" i="72"/>
  <c r="D184" i="72"/>
  <c r="O183" i="72"/>
  <c r="L183" i="72"/>
  <c r="I183" i="72"/>
  <c r="F183" i="72"/>
  <c r="O182" i="72"/>
  <c r="L182" i="72"/>
  <c r="I182" i="72"/>
  <c r="F182" i="72"/>
  <c r="O181" i="72"/>
  <c r="L181" i="72"/>
  <c r="I181" i="72"/>
  <c r="F181" i="72"/>
  <c r="O180" i="72"/>
  <c r="O179" i="72" s="1"/>
  <c r="L180" i="72"/>
  <c r="I180" i="72"/>
  <c r="I179" i="72" s="1"/>
  <c r="F180" i="72"/>
  <c r="N179" i="72"/>
  <c r="M179" i="72"/>
  <c r="K179" i="72"/>
  <c r="J179" i="72"/>
  <c r="H179" i="72"/>
  <c r="G179" i="72"/>
  <c r="E179" i="72"/>
  <c r="D179" i="72"/>
  <c r="O178" i="72"/>
  <c r="L178" i="72"/>
  <c r="I178" i="72"/>
  <c r="F178" i="72"/>
  <c r="O177" i="72"/>
  <c r="L177" i="72"/>
  <c r="I177" i="72"/>
  <c r="F177" i="72"/>
  <c r="O176" i="72"/>
  <c r="O175" i="72" s="1"/>
  <c r="L176" i="72"/>
  <c r="I176" i="72"/>
  <c r="I175" i="72" s="1"/>
  <c r="I174" i="72" s="1"/>
  <c r="F176" i="72"/>
  <c r="N175" i="72"/>
  <c r="N174" i="72" s="1"/>
  <c r="N173" i="72" s="1"/>
  <c r="M175" i="72"/>
  <c r="L175" i="72"/>
  <c r="K175" i="72"/>
  <c r="K174" i="72" s="1"/>
  <c r="K173" i="72" s="1"/>
  <c r="J175" i="72"/>
  <c r="H175" i="72"/>
  <c r="G175" i="72"/>
  <c r="G174" i="72" s="1"/>
  <c r="E175" i="72"/>
  <c r="D175" i="72"/>
  <c r="M174" i="72"/>
  <c r="O172" i="72"/>
  <c r="L172" i="72"/>
  <c r="I172" i="72"/>
  <c r="F172" i="72"/>
  <c r="O171" i="72"/>
  <c r="L171" i="72"/>
  <c r="I171" i="72"/>
  <c r="F171" i="72"/>
  <c r="O170" i="72"/>
  <c r="L170" i="72"/>
  <c r="I170" i="72"/>
  <c r="F170" i="72"/>
  <c r="O169" i="72"/>
  <c r="L169" i="72"/>
  <c r="I169" i="72"/>
  <c r="F169" i="72"/>
  <c r="O168" i="72"/>
  <c r="L168" i="72"/>
  <c r="I168" i="72"/>
  <c r="F168" i="72"/>
  <c r="O167" i="72"/>
  <c r="L167" i="72"/>
  <c r="I167" i="72"/>
  <c r="F167" i="72"/>
  <c r="N166" i="72"/>
  <c r="M166" i="72"/>
  <c r="M165" i="72" s="1"/>
  <c r="K166" i="72"/>
  <c r="K165" i="72" s="1"/>
  <c r="J166" i="72"/>
  <c r="J165" i="72" s="1"/>
  <c r="H166" i="72"/>
  <c r="H165" i="72" s="1"/>
  <c r="G166" i="72"/>
  <c r="G165" i="72" s="1"/>
  <c r="E166" i="72"/>
  <c r="E165" i="72" s="1"/>
  <c r="D166" i="72"/>
  <c r="D165" i="72" s="1"/>
  <c r="N165" i="72"/>
  <c r="O164" i="72"/>
  <c r="L164" i="72"/>
  <c r="I164" i="72"/>
  <c r="F164" i="72"/>
  <c r="O163" i="72"/>
  <c r="L163" i="72"/>
  <c r="I163" i="72"/>
  <c r="F163" i="72"/>
  <c r="O162" i="72"/>
  <c r="L162" i="72"/>
  <c r="I162" i="72"/>
  <c r="F162" i="72"/>
  <c r="O161" i="72"/>
  <c r="L161" i="72"/>
  <c r="L160" i="72" s="1"/>
  <c r="I161" i="72"/>
  <c r="F161" i="72"/>
  <c r="O160" i="72"/>
  <c r="N160" i="72"/>
  <c r="M160" i="72"/>
  <c r="K160" i="72"/>
  <c r="J160" i="72"/>
  <c r="H160" i="72"/>
  <c r="G160" i="72"/>
  <c r="F160" i="72"/>
  <c r="E160" i="72"/>
  <c r="D160" i="72"/>
  <c r="O159" i="72"/>
  <c r="L159" i="72"/>
  <c r="I159" i="72"/>
  <c r="F159" i="72"/>
  <c r="O158" i="72"/>
  <c r="L158" i="72"/>
  <c r="I158" i="72"/>
  <c r="F158" i="72"/>
  <c r="O157" i="72"/>
  <c r="L157" i="72"/>
  <c r="I157" i="72"/>
  <c r="F157" i="72"/>
  <c r="O156" i="72"/>
  <c r="L156" i="72"/>
  <c r="I156" i="72"/>
  <c r="F156" i="72"/>
  <c r="O155" i="72"/>
  <c r="L155" i="72"/>
  <c r="I155" i="72"/>
  <c r="F155" i="72"/>
  <c r="O154" i="72"/>
  <c r="L154" i="72"/>
  <c r="I154" i="72"/>
  <c r="F154" i="72"/>
  <c r="O153" i="72"/>
  <c r="L153" i="72"/>
  <c r="I153" i="72"/>
  <c r="F153" i="72"/>
  <c r="O152" i="72"/>
  <c r="L152" i="72"/>
  <c r="I152" i="72"/>
  <c r="F152" i="72"/>
  <c r="N151" i="72"/>
  <c r="M151" i="72"/>
  <c r="K151" i="72"/>
  <c r="J151" i="72"/>
  <c r="H151" i="72"/>
  <c r="G151" i="72"/>
  <c r="E151" i="72"/>
  <c r="D151" i="72"/>
  <c r="O150" i="72"/>
  <c r="L150" i="72"/>
  <c r="I150" i="72"/>
  <c r="F150" i="72"/>
  <c r="O149" i="72"/>
  <c r="L149" i="72"/>
  <c r="I149" i="72"/>
  <c r="F149" i="72"/>
  <c r="O148" i="72"/>
  <c r="L148" i="72"/>
  <c r="I148" i="72"/>
  <c r="F148" i="72"/>
  <c r="O147" i="72"/>
  <c r="L147" i="72"/>
  <c r="I147" i="72"/>
  <c r="F147" i="72"/>
  <c r="O146" i="72"/>
  <c r="L146" i="72"/>
  <c r="I146" i="72"/>
  <c r="F146" i="72"/>
  <c r="O145" i="72"/>
  <c r="L145" i="72"/>
  <c r="I145" i="72"/>
  <c r="I144" i="72" s="1"/>
  <c r="F145" i="72"/>
  <c r="N144" i="72"/>
  <c r="M144" i="72"/>
  <c r="K144" i="72"/>
  <c r="J144" i="72"/>
  <c r="H144" i="72"/>
  <c r="G144" i="72"/>
  <c r="E144" i="72"/>
  <c r="D144" i="72"/>
  <c r="O143" i="72"/>
  <c r="L143" i="72"/>
  <c r="I143" i="72"/>
  <c r="F143" i="72"/>
  <c r="O142" i="72"/>
  <c r="L142" i="72"/>
  <c r="L141" i="72" s="1"/>
  <c r="I142" i="72"/>
  <c r="F142" i="72"/>
  <c r="F141" i="72" s="1"/>
  <c r="O141" i="72"/>
  <c r="N141" i="72"/>
  <c r="M141" i="72"/>
  <c r="K141" i="72"/>
  <c r="J141" i="72"/>
  <c r="H141" i="72"/>
  <c r="G141" i="72"/>
  <c r="E141" i="72"/>
  <c r="D141" i="72"/>
  <c r="O140" i="72"/>
  <c r="L140" i="72"/>
  <c r="I140" i="72"/>
  <c r="F140" i="72"/>
  <c r="O139" i="72"/>
  <c r="L139" i="72"/>
  <c r="I139" i="72"/>
  <c r="F139" i="72"/>
  <c r="O138" i="72"/>
  <c r="L138" i="72"/>
  <c r="I138" i="72"/>
  <c r="F138" i="72"/>
  <c r="O137" i="72"/>
  <c r="O136" i="72" s="1"/>
  <c r="L137" i="72"/>
  <c r="I137" i="72"/>
  <c r="I136" i="72" s="1"/>
  <c r="F137" i="72"/>
  <c r="F136" i="72" s="1"/>
  <c r="N136" i="72"/>
  <c r="M136" i="72"/>
  <c r="K136" i="72"/>
  <c r="J136" i="72"/>
  <c r="H136" i="72"/>
  <c r="G136" i="72"/>
  <c r="E136" i="72"/>
  <c r="D136" i="72"/>
  <c r="O135" i="72"/>
  <c r="L135" i="72"/>
  <c r="I135" i="72"/>
  <c r="F135" i="72"/>
  <c r="O134" i="72"/>
  <c r="L134" i="72"/>
  <c r="I134" i="72"/>
  <c r="F134" i="72"/>
  <c r="O133" i="72"/>
  <c r="L133" i="72"/>
  <c r="I133" i="72"/>
  <c r="F133" i="72"/>
  <c r="O132" i="72"/>
  <c r="L132" i="72"/>
  <c r="L131" i="72" s="1"/>
  <c r="I132" i="72"/>
  <c r="F132" i="72"/>
  <c r="N131" i="72"/>
  <c r="M131" i="72"/>
  <c r="K131" i="72"/>
  <c r="J131" i="72"/>
  <c r="H131" i="72"/>
  <c r="G131" i="72"/>
  <c r="E131" i="72"/>
  <c r="D131" i="72"/>
  <c r="O129" i="72"/>
  <c r="O128" i="72" s="1"/>
  <c r="L129" i="72"/>
  <c r="L128" i="72" s="1"/>
  <c r="I129" i="72"/>
  <c r="I128" i="72" s="1"/>
  <c r="F129" i="72"/>
  <c r="N128" i="72"/>
  <c r="M128" i="72"/>
  <c r="K128" i="72"/>
  <c r="J128" i="72"/>
  <c r="H128" i="72"/>
  <c r="G128" i="72"/>
  <c r="E128" i="72"/>
  <c r="D128" i="72"/>
  <c r="O127" i="72"/>
  <c r="L127" i="72"/>
  <c r="I127" i="72"/>
  <c r="F127" i="72"/>
  <c r="O126" i="72"/>
  <c r="L126" i="72"/>
  <c r="I126" i="72"/>
  <c r="F126" i="72"/>
  <c r="O125" i="72"/>
  <c r="L125" i="72"/>
  <c r="I125" i="72"/>
  <c r="F125" i="72"/>
  <c r="O124" i="72"/>
  <c r="L124" i="72"/>
  <c r="I124" i="72"/>
  <c r="F124" i="72"/>
  <c r="O123" i="72"/>
  <c r="L123" i="72"/>
  <c r="I123" i="72"/>
  <c r="F123" i="72"/>
  <c r="N122" i="72"/>
  <c r="M122" i="72"/>
  <c r="K122" i="72"/>
  <c r="J122" i="72"/>
  <c r="H122" i="72"/>
  <c r="G122" i="72"/>
  <c r="E122" i="72"/>
  <c r="D122" i="72"/>
  <c r="O121" i="72"/>
  <c r="L121" i="72"/>
  <c r="I121" i="72"/>
  <c r="F121" i="72"/>
  <c r="O120" i="72"/>
  <c r="L120" i="72"/>
  <c r="I120" i="72"/>
  <c r="F120" i="72"/>
  <c r="O119" i="72"/>
  <c r="L119" i="72"/>
  <c r="I119" i="72"/>
  <c r="F119" i="72"/>
  <c r="O118" i="72"/>
  <c r="L118" i="72"/>
  <c r="I118" i="72"/>
  <c r="F118" i="72"/>
  <c r="O117" i="72"/>
  <c r="L117" i="72"/>
  <c r="I117" i="72"/>
  <c r="I116" i="72" s="1"/>
  <c r="F117" i="72"/>
  <c r="N116" i="72"/>
  <c r="M116" i="72"/>
  <c r="L116" i="72"/>
  <c r="K116" i="72"/>
  <c r="J116" i="72"/>
  <c r="H116" i="72"/>
  <c r="G116" i="72"/>
  <c r="E116" i="72"/>
  <c r="D116" i="72"/>
  <c r="O115" i="72"/>
  <c r="L115" i="72"/>
  <c r="I115" i="72"/>
  <c r="F115" i="72"/>
  <c r="O114" i="72"/>
  <c r="L114" i="72"/>
  <c r="I114" i="72"/>
  <c r="F114" i="72"/>
  <c r="O113" i="72"/>
  <c r="O112" i="72" s="1"/>
  <c r="L113" i="72"/>
  <c r="I113" i="72"/>
  <c r="I112" i="72" s="1"/>
  <c r="F113" i="72"/>
  <c r="N112" i="72"/>
  <c r="M112" i="72"/>
  <c r="K112" i="72"/>
  <c r="J112" i="72"/>
  <c r="H112" i="72"/>
  <c r="G112" i="72"/>
  <c r="E112" i="72"/>
  <c r="D112" i="72"/>
  <c r="O111" i="72"/>
  <c r="L111" i="72"/>
  <c r="I111" i="72"/>
  <c r="F111" i="72"/>
  <c r="O110" i="72"/>
  <c r="L110" i="72"/>
  <c r="I110" i="72"/>
  <c r="F110" i="72"/>
  <c r="O109" i="72"/>
  <c r="L109" i="72"/>
  <c r="I109" i="72"/>
  <c r="F109" i="72"/>
  <c r="O108" i="72"/>
  <c r="L108" i="72"/>
  <c r="I108" i="72"/>
  <c r="F108" i="72"/>
  <c r="O107" i="72"/>
  <c r="L107" i="72"/>
  <c r="I107" i="72"/>
  <c r="F107" i="72"/>
  <c r="O106" i="72"/>
  <c r="L106" i="72"/>
  <c r="I106" i="72"/>
  <c r="F106" i="72"/>
  <c r="O105" i="72"/>
  <c r="L105" i="72"/>
  <c r="I105" i="72"/>
  <c r="F105" i="72"/>
  <c r="O104" i="72"/>
  <c r="L104" i="72"/>
  <c r="I104" i="72"/>
  <c r="I103" i="72" s="1"/>
  <c r="F104" i="72"/>
  <c r="N103" i="72"/>
  <c r="M103" i="72"/>
  <c r="K103" i="72"/>
  <c r="J103" i="72"/>
  <c r="H103" i="72"/>
  <c r="G103" i="72"/>
  <c r="E103" i="72"/>
  <c r="D103" i="72"/>
  <c r="O102" i="72"/>
  <c r="L102" i="72"/>
  <c r="I102" i="72"/>
  <c r="F102" i="72"/>
  <c r="O101" i="72"/>
  <c r="L101" i="72"/>
  <c r="I101" i="72"/>
  <c r="F101" i="72"/>
  <c r="O100" i="72"/>
  <c r="L100" i="72"/>
  <c r="I100" i="72"/>
  <c r="F100" i="72"/>
  <c r="O99" i="72"/>
  <c r="L99" i="72"/>
  <c r="I99" i="72"/>
  <c r="F99" i="72"/>
  <c r="O98" i="72"/>
  <c r="L98" i="72"/>
  <c r="I98" i="72"/>
  <c r="F98" i="72"/>
  <c r="O97" i="72"/>
  <c r="L97" i="72"/>
  <c r="I97" i="72"/>
  <c r="F97" i="72"/>
  <c r="O96" i="72"/>
  <c r="L96" i="72"/>
  <c r="I96" i="72"/>
  <c r="F96" i="72"/>
  <c r="N95" i="72"/>
  <c r="M95" i="72"/>
  <c r="K95" i="72"/>
  <c r="J95" i="72"/>
  <c r="H95" i="72"/>
  <c r="G95" i="72"/>
  <c r="E95" i="72"/>
  <c r="D95" i="72"/>
  <c r="O94" i="72"/>
  <c r="L94" i="72"/>
  <c r="I94" i="72"/>
  <c r="F94" i="72"/>
  <c r="O93" i="72"/>
  <c r="L93" i="72"/>
  <c r="I93" i="72"/>
  <c r="F93" i="72"/>
  <c r="O92" i="72"/>
  <c r="L92" i="72"/>
  <c r="I92" i="72"/>
  <c r="F92" i="72"/>
  <c r="O91" i="72"/>
  <c r="L91" i="72"/>
  <c r="I91" i="72"/>
  <c r="F91" i="72"/>
  <c r="O90" i="72"/>
  <c r="L90" i="72"/>
  <c r="I90" i="72"/>
  <c r="F90" i="72"/>
  <c r="N89" i="72"/>
  <c r="M89" i="72"/>
  <c r="K89" i="72"/>
  <c r="J89" i="72"/>
  <c r="H89" i="72"/>
  <c r="G89" i="72"/>
  <c r="E89" i="72"/>
  <c r="D89" i="72"/>
  <c r="O88" i="72"/>
  <c r="L88" i="72"/>
  <c r="I88" i="72"/>
  <c r="F88" i="72"/>
  <c r="O87" i="72"/>
  <c r="L87" i="72"/>
  <c r="I87" i="72"/>
  <c r="F87" i="72"/>
  <c r="O86" i="72"/>
  <c r="L86" i="72"/>
  <c r="I86" i="72"/>
  <c r="F86" i="72"/>
  <c r="O85" i="72"/>
  <c r="O84" i="72" s="1"/>
  <c r="L85" i="72"/>
  <c r="I85" i="72"/>
  <c r="F85" i="72"/>
  <c r="N84" i="72"/>
  <c r="M84" i="72"/>
  <c r="K84" i="72"/>
  <c r="J84" i="72"/>
  <c r="H84" i="72"/>
  <c r="G84" i="72"/>
  <c r="E84" i="72"/>
  <c r="D84" i="72"/>
  <c r="D83" i="72" s="1"/>
  <c r="O82" i="72"/>
  <c r="L82" i="72"/>
  <c r="I82" i="72"/>
  <c r="F82" i="72"/>
  <c r="O81" i="72"/>
  <c r="O80" i="72" s="1"/>
  <c r="L81" i="72"/>
  <c r="I81" i="72"/>
  <c r="F81" i="72"/>
  <c r="N80" i="72"/>
  <c r="N76" i="72" s="1"/>
  <c r="M80" i="72"/>
  <c r="M76" i="72" s="1"/>
  <c r="K80" i="72"/>
  <c r="J80" i="72"/>
  <c r="I80" i="72"/>
  <c r="H80" i="72"/>
  <c r="H76" i="72" s="1"/>
  <c r="G80" i="72"/>
  <c r="E80" i="72"/>
  <c r="D80" i="72"/>
  <c r="O79" i="72"/>
  <c r="L79" i="72"/>
  <c r="I79" i="72"/>
  <c r="F79" i="72"/>
  <c r="O78" i="72"/>
  <c r="L78" i="72"/>
  <c r="L77" i="72" s="1"/>
  <c r="I78" i="72"/>
  <c r="F78" i="72"/>
  <c r="F77" i="72" s="1"/>
  <c r="O77" i="72"/>
  <c r="O76" i="72" s="1"/>
  <c r="N77" i="72"/>
  <c r="M77" i="72"/>
  <c r="K77" i="72"/>
  <c r="J77" i="72"/>
  <c r="H77" i="72"/>
  <c r="G77" i="72"/>
  <c r="E77" i="72"/>
  <c r="E76" i="72" s="1"/>
  <c r="D77" i="72"/>
  <c r="D76" i="72" s="1"/>
  <c r="O74" i="72"/>
  <c r="L74" i="72"/>
  <c r="I74" i="72"/>
  <c r="F74" i="72"/>
  <c r="O73" i="72"/>
  <c r="L73" i="72"/>
  <c r="I73" i="72"/>
  <c r="F73" i="72"/>
  <c r="O72" i="72"/>
  <c r="L72" i="72"/>
  <c r="I72" i="72"/>
  <c r="F72" i="72"/>
  <c r="O71" i="72"/>
  <c r="L71" i="72"/>
  <c r="I71" i="72"/>
  <c r="F71" i="72"/>
  <c r="O70" i="72"/>
  <c r="L70" i="72"/>
  <c r="I70" i="72"/>
  <c r="F70" i="72"/>
  <c r="N69" i="72"/>
  <c r="M69" i="72"/>
  <c r="K69" i="72"/>
  <c r="K67" i="72" s="1"/>
  <c r="J69" i="72"/>
  <c r="J67" i="72" s="1"/>
  <c r="H69" i="72"/>
  <c r="H67" i="72" s="1"/>
  <c r="G69" i="72"/>
  <c r="G67" i="72" s="1"/>
  <c r="E69" i="72"/>
  <c r="E67" i="72" s="1"/>
  <c r="D69" i="72"/>
  <c r="D67" i="72" s="1"/>
  <c r="O68" i="72"/>
  <c r="L68" i="72"/>
  <c r="I68" i="72"/>
  <c r="F68" i="72"/>
  <c r="N67" i="72"/>
  <c r="M67" i="72"/>
  <c r="O66" i="72"/>
  <c r="L66" i="72"/>
  <c r="I66" i="72"/>
  <c r="F66" i="72"/>
  <c r="O65" i="72"/>
  <c r="L65" i="72"/>
  <c r="I65" i="72"/>
  <c r="F65" i="72"/>
  <c r="O64" i="72"/>
  <c r="L64" i="72"/>
  <c r="I64" i="72"/>
  <c r="F64" i="72"/>
  <c r="O63" i="72"/>
  <c r="L63" i="72"/>
  <c r="I63" i="72"/>
  <c r="F63" i="72"/>
  <c r="O62" i="72"/>
  <c r="L62" i="72"/>
  <c r="I62" i="72"/>
  <c r="F62" i="72"/>
  <c r="O61" i="72"/>
  <c r="L61" i="72"/>
  <c r="I61" i="72"/>
  <c r="F61" i="72"/>
  <c r="O60" i="72"/>
  <c r="L60" i="72"/>
  <c r="I60" i="72"/>
  <c r="F60" i="72"/>
  <c r="O59" i="72"/>
  <c r="L59" i="72"/>
  <c r="I59" i="72"/>
  <c r="F59" i="72"/>
  <c r="F58" i="72" s="1"/>
  <c r="N58" i="72"/>
  <c r="M58" i="72"/>
  <c r="K58" i="72"/>
  <c r="J58" i="72"/>
  <c r="H58" i="72"/>
  <c r="G58" i="72"/>
  <c r="E58" i="72"/>
  <c r="D58" i="72"/>
  <c r="O57" i="72"/>
  <c r="L57" i="72"/>
  <c r="I57" i="72"/>
  <c r="F57" i="72"/>
  <c r="O56" i="72"/>
  <c r="L56" i="72"/>
  <c r="L55" i="72" s="1"/>
  <c r="I56" i="72"/>
  <c r="F56" i="72"/>
  <c r="N55" i="72"/>
  <c r="M55" i="72"/>
  <c r="M54" i="72" s="1"/>
  <c r="K55" i="72"/>
  <c r="J55" i="72"/>
  <c r="H55" i="72"/>
  <c r="H54" i="72" s="1"/>
  <c r="G55" i="72"/>
  <c r="E55" i="72"/>
  <c r="D55" i="72"/>
  <c r="D54" i="72" s="1"/>
  <c r="N54" i="72"/>
  <c r="K54" i="72"/>
  <c r="K53" i="72" s="1"/>
  <c r="G54" i="72"/>
  <c r="G53" i="72" s="1"/>
  <c r="O47" i="72"/>
  <c r="C47" i="72" s="1"/>
  <c r="O46" i="72"/>
  <c r="C46" i="72" s="1"/>
  <c r="N45" i="72"/>
  <c r="M45" i="72"/>
  <c r="M20" i="72" s="1"/>
  <c r="L44" i="72"/>
  <c r="L43" i="72" s="1"/>
  <c r="I44" i="72"/>
  <c r="F44" i="72"/>
  <c r="K43" i="72"/>
  <c r="J43" i="72"/>
  <c r="I43" i="72"/>
  <c r="H43" i="72"/>
  <c r="G43" i="72"/>
  <c r="E43" i="72"/>
  <c r="D43" i="72"/>
  <c r="F42" i="72"/>
  <c r="C42" i="72" s="1"/>
  <c r="E41" i="72"/>
  <c r="D41" i="72"/>
  <c r="L40" i="72"/>
  <c r="C40" i="72" s="1"/>
  <c r="L39" i="72"/>
  <c r="C39" i="72" s="1"/>
  <c r="L38" i="72"/>
  <c r="C38" i="72" s="1"/>
  <c r="L37" i="72"/>
  <c r="C37" i="72" s="1"/>
  <c r="K36" i="72"/>
  <c r="J36" i="72"/>
  <c r="L35" i="72"/>
  <c r="C35" i="72" s="1"/>
  <c r="L34" i="72"/>
  <c r="C34" i="72" s="1"/>
  <c r="K33" i="72"/>
  <c r="J33" i="72"/>
  <c r="L32" i="72"/>
  <c r="C32" i="72" s="1"/>
  <c r="L31" i="72"/>
  <c r="C31" i="72" s="1"/>
  <c r="K31" i="72"/>
  <c r="J31" i="72"/>
  <c r="L30" i="72"/>
  <c r="C30" i="72" s="1"/>
  <c r="L29" i="72"/>
  <c r="C29" i="72" s="1"/>
  <c r="L28" i="72"/>
  <c r="C28" i="72" s="1"/>
  <c r="K27" i="72"/>
  <c r="J27" i="72"/>
  <c r="J26" i="72" s="1"/>
  <c r="K26" i="72"/>
  <c r="F25" i="72"/>
  <c r="C25" i="72" s="1"/>
  <c r="I24" i="72"/>
  <c r="F24" i="72"/>
  <c r="O23" i="72"/>
  <c r="L23" i="72"/>
  <c r="I23" i="72"/>
  <c r="F23" i="72"/>
  <c r="C23" i="72" s="1"/>
  <c r="O22" i="72"/>
  <c r="O21" i="72" s="1"/>
  <c r="L22" i="72"/>
  <c r="I22" i="72"/>
  <c r="I21" i="72" s="1"/>
  <c r="F22" i="72"/>
  <c r="C22" i="72" s="1"/>
  <c r="N21" i="72"/>
  <c r="N292" i="72" s="1"/>
  <c r="N291" i="72" s="1"/>
  <c r="M21" i="72"/>
  <c r="M292" i="72" s="1"/>
  <c r="M291" i="72" s="1"/>
  <c r="L21" i="72"/>
  <c r="K21" i="72"/>
  <c r="K292" i="72" s="1"/>
  <c r="K291" i="72" s="1"/>
  <c r="J21" i="72"/>
  <c r="H21" i="72"/>
  <c r="H292" i="72" s="1"/>
  <c r="H291" i="72" s="1"/>
  <c r="G21" i="72"/>
  <c r="G292" i="72" s="1"/>
  <c r="G291" i="72" s="1"/>
  <c r="E21" i="72"/>
  <c r="E292" i="72" s="1"/>
  <c r="E291" i="72" s="1"/>
  <c r="D21" i="72"/>
  <c r="H53" i="72" l="1"/>
  <c r="M130" i="72"/>
  <c r="C217" i="72"/>
  <c r="C225" i="72"/>
  <c r="C81" i="72"/>
  <c r="C85" i="72"/>
  <c r="C97" i="72"/>
  <c r="C101" i="72"/>
  <c r="C113" i="72"/>
  <c r="C147" i="72"/>
  <c r="J187" i="72"/>
  <c r="D270" i="72"/>
  <c r="D269" i="72" s="1"/>
  <c r="O260" i="72"/>
  <c r="O259" i="72" s="1"/>
  <c r="G130" i="72"/>
  <c r="C180" i="72"/>
  <c r="D292" i="72"/>
  <c r="D291" i="72" s="1"/>
  <c r="J292" i="72"/>
  <c r="J291" i="72" s="1"/>
  <c r="C105" i="72"/>
  <c r="J130" i="72"/>
  <c r="C133" i="72"/>
  <c r="E270" i="72"/>
  <c r="E269" i="72" s="1"/>
  <c r="D53" i="72"/>
  <c r="C57" i="72"/>
  <c r="C61" i="72"/>
  <c r="C65" i="72"/>
  <c r="C109" i="72"/>
  <c r="C164" i="72"/>
  <c r="C201" i="72"/>
  <c r="C209" i="72"/>
  <c r="N259" i="72"/>
  <c r="J76" i="72"/>
  <c r="C153" i="72"/>
  <c r="N187" i="72"/>
  <c r="C249" i="72"/>
  <c r="C280" i="72"/>
  <c r="C288" i="72"/>
  <c r="C300" i="72"/>
  <c r="F112" i="72"/>
  <c r="C125" i="72"/>
  <c r="C137" i="72"/>
  <c r="E174" i="72"/>
  <c r="E173" i="72" s="1"/>
  <c r="C237" i="72"/>
  <c r="C261" i="72"/>
  <c r="C265" i="72"/>
  <c r="C102" i="72"/>
  <c r="C119" i="72"/>
  <c r="C168" i="72"/>
  <c r="O286" i="72"/>
  <c r="O292" i="72" s="1"/>
  <c r="O291" i="72" s="1"/>
  <c r="J54" i="72"/>
  <c r="J53" i="72" s="1"/>
  <c r="C60" i="72"/>
  <c r="M83" i="72"/>
  <c r="M75" i="72" s="1"/>
  <c r="C111" i="72"/>
  <c r="C129" i="72"/>
  <c r="C145" i="72"/>
  <c r="C149" i="72"/>
  <c r="C150" i="72"/>
  <c r="O151" i="72"/>
  <c r="C176" i="72"/>
  <c r="C177" i="72"/>
  <c r="K187" i="72"/>
  <c r="C213" i="72"/>
  <c r="K204" i="72"/>
  <c r="L238" i="72"/>
  <c r="C253" i="72"/>
  <c r="C256" i="72"/>
  <c r="K270" i="72"/>
  <c r="I286" i="72"/>
  <c r="K20" i="72"/>
  <c r="E20" i="72"/>
  <c r="I55" i="72"/>
  <c r="G187" i="72"/>
  <c r="L292" i="72"/>
  <c r="C117" i="72"/>
  <c r="C121" i="72"/>
  <c r="C124" i="72"/>
  <c r="C135" i="72"/>
  <c r="N130" i="72"/>
  <c r="M173" i="72"/>
  <c r="H174" i="72"/>
  <c r="H173" i="72" s="1"/>
  <c r="L187" i="72"/>
  <c r="C221" i="72"/>
  <c r="C232" i="72"/>
  <c r="I235" i="72"/>
  <c r="C248" i="72"/>
  <c r="M259" i="72"/>
  <c r="M230" i="72" s="1"/>
  <c r="H270" i="72"/>
  <c r="H269" i="72" s="1"/>
  <c r="N270" i="72"/>
  <c r="N269" i="72" s="1"/>
  <c r="C273" i="72"/>
  <c r="M270" i="72"/>
  <c r="M269" i="72" s="1"/>
  <c r="C296" i="72"/>
  <c r="C297" i="72"/>
  <c r="O55" i="72"/>
  <c r="C73" i="72"/>
  <c r="C93" i="72"/>
  <c r="C161" i="72"/>
  <c r="C163" i="72"/>
  <c r="C172" i="72"/>
  <c r="D187" i="72"/>
  <c r="D195" i="72"/>
  <c r="C229" i="72"/>
  <c r="C245" i="72"/>
  <c r="E231" i="72"/>
  <c r="E259" i="72"/>
  <c r="K259" i="72"/>
  <c r="H259" i="72"/>
  <c r="C287" i="72"/>
  <c r="G20" i="72"/>
  <c r="F21" i="72"/>
  <c r="C44" i="72"/>
  <c r="N53" i="72"/>
  <c r="F80" i="72"/>
  <c r="F76" i="72" s="1"/>
  <c r="H83" i="72"/>
  <c r="L84" i="72"/>
  <c r="G83" i="72"/>
  <c r="L89" i="72"/>
  <c r="E83" i="72"/>
  <c r="C98" i="72"/>
  <c r="C100" i="72"/>
  <c r="C107" i="72"/>
  <c r="C110" i="72"/>
  <c r="L112" i="72"/>
  <c r="C118" i="72"/>
  <c r="N83" i="72"/>
  <c r="L122" i="72"/>
  <c r="F128" i="72"/>
  <c r="C134" i="72"/>
  <c r="H130" i="72"/>
  <c r="L136" i="72"/>
  <c r="I166" i="72"/>
  <c r="I165" i="72" s="1"/>
  <c r="F175" i="72"/>
  <c r="C175" i="72" s="1"/>
  <c r="L179" i="72"/>
  <c r="H187" i="72"/>
  <c r="L205" i="72"/>
  <c r="G231" i="72"/>
  <c r="C242" i="72"/>
  <c r="L246" i="72"/>
  <c r="O251" i="72"/>
  <c r="D259" i="72"/>
  <c r="D230" i="72" s="1"/>
  <c r="C268" i="72"/>
  <c r="G270" i="72"/>
  <c r="G269" i="72" s="1"/>
  <c r="I272" i="72"/>
  <c r="C278" i="72"/>
  <c r="H75" i="72"/>
  <c r="I95" i="72"/>
  <c r="L103" i="72"/>
  <c r="J83" i="72"/>
  <c r="J75" i="72" s="1"/>
  <c r="L166" i="72"/>
  <c r="L165" i="72" s="1"/>
  <c r="O198" i="72"/>
  <c r="O196" i="72" s="1"/>
  <c r="E204" i="72"/>
  <c r="E195" i="72" s="1"/>
  <c r="I264" i="72"/>
  <c r="I276" i="72"/>
  <c r="C24" i="72"/>
  <c r="F43" i="72"/>
  <c r="C43" i="72" s="1"/>
  <c r="E54" i="72"/>
  <c r="I58" i="72"/>
  <c r="I54" i="72" s="1"/>
  <c r="C64" i="72"/>
  <c r="C71" i="72"/>
  <c r="O69" i="72"/>
  <c r="O67" i="72" s="1"/>
  <c r="K76" i="72"/>
  <c r="C87" i="72"/>
  <c r="C90" i="72"/>
  <c r="O89" i="72"/>
  <c r="C126" i="72"/>
  <c r="C140" i="72"/>
  <c r="L144" i="72"/>
  <c r="C156" i="72"/>
  <c r="C158" i="72"/>
  <c r="C159" i="72"/>
  <c r="I160" i="72"/>
  <c r="C160" i="72" s="1"/>
  <c r="O166" i="72"/>
  <c r="O165" i="72" s="1"/>
  <c r="D174" i="72"/>
  <c r="D173" i="72" s="1"/>
  <c r="C178" i="72"/>
  <c r="E187" i="72"/>
  <c r="K195" i="72"/>
  <c r="C200" i="72"/>
  <c r="J204" i="72"/>
  <c r="J195" i="72" s="1"/>
  <c r="C208" i="72"/>
  <c r="L216" i="72"/>
  <c r="C220" i="72"/>
  <c r="J231" i="72"/>
  <c r="J230" i="72" s="1"/>
  <c r="H231" i="72"/>
  <c r="H230" i="72" s="1"/>
  <c r="H194" i="72" s="1"/>
  <c r="C241" i="72"/>
  <c r="I252" i="72"/>
  <c r="I251" i="72" s="1"/>
  <c r="L259" i="72"/>
  <c r="C277" i="72"/>
  <c r="C283" i="72"/>
  <c r="C285" i="72"/>
  <c r="C294" i="72"/>
  <c r="C295" i="72"/>
  <c r="O293" i="72"/>
  <c r="C301" i="72"/>
  <c r="C63" i="72"/>
  <c r="C66" i="72"/>
  <c r="I69" i="72"/>
  <c r="I67" i="72" s="1"/>
  <c r="G76" i="72"/>
  <c r="C82" i="72"/>
  <c r="I84" i="72"/>
  <c r="K83" i="72"/>
  <c r="O95" i="72"/>
  <c r="C108" i="72"/>
  <c r="C115" i="72"/>
  <c r="C127" i="72"/>
  <c r="O131" i="72"/>
  <c r="C139" i="72"/>
  <c r="L151" i="72"/>
  <c r="C155" i="72"/>
  <c r="C169" i="72"/>
  <c r="C171" i="72"/>
  <c r="J174" i="72"/>
  <c r="J173" i="72" s="1"/>
  <c r="J52" i="72" s="1"/>
  <c r="C182" i="72"/>
  <c r="I196" i="72"/>
  <c r="C212" i="72"/>
  <c r="O205" i="72"/>
  <c r="O204" i="72" s="1"/>
  <c r="O195" i="72" s="1"/>
  <c r="C224" i="72"/>
  <c r="H204" i="72"/>
  <c r="H195" i="72" s="1"/>
  <c r="K231" i="72"/>
  <c r="C244" i="72"/>
  <c r="C250" i="72"/>
  <c r="I260" i="72"/>
  <c r="C274" i="72"/>
  <c r="C281" i="72"/>
  <c r="K269" i="72"/>
  <c r="C282" i="72"/>
  <c r="C299" i="72"/>
  <c r="I292" i="72"/>
  <c r="I20" i="72"/>
  <c r="C186" i="72"/>
  <c r="I184" i="72"/>
  <c r="C184" i="72" s="1"/>
  <c r="C240" i="72"/>
  <c r="F238" i="72"/>
  <c r="J20" i="72"/>
  <c r="N20" i="72"/>
  <c r="M53" i="72"/>
  <c r="M52" i="72" s="1"/>
  <c r="C59" i="72"/>
  <c r="O58" i="72"/>
  <c r="C74" i="72"/>
  <c r="L80" i="72"/>
  <c r="L76" i="72" s="1"/>
  <c r="C91" i="72"/>
  <c r="I89" i="72"/>
  <c r="C94" i="72"/>
  <c r="L95" i="72"/>
  <c r="C104" i="72"/>
  <c r="F103" i="72"/>
  <c r="O103" i="72"/>
  <c r="C112" i="72"/>
  <c r="O122" i="72"/>
  <c r="C128" i="72"/>
  <c r="I131" i="72"/>
  <c r="C143" i="72"/>
  <c r="I141" i="72"/>
  <c r="C141" i="72" s="1"/>
  <c r="O144" i="72"/>
  <c r="C154" i="72"/>
  <c r="L58" i="72"/>
  <c r="L54" i="72" s="1"/>
  <c r="C62" i="72"/>
  <c r="C72" i="72"/>
  <c r="F69" i="72"/>
  <c r="F67" i="72" s="1"/>
  <c r="C120" i="72"/>
  <c r="F116" i="72"/>
  <c r="C152" i="72"/>
  <c r="F151" i="72"/>
  <c r="L27" i="72"/>
  <c r="L33" i="72"/>
  <c r="C33" i="72" s="1"/>
  <c r="L36" i="72"/>
  <c r="C36" i="72" s="1"/>
  <c r="C70" i="72"/>
  <c r="L69" i="72"/>
  <c r="L67" i="72" s="1"/>
  <c r="C79" i="72"/>
  <c r="I77" i="72"/>
  <c r="C86" i="72"/>
  <c r="C88" i="72"/>
  <c r="F84" i="72"/>
  <c r="C96" i="72"/>
  <c r="F95" i="72"/>
  <c r="C106" i="72"/>
  <c r="C114" i="72"/>
  <c r="E130" i="72"/>
  <c r="C132" i="72"/>
  <c r="F131" i="72"/>
  <c r="C138" i="72"/>
  <c r="C146" i="72"/>
  <c r="C148" i="72"/>
  <c r="F144" i="72"/>
  <c r="C279" i="72"/>
  <c r="F276" i="72"/>
  <c r="C92" i="72"/>
  <c r="F89" i="72"/>
  <c r="F41" i="72"/>
  <c r="C41" i="72" s="1"/>
  <c r="O45" i="72"/>
  <c r="O20" i="72" s="1"/>
  <c r="E53" i="72"/>
  <c r="C68" i="72"/>
  <c r="D20" i="72"/>
  <c r="H20" i="72"/>
  <c r="C21" i="72"/>
  <c r="C56" i="72"/>
  <c r="F55" i="72"/>
  <c r="C99" i="72"/>
  <c r="O116" i="72"/>
  <c r="F122" i="72"/>
  <c r="I122" i="72"/>
  <c r="C123" i="72"/>
  <c r="K130" i="72"/>
  <c r="D130" i="72"/>
  <c r="D75" i="72" s="1"/>
  <c r="I151" i="72"/>
  <c r="G173" i="72"/>
  <c r="E230" i="72"/>
  <c r="C78" i="72"/>
  <c r="C142" i="72"/>
  <c r="C157" i="72"/>
  <c r="C181" i="72"/>
  <c r="C183" i="72"/>
  <c r="F179" i="72"/>
  <c r="O187" i="72"/>
  <c r="L196" i="72"/>
  <c r="C197" i="72"/>
  <c r="F196" i="72"/>
  <c r="C198" i="72"/>
  <c r="C167" i="72"/>
  <c r="F166" i="72"/>
  <c r="O174" i="72"/>
  <c r="O173" i="72" s="1"/>
  <c r="F191" i="72"/>
  <c r="C191" i="72" s="1"/>
  <c r="C192" i="72"/>
  <c r="F227" i="72"/>
  <c r="C227" i="72" s="1"/>
  <c r="C228" i="72"/>
  <c r="C275" i="72"/>
  <c r="F270" i="72"/>
  <c r="C162" i="72"/>
  <c r="C170" i="72"/>
  <c r="L174" i="72"/>
  <c r="L173" i="72" s="1"/>
  <c r="C190" i="72"/>
  <c r="I188" i="72"/>
  <c r="G204" i="72"/>
  <c r="G195" i="72" s="1"/>
  <c r="F235" i="72"/>
  <c r="C236" i="72"/>
  <c r="C284" i="72"/>
  <c r="F293" i="72"/>
  <c r="C185" i="72"/>
  <c r="C189" i="72"/>
  <c r="C193" i="72"/>
  <c r="C199" i="72"/>
  <c r="F205" i="72"/>
  <c r="C206" i="72"/>
  <c r="C207" i="72"/>
  <c r="C214" i="72"/>
  <c r="C215" i="72"/>
  <c r="C219" i="72"/>
  <c r="F216" i="72"/>
  <c r="C226" i="72"/>
  <c r="C243" i="72"/>
  <c r="F246" i="72"/>
  <c r="C247" i="72"/>
  <c r="O246" i="72"/>
  <c r="C258" i="72"/>
  <c r="C262" i="72"/>
  <c r="C263" i="72"/>
  <c r="F260" i="72"/>
  <c r="C266" i="72"/>
  <c r="C267" i="72"/>
  <c r="F264" i="72"/>
  <c r="F286" i="72"/>
  <c r="I293" i="72"/>
  <c r="I205" i="72"/>
  <c r="C218" i="72"/>
  <c r="I216" i="72"/>
  <c r="G230" i="72"/>
  <c r="I233" i="72"/>
  <c r="C234" i="72"/>
  <c r="O270" i="72"/>
  <c r="O269" i="72" s="1"/>
  <c r="L293" i="72"/>
  <c r="L291" i="72" s="1"/>
  <c r="C298" i="72"/>
  <c r="C202" i="72"/>
  <c r="C203" i="72"/>
  <c r="C210" i="72"/>
  <c r="C211" i="72"/>
  <c r="C222" i="72"/>
  <c r="C223" i="72"/>
  <c r="N231" i="72"/>
  <c r="N230" i="72" s="1"/>
  <c r="O235" i="72"/>
  <c r="C239" i="72"/>
  <c r="O238" i="72"/>
  <c r="C254" i="72"/>
  <c r="C255" i="72"/>
  <c r="F252" i="72"/>
  <c r="C271" i="72"/>
  <c r="L272" i="72"/>
  <c r="L276" i="72"/>
  <c r="D194" i="72" l="1"/>
  <c r="C264" i="72"/>
  <c r="C179" i="72"/>
  <c r="C80" i="72"/>
  <c r="C116" i="72"/>
  <c r="L231" i="72"/>
  <c r="L130" i="72"/>
  <c r="K230" i="72"/>
  <c r="K194" i="72" s="1"/>
  <c r="N75" i="72"/>
  <c r="N52" i="72" s="1"/>
  <c r="M194" i="72"/>
  <c r="M289" i="72"/>
  <c r="E75" i="72"/>
  <c r="E52" i="72" s="1"/>
  <c r="C136" i="72"/>
  <c r="I259" i="72"/>
  <c r="H289" i="72"/>
  <c r="F292" i="72"/>
  <c r="C292" i="72" s="1"/>
  <c r="E194" i="72"/>
  <c r="I173" i="72"/>
  <c r="O130" i="72"/>
  <c r="L83" i="72"/>
  <c r="L75" i="72" s="1"/>
  <c r="K75" i="72"/>
  <c r="K52" i="72" s="1"/>
  <c r="N289" i="72"/>
  <c r="F174" i="72"/>
  <c r="F173" i="72" s="1"/>
  <c r="C173" i="72" s="1"/>
  <c r="O231" i="72"/>
  <c r="O230" i="72" s="1"/>
  <c r="O194" i="72" s="1"/>
  <c r="G75" i="72"/>
  <c r="G52" i="72" s="1"/>
  <c r="I270" i="72"/>
  <c r="I269" i="72" s="1"/>
  <c r="I53" i="72"/>
  <c r="L230" i="72"/>
  <c r="L204" i="72"/>
  <c r="L195" i="72" s="1"/>
  <c r="G194" i="72"/>
  <c r="C58" i="72"/>
  <c r="K289" i="72"/>
  <c r="J194" i="72"/>
  <c r="J51" i="72" s="1"/>
  <c r="J290" i="72" s="1"/>
  <c r="J289" i="72"/>
  <c r="C235" i="72"/>
  <c r="E289" i="72"/>
  <c r="C67" i="72"/>
  <c r="O83" i="72"/>
  <c r="C103" i="72"/>
  <c r="I83" i="72"/>
  <c r="I130" i="72"/>
  <c r="C238" i="72"/>
  <c r="F20" i="72"/>
  <c r="H52" i="72"/>
  <c r="H51" i="72" s="1"/>
  <c r="D52" i="72"/>
  <c r="D51" i="72" s="1"/>
  <c r="D289" i="72"/>
  <c r="L270" i="72"/>
  <c r="L269" i="72" s="1"/>
  <c r="C272" i="72"/>
  <c r="C216" i="72"/>
  <c r="C293" i="72"/>
  <c r="N194" i="72"/>
  <c r="N51" i="72" s="1"/>
  <c r="C131" i="72"/>
  <c r="F130" i="72"/>
  <c r="C27" i="72"/>
  <c r="L26" i="72"/>
  <c r="I291" i="72"/>
  <c r="C233" i="72"/>
  <c r="I231" i="72"/>
  <c r="I230" i="72" s="1"/>
  <c r="C286" i="72"/>
  <c r="F259" i="72"/>
  <c r="C259" i="72" s="1"/>
  <c r="C260" i="72"/>
  <c r="F187" i="72"/>
  <c r="C196" i="72"/>
  <c r="C89" i="72"/>
  <c r="C95" i="72"/>
  <c r="C151" i="72"/>
  <c r="L53" i="72"/>
  <c r="F204" i="72"/>
  <c r="F195" i="72" s="1"/>
  <c r="C205" i="72"/>
  <c r="C69" i="72"/>
  <c r="M51" i="72"/>
  <c r="F269" i="72"/>
  <c r="C166" i="72"/>
  <c r="F165" i="72"/>
  <c r="C165" i="72" s="1"/>
  <c r="F251" i="72"/>
  <c r="C251" i="72" s="1"/>
  <c r="C252" i="72"/>
  <c r="I204" i="72"/>
  <c r="I195" i="72" s="1"/>
  <c r="I194" i="72" s="1"/>
  <c r="C122" i="72"/>
  <c r="O54" i="72"/>
  <c r="O53" i="72" s="1"/>
  <c r="C45" i="72"/>
  <c r="I76" i="72"/>
  <c r="C77" i="72"/>
  <c r="F231" i="72"/>
  <c r="C246" i="72"/>
  <c r="C174" i="72"/>
  <c r="I187" i="72"/>
  <c r="C188" i="72"/>
  <c r="C55" i="72"/>
  <c r="F54" i="72"/>
  <c r="C276" i="72"/>
  <c r="C144" i="72"/>
  <c r="C84" i="72"/>
  <c r="F83" i="72"/>
  <c r="O75" i="72" l="1"/>
  <c r="F291" i="72"/>
  <c r="C291" i="72" s="1"/>
  <c r="C130" i="72"/>
  <c r="G51" i="72"/>
  <c r="G290" i="72" s="1"/>
  <c r="K51" i="72"/>
  <c r="O289" i="72"/>
  <c r="E51" i="72"/>
  <c r="J50" i="72"/>
  <c r="G289" i="72"/>
  <c r="H290" i="72"/>
  <c r="H50" i="72"/>
  <c r="L289" i="72"/>
  <c r="L194" i="72"/>
  <c r="C187" i="72"/>
  <c r="N50" i="72"/>
  <c r="N290" i="72"/>
  <c r="C195" i="72"/>
  <c r="C204" i="72"/>
  <c r="C26" i="72"/>
  <c r="L20" i="72"/>
  <c r="C20" i="72" s="1"/>
  <c r="I75" i="72"/>
  <c r="I52" i="72" s="1"/>
  <c r="I51" i="72" s="1"/>
  <c r="C76" i="72"/>
  <c r="C269" i="72"/>
  <c r="K50" i="72"/>
  <c r="K290" i="72"/>
  <c r="O52" i="72"/>
  <c r="O51" i="72" s="1"/>
  <c r="M50" i="72"/>
  <c r="M290" i="72"/>
  <c r="C83" i="72"/>
  <c r="F75" i="72"/>
  <c r="F53" i="72"/>
  <c r="C54" i="72"/>
  <c r="C231" i="72"/>
  <c r="F230" i="72"/>
  <c r="F194" i="72" s="1"/>
  <c r="C194" i="72" s="1"/>
  <c r="E290" i="72"/>
  <c r="E50" i="72"/>
  <c r="C270" i="72"/>
  <c r="L52" i="72"/>
  <c r="L51" i="72" s="1"/>
  <c r="L50" i="72" s="1"/>
  <c r="D290" i="72"/>
  <c r="D50" i="72"/>
  <c r="G50" i="72" l="1"/>
  <c r="I289" i="72"/>
  <c r="L290" i="72"/>
  <c r="I50" i="72"/>
  <c r="I290" i="72"/>
  <c r="F52" i="72"/>
  <c r="C53" i="72"/>
  <c r="C230" i="72"/>
  <c r="F289" i="72"/>
  <c r="C75" i="72"/>
  <c r="O50" i="72"/>
  <c r="O290" i="72"/>
  <c r="C289" i="72" l="1"/>
  <c r="C52" i="72"/>
  <c r="F51" i="72"/>
  <c r="F290" i="72" l="1"/>
  <c r="C290" i="72" s="1"/>
  <c r="F50" i="72"/>
  <c r="C50" i="72" s="1"/>
  <c r="C51" i="72"/>
  <c r="O301" i="71" l="1"/>
  <c r="L301" i="71"/>
  <c r="I301" i="71"/>
  <c r="F301" i="71"/>
  <c r="O300" i="71"/>
  <c r="L300" i="71"/>
  <c r="I300" i="71"/>
  <c r="F300" i="71"/>
  <c r="O299" i="71"/>
  <c r="L299" i="71"/>
  <c r="I299" i="71"/>
  <c r="F299" i="71"/>
  <c r="O298" i="71"/>
  <c r="L298" i="71"/>
  <c r="I298" i="71"/>
  <c r="F298" i="71"/>
  <c r="O297" i="71"/>
  <c r="L297" i="71"/>
  <c r="I297" i="71"/>
  <c r="F297" i="71"/>
  <c r="O296" i="71"/>
  <c r="L296" i="71"/>
  <c r="I296" i="71"/>
  <c r="F296" i="71"/>
  <c r="O295" i="71"/>
  <c r="L295" i="71"/>
  <c r="I295" i="71"/>
  <c r="F295" i="71"/>
  <c r="O294" i="71"/>
  <c r="L294" i="71"/>
  <c r="I294" i="71"/>
  <c r="F294" i="71"/>
  <c r="N293" i="71"/>
  <c r="M293" i="71"/>
  <c r="K293" i="71"/>
  <c r="J293" i="71"/>
  <c r="H293" i="71"/>
  <c r="G293" i="71"/>
  <c r="E293" i="71"/>
  <c r="D293" i="71"/>
  <c r="O288" i="71"/>
  <c r="L288" i="71"/>
  <c r="I288" i="71"/>
  <c r="F288" i="71"/>
  <c r="O287" i="71"/>
  <c r="L287" i="71"/>
  <c r="I287" i="71"/>
  <c r="I286" i="71" s="1"/>
  <c r="F287" i="71"/>
  <c r="N286" i="71"/>
  <c r="M286" i="71"/>
  <c r="K286" i="71"/>
  <c r="J286" i="71"/>
  <c r="H286" i="71"/>
  <c r="G286" i="71"/>
  <c r="E286" i="71"/>
  <c r="D286" i="71"/>
  <c r="O285" i="71"/>
  <c r="O284" i="71" s="1"/>
  <c r="O283" i="71" s="1"/>
  <c r="L285" i="71"/>
  <c r="L284" i="71" s="1"/>
  <c r="L283" i="71" s="1"/>
  <c r="I285" i="71"/>
  <c r="F285" i="71"/>
  <c r="F284" i="71" s="1"/>
  <c r="F283" i="71" s="1"/>
  <c r="N284" i="71"/>
  <c r="M284" i="71"/>
  <c r="M283" i="71" s="1"/>
  <c r="K284" i="71"/>
  <c r="K283" i="71" s="1"/>
  <c r="J284" i="71"/>
  <c r="J283" i="71" s="1"/>
  <c r="H284" i="71"/>
  <c r="H283" i="71" s="1"/>
  <c r="G284" i="71"/>
  <c r="G283" i="71" s="1"/>
  <c r="E284" i="71"/>
  <c r="E283" i="71" s="1"/>
  <c r="D284" i="71"/>
  <c r="D283" i="71" s="1"/>
  <c r="N283" i="71"/>
  <c r="O282" i="71"/>
  <c r="L282" i="71"/>
  <c r="L281" i="71" s="1"/>
  <c r="I282" i="71"/>
  <c r="I281" i="71" s="1"/>
  <c r="F282" i="71"/>
  <c r="O281" i="71"/>
  <c r="N281" i="71"/>
  <c r="M281" i="71"/>
  <c r="K281" i="71"/>
  <c r="J281" i="71"/>
  <c r="H281" i="71"/>
  <c r="G281" i="71"/>
  <c r="F281" i="71"/>
  <c r="E281" i="71"/>
  <c r="D281" i="71"/>
  <c r="O280" i="71"/>
  <c r="L280" i="71"/>
  <c r="I280" i="71"/>
  <c r="F280" i="71"/>
  <c r="O279" i="71"/>
  <c r="L279" i="71"/>
  <c r="I279" i="71"/>
  <c r="F279" i="71"/>
  <c r="O278" i="71"/>
  <c r="L278" i="71"/>
  <c r="I278" i="71"/>
  <c r="F278" i="71"/>
  <c r="O277" i="71"/>
  <c r="L277" i="71"/>
  <c r="I277" i="71"/>
  <c r="F277" i="71"/>
  <c r="O276" i="71"/>
  <c r="N276" i="71"/>
  <c r="M276" i="71"/>
  <c r="K276" i="71"/>
  <c r="J276" i="71"/>
  <c r="H276" i="71"/>
  <c r="G276" i="71"/>
  <c r="E276" i="71"/>
  <c r="D276" i="71"/>
  <c r="O275" i="71"/>
  <c r="L275" i="71"/>
  <c r="I275" i="71"/>
  <c r="F275" i="71"/>
  <c r="O274" i="71"/>
  <c r="L274" i="71"/>
  <c r="I274" i="71"/>
  <c r="F274" i="71"/>
  <c r="O273" i="71"/>
  <c r="L273" i="71"/>
  <c r="I273" i="71"/>
  <c r="F273" i="71"/>
  <c r="O272" i="71"/>
  <c r="N272" i="71"/>
  <c r="M272" i="71"/>
  <c r="M270" i="71" s="1"/>
  <c r="M269" i="71" s="1"/>
  <c r="K272" i="71"/>
  <c r="J272" i="71"/>
  <c r="H272" i="71"/>
  <c r="G272" i="71"/>
  <c r="G270" i="71" s="1"/>
  <c r="G269" i="71" s="1"/>
  <c r="F272" i="71"/>
  <c r="E272" i="71"/>
  <c r="D272" i="71"/>
  <c r="O271" i="71"/>
  <c r="L271" i="71"/>
  <c r="I271" i="71"/>
  <c r="F271" i="71"/>
  <c r="N270" i="71"/>
  <c r="N269" i="71" s="1"/>
  <c r="J270" i="71"/>
  <c r="O268" i="71"/>
  <c r="L268" i="71"/>
  <c r="I268" i="71"/>
  <c r="F268" i="71"/>
  <c r="O267" i="71"/>
  <c r="L267" i="71"/>
  <c r="I267" i="71"/>
  <c r="F267" i="71"/>
  <c r="O266" i="71"/>
  <c r="L266" i="71"/>
  <c r="I266" i="71"/>
  <c r="F266" i="71"/>
  <c r="O265" i="71"/>
  <c r="O264" i="71" s="1"/>
  <c r="L265" i="71"/>
  <c r="I265" i="71"/>
  <c r="F265" i="71"/>
  <c r="N264" i="71"/>
  <c r="M264" i="71"/>
  <c r="L264" i="71"/>
  <c r="K264" i="71"/>
  <c r="J264" i="71"/>
  <c r="H264" i="71"/>
  <c r="G264" i="71"/>
  <c r="E264" i="71"/>
  <c r="D264" i="71"/>
  <c r="O263" i="71"/>
  <c r="L263" i="71"/>
  <c r="I263" i="71"/>
  <c r="F263" i="71"/>
  <c r="O262" i="71"/>
  <c r="L262" i="71"/>
  <c r="I262" i="71"/>
  <c r="F262" i="71"/>
  <c r="O261" i="71"/>
  <c r="O260" i="71" s="1"/>
  <c r="O259" i="71" s="1"/>
  <c r="L261" i="71"/>
  <c r="L260" i="71" s="1"/>
  <c r="I261" i="71"/>
  <c r="F261" i="71"/>
  <c r="N260" i="71"/>
  <c r="N259" i="71" s="1"/>
  <c r="M260" i="71"/>
  <c r="M259" i="71" s="1"/>
  <c r="K260" i="71"/>
  <c r="K259" i="71" s="1"/>
  <c r="J260" i="71"/>
  <c r="J259" i="71" s="1"/>
  <c r="H260" i="71"/>
  <c r="H259" i="71" s="1"/>
  <c r="G260" i="71"/>
  <c r="E260" i="71"/>
  <c r="D260" i="71"/>
  <c r="D259" i="71" s="1"/>
  <c r="E259" i="71"/>
  <c r="O258" i="71"/>
  <c r="L258" i="71"/>
  <c r="I258" i="71"/>
  <c r="F258" i="71"/>
  <c r="O257" i="71"/>
  <c r="L257" i="71"/>
  <c r="I257" i="71"/>
  <c r="F257" i="71"/>
  <c r="O256" i="71"/>
  <c r="L256" i="71"/>
  <c r="I256" i="71"/>
  <c r="F256" i="71"/>
  <c r="O255" i="71"/>
  <c r="L255" i="71"/>
  <c r="I255" i="71"/>
  <c r="F255" i="71"/>
  <c r="O254" i="71"/>
  <c r="L254" i="71"/>
  <c r="I254" i="71"/>
  <c r="F254" i="71"/>
  <c r="O253" i="71"/>
  <c r="O252" i="71" s="1"/>
  <c r="O251" i="71" s="1"/>
  <c r="L253" i="71"/>
  <c r="L252" i="71" s="1"/>
  <c r="L251" i="71" s="1"/>
  <c r="I253" i="71"/>
  <c r="F253" i="71"/>
  <c r="N252" i="71"/>
  <c r="M252" i="71"/>
  <c r="M251" i="71" s="1"/>
  <c r="K252" i="71"/>
  <c r="K251" i="71" s="1"/>
  <c r="J252" i="71"/>
  <c r="J251" i="71" s="1"/>
  <c r="H252" i="71"/>
  <c r="H251" i="71" s="1"/>
  <c r="G252" i="71"/>
  <c r="G251" i="71" s="1"/>
  <c r="E252" i="71"/>
  <c r="E251" i="71" s="1"/>
  <c r="D252" i="71"/>
  <c r="D251" i="71" s="1"/>
  <c r="N251" i="71"/>
  <c r="O250" i="71"/>
  <c r="L250" i="71"/>
  <c r="I250" i="71"/>
  <c r="F250" i="71"/>
  <c r="O249" i="71"/>
  <c r="L249" i="71"/>
  <c r="I249" i="71"/>
  <c r="F249" i="71"/>
  <c r="O248" i="71"/>
  <c r="L248" i="71"/>
  <c r="I248" i="71"/>
  <c r="F248" i="71"/>
  <c r="O247" i="71"/>
  <c r="L247" i="71"/>
  <c r="I247" i="71"/>
  <c r="I246" i="71" s="1"/>
  <c r="F247" i="71"/>
  <c r="N246" i="71"/>
  <c r="M246" i="71"/>
  <c r="K246" i="71"/>
  <c r="J246" i="71"/>
  <c r="H246" i="71"/>
  <c r="G246" i="71"/>
  <c r="E246" i="71"/>
  <c r="D246" i="71"/>
  <c r="O245" i="71"/>
  <c r="L245" i="71"/>
  <c r="I245" i="71"/>
  <c r="F245" i="71"/>
  <c r="O244" i="71"/>
  <c r="L244" i="71"/>
  <c r="I244" i="71"/>
  <c r="F244" i="71"/>
  <c r="O243" i="71"/>
  <c r="L243" i="71"/>
  <c r="I243" i="71"/>
  <c r="F243" i="71"/>
  <c r="O242" i="71"/>
  <c r="L242" i="71"/>
  <c r="I242" i="71"/>
  <c r="F242" i="71"/>
  <c r="O241" i="71"/>
  <c r="L241" i="71"/>
  <c r="I241" i="71"/>
  <c r="F241" i="71"/>
  <c r="O240" i="71"/>
  <c r="L240" i="71"/>
  <c r="I240" i="71"/>
  <c r="F240" i="71"/>
  <c r="O239" i="71"/>
  <c r="L239" i="71"/>
  <c r="I239" i="71"/>
  <c r="F239" i="71"/>
  <c r="N238" i="71"/>
  <c r="M238" i="71"/>
  <c r="K238" i="71"/>
  <c r="J238" i="71"/>
  <c r="H238" i="71"/>
  <c r="G238" i="71"/>
  <c r="E238" i="71"/>
  <c r="D238" i="71"/>
  <c r="O237" i="71"/>
  <c r="L237" i="71"/>
  <c r="I237" i="71"/>
  <c r="F237" i="71"/>
  <c r="O236" i="71"/>
  <c r="L236" i="71"/>
  <c r="I236" i="71"/>
  <c r="I235" i="71" s="1"/>
  <c r="F236" i="71"/>
  <c r="N235" i="71"/>
  <c r="M235" i="71"/>
  <c r="K235" i="71"/>
  <c r="J235" i="71"/>
  <c r="H235" i="71"/>
  <c r="G235" i="71"/>
  <c r="E235" i="71"/>
  <c r="D235" i="71"/>
  <c r="O234" i="71"/>
  <c r="L234" i="71"/>
  <c r="L233" i="71" s="1"/>
  <c r="I234" i="71"/>
  <c r="I233" i="71" s="1"/>
  <c r="F234" i="71"/>
  <c r="O233" i="71"/>
  <c r="N233" i="71"/>
  <c r="M233" i="71"/>
  <c r="K233" i="71"/>
  <c r="J233" i="71"/>
  <c r="H233" i="71"/>
  <c r="G233" i="71"/>
  <c r="F233" i="71"/>
  <c r="E233" i="71"/>
  <c r="D233" i="71"/>
  <c r="O232" i="71"/>
  <c r="L232" i="71"/>
  <c r="I232" i="71"/>
  <c r="F232" i="71"/>
  <c r="O229" i="71"/>
  <c r="L229" i="71"/>
  <c r="I229" i="71"/>
  <c r="F229" i="71"/>
  <c r="O228" i="71"/>
  <c r="O227" i="71" s="1"/>
  <c r="L228" i="71"/>
  <c r="L227" i="71" s="1"/>
  <c r="I228" i="71"/>
  <c r="I227" i="71" s="1"/>
  <c r="F228" i="71"/>
  <c r="N227" i="71"/>
  <c r="M227" i="71"/>
  <c r="K227" i="71"/>
  <c r="J227" i="71"/>
  <c r="H227" i="71"/>
  <c r="G227" i="71"/>
  <c r="E227" i="71"/>
  <c r="D227" i="71"/>
  <c r="O226" i="71"/>
  <c r="L226" i="71"/>
  <c r="I226" i="71"/>
  <c r="F226" i="71"/>
  <c r="O225" i="71"/>
  <c r="L225" i="71"/>
  <c r="I225" i="71"/>
  <c r="F225" i="71"/>
  <c r="O224" i="71"/>
  <c r="L224" i="71"/>
  <c r="I224" i="71"/>
  <c r="F224" i="71"/>
  <c r="O223" i="71"/>
  <c r="L223" i="71"/>
  <c r="I223" i="71"/>
  <c r="F223" i="71"/>
  <c r="O222" i="71"/>
  <c r="L222" i="71"/>
  <c r="I222" i="71"/>
  <c r="F222" i="71"/>
  <c r="O221" i="71"/>
  <c r="L221" i="71"/>
  <c r="I221" i="71"/>
  <c r="F221" i="71"/>
  <c r="O220" i="71"/>
  <c r="L220" i="71"/>
  <c r="I220" i="71"/>
  <c r="F220" i="71"/>
  <c r="O219" i="71"/>
  <c r="L219" i="71"/>
  <c r="I219" i="71"/>
  <c r="F219" i="71"/>
  <c r="O218" i="71"/>
  <c r="L218" i="71"/>
  <c r="I218" i="71"/>
  <c r="F218" i="71"/>
  <c r="O217" i="71"/>
  <c r="L217" i="71"/>
  <c r="I217" i="71"/>
  <c r="F217" i="71"/>
  <c r="N216" i="71"/>
  <c r="M216" i="71"/>
  <c r="K216" i="71"/>
  <c r="J216" i="71"/>
  <c r="H216" i="71"/>
  <c r="G216" i="71"/>
  <c r="E216" i="71"/>
  <c r="D216" i="71"/>
  <c r="O215" i="71"/>
  <c r="L215" i="71"/>
  <c r="I215" i="71"/>
  <c r="F215" i="71"/>
  <c r="O214" i="71"/>
  <c r="L214" i="71"/>
  <c r="I214" i="71"/>
  <c r="F214" i="71"/>
  <c r="O213" i="71"/>
  <c r="L213" i="71"/>
  <c r="I213" i="71"/>
  <c r="F213" i="71"/>
  <c r="O212" i="71"/>
  <c r="L212" i="71"/>
  <c r="I212" i="71"/>
  <c r="F212" i="71"/>
  <c r="O211" i="71"/>
  <c r="L211" i="71"/>
  <c r="I211" i="71"/>
  <c r="F211" i="71"/>
  <c r="O210" i="71"/>
  <c r="L210" i="71"/>
  <c r="I210" i="71"/>
  <c r="F210" i="71"/>
  <c r="O209" i="71"/>
  <c r="L209" i="71"/>
  <c r="I209" i="71"/>
  <c r="F209" i="71"/>
  <c r="O208" i="71"/>
  <c r="L208" i="71"/>
  <c r="I208" i="71"/>
  <c r="F208" i="71"/>
  <c r="O207" i="71"/>
  <c r="L207" i="71"/>
  <c r="I207" i="71"/>
  <c r="F207" i="71"/>
  <c r="O206" i="71"/>
  <c r="L206" i="71"/>
  <c r="L205" i="71" s="1"/>
  <c r="I206" i="71"/>
  <c r="F206" i="71"/>
  <c r="N205" i="71"/>
  <c r="M205" i="71"/>
  <c r="M204" i="71" s="1"/>
  <c r="K205" i="71"/>
  <c r="J205" i="71"/>
  <c r="J204" i="71" s="1"/>
  <c r="H205" i="71"/>
  <c r="H204" i="71" s="1"/>
  <c r="G205" i="71"/>
  <c r="G204" i="71" s="1"/>
  <c r="E205" i="71"/>
  <c r="E204" i="71" s="1"/>
  <c r="D205" i="71"/>
  <c r="O203" i="71"/>
  <c r="L203" i="71"/>
  <c r="I203" i="71"/>
  <c r="F203" i="71"/>
  <c r="O202" i="71"/>
  <c r="L202" i="71"/>
  <c r="I202" i="71"/>
  <c r="F202" i="71"/>
  <c r="O201" i="71"/>
  <c r="L201" i="71"/>
  <c r="I201" i="71"/>
  <c r="F201" i="71"/>
  <c r="O200" i="71"/>
  <c r="L200" i="71"/>
  <c r="I200" i="71"/>
  <c r="F200" i="71"/>
  <c r="O199" i="71"/>
  <c r="O198" i="71" s="1"/>
  <c r="L199" i="71"/>
  <c r="I199" i="71"/>
  <c r="I198" i="71" s="1"/>
  <c r="F199" i="71"/>
  <c r="F198" i="71" s="1"/>
  <c r="N198" i="71"/>
  <c r="N196" i="71" s="1"/>
  <c r="M198" i="71"/>
  <c r="M196" i="71" s="1"/>
  <c r="K198" i="71"/>
  <c r="J198" i="71"/>
  <c r="H198" i="71"/>
  <c r="H196" i="71" s="1"/>
  <c r="H195" i="71" s="1"/>
  <c r="G198" i="71"/>
  <c r="G196" i="71" s="1"/>
  <c r="E198" i="71"/>
  <c r="E196" i="71" s="1"/>
  <c r="D198" i="71"/>
  <c r="D196" i="71" s="1"/>
  <c r="O197" i="71"/>
  <c r="L197" i="71"/>
  <c r="I197" i="71"/>
  <c r="F197" i="71"/>
  <c r="K196" i="71"/>
  <c r="J196" i="71"/>
  <c r="E195" i="71"/>
  <c r="O193" i="71"/>
  <c r="O192" i="71" s="1"/>
  <c r="O191" i="71" s="1"/>
  <c r="L193" i="71"/>
  <c r="L192" i="71" s="1"/>
  <c r="L191" i="71" s="1"/>
  <c r="I193" i="71"/>
  <c r="F193" i="71"/>
  <c r="N192" i="71"/>
  <c r="N191" i="71" s="1"/>
  <c r="M192" i="71"/>
  <c r="M191" i="71" s="1"/>
  <c r="K192" i="71"/>
  <c r="K191" i="71" s="1"/>
  <c r="J192" i="71"/>
  <c r="J191" i="71" s="1"/>
  <c r="H192" i="71"/>
  <c r="H191" i="71" s="1"/>
  <c r="G192" i="71"/>
  <c r="G191" i="71" s="1"/>
  <c r="F192" i="71"/>
  <c r="F191" i="71" s="1"/>
  <c r="E192" i="71"/>
  <c r="E191" i="71" s="1"/>
  <c r="D192" i="71"/>
  <c r="D191" i="71"/>
  <c r="O190" i="71"/>
  <c r="L190" i="71"/>
  <c r="I190" i="71"/>
  <c r="F190" i="71"/>
  <c r="O189" i="71"/>
  <c r="O188" i="71" s="1"/>
  <c r="O187" i="71" s="1"/>
  <c r="L189" i="71"/>
  <c r="L188" i="71" s="1"/>
  <c r="I189" i="71"/>
  <c r="F189" i="71"/>
  <c r="F188" i="71" s="1"/>
  <c r="N188" i="71"/>
  <c r="M188" i="71"/>
  <c r="K188" i="71"/>
  <c r="J188" i="71"/>
  <c r="H188" i="71"/>
  <c r="G188" i="71"/>
  <c r="E188" i="71"/>
  <c r="E187" i="71" s="1"/>
  <c r="D188" i="71"/>
  <c r="O186" i="71"/>
  <c r="L186" i="71"/>
  <c r="I186" i="71"/>
  <c r="F186" i="71"/>
  <c r="O185" i="71"/>
  <c r="O184" i="71" s="1"/>
  <c r="L185" i="71"/>
  <c r="L184" i="71" s="1"/>
  <c r="I185" i="71"/>
  <c r="I184" i="71" s="1"/>
  <c r="F185" i="71"/>
  <c r="C185" i="71" s="1"/>
  <c r="N184" i="71"/>
  <c r="M184" i="71"/>
  <c r="K184" i="71"/>
  <c r="J184" i="71"/>
  <c r="H184" i="71"/>
  <c r="G184" i="71"/>
  <c r="E184" i="71"/>
  <c r="D184" i="71"/>
  <c r="O183" i="71"/>
  <c r="L183" i="71"/>
  <c r="I183" i="71"/>
  <c r="F183" i="71"/>
  <c r="O182" i="71"/>
  <c r="L182" i="71"/>
  <c r="I182" i="71"/>
  <c r="F182" i="71"/>
  <c r="O181" i="71"/>
  <c r="L181" i="71"/>
  <c r="I181" i="71"/>
  <c r="F181" i="71"/>
  <c r="O180" i="71"/>
  <c r="L180" i="71"/>
  <c r="I180" i="71"/>
  <c r="I179" i="71" s="1"/>
  <c r="F180" i="71"/>
  <c r="N179" i="71"/>
  <c r="M179" i="71"/>
  <c r="K179" i="71"/>
  <c r="J179" i="71"/>
  <c r="H179" i="71"/>
  <c r="G179" i="71"/>
  <c r="E179" i="71"/>
  <c r="D179" i="71"/>
  <c r="O178" i="71"/>
  <c r="L178" i="71"/>
  <c r="I178" i="71"/>
  <c r="F178" i="71"/>
  <c r="O177" i="71"/>
  <c r="L177" i="71"/>
  <c r="I177" i="71"/>
  <c r="F177" i="71"/>
  <c r="O176" i="71"/>
  <c r="L176" i="71"/>
  <c r="I176" i="71"/>
  <c r="I175" i="71" s="1"/>
  <c r="F176" i="71"/>
  <c r="N175" i="71"/>
  <c r="M175" i="71"/>
  <c r="K175" i="71"/>
  <c r="J175" i="71"/>
  <c r="J174" i="71" s="1"/>
  <c r="H175" i="71"/>
  <c r="H174" i="71" s="1"/>
  <c r="H173" i="71" s="1"/>
  <c r="G175" i="71"/>
  <c r="G174" i="71" s="1"/>
  <c r="G173" i="71" s="1"/>
  <c r="E175" i="71"/>
  <c r="E174" i="71" s="1"/>
  <c r="D175" i="71"/>
  <c r="D174" i="71"/>
  <c r="D173" i="71" s="1"/>
  <c r="O172" i="71"/>
  <c r="L172" i="71"/>
  <c r="I172" i="71"/>
  <c r="F172" i="71"/>
  <c r="O171" i="71"/>
  <c r="L171" i="71"/>
  <c r="I171" i="71"/>
  <c r="F171" i="71"/>
  <c r="O170" i="71"/>
  <c r="L170" i="71"/>
  <c r="I170" i="71"/>
  <c r="F170" i="71"/>
  <c r="O169" i="71"/>
  <c r="L169" i="71"/>
  <c r="I169" i="71"/>
  <c r="F169" i="71"/>
  <c r="O168" i="71"/>
  <c r="L168" i="71"/>
  <c r="I168" i="71"/>
  <c r="F168" i="71"/>
  <c r="O167" i="71"/>
  <c r="L167" i="71"/>
  <c r="I167" i="71"/>
  <c r="F167" i="71"/>
  <c r="N166" i="71"/>
  <c r="N165" i="71" s="1"/>
  <c r="M166" i="71"/>
  <c r="K166" i="71"/>
  <c r="K165" i="71" s="1"/>
  <c r="J166" i="71"/>
  <c r="J165" i="71" s="1"/>
  <c r="H166" i="71"/>
  <c r="H165" i="71" s="1"/>
  <c r="G166" i="71"/>
  <c r="E166" i="71"/>
  <c r="E165" i="71" s="1"/>
  <c r="D166" i="71"/>
  <c r="D165" i="71" s="1"/>
  <c r="M165" i="71"/>
  <c r="G165" i="71"/>
  <c r="O164" i="71"/>
  <c r="L164" i="71"/>
  <c r="I164" i="71"/>
  <c r="F164" i="71"/>
  <c r="O163" i="71"/>
  <c r="L163" i="71"/>
  <c r="I163" i="71"/>
  <c r="F163" i="71"/>
  <c r="O162" i="71"/>
  <c r="L162" i="71"/>
  <c r="I162" i="71"/>
  <c r="F162" i="71"/>
  <c r="O161" i="71"/>
  <c r="L161" i="71"/>
  <c r="I161" i="71"/>
  <c r="I160" i="71" s="1"/>
  <c r="F161" i="71"/>
  <c r="O160" i="71"/>
  <c r="N160" i="71"/>
  <c r="M160" i="71"/>
  <c r="K160" i="71"/>
  <c r="J160" i="71"/>
  <c r="H160" i="71"/>
  <c r="G160" i="71"/>
  <c r="F160" i="71"/>
  <c r="E160" i="71"/>
  <c r="D160" i="71"/>
  <c r="O159" i="71"/>
  <c r="L159" i="71"/>
  <c r="I159" i="71"/>
  <c r="F159" i="71"/>
  <c r="O158" i="71"/>
  <c r="L158" i="71"/>
  <c r="I158" i="71"/>
  <c r="F158" i="71"/>
  <c r="O157" i="71"/>
  <c r="L157" i="71"/>
  <c r="I157" i="71"/>
  <c r="F157" i="71"/>
  <c r="O156" i="71"/>
  <c r="L156" i="71"/>
  <c r="I156" i="71"/>
  <c r="F156" i="71"/>
  <c r="O155" i="71"/>
  <c r="L155" i="71"/>
  <c r="I155" i="71"/>
  <c r="F155" i="71"/>
  <c r="O154" i="71"/>
  <c r="L154" i="71"/>
  <c r="I154" i="71"/>
  <c r="F154" i="71"/>
  <c r="O153" i="71"/>
  <c r="L153" i="71"/>
  <c r="I153" i="71"/>
  <c r="F153" i="71"/>
  <c r="O152" i="71"/>
  <c r="O151" i="71" s="1"/>
  <c r="L152" i="71"/>
  <c r="I152" i="71"/>
  <c r="F152" i="71"/>
  <c r="F151" i="71" s="1"/>
  <c r="N151" i="71"/>
  <c r="M151" i="71"/>
  <c r="K151" i="71"/>
  <c r="J151" i="71"/>
  <c r="H151" i="71"/>
  <c r="G151" i="71"/>
  <c r="E151" i="71"/>
  <c r="D151" i="71"/>
  <c r="O150" i="71"/>
  <c r="L150" i="71"/>
  <c r="I150" i="71"/>
  <c r="F150" i="71"/>
  <c r="O149" i="71"/>
  <c r="L149" i="71"/>
  <c r="I149" i="71"/>
  <c r="F149" i="71"/>
  <c r="O148" i="71"/>
  <c r="L148" i="71"/>
  <c r="I148" i="71"/>
  <c r="F148" i="71"/>
  <c r="O147" i="71"/>
  <c r="L147" i="71"/>
  <c r="I147" i="71"/>
  <c r="F147" i="71"/>
  <c r="O146" i="71"/>
  <c r="L146" i="71"/>
  <c r="I146" i="71"/>
  <c r="F146" i="71"/>
  <c r="O145" i="71"/>
  <c r="L145" i="71"/>
  <c r="L144" i="71" s="1"/>
  <c r="I145" i="71"/>
  <c r="F145" i="71"/>
  <c r="N144" i="71"/>
  <c r="M144" i="71"/>
  <c r="K144" i="71"/>
  <c r="J144" i="71"/>
  <c r="H144" i="71"/>
  <c r="G144" i="71"/>
  <c r="E144" i="71"/>
  <c r="D144" i="71"/>
  <c r="O143" i="71"/>
  <c r="L143" i="71"/>
  <c r="I143" i="71"/>
  <c r="F143" i="71"/>
  <c r="O142" i="71"/>
  <c r="O141" i="71" s="1"/>
  <c r="L142" i="71"/>
  <c r="L141" i="71" s="1"/>
  <c r="I142" i="71"/>
  <c r="F142" i="71"/>
  <c r="N141" i="71"/>
  <c r="M141" i="71"/>
  <c r="K141" i="71"/>
  <c r="J141" i="71"/>
  <c r="H141" i="71"/>
  <c r="G141" i="71"/>
  <c r="E141" i="71"/>
  <c r="D141" i="71"/>
  <c r="O140" i="71"/>
  <c r="L140" i="71"/>
  <c r="I140" i="71"/>
  <c r="F140" i="71"/>
  <c r="O139" i="71"/>
  <c r="L139" i="71"/>
  <c r="I139" i="71"/>
  <c r="F139" i="71"/>
  <c r="O138" i="71"/>
  <c r="L138" i="71"/>
  <c r="I138" i="71"/>
  <c r="F138" i="71"/>
  <c r="O137" i="71"/>
  <c r="L137" i="71"/>
  <c r="L136" i="71" s="1"/>
  <c r="I137" i="71"/>
  <c r="F137" i="71"/>
  <c r="N136" i="71"/>
  <c r="M136" i="71"/>
  <c r="K136" i="71"/>
  <c r="J136" i="71"/>
  <c r="H136" i="71"/>
  <c r="G136" i="71"/>
  <c r="E136" i="71"/>
  <c r="D136" i="71"/>
  <c r="O135" i="71"/>
  <c r="L135" i="71"/>
  <c r="I135" i="71"/>
  <c r="F135" i="71"/>
  <c r="O134" i="71"/>
  <c r="L134" i="71"/>
  <c r="I134" i="71"/>
  <c r="F134" i="71"/>
  <c r="O133" i="71"/>
  <c r="L133" i="71"/>
  <c r="I133" i="71"/>
  <c r="F133" i="71"/>
  <c r="O132" i="71"/>
  <c r="L132" i="71"/>
  <c r="I132" i="71"/>
  <c r="F132" i="71"/>
  <c r="N131" i="71"/>
  <c r="M131" i="71"/>
  <c r="K131" i="71"/>
  <c r="K130" i="71" s="1"/>
  <c r="J131" i="71"/>
  <c r="H131" i="71"/>
  <c r="G131" i="71"/>
  <c r="E131" i="71"/>
  <c r="D131" i="71"/>
  <c r="O129" i="71"/>
  <c r="L129" i="71"/>
  <c r="L128" i="71" s="1"/>
  <c r="I129" i="71"/>
  <c r="I128" i="71" s="1"/>
  <c r="F129" i="71"/>
  <c r="O128" i="71"/>
  <c r="N128" i="71"/>
  <c r="M128" i="71"/>
  <c r="K128" i="71"/>
  <c r="J128" i="71"/>
  <c r="H128" i="71"/>
  <c r="G128" i="71"/>
  <c r="E128" i="71"/>
  <c r="D128" i="71"/>
  <c r="O127" i="71"/>
  <c r="L127" i="71"/>
  <c r="I127" i="71"/>
  <c r="F127" i="71"/>
  <c r="O126" i="71"/>
  <c r="L126" i="71"/>
  <c r="I126" i="71"/>
  <c r="F126" i="71"/>
  <c r="O125" i="71"/>
  <c r="L125" i="71"/>
  <c r="I125" i="71"/>
  <c r="F125" i="71"/>
  <c r="O124" i="71"/>
  <c r="L124" i="71"/>
  <c r="I124" i="71"/>
  <c r="F124" i="71"/>
  <c r="O123" i="71"/>
  <c r="L123" i="71"/>
  <c r="I123" i="71"/>
  <c r="F123" i="71"/>
  <c r="N122" i="71"/>
  <c r="M122" i="71"/>
  <c r="K122" i="71"/>
  <c r="J122" i="71"/>
  <c r="H122" i="71"/>
  <c r="G122" i="71"/>
  <c r="E122" i="71"/>
  <c r="D122" i="71"/>
  <c r="O121" i="71"/>
  <c r="L121" i="71"/>
  <c r="I121" i="71"/>
  <c r="F121" i="71"/>
  <c r="O120" i="71"/>
  <c r="L120" i="71"/>
  <c r="I120" i="71"/>
  <c r="F120" i="71"/>
  <c r="O119" i="71"/>
  <c r="L119" i="71"/>
  <c r="I119" i="71"/>
  <c r="F119" i="71"/>
  <c r="O118" i="71"/>
  <c r="L118" i="71"/>
  <c r="I118" i="71"/>
  <c r="F118" i="71"/>
  <c r="O117" i="71"/>
  <c r="L117" i="71"/>
  <c r="L116" i="71" s="1"/>
  <c r="I117" i="71"/>
  <c r="F117" i="71"/>
  <c r="N116" i="71"/>
  <c r="M116" i="71"/>
  <c r="K116" i="71"/>
  <c r="J116" i="71"/>
  <c r="I116" i="71"/>
  <c r="H116" i="71"/>
  <c r="G116" i="71"/>
  <c r="E116" i="71"/>
  <c r="D116" i="71"/>
  <c r="O115" i="71"/>
  <c r="L115" i="71"/>
  <c r="I115" i="71"/>
  <c r="F115" i="71"/>
  <c r="O114" i="71"/>
  <c r="L114" i="71"/>
  <c r="I114" i="71"/>
  <c r="F114" i="71"/>
  <c r="O113" i="71"/>
  <c r="L113" i="71"/>
  <c r="L112" i="71" s="1"/>
  <c r="I113" i="71"/>
  <c r="F113" i="71"/>
  <c r="N112" i="71"/>
  <c r="M112" i="71"/>
  <c r="K112" i="71"/>
  <c r="J112" i="71"/>
  <c r="H112" i="71"/>
  <c r="G112" i="71"/>
  <c r="E112" i="71"/>
  <c r="D112" i="71"/>
  <c r="O111" i="71"/>
  <c r="L111" i="71"/>
  <c r="I111" i="71"/>
  <c r="F111" i="71"/>
  <c r="O110" i="71"/>
  <c r="L110" i="71"/>
  <c r="I110" i="71"/>
  <c r="F110" i="71"/>
  <c r="O109" i="71"/>
  <c r="L109" i="71"/>
  <c r="I109" i="71"/>
  <c r="F109" i="71"/>
  <c r="O108" i="71"/>
  <c r="L108" i="71"/>
  <c r="I108" i="71"/>
  <c r="F108" i="71"/>
  <c r="O107" i="71"/>
  <c r="L107" i="71"/>
  <c r="I107" i="71"/>
  <c r="F107" i="71"/>
  <c r="O106" i="71"/>
  <c r="L106" i="71"/>
  <c r="I106" i="71"/>
  <c r="F106" i="71"/>
  <c r="O105" i="71"/>
  <c r="L105" i="71"/>
  <c r="I105" i="71"/>
  <c r="F105" i="71"/>
  <c r="O104" i="71"/>
  <c r="L104" i="71"/>
  <c r="L103" i="71" s="1"/>
  <c r="I104" i="71"/>
  <c r="F104" i="71"/>
  <c r="N103" i="71"/>
  <c r="M103" i="71"/>
  <c r="K103" i="71"/>
  <c r="J103" i="71"/>
  <c r="H103" i="71"/>
  <c r="G103" i="71"/>
  <c r="E103" i="71"/>
  <c r="D103" i="71"/>
  <c r="O102" i="71"/>
  <c r="L102" i="71"/>
  <c r="I102" i="71"/>
  <c r="F102" i="71"/>
  <c r="O101" i="71"/>
  <c r="L101" i="71"/>
  <c r="I101" i="71"/>
  <c r="F101" i="71"/>
  <c r="O100" i="71"/>
  <c r="L100" i="71"/>
  <c r="I100" i="71"/>
  <c r="F100" i="71"/>
  <c r="O99" i="71"/>
  <c r="L99" i="71"/>
  <c r="I99" i="71"/>
  <c r="F99" i="71"/>
  <c r="O98" i="71"/>
  <c r="L98" i="71"/>
  <c r="I98" i="71"/>
  <c r="F98" i="71"/>
  <c r="O97" i="71"/>
  <c r="L97" i="71"/>
  <c r="I97" i="71"/>
  <c r="F97" i="71"/>
  <c r="O96" i="71"/>
  <c r="L96" i="71"/>
  <c r="I96" i="71"/>
  <c r="F96" i="71"/>
  <c r="N95" i="71"/>
  <c r="M95" i="71"/>
  <c r="K95" i="71"/>
  <c r="J95" i="71"/>
  <c r="H95" i="71"/>
  <c r="G95" i="71"/>
  <c r="E95" i="71"/>
  <c r="D95" i="71"/>
  <c r="O94" i="71"/>
  <c r="L94" i="71"/>
  <c r="I94" i="71"/>
  <c r="F94" i="71"/>
  <c r="O93" i="71"/>
  <c r="L93" i="71"/>
  <c r="I93" i="71"/>
  <c r="F93" i="71"/>
  <c r="O92" i="71"/>
  <c r="L92" i="71"/>
  <c r="I92" i="71"/>
  <c r="F92" i="71"/>
  <c r="O91" i="71"/>
  <c r="L91" i="71"/>
  <c r="I91" i="71"/>
  <c r="F91" i="71"/>
  <c r="O90" i="71"/>
  <c r="L90" i="71"/>
  <c r="I90" i="71"/>
  <c r="F90" i="71"/>
  <c r="N89" i="71"/>
  <c r="M89" i="71"/>
  <c r="K89" i="71"/>
  <c r="J89" i="71"/>
  <c r="H89" i="71"/>
  <c r="G89" i="71"/>
  <c r="E89" i="71"/>
  <c r="D89" i="71"/>
  <c r="O88" i="71"/>
  <c r="L88" i="71"/>
  <c r="I88" i="71"/>
  <c r="F88" i="71"/>
  <c r="O87" i="71"/>
  <c r="L87" i="71"/>
  <c r="I87" i="71"/>
  <c r="F87" i="71"/>
  <c r="O86" i="71"/>
  <c r="L86" i="71"/>
  <c r="I86" i="71"/>
  <c r="F86" i="71"/>
  <c r="O85" i="71"/>
  <c r="L85" i="71"/>
  <c r="I85" i="71"/>
  <c r="I84" i="71" s="1"/>
  <c r="F85" i="71"/>
  <c r="O84" i="71"/>
  <c r="N84" i="71"/>
  <c r="M84" i="71"/>
  <c r="K84" i="71"/>
  <c r="J84" i="71"/>
  <c r="H84" i="71"/>
  <c r="G84" i="71"/>
  <c r="E84" i="71"/>
  <c r="D84" i="71"/>
  <c r="O82" i="71"/>
  <c r="L82" i="71"/>
  <c r="I82" i="71"/>
  <c r="F82" i="71"/>
  <c r="O81" i="71"/>
  <c r="L81" i="71"/>
  <c r="L80" i="71" s="1"/>
  <c r="I81" i="71"/>
  <c r="I80" i="71" s="1"/>
  <c r="F81" i="71"/>
  <c r="N80" i="71"/>
  <c r="M80" i="71"/>
  <c r="K80" i="71"/>
  <c r="J80" i="71"/>
  <c r="H80" i="71"/>
  <c r="G80" i="71"/>
  <c r="E80" i="71"/>
  <c r="D80" i="71"/>
  <c r="O79" i="71"/>
  <c r="L79" i="71"/>
  <c r="I79" i="71"/>
  <c r="F79" i="71"/>
  <c r="O78" i="71"/>
  <c r="O77" i="71" s="1"/>
  <c r="L78" i="71"/>
  <c r="L77" i="71" s="1"/>
  <c r="I78" i="71"/>
  <c r="I77" i="71" s="1"/>
  <c r="F78" i="71"/>
  <c r="N77" i="71"/>
  <c r="N76" i="71" s="1"/>
  <c r="M77" i="71"/>
  <c r="K77" i="71"/>
  <c r="J77" i="71"/>
  <c r="J76" i="71" s="1"/>
  <c r="H77" i="71"/>
  <c r="G77" i="71"/>
  <c r="F77" i="71"/>
  <c r="E77" i="71"/>
  <c r="E76" i="71" s="1"/>
  <c r="D77" i="71"/>
  <c r="D76" i="71" s="1"/>
  <c r="O74" i="71"/>
  <c r="L74" i="71"/>
  <c r="I74" i="71"/>
  <c r="F74" i="71"/>
  <c r="O73" i="71"/>
  <c r="L73" i="71"/>
  <c r="I73" i="71"/>
  <c r="F73" i="71"/>
  <c r="O72" i="71"/>
  <c r="L72" i="71"/>
  <c r="I72" i="71"/>
  <c r="F72" i="71"/>
  <c r="O71" i="71"/>
  <c r="L71" i="71"/>
  <c r="I71" i="71"/>
  <c r="F71" i="71"/>
  <c r="O70" i="71"/>
  <c r="O69" i="71" s="1"/>
  <c r="L70" i="71"/>
  <c r="I70" i="71"/>
  <c r="I69" i="71" s="1"/>
  <c r="F70" i="71"/>
  <c r="F69" i="71" s="1"/>
  <c r="N69" i="71"/>
  <c r="N67" i="71" s="1"/>
  <c r="M69" i="71"/>
  <c r="M67" i="71" s="1"/>
  <c r="K69" i="71"/>
  <c r="K67" i="71" s="1"/>
  <c r="J69" i="71"/>
  <c r="J67" i="71" s="1"/>
  <c r="H69" i="71"/>
  <c r="H67" i="71" s="1"/>
  <c r="G69" i="71"/>
  <c r="E69" i="71"/>
  <c r="E67" i="71" s="1"/>
  <c r="D69" i="71"/>
  <c r="D67" i="71" s="1"/>
  <c r="O68" i="71"/>
  <c r="L68" i="71"/>
  <c r="I68" i="71"/>
  <c r="F68" i="71"/>
  <c r="G67" i="71"/>
  <c r="O66" i="71"/>
  <c r="L66" i="71"/>
  <c r="I66" i="71"/>
  <c r="F66" i="71"/>
  <c r="O65" i="71"/>
  <c r="L65" i="71"/>
  <c r="I65" i="71"/>
  <c r="F65" i="71"/>
  <c r="O64" i="71"/>
  <c r="L64" i="71"/>
  <c r="I64" i="71"/>
  <c r="F64" i="71"/>
  <c r="O63" i="71"/>
  <c r="L63" i="71"/>
  <c r="I63" i="71"/>
  <c r="F63" i="71"/>
  <c r="O62" i="71"/>
  <c r="L62" i="71"/>
  <c r="I62" i="71"/>
  <c r="F62" i="71"/>
  <c r="O61" i="71"/>
  <c r="L61" i="71"/>
  <c r="I61" i="71"/>
  <c r="F61" i="71"/>
  <c r="O60" i="71"/>
  <c r="L60" i="71"/>
  <c r="I60" i="71"/>
  <c r="F60" i="71"/>
  <c r="O59" i="71"/>
  <c r="L59" i="71"/>
  <c r="I59" i="71"/>
  <c r="F59" i="71"/>
  <c r="O58" i="71"/>
  <c r="N58" i="71"/>
  <c r="M58" i="71"/>
  <c r="K58" i="71"/>
  <c r="J58" i="71"/>
  <c r="H58" i="71"/>
  <c r="G58" i="71"/>
  <c r="E58" i="71"/>
  <c r="D58" i="71"/>
  <c r="O57" i="71"/>
  <c r="L57" i="71"/>
  <c r="H57" i="71"/>
  <c r="F57" i="71"/>
  <c r="O56" i="71"/>
  <c r="L56" i="71"/>
  <c r="I56" i="71"/>
  <c r="F56" i="71"/>
  <c r="O55" i="71"/>
  <c r="N55" i="71"/>
  <c r="M55" i="71"/>
  <c r="M54" i="71" s="1"/>
  <c r="M53" i="71" s="1"/>
  <c r="K55" i="71"/>
  <c r="J55" i="71"/>
  <c r="J54" i="71" s="1"/>
  <c r="J53" i="71" s="1"/>
  <c r="G55" i="71"/>
  <c r="G54" i="71" s="1"/>
  <c r="E55" i="71"/>
  <c r="D55" i="71"/>
  <c r="D54" i="71"/>
  <c r="O47" i="71"/>
  <c r="C47" i="71" s="1"/>
  <c r="O46" i="71"/>
  <c r="N45" i="71"/>
  <c r="M45" i="71"/>
  <c r="L44" i="71"/>
  <c r="L43" i="71" s="1"/>
  <c r="I44" i="71"/>
  <c r="I43" i="71" s="1"/>
  <c r="F44" i="71"/>
  <c r="K43" i="71"/>
  <c r="J43" i="71"/>
  <c r="H43" i="71"/>
  <c r="G43" i="71"/>
  <c r="E43" i="71"/>
  <c r="D43" i="71"/>
  <c r="F42" i="71"/>
  <c r="E41" i="71"/>
  <c r="D41" i="71"/>
  <c r="L40" i="71"/>
  <c r="C40" i="71" s="1"/>
  <c r="L39" i="71"/>
  <c r="C39" i="71" s="1"/>
  <c r="L38" i="71"/>
  <c r="C38" i="71" s="1"/>
  <c r="L37" i="71"/>
  <c r="C37" i="71" s="1"/>
  <c r="K36" i="71"/>
  <c r="J36" i="71"/>
  <c r="L35" i="71"/>
  <c r="C35" i="71" s="1"/>
  <c r="L34" i="71"/>
  <c r="C34" i="71" s="1"/>
  <c r="K33" i="71"/>
  <c r="J33" i="71"/>
  <c r="L32" i="71"/>
  <c r="L31" i="71" s="1"/>
  <c r="C31" i="71" s="1"/>
  <c r="K31" i="71"/>
  <c r="J31" i="71"/>
  <c r="L30" i="71"/>
  <c r="C30" i="71" s="1"/>
  <c r="L29" i="71"/>
  <c r="C29" i="71" s="1"/>
  <c r="L28" i="71"/>
  <c r="K27" i="71"/>
  <c r="J27" i="71"/>
  <c r="J26" i="71" s="1"/>
  <c r="F25" i="71"/>
  <c r="C25" i="71" s="1"/>
  <c r="I24" i="71"/>
  <c r="C24" i="71" s="1"/>
  <c r="F24" i="71"/>
  <c r="O23" i="71"/>
  <c r="L23" i="71"/>
  <c r="I23" i="71"/>
  <c r="F23" i="71"/>
  <c r="O22" i="71"/>
  <c r="L22" i="71"/>
  <c r="L21" i="71" s="1"/>
  <c r="I22" i="71"/>
  <c r="I21" i="71" s="1"/>
  <c r="F22" i="71"/>
  <c r="N21" i="71"/>
  <c r="N292" i="71" s="1"/>
  <c r="N291" i="71" s="1"/>
  <c r="M21" i="71"/>
  <c r="M292" i="71" s="1"/>
  <c r="K21" i="71"/>
  <c r="K292" i="71" s="1"/>
  <c r="K291" i="71" s="1"/>
  <c r="J21" i="71"/>
  <c r="H21" i="71"/>
  <c r="G21" i="71"/>
  <c r="G292" i="71" s="1"/>
  <c r="E21" i="71"/>
  <c r="D21" i="71"/>
  <c r="C168" i="71" l="1"/>
  <c r="F184" i="71"/>
  <c r="K187" i="71"/>
  <c r="J173" i="71"/>
  <c r="M231" i="71"/>
  <c r="C90" i="71"/>
  <c r="C94" i="71"/>
  <c r="C102" i="71"/>
  <c r="N83" i="71"/>
  <c r="E173" i="71"/>
  <c r="K174" i="71"/>
  <c r="K173" i="71" s="1"/>
  <c r="I174" i="71"/>
  <c r="I173" i="71" s="1"/>
  <c r="J269" i="71"/>
  <c r="C86" i="71"/>
  <c r="C88" i="71"/>
  <c r="C108" i="71"/>
  <c r="C110" i="71"/>
  <c r="C114" i="71"/>
  <c r="C154" i="71"/>
  <c r="C156" i="71"/>
  <c r="C159" i="71"/>
  <c r="H231" i="71"/>
  <c r="H230" i="71" s="1"/>
  <c r="C253" i="71"/>
  <c r="C285" i="71"/>
  <c r="C296" i="71"/>
  <c r="C181" i="71"/>
  <c r="C213" i="71"/>
  <c r="C225" i="71"/>
  <c r="K231" i="71"/>
  <c r="C237" i="71"/>
  <c r="C245" i="71"/>
  <c r="C280" i="71"/>
  <c r="J292" i="71"/>
  <c r="J291" i="71" s="1"/>
  <c r="N54" i="71"/>
  <c r="F67" i="71"/>
  <c r="G76" i="71"/>
  <c r="D130" i="71"/>
  <c r="J130" i="71"/>
  <c r="H187" i="71"/>
  <c r="K204" i="71"/>
  <c r="K195" i="71" s="1"/>
  <c r="D83" i="71"/>
  <c r="C104" i="71"/>
  <c r="C105" i="71"/>
  <c r="C120" i="71"/>
  <c r="C135" i="71"/>
  <c r="C139" i="71"/>
  <c r="C150" i="71"/>
  <c r="C190" i="71"/>
  <c r="C201" i="71"/>
  <c r="M195" i="71"/>
  <c r="C229" i="71"/>
  <c r="L235" i="71"/>
  <c r="C257" i="71"/>
  <c r="C265" i="71"/>
  <c r="C268" i="71"/>
  <c r="E270" i="71"/>
  <c r="E269" i="71" s="1"/>
  <c r="C288" i="71"/>
  <c r="C300" i="71"/>
  <c r="G20" i="71"/>
  <c r="C66" i="71"/>
  <c r="C100" i="71"/>
  <c r="C119" i="71"/>
  <c r="C148" i="71"/>
  <c r="C177" i="71"/>
  <c r="N204" i="71"/>
  <c r="L246" i="71"/>
  <c r="G130" i="71"/>
  <c r="E130" i="71"/>
  <c r="D204" i="71"/>
  <c r="D231" i="71"/>
  <c r="D230" i="71" s="1"/>
  <c r="L286" i="71"/>
  <c r="L292" i="71" s="1"/>
  <c r="M76" i="71"/>
  <c r="C140" i="71"/>
  <c r="C152" i="71"/>
  <c r="M187" i="71"/>
  <c r="G187" i="71"/>
  <c r="L187" i="71"/>
  <c r="C209" i="71"/>
  <c r="C221" i="71"/>
  <c r="C241" i="71"/>
  <c r="C242" i="71"/>
  <c r="C249" i="71"/>
  <c r="C261" i="71"/>
  <c r="D270" i="71"/>
  <c r="D269" i="71" s="1"/>
  <c r="I284" i="71"/>
  <c r="I283" i="71" s="1"/>
  <c r="C283" i="71" s="1"/>
  <c r="O293" i="71"/>
  <c r="F131" i="71"/>
  <c r="C70" i="71"/>
  <c r="J83" i="71"/>
  <c r="L95" i="71"/>
  <c r="C124" i="71"/>
  <c r="L166" i="71"/>
  <c r="L165" i="71" s="1"/>
  <c r="C184" i="71"/>
  <c r="L216" i="71"/>
  <c r="I292" i="71"/>
  <c r="I20" i="71"/>
  <c r="C64" i="71"/>
  <c r="I122" i="71"/>
  <c r="C126" i="71"/>
  <c r="N174" i="71"/>
  <c r="N173" i="71" s="1"/>
  <c r="L198" i="71"/>
  <c r="L196" i="71" s="1"/>
  <c r="C217" i="71"/>
  <c r="C23" i="71"/>
  <c r="F21" i="71"/>
  <c r="D53" i="71"/>
  <c r="N53" i="71"/>
  <c r="L69" i="71"/>
  <c r="L67" i="71" s="1"/>
  <c r="C106" i="71"/>
  <c r="I205" i="71"/>
  <c r="M230" i="71"/>
  <c r="M194" i="71" s="1"/>
  <c r="G231" i="71"/>
  <c r="G230" i="71" s="1"/>
  <c r="I272" i="71"/>
  <c r="E292" i="71"/>
  <c r="E291" i="71" s="1"/>
  <c r="M291" i="71"/>
  <c r="C63" i="71"/>
  <c r="C79" i="71"/>
  <c r="O80" i="71"/>
  <c r="O76" i="71" s="1"/>
  <c r="F89" i="71"/>
  <c r="C93" i="71"/>
  <c r="C118" i="71"/>
  <c r="C121" i="71"/>
  <c r="C134" i="71"/>
  <c r="C138" i="71"/>
  <c r="L151" i="71"/>
  <c r="C167" i="71"/>
  <c r="L175" i="71"/>
  <c r="O179" i="71"/>
  <c r="C197" i="71"/>
  <c r="C199" i="71"/>
  <c r="O216" i="71"/>
  <c r="C232" i="71"/>
  <c r="L238" i="71"/>
  <c r="E231" i="71"/>
  <c r="C248" i="71"/>
  <c r="C256" i="71"/>
  <c r="I264" i="71"/>
  <c r="C273" i="71"/>
  <c r="C287" i="71"/>
  <c r="O286" i="71"/>
  <c r="C297" i="71"/>
  <c r="O112" i="71"/>
  <c r="C125" i="71"/>
  <c r="L131" i="71"/>
  <c r="M130" i="71"/>
  <c r="C147" i="71"/>
  <c r="C153" i="71"/>
  <c r="C163" i="71"/>
  <c r="C183" i="71"/>
  <c r="D187" i="71"/>
  <c r="C200" i="71"/>
  <c r="C208" i="71"/>
  <c r="C220" i="71"/>
  <c r="J231" i="71"/>
  <c r="J230" i="71" s="1"/>
  <c r="C233" i="71"/>
  <c r="I252" i="71"/>
  <c r="I251" i="71" s="1"/>
  <c r="C277" i="71"/>
  <c r="C294" i="71"/>
  <c r="C301" i="71"/>
  <c r="G53" i="71"/>
  <c r="C62" i="71"/>
  <c r="C65" i="71"/>
  <c r="L76" i="71"/>
  <c r="I76" i="71"/>
  <c r="E83" i="71"/>
  <c r="E75" i="71" s="1"/>
  <c r="C92" i="71"/>
  <c r="C99" i="71"/>
  <c r="N20" i="71"/>
  <c r="G291" i="71"/>
  <c r="C22" i="71"/>
  <c r="C44" i="71"/>
  <c r="O54" i="71"/>
  <c r="C59" i="71"/>
  <c r="C72" i="71"/>
  <c r="C74" i="71"/>
  <c r="D75" i="71"/>
  <c r="D52" i="71" s="1"/>
  <c r="H76" i="71"/>
  <c r="K76" i="71"/>
  <c r="C82" i="71"/>
  <c r="L89" i="71"/>
  <c r="C98" i="71"/>
  <c r="C101" i="71"/>
  <c r="C111" i="71"/>
  <c r="C115" i="71"/>
  <c r="O116" i="71"/>
  <c r="N130" i="71"/>
  <c r="N75" i="71" s="1"/>
  <c r="O136" i="71"/>
  <c r="C146" i="71"/>
  <c r="C149" i="71"/>
  <c r="C171" i="71"/>
  <c r="O175" i="71"/>
  <c r="L179" i="71"/>
  <c r="C203" i="71"/>
  <c r="C207" i="71"/>
  <c r="C212" i="71"/>
  <c r="C224" i="71"/>
  <c r="I238" i="71"/>
  <c r="I231" i="71" s="1"/>
  <c r="C244" i="71"/>
  <c r="C258" i="71"/>
  <c r="I260" i="71"/>
  <c r="I259" i="71" s="1"/>
  <c r="K270" i="71"/>
  <c r="K269" i="71" s="1"/>
  <c r="C274" i="71"/>
  <c r="C281" i="71"/>
  <c r="C282" i="71"/>
  <c r="C299" i="71"/>
  <c r="C46" i="71"/>
  <c r="O45" i="71"/>
  <c r="I67" i="71"/>
  <c r="C68" i="71"/>
  <c r="C143" i="71"/>
  <c r="F141" i="71"/>
  <c r="C161" i="71"/>
  <c r="L160" i="71"/>
  <c r="F175" i="71"/>
  <c r="C176" i="71"/>
  <c r="E20" i="71"/>
  <c r="J20" i="71"/>
  <c r="L36" i="71"/>
  <c r="C36" i="71" s="1"/>
  <c r="C42" i="71"/>
  <c r="F41" i="71"/>
  <c r="C41" i="71" s="1"/>
  <c r="F43" i="71"/>
  <c r="C43" i="71" s="1"/>
  <c r="E54" i="71"/>
  <c r="E53" i="71" s="1"/>
  <c r="K54" i="71"/>
  <c r="K53" i="71" s="1"/>
  <c r="F55" i="71"/>
  <c r="C56" i="71"/>
  <c r="L58" i="71"/>
  <c r="C73" i="71"/>
  <c r="F80" i="71"/>
  <c r="C80" i="71" s="1"/>
  <c r="C81" i="71"/>
  <c r="G83" i="71"/>
  <c r="K83" i="71"/>
  <c r="K75" i="71" s="1"/>
  <c r="F84" i="71"/>
  <c r="C85" i="71"/>
  <c r="I89" i="71"/>
  <c r="I131" i="71"/>
  <c r="C132" i="71"/>
  <c r="I136" i="71"/>
  <c r="I141" i="71"/>
  <c r="C142" i="71"/>
  <c r="I144" i="71"/>
  <c r="O144" i="71"/>
  <c r="F166" i="71"/>
  <c r="C275" i="71"/>
  <c r="C28" i="71"/>
  <c r="L27" i="71"/>
  <c r="H292" i="71"/>
  <c r="H291" i="71" s="1"/>
  <c r="H20" i="71"/>
  <c r="C61" i="71"/>
  <c r="C77" i="71"/>
  <c r="C78" i="71"/>
  <c r="H83" i="71"/>
  <c r="C97" i="71"/>
  <c r="F95" i="71"/>
  <c r="I112" i="71"/>
  <c r="F179" i="71"/>
  <c r="C180" i="71"/>
  <c r="I192" i="71"/>
  <c r="C193" i="71"/>
  <c r="D292" i="71"/>
  <c r="D291" i="71" s="1"/>
  <c r="D20" i="71"/>
  <c r="M20" i="71"/>
  <c r="K26" i="71"/>
  <c r="C32" i="71"/>
  <c r="L33" i="71"/>
  <c r="C33" i="71" s="1"/>
  <c r="L55" i="71"/>
  <c r="I57" i="71"/>
  <c r="H55" i="71"/>
  <c r="H54" i="71" s="1"/>
  <c r="H53" i="71" s="1"/>
  <c r="C60" i="71"/>
  <c r="I58" i="71"/>
  <c r="L84" i="71"/>
  <c r="O89" i="71"/>
  <c r="I95" i="71"/>
  <c r="C96" i="71"/>
  <c r="F103" i="71"/>
  <c r="O103" i="71"/>
  <c r="C123" i="71"/>
  <c r="F122" i="71"/>
  <c r="O122" i="71"/>
  <c r="F128" i="71"/>
  <c r="C128" i="71" s="1"/>
  <c r="C129" i="71"/>
  <c r="H130" i="71"/>
  <c r="I188" i="71"/>
  <c r="C188" i="71" s="1"/>
  <c r="C189" i="71"/>
  <c r="F196" i="71"/>
  <c r="O21" i="71"/>
  <c r="F58" i="71"/>
  <c r="O67" i="71"/>
  <c r="C71" i="71"/>
  <c r="M83" i="71"/>
  <c r="M75" i="71" s="1"/>
  <c r="C87" i="71"/>
  <c r="C91" i="71"/>
  <c r="O95" i="71"/>
  <c r="I103" i="71"/>
  <c r="C107" i="71"/>
  <c r="L122" i="71"/>
  <c r="C127" i="71"/>
  <c r="O131" i="71"/>
  <c r="I151" i="71"/>
  <c r="C151" i="71" s="1"/>
  <c r="C155" i="71"/>
  <c r="C160" i="71"/>
  <c r="C162" i="71"/>
  <c r="C170" i="71"/>
  <c r="M174" i="71"/>
  <c r="M173" i="71" s="1"/>
  <c r="F187" i="71"/>
  <c r="G195" i="71"/>
  <c r="N195" i="71"/>
  <c r="E230" i="71"/>
  <c r="H270" i="71"/>
  <c r="H269" i="71" s="1"/>
  <c r="C279" i="71"/>
  <c r="F276" i="71"/>
  <c r="F270" i="71" s="1"/>
  <c r="C295" i="71"/>
  <c r="F293" i="71"/>
  <c r="C109" i="71"/>
  <c r="F112" i="71"/>
  <c r="C113" i="71"/>
  <c r="F116" i="71"/>
  <c r="C116" i="71" s="1"/>
  <c r="C117" i="71"/>
  <c r="C133" i="71"/>
  <c r="F136" i="71"/>
  <c r="C137" i="71"/>
  <c r="F144" i="71"/>
  <c r="C145" i="71"/>
  <c r="C157" i="71"/>
  <c r="C158" i="71"/>
  <c r="C164" i="71"/>
  <c r="C169" i="71"/>
  <c r="C172" i="71"/>
  <c r="D195" i="71"/>
  <c r="F227" i="71"/>
  <c r="C227" i="71" s="1"/>
  <c r="C228" i="71"/>
  <c r="C240" i="71"/>
  <c r="F238" i="71"/>
  <c r="G259" i="71"/>
  <c r="L259" i="71"/>
  <c r="I166" i="71"/>
  <c r="I165" i="71" s="1"/>
  <c r="C178" i="71"/>
  <c r="C186" i="71"/>
  <c r="J187" i="71"/>
  <c r="N187" i="71"/>
  <c r="O196" i="71"/>
  <c r="C206" i="71"/>
  <c r="F205" i="71"/>
  <c r="O205" i="71"/>
  <c r="O204" i="71" s="1"/>
  <c r="O166" i="71"/>
  <c r="O165" i="71" s="1"/>
  <c r="C182" i="71"/>
  <c r="I196" i="71"/>
  <c r="L204" i="71"/>
  <c r="F235" i="71"/>
  <c r="C236" i="71"/>
  <c r="C284" i="71"/>
  <c r="J195" i="71"/>
  <c r="J194" i="71" s="1"/>
  <c r="C202" i="71"/>
  <c r="C214" i="71"/>
  <c r="C215" i="71"/>
  <c r="C218" i="71"/>
  <c r="C219" i="71"/>
  <c r="F216" i="71"/>
  <c r="C226" i="71"/>
  <c r="K230" i="71"/>
  <c r="C234" i="71"/>
  <c r="C243" i="71"/>
  <c r="F246" i="71"/>
  <c r="F231" i="71" s="1"/>
  <c r="C247" i="71"/>
  <c r="O246" i="71"/>
  <c r="C262" i="71"/>
  <c r="C263" i="71"/>
  <c r="F260" i="71"/>
  <c r="C266" i="71"/>
  <c r="C267" i="71"/>
  <c r="F264" i="71"/>
  <c r="C264" i="71" s="1"/>
  <c r="C278" i="71"/>
  <c r="I276" i="71"/>
  <c r="I270" i="71" s="1"/>
  <c r="I269" i="71" s="1"/>
  <c r="F286" i="71"/>
  <c r="I293" i="71"/>
  <c r="I216" i="71"/>
  <c r="I204" i="71" s="1"/>
  <c r="O270" i="71"/>
  <c r="O269" i="71" s="1"/>
  <c r="L293" i="71"/>
  <c r="C298" i="71"/>
  <c r="C210" i="71"/>
  <c r="C211" i="71"/>
  <c r="C222" i="71"/>
  <c r="C223" i="71"/>
  <c r="N231" i="71"/>
  <c r="N230" i="71" s="1"/>
  <c r="O235" i="71"/>
  <c r="C239" i="71"/>
  <c r="O238" i="71"/>
  <c r="C250" i="71"/>
  <c r="C254" i="71"/>
  <c r="C255" i="71"/>
  <c r="F252" i="71"/>
  <c r="C271" i="71"/>
  <c r="L272" i="71"/>
  <c r="L276" i="71"/>
  <c r="J75" i="71" l="1"/>
  <c r="C136" i="71"/>
  <c r="C67" i="71"/>
  <c r="O174" i="71"/>
  <c r="O173" i="71" s="1"/>
  <c r="I291" i="71"/>
  <c r="H194" i="71"/>
  <c r="O130" i="71"/>
  <c r="G75" i="71"/>
  <c r="G52" i="71" s="1"/>
  <c r="C69" i="71"/>
  <c r="L231" i="71"/>
  <c r="J52" i="71"/>
  <c r="J51" i="71" s="1"/>
  <c r="J50" i="71" s="1"/>
  <c r="C216" i="71"/>
  <c r="I83" i="71"/>
  <c r="C179" i="71"/>
  <c r="K289" i="71"/>
  <c r="I230" i="71"/>
  <c r="L195" i="71"/>
  <c r="E289" i="71"/>
  <c r="O53" i="71"/>
  <c r="L130" i="71"/>
  <c r="L75" i="71" s="1"/>
  <c r="L230" i="71"/>
  <c r="L83" i="71"/>
  <c r="L174" i="71"/>
  <c r="L173" i="71" s="1"/>
  <c r="N289" i="71"/>
  <c r="N52" i="71"/>
  <c r="O231" i="71"/>
  <c r="O230" i="71" s="1"/>
  <c r="K194" i="71"/>
  <c r="J289" i="71"/>
  <c r="C122" i="71"/>
  <c r="O195" i="71"/>
  <c r="O194" i="71" s="1"/>
  <c r="C58" i="71"/>
  <c r="C198" i="71"/>
  <c r="L54" i="71"/>
  <c r="L53" i="71" s="1"/>
  <c r="H75" i="71"/>
  <c r="H52" i="71" s="1"/>
  <c r="H51" i="71" s="1"/>
  <c r="F76" i="71"/>
  <c r="C76" i="71" s="1"/>
  <c r="C89" i="71"/>
  <c r="D194" i="71"/>
  <c r="C293" i="71"/>
  <c r="O83" i="71"/>
  <c r="O75" i="71" s="1"/>
  <c r="O52" i="71" s="1"/>
  <c r="J290" i="71"/>
  <c r="M52" i="71"/>
  <c r="M51" i="71" s="1"/>
  <c r="M289" i="71"/>
  <c r="O292" i="71"/>
  <c r="O291" i="71" s="1"/>
  <c r="O20" i="71"/>
  <c r="C21" i="71"/>
  <c r="I191" i="71"/>
  <c r="C191" i="71" s="1"/>
  <c r="C192" i="71"/>
  <c r="C45" i="71"/>
  <c r="C231" i="71"/>
  <c r="I55" i="71"/>
  <c r="I54" i="71" s="1"/>
  <c r="I53" i="71" s="1"/>
  <c r="C57" i="71"/>
  <c r="K52" i="71"/>
  <c r="C141" i="71"/>
  <c r="H289" i="71"/>
  <c r="F259" i="71"/>
  <c r="C259" i="71" s="1"/>
  <c r="C260" i="71"/>
  <c r="C238" i="71"/>
  <c r="C112" i="71"/>
  <c r="C276" i="71"/>
  <c r="N194" i="71"/>
  <c r="K20" i="71"/>
  <c r="L291" i="71"/>
  <c r="C95" i="71"/>
  <c r="C84" i="71"/>
  <c r="F83" i="71"/>
  <c r="E52" i="71"/>
  <c r="C175" i="71"/>
  <c r="F174" i="71"/>
  <c r="C286" i="71"/>
  <c r="C166" i="71"/>
  <c r="F165" i="71"/>
  <c r="C165" i="71" s="1"/>
  <c r="F54" i="71"/>
  <c r="C131" i="71"/>
  <c r="L270" i="71"/>
  <c r="L269" i="71" s="1"/>
  <c r="C272" i="71"/>
  <c r="C235" i="71"/>
  <c r="E194" i="71"/>
  <c r="F20" i="71"/>
  <c r="F292" i="71"/>
  <c r="F269" i="71"/>
  <c r="D289" i="71"/>
  <c r="F251" i="71"/>
  <c r="C251" i="71" s="1"/>
  <c r="C252" i="71"/>
  <c r="C246" i="71"/>
  <c r="I195" i="71"/>
  <c r="I194" i="71" s="1"/>
  <c r="C205" i="71"/>
  <c r="F204" i="71"/>
  <c r="C204" i="71" s="1"/>
  <c r="C144" i="71"/>
  <c r="G194" i="71"/>
  <c r="C196" i="71"/>
  <c r="C103" i="71"/>
  <c r="C27" i="71"/>
  <c r="L26" i="71"/>
  <c r="I130" i="71"/>
  <c r="I75" i="71" s="1"/>
  <c r="F130" i="71"/>
  <c r="D51" i="71"/>
  <c r="G289" i="71" l="1"/>
  <c r="G51" i="71"/>
  <c r="L289" i="71"/>
  <c r="L52" i="71"/>
  <c r="N51" i="71"/>
  <c r="L194" i="71"/>
  <c r="C270" i="71"/>
  <c r="C83" i="71"/>
  <c r="O289" i="71"/>
  <c r="C269" i="71"/>
  <c r="F195" i="71"/>
  <c r="F194" i="71" s="1"/>
  <c r="C194" i="71" s="1"/>
  <c r="I187" i="71"/>
  <c r="C187" i="71" s="1"/>
  <c r="C55" i="71"/>
  <c r="E51" i="71"/>
  <c r="E50" i="71" s="1"/>
  <c r="K51" i="71"/>
  <c r="O51" i="71"/>
  <c r="O50" i="71" s="1"/>
  <c r="F230" i="71"/>
  <c r="C230" i="71" s="1"/>
  <c r="N50" i="71"/>
  <c r="N290" i="71"/>
  <c r="E290" i="71"/>
  <c r="M50" i="71"/>
  <c r="M290" i="71"/>
  <c r="C130" i="71"/>
  <c r="C292" i="71"/>
  <c r="F291" i="71"/>
  <c r="C291" i="71" s="1"/>
  <c r="C54" i="71"/>
  <c r="F53" i="71"/>
  <c r="F75" i="71"/>
  <c r="C75" i="71" s="1"/>
  <c r="D290" i="71"/>
  <c r="D50" i="71"/>
  <c r="C174" i="71"/>
  <c r="F173" i="71"/>
  <c r="C173" i="71" s="1"/>
  <c r="C26" i="71"/>
  <c r="L20" i="71"/>
  <c r="C20" i="71" s="1"/>
  <c r="H290" i="71"/>
  <c r="H50" i="71"/>
  <c r="G290" i="71"/>
  <c r="G50" i="71"/>
  <c r="L51" i="71" l="1"/>
  <c r="L50" i="71" s="1"/>
  <c r="I52" i="71"/>
  <c r="I51" i="71" s="1"/>
  <c r="I290" i="71" s="1"/>
  <c r="I289" i="71"/>
  <c r="O290" i="71"/>
  <c r="K50" i="71"/>
  <c r="K290" i="71"/>
  <c r="C195" i="71"/>
  <c r="L290" i="71"/>
  <c r="F52" i="71"/>
  <c r="C53" i="71"/>
  <c r="I50" i="71"/>
  <c r="F289" i="71"/>
  <c r="C289" i="71" s="1"/>
  <c r="F51" i="71" l="1"/>
  <c r="C52" i="71"/>
  <c r="F290" i="71" l="1"/>
  <c r="C290" i="71" s="1"/>
  <c r="F50" i="71"/>
  <c r="C50" i="71" s="1"/>
  <c r="C51" i="71"/>
  <c r="O301" i="70" l="1"/>
  <c r="L301" i="70"/>
  <c r="I301" i="70"/>
  <c r="F301" i="70"/>
  <c r="O300" i="70"/>
  <c r="L300" i="70"/>
  <c r="I300" i="70"/>
  <c r="F300" i="70"/>
  <c r="O299" i="70"/>
  <c r="L299" i="70"/>
  <c r="I299" i="70"/>
  <c r="F299" i="70"/>
  <c r="O298" i="70"/>
  <c r="L298" i="70"/>
  <c r="I298" i="70"/>
  <c r="F298" i="70"/>
  <c r="O297" i="70"/>
  <c r="L297" i="70"/>
  <c r="I297" i="70"/>
  <c r="F297" i="70"/>
  <c r="O296" i="70"/>
  <c r="L296" i="70"/>
  <c r="I296" i="70"/>
  <c r="F296" i="70"/>
  <c r="O295" i="70"/>
  <c r="L295" i="70"/>
  <c r="I295" i="70"/>
  <c r="F295" i="70"/>
  <c r="O294" i="70"/>
  <c r="L294" i="70"/>
  <c r="L293" i="70" s="1"/>
  <c r="I294" i="70"/>
  <c r="F294" i="70"/>
  <c r="F293" i="70" s="1"/>
  <c r="N293" i="70"/>
  <c r="M293" i="70"/>
  <c r="K293" i="70"/>
  <c r="J293" i="70"/>
  <c r="H293" i="70"/>
  <c r="G293" i="70"/>
  <c r="E293" i="70"/>
  <c r="D293" i="70"/>
  <c r="O288" i="70"/>
  <c r="L288" i="70"/>
  <c r="I288" i="70"/>
  <c r="F288" i="70"/>
  <c r="O287" i="70"/>
  <c r="O286" i="70" s="1"/>
  <c r="L287" i="70"/>
  <c r="L286" i="70" s="1"/>
  <c r="I287" i="70"/>
  <c r="F287" i="70"/>
  <c r="F286" i="70" s="1"/>
  <c r="N286" i="70"/>
  <c r="M286" i="70"/>
  <c r="K286" i="70"/>
  <c r="J286" i="70"/>
  <c r="H286" i="70"/>
  <c r="G286" i="70"/>
  <c r="E286" i="70"/>
  <c r="D286" i="70"/>
  <c r="O285" i="70"/>
  <c r="O284" i="70" s="1"/>
  <c r="O283" i="70" s="1"/>
  <c r="L285" i="70"/>
  <c r="L284" i="70" s="1"/>
  <c r="L283" i="70" s="1"/>
  <c r="I285" i="70"/>
  <c r="I284" i="70" s="1"/>
  <c r="I283" i="70" s="1"/>
  <c r="F285" i="70"/>
  <c r="N284" i="70"/>
  <c r="N283" i="70" s="1"/>
  <c r="M284" i="70"/>
  <c r="M283" i="70" s="1"/>
  <c r="K284" i="70"/>
  <c r="K283" i="70" s="1"/>
  <c r="J284" i="70"/>
  <c r="J283" i="70" s="1"/>
  <c r="H284" i="70"/>
  <c r="H283" i="70" s="1"/>
  <c r="G284" i="70"/>
  <c r="G283" i="70" s="1"/>
  <c r="E284" i="70"/>
  <c r="E283" i="70" s="1"/>
  <c r="D284" i="70"/>
  <c r="D283" i="70" s="1"/>
  <c r="O282" i="70"/>
  <c r="L282" i="70"/>
  <c r="L281" i="70" s="1"/>
  <c r="I282" i="70"/>
  <c r="I281" i="70" s="1"/>
  <c r="F282" i="70"/>
  <c r="F281" i="70" s="1"/>
  <c r="O281" i="70"/>
  <c r="N281" i="70"/>
  <c r="M281" i="70"/>
  <c r="K281" i="70"/>
  <c r="J281" i="70"/>
  <c r="H281" i="70"/>
  <c r="G281" i="70"/>
  <c r="E281" i="70"/>
  <c r="D281" i="70"/>
  <c r="O280" i="70"/>
  <c r="L280" i="70"/>
  <c r="I280" i="70"/>
  <c r="F280" i="70"/>
  <c r="O279" i="70"/>
  <c r="L279" i="70"/>
  <c r="I279" i="70"/>
  <c r="F279" i="70"/>
  <c r="O278" i="70"/>
  <c r="L278" i="70"/>
  <c r="I278" i="70"/>
  <c r="F278" i="70"/>
  <c r="O277" i="70"/>
  <c r="O276" i="70" s="1"/>
  <c r="L277" i="70"/>
  <c r="I277" i="70"/>
  <c r="I276" i="70" s="1"/>
  <c r="F277" i="70"/>
  <c r="N276" i="70"/>
  <c r="M276" i="70"/>
  <c r="K276" i="70"/>
  <c r="J276" i="70"/>
  <c r="H276" i="70"/>
  <c r="G276" i="70"/>
  <c r="F276" i="70"/>
  <c r="E276" i="70"/>
  <c r="D276" i="70"/>
  <c r="O275" i="70"/>
  <c r="L275" i="70"/>
  <c r="I275" i="70"/>
  <c r="F275" i="70"/>
  <c r="O274" i="70"/>
  <c r="L274" i="70"/>
  <c r="I274" i="70"/>
  <c r="F274" i="70"/>
  <c r="O273" i="70"/>
  <c r="O272" i="70" s="1"/>
  <c r="L273" i="70"/>
  <c r="L272" i="70" s="1"/>
  <c r="I273" i="70"/>
  <c r="I272" i="70" s="1"/>
  <c r="F273" i="70"/>
  <c r="N272" i="70"/>
  <c r="M272" i="70"/>
  <c r="M270" i="70" s="1"/>
  <c r="M269" i="70" s="1"/>
  <c r="K272" i="70"/>
  <c r="J272" i="70"/>
  <c r="H272" i="70"/>
  <c r="G272" i="70"/>
  <c r="E272" i="70"/>
  <c r="E270" i="70" s="1"/>
  <c r="D272" i="70"/>
  <c r="O271" i="70"/>
  <c r="L271" i="70"/>
  <c r="I271" i="70"/>
  <c r="F271" i="70"/>
  <c r="N270" i="70"/>
  <c r="N269" i="70" s="1"/>
  <c r="J270" i="70"/>
  <c r="O268" i="70"/>
  <c r="L268" i="70"/>
  <c r="I268" i="70"/>
  <c r="F268" i="70"/>
  <c r="O267" i="70"/>
  <c r="L267" i="70"/>
  <c r="I267" i="70"/>
  <c r="F267" i="70"/>
  <c r="O266" i="70"/>
  <c r="L266" i="70"/>
  <c r="I266" i="70"/>
  <c r="F266" i="70"/>
  <c r="O265" i="70"/>
  <c r="O264" i="70" s="1"/>
  <c r="L265" i="70"/>
  <c r="L264" i="70" s="1"/>
  <c r="I265" i="70"/>
  <c r="F265" i="70"/>
  <c r="N264" i="70"/>
  <c r="M264" i="70"/>
  <c r="K264" i="70"/>
  <c r="J264" i="70"/>
  <c r="H264" i="70"/>
  <c r="G264" i="70"/>
  <c r="E264" i="70"/>
  <c r="D264" i="70"/>
  <c r="O263" i="70"/>
  <c r="L263" i="70"/>
  <c r="I263" i="70"/>
  <c r="F263" i="70"/>
  <c r="O262" i="70"/>
  <c r="L262" i="70"/>
  <c r="I262" i="70"/>
  <c r="F262" i="70"/>
  <c r="O261" i="70"/>
  <c r="O260" i="70" s="1"/>
  <c r="L261" i="70"/>
  <c r="I261" i="70"/>
  <c r="I260" i="70" s="1"/>
  <c r="F261" i="70"/>
  <c r="N260" i="70"/>
  <c r="M260" i="70"/>
  <c r="K260" i="70"/>
  <c r="J260" i="70"/>
  <c r="H260" i="70"/>
  <c r="G260" i="70"/>
  <c r="E260" i="70"/>
  <c r="D260" i="70"/>
  <c r="G259" i="70"/>
  <c r="O258" i="70"/>
  <c r="L258" i="70"/>
  <c r="I258" i="70"/>
  <c r="F258" i="70"/>
  <c r="O257" i="70"/>
  <c r="L257" i="70"/>
  <c r="I257" i="70"/>
  <c r="F257" i="70"/>
  <c r="O256" i="70"/>
  <c r="L256" i="70"/>
  <c r="I256" i="70"/>
  <c r="F256" i="70"/>
  <c r="O255" i="70"/>
  <c r="L255" i="70"/>
  <c r="I255" i="70"/>
  <c r="F255" i="70"/>
  <c r="O254" i="70"/>
  <c r="L254" i="70"/>
  <c r="I254" i="70"/>
  <c r="F254" i="70"/>
  <c r="O253" i="70"/>
  <c r="O252" i="70" s="1"/>
  <c r="L253" i="70"/>
  <c r="L252" i="70" s="1"/>
  <c r="L251" i="70" s="1"/>
  <c r="I253" i="70"/>
  <c r="I252" i="70" s="1"/>
  <c r="F253" i="70"/>
  <c r="N252" i="70"/>
  <c r="N251" i="70" s="1"/>
  <c r="M252" i="70"/>
  <c r="M251" i="70" s="1"/>
  <c r="K252" i="70"/>
  <c r="J252" i="70"/>
  <c r="J251" i="70" s="1"/>
  <c r="H252" i="70"/>
  <c r="H251" i="70" s="1"/>
  <c r="G252" i="70"/>
  <c r="G251" i="70" s="1"/>
  <c r="E252" i="70"/>
  <c r="D252" i="70"/>
  <c r="D251" i="70" s="1"/>
  <c r="K251" i="70"/>
  <c r="E251" i="70"/>
  <c r="O250" i="70"/>
  <c r="L250" i="70"/>
  <c r="I250" i="70"/>
  <c r="F250" i="70"/>
  <c r="O249" i="70"/>
  <c r="L249" i="70"/>
  <c r="I249" i="70"/>
  <c r="F249" i="70"/>
  <c r="O248" i="70"/>
  <c r="L248" i="70"/>
  <c r="I248" i="70"/>
  <c r="F248" i="70"/>
  <c r="O247" i="70"/>
  <c r="L247" i="70"/>
  <c r="I247" i="70"/>
  <c r="F247" i="70"/>
  <c r="N246" i="70"/>
  <c r="M246" i="70"/>
  <c r="K246" i="70"/>
  <c r="J246" i="70"/>
  <c r="H246" i="70"/>
  <c r="G246" i="70"/>
  <c r="E246" i="70"/>
  <c r="D246" i="70"/>
  <c r="O245" i="70"/>
  <c r="L245" i="70"/>
  <c r="I245" i="70"/>
  <c r="F245" i="70"/>
  <c r="O244" i="70"/>
  <c r="L244" i="70"/>
  <c r="I244" i="70"/>
  <c r="F244" i="70"/>
  <c r="O243" i="70"/>
  <c r="L243" i="70"/>
  <c r="I243" i="70"/>
  <c r="F243" i="70"/>
  <c r="O242" i="70"/>
  <c r="L242" i="70"/>
  <c r="I242" i="70"/>
  <c r="F242" i="70"/>
  <c r="O241" i="70"/>
  <c r="L241" i="70"/>
  <c r="C241" i="70" s="1"/>
  <c r="I241" i="70"/>
  <c r="F241" i="70"/>
  <c r="O240" i="70"/>
  <c r="L240" i="70"/>
  <c r="I240" i="70"/>
  <c r="F240" i="70"/>
  <c r="O239" i="70"/>
  <c r="L239" i="70"/>
  <c r="I239" i="70"/>
  <c r="F239" i="70"/>
  <c r="F238" i="70" s="1"/>
  <c r="N238" i="70"/>
  <c r="M238" i="70"/>
  <c r="K238" i="70"/>
  <c r="J238" i="70"/>
  <c r="H238" i="70"/>
  <c r="G238" i="70"/>
  <c r="E238" i="70"/>
  <c r="D238" i="70"/>
  <c r="O237" i="70"/>
  <c r="L237" i="70"/>
  <c r="I237" i="70"/>
  <c r="F237" i="70"/>
  <c r="O236" i="70"/>
  <c r="L236" i="70"/>
  <c r="L235" i="70" s="1"/>
  <c r="I236" i="70"/>
  <c r="F236" i="70"/>
  <c r="N235" i="70"/>
  <c r="M235" i="70"/>
  <c r="K235" i="70"/>
  <c r="J235" i="70"/>
  <c r="H235" i="70"/>
  <c r="G235" i="70"/>
  <c r="E235" i="70"/>
  <c r="D235" i="70"/>
  <c r="O234" i="70"/>
  <c r="L234" i="70"/>
  <c r="L233" i="70" s="1"/>
  <c r="I234" i="70"/>
  <c r="F234" i="70"/>
  <c r="F233" i="70" s="1"/>
  <c r="O233" i="70"/>
  <c r="N233" i="70"/>
  <c r="M233" i="70"/>
  <c r="K233" i="70"/>
  <c r="J233" i="70"/>
  <c r="I233" i="70"/>
  <c r="H233" i="70"/>
  <c r="G233" i="70"/>
  <c r="E233" i="70"/>
  <c r="D233" i="70"/>
  <c r="O232" i="70"/>
  <c r="L232" i="70"/>
  <c r="I232" i="70"/>
  <c r="F232" i="70"/>
  <c r="O229" i="70"/>
  <c r="L229" i="70"/>
  <c r="I229" i="70"/>
  <c r="F229" i="70"/>
  <c r="O228" i="70"/>
  <c r="L228" i="70"/>
  <c r="L227" i="70" s="1"/>
  <c r="I228" i="70"/>
  <c r="I227" i="70" s="1"/>
  <c r="F228" i="70"/>
  <c r="O227" i="70"/>
  <c r="N227" i="70"/>
  <c r="M227" i="70"/>
  <c r="K227" i="70"/>
  <c r="J227" i="70"/>
  <c r="H227" i="70"/>
  <c r="G227" i="70"/>
  <c r="E227" i="70"/>
  <c r="D227" i="70"/>
  <c r="O226" i="70"/>
  <c r="L226" i="70"/>
  <c r="I226" i="70"/>
  <c r="F226" i="70"/>
  <c r="O225" i="70"/>
  <c r="L225" i="70"/>
  <c r="I225" i="70"/>
  <c r="F225" i="70"/>
  <c r="O224" i="70"/>
  <c r="L224" i="70"/>
  <c r="I224" i="70"/>
  <c r="F224" i="70"/>
  <c r="O223" i="70"/>
  <c r="L223" i="70"/>
  <c r="I223" i="70"/>
  <c r="F223" i="70"/>
  <c r="O222" i="70"/>
  <c r="L222" i="70"/>
  <c r="I222" i="70"/>
  <c r="F222" i="70"/>
  <c r="O221" i="70"/>
  <c r="L221" i="70"/>
  <c r="I221" i="70"/>
  <c r="F221" i="70"/>
  <c r="O220" i="70"/>
  <c r="L220" i="70"/>
  <c r="I220" i="70"/>
  <c r="F220" i="70"/>
  <c r="O219" i="70"/>
  <c r="L219" i="70"/>
  <c r="I219" i="70"/>
  <c r="F219" i="70"/>
  <c r="O218" i="70"/>
  <c r="L218" i="70"/>
  <c r="I218" i="70"/>
  <c r="F218" i="70"/>
  <c r="O217" i="70"/>
  <c r="L217" i="70"/>
  <c r="I217" i="70"/>
  <c r="F217" i="70"/>
  <c r="N216" i="70"/>
  <c r="M216" i="70"/>
  <c r="L216" i="70"/>
  <c r="K216" i="70"/>
  <c r="J216" i="70"/>
  <c r="H216" i="70"/>
  <c r="G216" i="70"/>
  <c r="E216" i="70"/>
  <c r="D216" i="70"/>
  <c r="O215" i="70"/>
  <c r="L215" i="70"/>
  <c r="I215" i="70"/>
  <c r="F215" i="70"/>
  <c r="O214" i="70"/>
  <c r="L214" i="70"/>
  <c r="I214" i="70"/>
  <c r="F214" i="70"/>
  <c r="O213" i="70"/>
  <c r="L213" i="70"/>
  <c r="I213" i="70"/>
  <c r="F213" i="70"/>
  <c r="O212" i="70"/>
  <c r="L212" i="70"/>
  <c r="I212" i="70"/>
  <c r="F212" i="70"/>
  <c r="O211" i="70"/>
  <c r="L211" i="70"/>
  <c r="I211" i="70"/>
  <c r="F211" i="70"/>
  <c r="O210" i="70"/>
  <c r="L210" i="70"/>
  <c r="I210" i="70"/>
  <c r="F210" i="70"/>
  <c r="O209" i="70"/>
  <c r="L209" i="70"/>
  <c r="I209" i="70"/>
  <c r="F209" i="70"/>
  <c r="O208" i="70"/>
  <c r="L208" i="70"/>
  <c r="I208" i="70"/>
  <c r="F208" i="70"/>
  <c r="O207" i="70"/>
  <c r="L207" i="70"/>
  <c r="I207" i="70"/>
  <c r="F207" i="70"/>
  <c r="O206" i="70"/>
  <c r="L206" i="70"/>
  <c r="I206" i="70"/>
  <c r="F206" i="70"/>
  <c r="F205" i="70" s="1"/>
  <c r="N205" i="70"/>
  <c r="M205" i="70"/>
  <c r="K205" i="70"/>
  <c r="J205" i="70"/>
  <c r="J204" i="70" s="1"/>
  <c r="H205" i="70"/>
  <c r="G205" i="70"/>
  <c r="E205" i="70"/>
  <c r="D205" i="70"/>
  <c r="O203" i="70"/>
  <c r="L203" i="70"/>
  <c r="I203" i="70"/>
  <c r="F203" i="70"/>
  <c r="O202" i="70"/>
  <c r="L202" i="70"/>
  <c r="I202" i="70"/>
  <c r="F202" i="70"/>
  <c r="O201" i="70"/>
  <c r="L201" i="70"/>
  <c r="I201" i="70"/>
  <c r="F201" i="70"/>
  <c r="O200" i="70"/>
  <c r="L200" i="70"/>
  <c r="I200" i="70"/>
  <c r="F200" i="70"/>
  <c r="O199" i="70"/>
  <c r="O198" i="70" s="1"/>
  <c r="L199" i="70"/>
  <c r="I199" i="70"/>
  <c r="I198" i="70" s="1"/>
  <c r="F199" i="70"/>
  <c r="N198" i="70"/>
  <c r="N196" i="70" s="1"/>
  <c r="M198" i="70"/>
  <c r="M196" i="70" s="1"/>
  <c r="K198" i="70"/>
  <c r="K196" i="70" s="1"/>
  <c r="J198" i="70"/>
  <c r="J196" i="70" s="1"/>
  <c r="H198" i="70"/>
  <c r="H196" i="70" s="1"/>
  <c r="G198" i="70"/>
  <c r="G196" i="70" s="1"/>
  <c r="E198" i="70"/>
  <c r="E196" i="70" s="1"/>
  <c r="D198" i="70"/>
  <c r="O197" i="70"/>
  <c r="L197" i="70"/>
  <c r="I197" i="70"/>
  <c r="F197" i="70"/>
  <c r="D196" i="70"/>
  <c r="O193" i="70"/>
  <c r="L193" i="70"/>
  <c r="L192" i="70" s="1"/>
  <c r="L191" i="70" s="1"/>
  <c r="I193" i="70"/>
  <c r="I192" i="70" s="1"/>
  <c r="I191" i="70" s="1"/>
  <c r="F193" i="70"/>
  <c r="O192" i="70"/>
  <c r="O191" i="70" s="1"/>
  <c r="N192" i="70"/>
  <c r="M192" i="70"/>
  <c r="M191" i="70" s="1"/>
  <c r="K192" i="70"/>
  <c r="K191" i="70" s="1"/>
  <c r="J192" i="70"/>
  <c r="J191" i="70" s="1"/>
  <c r="H192" i="70"/>
  <c r="H191" i="70" s="1"/>
  <c r="G192" i="70"/>
  <c r="G191" i="70" s="1"/>
  <c r="E192" i="70"/>
  <c r="E191" i="70" s="1"/>
  <c r="D192" i="70"/>
  <c r="D191" i="70" s="1"/>
  <c r="N191" i="70"/>
  <c r="O190" i="70"/>
  <c r="L190" i="70"/>
  <c r="I190" i="70"/>
  <c r="F190" i="70"/>
  <c r="O189" i="70"/>
  <c r="L189" i="70"/>
  <c r="L188" i="70" s="1"/>
  <c r="I189" i="70"/>
  <c r="F189" i="70"/>
  <c r="O188" i="70"/>
  <c r="N188" i="70"/>
  <c r="M188" i="70"/>
  <c r="K188" i="70"/>
  <c r="J188" i="70"/>
  <c r="H188" i="70"/>
  <c r="G188" i="70"/>
  <c r="E188" i="70"/>
  <c r="D188" i="70"/>
  <c r="O186" i="70"/>
  <c r="L186" i="70"/>
  <c r="I186" i="70"/>
  <c r="F186" i="70"/>
  <c r="O185" i="70"/>
  <c r="L185" i="70"/>
  <c r="L184" i="70" s="1"/>
  <c r="I185" i="70"/>
  <c r="I184" i="70" s="1"/>
  <c r="F185" i="70"/>
  <c r="N184" i="70"/>
  <c r="M184" i="70"/>
  <c r="K184" i="70"/>
  <c r="J184" i="70"/>
  <c r="H184" i="70"/>
  <c r="G184" i="70"/>
  <c r="E184" i="70"/>
  <c r="D184" i="70"/>
  <c r="O183" i="70"/>
  <c r="L183" i="70"/>
  <c r="I183" i="70"/>
  <c r="F183" i="70"/>
  <c r="O182" i="70"/>
  <c r="L182" i="70"/>
  <c r="I182" i="70"/>
  <c r="F182" i="70"/>
  <c r="O181" i="70"/>
  <c r="L181" i="70"/>
  <c r="I181" i="70"/>
  <c r="F181" i="70"/>
  <c r="O180" i="70"/>
  <c r="L180" i="70"/>
  <c r="I180" i="70"/>
  <c r="I179" i="70" s="1"/>
  <c r="F180" i="70"/>
  <c r="N179" i="70"/>
  <c r="M179" i="70"/>
  <c r="K179" i="70"/>
  <c r="J179" i="70"/>
  <c r="H179" i="70"/>
  <c r="G179" i="70"/>
  <c r="E179" i="70"/>
  <c r="D179" i="70"/>
  <c r="O178" i="70"/>
  <c r="L178" i="70"/>
  <c r="I178" i="70"/>
  <c r="F178" i="70"/>
  <c r="O177" i="70"/>
  <c r="L177" i="70"/>
  <c r="I177" i="70"/>
  <c r="F177" i="70"/>
  <c r="O176" i="70"/>
  <c r="L176" i="70"/>
  <c r="L175" i="70" s="1"/>
  <c r="I176" i="70"/>
  <c r="I175" i="70" s="1"/>
  <c r="F176" i="70"/>
  <c r="N175" i="70"/>
  <c r="M175" i="70"/>
  <c r="M174" i="70" s="1"/>
  <c r="K175" i="70"/>
  <c r="K174" i="70" s="1"/>
  <c r="J175" i="70"/>
  <c r="H175" i="70"/>
  <c r="H174" i="70" s="1"/>
  <c r="H173" i="70" s="1"/>
  <c r="G175" i="70"/>
  <c r="E175" i="70"/>
  <c r="E174" i="70" s="1"/>
  <c r="E173" i="70" s="1"/>
  <c r="D175" i="70"/>
  <c r="I174" i="70"/>
  <c r="I173" i="70" s="1"/>
  <c r="O172" i="70"/>
  <c r="L172" i="70"/>
  <c r="I172" i="70"/>
  <c r="F172" i="70"/>
  <c r="O171" i="70"/>
  <c r="L171" i="70"/>
  <c r="I171" i="70"/>
  <c r="F171" i="70"/>
  <c r="O170" i="70"/>
  <c r="L170" i="70"/>
  <c r="I170" i="70"/>
  <c r="F170" i="70"/>
  <c r="O169" i="70"/>
  <c r="L169" i="70"/>
  <c r="I169" i="70"/>
  <c r="F169" i="70"/>
  <c r="O168" i="70"/>
  <c r="L168" i="70"/>
  <c r="I168" i="70"/>
  <c r="F168" i="70"/>
  <c r="O167" i="70"/>
  <c r="L167" i="70"/>
  <c r="I167" i="70"/>
  <c r="F167" i="70"/>
  <c r="N166" i="70"/>
  <c r="M166" i="70"/>
  <c r="M165" i="70" s="1"/>
  <c r="K166" i="70"/>
  <c r="K165" i="70" s="1"/>
  <c r="J166" i="70"/>
  <c r="J165" i="70" s="1"/>
  <c r="H166" i="70"/>
  <c r="H165" i="70" s="1"/>
  <c r="G166" i="70"/>
  <c r="G165" i="70" s="1"/>
  <c r="E166" i="70"/>
  <c r="E165" i="70" s="1"/>
  <c r="D166" i="70"/>
  <c r="D165" i="70" s="1"/>
  <c r="N165" i="70"/>
  <c r="O164" i="70"/>
  <c r="L164" i="70"/>
  <c r="I164" i="70"/>
  <c r="F164" i="70"/>
  <c r="O163" i="70"/>
  <c r="L163" i="70"/>
  <c r="I163" i="70"/>
  <c r="F163" i="70"/>
  <c r="O162" i="70"/>
  <c r="L162" i="70"/>
  <c r="I162" i="70"/>
  <c r="F162" i="70"/>
  <c r="O161" i="70"/>
  <c r="L161" i="70"/>
  <c r="L160" i="70" s="1"/>
  <c r="I161" i="70"/>
  <c r="I160" i="70" s="1"/>
  <c r="F161" i="70"/>
  <c r="O160" i="70"/>
  <c r="N160" i="70"/>
  <c r="M160" i="70"/>
  <c r="K160" i="70"/>
  <c r="J160" i="70"/>
  <c r="H160" i="70"/>
  <c r="G160" i="70"/>
  <c r="E160" i="70"/>
  <c r="D160" i="70"/>
  <c r="O159" i="70"/>
  <c r="L159" i="70"/>
  <c r="I159" i="70"/>
  <c r="F159" i="70"/>
  <c r="O158" i="70"/>
  <c r="L158" i="70"/>
  <c r="I158" i="70"/>
  <c r="F158" i="70"/>
  <c r="O157" i="70"/>
  <c r="L157" i="70"/>
  <c r="I157" i="70"/>
  <c r="F157" i="70"/>
  <c r="O156" i="70"/>
  <c r="L156" i="70"/>
  <c r="I156" i="70"/>
  <c r="F156" i="70"/>
  <c r="O155" i="70"/>
  <c r="L155" i="70"/>
  <c r="I155" i="70"/>
  <c r="F155" i="70"/>
  <c r="O154" i="70"/>
  <c r="L154" i="70"/>
  <c r="I154" i="70"/>
  <c r="F154" i="70"/>
  <c r="O153" i="70"/>
  <c r="L153" i="70"/>
  <c r="I153" i="70"/>
  <c r="F153" i="70"/>
  <c r="O152" i="70"/>
  <c r="L152" i="70"/>
  <c r="I152" i="70"/>
  <c r="F152" i="70"/>
  <c r="N151" i="70"/>
  <c r="M151" i="70"/>
  <c r="K151" i="70"/>
  <c r="J151" i="70"/>
  <c r="H151" i="70"/>
  <c r="G151" i="70"/>
  <c r="E151" i="70"/>
  <c r="D151" i="70"/>
  <c r="O150" i="70"/>
  <c r="L150" i="70"/>
  <c r="I150" i="70"/>
  <c r="F150" i="70"/>
  <c r="O149" i="70"/>
  <c r="L149" i="70"/>
  <c r="I149" i="70"/>
  <c r="F149" i="70"/>
  <c r="O148" i="70"/>
  <c r="L148" i="70"/>
  <c r="I148" i="70"/>
  <c r="F148" i="70"/>
  <c r="O147" i="70"/>
  <c r="L147" i="70"/>
  <c r="I147" i="70"/>
  <c r="F147" i="70"/>
  <c r="O146" i="70"/>
  <c r="L146" i="70"/>
  <c r="I146" i="70"/>
  <c r="F146" i="70"/>
  <c r="O145" i="70"/>
  <c r="L145" i="70"/>
  <c r="L144" i="70" s="1"/>
  <c r="I145" i="70"/>
  <c r="F145" i="70"/>
  <c r="N144" i="70"/>
  <c r="M144" i="70"/>
  <c r="K144" i="70"/>
  <c r="J144" i="70"/>
  <c r="H144" i="70"/>
  <c r="G144" i="70"/>
  <c r="E144" i="70"/>
  <c r="D144" i="70"/>
  <c r="O143" i="70"/>
  <c r="L143" i="70"/>
  <c r="I143" i="70"/>
  <c r="F143" i="70"/>
  <c r="O142" i="70"/>
  <c r="O141" i="70" s="1"/>
  <c r="L142" i="70"/>
  <c r="I142" i="70"/>
  <c r="F142" i="70"/>
  <c r="N141" i="70"/>
  <c r="M141" i="70"/>
  <c r="K141" i="70"/>
  <c r="J141" i="70"/>
  <c r="H141" i="70"/>
  <c r="G141" i="70"/>
  <c r="E141" i="70"/>
  <c r="D141" i="70"/>
  <c r="O140" i="70"/>
  <c r="L140" i="70"/>
  <c r="I140" i="70"/>
  <c r="F140" i="70"/>
  <c r="O139" i="70"/>
  <c r="L139" i="70"/>
  <c r="I139" i="70"/>
  <c r="F139" i="70"/>
  <c r="O138" i="70"/>
  <c r="L138" i="70"/>
  <c r="I138" i="70"/>
  <c r="F138" i="70"/>
  <c r="O137" i="70"/>
  <c r="L137" i="70"/>
  <c r="L136" i="70" s="1"/>
  <c r="I137" i="70"/>
  <c r="I136" i="70" s="1"/>
  <c r="F137" i="70"/>
  <c r="O136" i="70"/>
  <c r="N136" i="70"/>
  <c r="M136" i="70"/>
  <c r="K136" i="70"/>
  <c r="J136" i="70"/>
  <c r="H136" i="70"/>
  <c r="G136" i="70"/>
  <c r="E136" i="70"/>
  <c r="D136" i="70"/>
  <c r="O135" i="70"/>
  <c r="L135" i="70"/>
  <c r="I135" i="70"/>
  <c r="F135" i="70"/>
  <c r="O134" i="70"/>
  <c r="L134" i="70"/>
  <c r="I134" i="70"/>
  <c r="F134" i="70"/>
  <c r="O133" i="70"/>
  <c r="L133" i="70"/>
  <c r="I133" i="70"/>
  <c r="F133" i="70"/>
  <c r="O132" i="70"/>
  <c r="O131" i="70" s="1"/>
  <c r="L132" i="70"/>
  <c r="I132" i="70"/>
  <c r="F132" i="70"/>
  <c r="N131" i="70"/>
  <c r="M131" i="70"/>
  <c r="K131" i="70"/>
  <c r="J131" i="70"/>
  <c r="H131" i="70"/>
  <c r="G131" i="70"/>
  <c r="G130" i="70" s="1"/>
  <c r="F131" i="70"/>
  <c r="E131" i="70"/>
  <c r="D131" i="70"/>
  <c r="O129" i="70"/>
  <c r="O128" i="70" s="1"/>
  <c r="L129" i="70"/>
  <c r="L128" i="70" s="1"/>
  <c r="I129" i="70"/>
  <c r="I128" i="70" s="1"/>
  <c r="F129" i="70"/>
  <c r="F128" i="70" s="1"/>
  <c r="N128" i="70"/>
  <c r="M128" i="70"/>
  <c r="K128" i="70"/>
  <c r="J128" i="70"/>
  <c r="H128" i="70"/>
  <c r="G128" i="70"/>
  <c r="E128" i="70"/>
  <c r="D128" i="70"/>
  <c r="O127" i="70"/>
  <c r="L127" i="70"/>
  <c r="I127" i="70"/>
  <c r="F127" i="70"/>
  <c r="O126" i="70"/>
  <c r="L126" i="70"/>
  <c r="I126" i="70"/>
  <c r="F126" i="70"/>
  <c r="O125" i="70"/>
  <c r="L125" i="70"/>
  <c r="I125" i="70"/>
  <c r="F125" i="70"/>
  <c r="O124" i="70"/>
  <c r="L124" i="70"/>
  <c r="I124" i="70"/>
  <c r="F124" i="70"/>
  <c r="O123" i="70"/>
  <c r="L123" i="70"/>
  <c r="I123" i="70"/>
  <c r="I122" i="70" s="1"/>
  <c r="F123" i="70"/>
  <c r="N122" i="70"/>
  <c r="M122" i="70"/>
  <c r="K122" i="70"/>
  <c r="J122" i="70"/>
  <c r="H122" i="70"/>
  <c r="G122" i="70"/>
  <c r="E122" i="70"/>
  <c r="D122" i="70"/>
  <c r="O121" i="70"/>
  <c r="L121" i="70"/>
  <c r="I121" i="70"/>
  <c r="F121" i="70"/>
  <c r="O120" i="70"/>
  <c r="L120" i="70"/>
  <c r="I120" i="70"/>
  <c r="F120" i="70"/>
  <c r="O119" i="70"/>
  <c r="L119" i="70"/>
  <c r="I119" i="70"/>
  <c r="F119" i="70"/>
  <c r="O118" i="70"/>
  <c r="L118" i="70"/>
  <c r="I118" i="70"/>
  <c r="F118" i="70"/>
  <c r="O117" i="70"/>
  <c r="L117" i="70"/>
  <c r="I117" i="70"/>
  <c r="F117" i="70"/>
  <c r="N116" i="70"/>
  <c r="M116" i="70"/>
  <c r="K116" i="70"/>
  <c r="J116" i="70"/>
  <c r="H116" i="70"/>
  <c r="G116" i="70"/>
  <c r="E116" i="70"/>
  <c r="D116" i="70"/>
  <c r="O115" i="70"/>
  <c r="L115" i="70"/>
  <c r="I115" i="70"/>
  <c r="F115" i="70"/>
  <c r="O114" i="70"/>
  <c r="L114" i="70"/>
  <c r="I114" i="70"/>
  <c r="F114" i="70"/>
  <c r="O113" i="70"/>
  <c r="O112" i="70" s="1"/>
  <c r="L113" i="70"/>
  <c r="L112" i="70" s="1"/>
  <c r="I113" i="70"/>
  <c r="F113" i="70"/>
  <c r="N112" i="70"/>
  <c r="M112" i="70"/>
  <c r="K112" i="70"/>
  <c r="J112" i="70"/>
  <c r="H112" i="70"/>
  <c r="G112" i="70"/>
  <c r="F112" i="70"/>
  <c r="E112" i="70"/>
  <c r="D112" i="70"/>
  <c r="O111" i="70"/>
  <c r="L111" i="70"/>
  <c r="I111" i="70"/>
  <c r="F111" i="70"/>
  <c r="O110" i="70"/>
  <c r="L110" i="70"/>
  <c r="I110" i="70"/>
  <c r="F110" i="70"/>
  <c r="O109" i="70"/>
  <c r="L109" i="70"/>
  <c r="I109" i="70"/>
  <c r="F109" i="70"/>
  <c r="O108" i="70"/>
  <c r="L108" i="70"/>
  <c r="I108" i="70"/>
  <c r="F108" i="70"/>
  <c r="O107" i="70"/>
  <c r="L107" i="70"/>
  <c r="I107" i="70"/>
  <c r="F107" i="70"/>
  <c r="O106" i="70"/>
  <c r="L106" i="70"/>
  <c r="I106" i="70"/>
  <c r="F106" i="70"/>
  <c r="O105" i="70"/>
  <c r="L105" i="70"/>
  <c r="I105" i="70"/>
  <c r="F105" i="70"/>
  <c r="O104" i="70"/>
  <c r="L104" i="70"/>
  <c r="I104" i="70"/>
  <c r="F104" i="70"/>
  <c r="N103" i="70"/>
  <c r="M103" i="70"/>
  <c r="K103" i="70"/>
  <c r="J103" i="70"/>
  <c r="H103" i="70"/>
  <c r="G103" i="70"/>
  <c r="E103" i="70"/>
  <c r="D103" i="70"/>
  <c r="O102" i="70"/>
  <c r="L102" i="70"/>
  <c r="I102" i="70"/>
  <c r="F102" i="70"/>
  <c r="O101" i="70"/>
  <c r="L101" i="70"/>
  <c r="I101" i="70"/>
  <c r="F101" i="70"/>
  <c r="O100" i="70"/>
  <c r="L100" i="70"/>
  <c r="I100" i="70"/>
  <c r="F100" i="70"/>
  <c r="O99" i="70"/>
  <c r="L99" i="70"/>
  <c r="I99" i="70"/>
  <c r="F99" i="70"/>
  <c r="O98" i="70"/>
  <c r="L98" i="70"/>
  <c r="I98" i="70"/>
  <c r="F98" i="70"/>
  <c r="O97" i="70"/>
  <c r="L97" i="70"/>
  <c r="I97" i="70"/>
  <c r="F97" i="70"/>
  <c r="O96" i="70"/>
  <c r="L96" i="70"/>
  <c r="L95" i="70" s="1"/>
  <c r="I96" i="70"/>
  <c r="F96" i="70"/>
  <c r="N95" i="70"/>
  <c r="M95" i="70"/>
  <c r="K95" i="70"/>
  <c r="J95" i="70"/>
  <c r="H95" i="70"/>
  <c r="G95" i="70"/>
  <c r="E95" i="70"/>
  <c r="D95" i="70"/>
  <c r="O94" i="70"/>
  <c r="L94" i="70"/>
  <c r="I94" i="70"/>
  <c r="F94" i="70"/>
  <c r="O93" i="70"/>
  <c r="L93" i="70"/>
  <c r="I93" i="70"/>
  <c r="F93" i="70"/>
  <c r="O92" i="70"/>
  <c r="L92" i="70"/>
  <c r="I92" i="70"/>
  <c r="F92" i="70"/>
  <c r="O91" i="70"/>
  <c r="L91" i="70"/>
  <c r="I91" i="70"/>
  <c r="F91" i="70"/>
  <c r="O90" i="70"/>
  <c r="O89" i="70" s="1"/>
  <c r="L90" i="70"/>
  <c r="I90" i="70"/>
  <c r="I89" i="70" s="1"/>
  <c r="F90" i="70"/>
  <c r="N89" i="70"/>
  <c r="M89" i="70"/>
  <c r="K89" i="70"/>
  <c r="J89" i="70"/>
  <c r="H89" i="70"/>
  <c r="G89" i="70"/>
  <c r="E89" i="70"/>
  <c r="D89" i="70"/>
  <c r="O88" i="70"/>
  <c r="L88" i="70"/>
  <c r="I88" i="70"/>
  <c r="F88" i="70"/>
  <c r="O87" i="70"/>
  <c r="L87" i="70"/>
  <c r="I87" i="70"/>
  <c r="F87" i="70"/>
  <c r="O86" i="70"/>
  <c r="L86" i="70"/>
  <c r="I86" i="70"/>
  <c r="F86" i="70"/>
  <c r="O85" i="70"/>
  <c r="L85" i="70"/>
  <c r="I85" i="70"/>
  <c r="I84" i="70" s="1"/>
  <c r="F85" i="70"/>
  <c r="N84" i="70"/>
  <c r="M84" i="70"/>
  <c r="K84" i="70"/>
  <c r="J84" i="70"/>
  <c r="H84" i="70"/>
  <c r="G84" i="70"/>
  <c r="E84" i="70"/>
  <c r="D84" i="70"/>
  <c r="O82" i="70"/>
  <c r="L82" i="70"/>
  <c r="I82" i="70"/>
  <c r="F82" i="70"/>
  <c r="O81" i="70"/>
  <c r="L81" i="70"/>
  <c r="L80" i="70" s="1"/>
  <c r="I81" i="70"/>
  <c r="F81" i="70"/>
  <c r="N80" i="70"/>
  <c r="M80" i="70"/>
  <c r="K80" i="70"/>
  <c r="J80" i="70"/>
  <c r="H80" i="70"/>
  <c r="G80" i="70"/>
  <c r="E80" i="70"/>
  <c r="D80" i="70"/>
  <c r="O79" i="70"/>
  <c r="L79" i="70"/>
  <c r="I79" i="70"/>
  <c r="F79" i="70"/>
  <c r="O78" i="70"/>
  <c r="L78" i="70"/>
  <c r="I78" i="70"/>
  <c r="I77" i="70" s="1"/>
  <c r="F78" i="70"/>
  <c r="N77" i="70"/>
  <c r="M77" i="70"/>
  <c r="K77" i="70"/>
  <c r="J77" i="70"/>
  <c r="J76" i="70" s="1"/>
  <c r="H77" i="70"/>
  <c r="H76" i="70" s="1"/>
  <c r="G77" i="70"/>
  <c r="E77" i="70"/>
  <c r="E76" i="70" s="1"/>
  <c r="D77" i="70"/>
  <c r="N76" i="70"/>
  <c r="O74" i="70"/>
  <c r="L74" i="70"/>
  <c r="I74" i="70"/>
  <c r="F74" i="70"/>
  <c r="O73" i="70"/>
  <c r="L73" i="70"/>
  <c r="I73" i="70"/>
  <c r="F73" i="70"/>
  <c r="O72" i="70"/>
  <c r="L72" i="70"/>
  <c r="I72" i="70"/>
  <c r="F72" i="70"/>
  <c r="O71" i="70"/>
  <c r="L71" i="70"/>
  <c r="I71" i="70"/>
  <c r="F71" i="70"/>
  <c r="O70" i="70"/>
  <c r="L70" i="70"/>
  <c r="H70" i="70"/>
  <c r="I70" i="70" s="1"/>
  <c r="F70" i="70"/>
  <c r="N69" i="70"/>
  <c r="N67" i="70" s="1"/>
  <c r="M69" i="70"/>
  <c r="M67" i="70" s="1"/>
  <c r="L69" i="70"/>
  <c r="K69" i="70"/>
  <c r="K67" i="70" s="1"/>
  <c r="J69" i="70"/>
  <c r="J67" i="70" s="1"/>
  <c r="G69" i="70"/>
  <c r="E69" i="70"/>
  <c r="E67" i="70" s="1"/>
  <c r="D69" i="70"/>
  <c r="D67" i="70" s="1"/>
  <c r="O68" i="70"/>
  <c r="L68" i="70"/>
  <c r="I68" i="70"/>
  <c r="F68" i="70"/>
  <c r="G67" i="70"/>
  <c r="O66" i="70"/>
  <c r="L66" i="70"/>
  <c r="I66" i="70"/>
  <c r="F66" i="70"/>
  <c r="O65" i="70"/>
  <c r="L65" i="70"/>
  <c r="H65" i="70"/>
  <c r="I65" i="70" s="1"/>
  <c r="F65" i="70"/>
  <c r="O64" i="70"/>
  <c r="L64" i="70"/>
  <c r="I64" i="70"/>
  <c r="F64" i="70"/>
  <c r="O63" i="70"/>
  <c r="L63" i="70"/>
  <c r="H63" i="70"/>
  <c r="I63" i="70" s="1"/>
  <c r="F63" i="70"/>
  <c r="O62" i="70"/>
  <c r="L62" i="70"/>
  <c r="I62" i="70"/>
  <c r="F62" i="70"/>
  <c r="O61" i="70"/>
  <c r="L61" i="70"/>
  <c r="I61" i="70"/>
  <c r="F61" i="70"/>
  <c r="O60" i="70"/>
  <c r="L60" i="70"/>
  <c r="I60" i="70"/>
  <c r="F60" i="70"/>
  <c r="O59" i="70"/>
  <c r="L59" i="70"/>
  <c r="I59" i="70"/>
  <c r="F59" i="70"/>
  <c r="O58" i="70"/>
  <c r="N58" i="70"/>
  <c r="M58" i="70"/>
  <c r="K58" i="70"/>
  <c r="J58" i="70"/>
  <c r="G58" i="70"/>
  <c r="E58" i="70"/>
  <c r="D58" i="70"/>
  <c r="O57" i="70"/>
  <c r="L57" i="70"/>
  <c r="H57" i="70"/>
  <c r="F57" i="70"/>
  <c r="O56" i="70"/>
  <c r="L56" i="70"/>
  <c r="I56" i="70"/>
  <c r="F56" i="70"/>
  <c r="O55" i="70"/>
  <c r="O54" i="70" s="1"/>
  <c r="N55" i="70"/>
  <c r="M55" i="70"/>
  <c r="M54" i="70" s="1"/>
  <c r="M53" i="70" s="1"/>
  <c r="K55" i="70"/>
  <c r="K54" i="70" s="1"/>
  <c r="J55" i="70"/>
  <c r="J54" i="70" s="1"/>
  <c r="G55" i="70"/>
  <c r="G54" i="70" s="1"/>
  <c r="E55" i="70"/>
  <c r="E54" i="70" s="1"/>
  <c r="E53" i="70" s="1"/>
  <c r="D55" i="70"/>
  <c r="D54" i="70" s="1"/>
  <c r="O47" i="70"/>
  <c r="C47" i="70" s="1"/>
  <c r="O46" i="70"/>
  <c r="C46" i="70" s="1"/>
  <c r="N45" i="70"/>
  <c r="M45" i="70"/>
  <c r="L44" i="70"/>
  <c r="L43" i="70" s="1"/>
  <c r="I44" i="70"/>
  <c r="I43" i="70" s="1"/>
  <c r="F44" i="70"/>
  <c r="F43" i="70" s="1"/>
  <c r="K43" i="70"/>
  <c r="J43" i="70"/>
  <c r="H43" i="70"/>
  <c r="G43" i="70"/>
  <c r="E43" i="70"/>
  <c r="D43" i="70"/>
  <c r="F42" i="70"/>
  <c r="E41" i="70"/>
  <c r="D41" i="70"/>
  <c r="L40" i="70"/>
  <c r="C40" i="70" s="1"/>
  <c r="L39" i="70"/>
  <c r="C39" i="70" s="1"/>
  <c r="L38" i="70"/>
  <c r="C38" i="70" s="1"/>
  <c r="L37" i="70"/>
  <c r="K36" i="70"/>
  <c r="J36" i="70"/>
  <c r="L35" i="70"/>
  <c r="C35" i="70" s="1"/>
  <c r="L34" i="70"/>
  <c r="K33" i="70"/>
  <c r="J33" i="70"/>
  <c r="L32" i="70"/>
  <c r="C32" i="70" s="1"/>
  <c r="K31" i="70"/>
  <c r="J31" i="70"/>
  <c r="L30" i="70"/>
  <c r="C30" i="70" s="1"/>
  <c r="L29" i="70"/>
  <c r="C29" i="70" s="1"/>
  <c r="L28" i="70"/>
  <c r="K27" i="70"/>
  <c r="J27" i="70"/>
  <c r="F25" i="70"/>
  <c r="C25" i="70" s="1"/>
  <c r="H24" i="70"/>
  <c r="O23" i="70"/>
  <c r="L23" i="70"/>
  <c r="I23" i="70"/>
  <c r="F23" i="70"/>
  <c r="O22" i="70"/>
  <c r="O21" i="70" s="1"/>
  <c r="L22" i="70"/>
  <c r="L21" i="70" s="1"/>
  <c r="L292" i="70" s="1"/>
  <c r="I22" i="70"/>
  <c r="I21" i="70" s="1"/>
  <c r="F22" i="70"/>
  <c r="N21" i="70"/>
  <c r="N292" i="70" s="1"/>
  <c r="N291" i="70" s="1"/>
  <c r="M21" i="70"/>
  <c r="K21" i="70"/>
  <c r="K292" i="70" s="1"/>
  <c r="K291" i="70" s="1"/>
  <c r="J21" i="70"/>
  <c r="H21" i="70"/>
  <c r="G21" i="70"/>
  <c r="G292" i="70" s="1"/>
  <c r="G291" i="70" s="1"/>
  <c r="E21" i="70"/>
  <c r="D21" i="70"/>
  <c r="J26" i="70" l="1"/>
  <c r="C90" i="70"/>
  <c r="C261" i="70"/>
  <c r="M20" i="70"/>
  <c r="N83" i="70"/>
  <c r="N204" i="70"/>
  <c r="K270" i="70"/>
  <c r="K269" i="70" s="1"/>
  <c r="C273" i="70"/>
  <c r="J53" i="70"/>
  <c r="C201" i="70"/>
  <c r="E204" i="70"/>
  <c r="E195" i="70" s="1"/>
  <c r="N54" i="70"/>
  <c r="C74" i="70"/>
  <c r="D83" i="70"/>
  <c r="C86" i="70"/>
  <c r="C221" i="70"/>
  <c r="C237" i="70"/>
  <c r="C240" i="70"/>
  <c r="F260" i="70"/>
  <c r="C297" i="70"/>
  <c r="C299" i="70"/>
  <c r="H20" i="70"/>
  <c r="M204" i="70"/>
  <c r="M195" i="70" s="1"/>
  <c r="M194" i="70" s="1"/>
  <c r="C209" i="70"/>
  <c r="J292" i="70"/>
  <c r="J291" i="70" s="1"/>
  <c r="C150" i="70"/>
  <c r="H204" i="70"/>
  <c r="H195" i="70" s="1"/>
  <c r="F272" i="70"/>
  <c r="F270" i="70" s="1"/>
  <c r="G270" i="70"/>
  <c r="G269" i="70" s="1"/>
  <c r="C66" i="70"/>
  <c r="C98" i="70"/>
  <c r="K130" i="70"/>
  <c r="C132" i="70"/>
  <c r="C134" i="70"/>
  <c r="C149" i="70"/>
  <c r="O144" i="70"/>
  <c r="O166" i="70"/>
  <c r="O165" i="70" s="1"/>
  <c r="C203" i="70"/>
  <c r="C217" i="70"/>
  <c r="C218" i="70"/>
  <c r="O235" i="70"/>
  <c r="E259" i="70"/>
  <c r="J259" i="70"/>
  <c r="M259" i="70"/>
  <c r="C279" i="70"/>
  <c r="E269" i="70"/>
  <c r="C301" i="70"/>
  <c r="I58" i="70"/>
  <c r="G83" i="70"/>
  <c r="G174" i="70"/>
  <c r="G173" i="70" s="1"/>
  <c r="L179" i="70"/>
  <c r="L174" i="70" s="1"/>
  <c r="L173" i="70" s="1"/>
  <c r="K26" i="70"/>
  <c r="C43" i="70"/>
  <c r="C62" i="70"/>
  <c r="C65" i="70"/>
  <c r="K53" i="70"/>
  <c r="H69" i="70"/>
  <c r="H67" i="70" s="1"/>
  <c r="C82" i="70"/>
  <c r="O95" i="70"/>
  <c r="C126" i="70"/>
  <c r="I144" i="70"/>
  <c r="C156" i="70"/>
  <c r="C158" i="70"/>
  <c r="E130" i="70"/>
  <c r="C168" i="70"/>
  <c r="C172" i="70"/>
  <c r="L187" i="70"/>
  <c r="D204" i="70"/>
  <c r="D195" i="70" s="1"/>
  <c r="C208" i="70"/>
  <c r="O205" i="70"/>
  <c r="C229" i="70"/>
  <c r="C245" i="70"/>
  <c r="C253" i="70"/>
  <c r="K259" i="70"/>
  <c r="L31" i="70"/>
  <c r="C31" i="70" s="1"/>
  <c r="L77" i="70"/>
  <c r="L76" i="70" s="1"/>
  <c r="C110" i="70"/>
  <c r="C119" i="70"/>
  <c r="D187" i="70"/>
  <c r="J187" i="70"/>
  <c r="N195" i="70"/>
  <c r="C213" i="70"/>
  <c r="M231" i="70"/>
  <c r="M230" i="70" s="1"/>
  <c r="C249" i="70"/>
  <c r="D259" i="70"/>
  <c r="N259" i="70"/>
  <c r="C267" i="70"/>
  <c r="D270" i="70"/>
  <c r="D269" i="70" s="1"/>
  <c r="H270" i="70"/>
  <c r="H269" i="70" s="1"/>
  <c r="C285" i="70"/>
  <c r="O293" i="70"/>
  <c r="L36" i="70"/>
  <c r="C36" i="70" s="1"/>
  <c r="C37" i="70"/>
  <c r="L27" i="70"/>
  <c r="C27" i="70" s="1"/>
  <c r="C28" i="70"/>
  <c r="F103" i="70"/>
  <c r="D53" i="70"/>
  <c r="C79" i="70"/>
  <c r="I80" i="70"/>
  <c r="I76" i="70" s="1"/>
  <c r="C94" i="70"/>
  <c r="C97" i="70"/>
  <c r="C111" i="70"/>
  <c r="C115" i="70"/>
  <c r="M130" i="70"/>
  <c r="C138" i="70"/>
  <c r="C140" i="70"/>
  <c r="C154" i="70"/>
  <c r="C155" i="70"/>
  <c r="C182" i="70"/>
  <c r="C257" i="70"/>
  <c r="I251" i="70"/>
  <c r="I264" i="70"/>
  <c r="C265" i="70"/>
  <c r="C68" i="70"/>
  <c r="L67" i="70"/>
  <c r="L33" i="70"/>
  <c r="C33" i="70" s="1"/>
  <c r="C34" i="70"/>
  <c r="I235" i="70"/>
  <c r="E292" i="70"/>
  <c r="E291" i="70" s="1"/>
  <c r="E20" i="70"/>
  <c r="C22" i="70"/>
  <c r="F21" i="70"/>
  <c r="F292" i="70" s="1"/>
  <c r="F291" i="70" s="1"/>
  <c r="C23" i="70"/>
  <c r="F41" i="70"/>
  <c r="C41" i="70" s="1"/>
  <c r="C42" i="70"/>
  <c r="C61" i="70"/>
  <c r="C63" i="70"/>
  <c r="C71" i="70"/>
  <c r="C73" i="70"/>
  <c r="C81" i="70"/>
  <c r="C102" i="70"/>
  <c r="O103" i="70"/>
  <c r="C124" i="70"/>
  <c r="C125" i="70"/>
  <c r="H187" i="70"/>
  <c r="L198" i="70"/>
  <c r="L196" i="70" s="1"/>
  <c r="C225" i="70"/>
  <c r="E231" i="70"/>
  <c r="E230" i="70" s="1"/>
  <c r="C281" i="70"/>
  <c r="G53" i="70"/>
  <c r="C64" i="70"/>
  <c r="I69" i="70"/>
  <c r="G76" i="70"/>
  <c r="K76" i="70"/>
  <c r="F77" i="70"/>
  <c r="H83" i="70"/>
  <c r="L84" i="70"/>
  <c r="C93" i="70"/>
  <c r="C99" i="70"/>
  <c r="C104" i="70"/>
  <c r="C105" i="70"/>
  <c r="C109" i="70"/>
  <c r="I112" i="70"/>
  <c r="C112" i="70" s="1"/>
  <c r="L122" i="70"/>
  <c r="L141" i="70"/>
  <c r="C146" i="70"/>
  <c r="C148" i="70"/>
  <c r="L151" i="70"/>
  <c r="O187" i="70"/>
  <c r="K204" i="70"/>
  <c r="K195" i="70" s="1"/>
  <c r="C212" i="70"/>
  <c r="C219" i="70"/>
  <c r="C224" i="70"/>
  <c r="G231" i="70"/>
  <c r="G230" i="70" s="1"/>
  <c r="K231" i="70"/>
  <c r="K230" i="70" s="1"/>
  <c r="C244" i="70"/>
  <c r="L246" i="70"/>
  <c r="C274" i="70"/>
  <c r="L276" i="70"/>
  <c r="C276" i="70" s="1"/>
  <c r="J195" i="70"/>
  <c r="G204" i="70"/>
  <c r="G195" i="70" s="1"/>
  <c r="C211" i="70"/>
  <c r="C223" i="70"/>
  <c r="C243" i="70"/>
  <c r="C254" i="70"/>
  <c r="I259" i="70"/>
  <c r="C263" i="70"/>
  <c r="J269" i="70"/>
  <c r="C275" i="70"/>
  <c r="C277" i="70"/>
  <c r="C288" i="70"/>
  <c r="C296" i="70"/>
  <c r="C162" i="70"/>
  <c r="C164" i="70"/>
  <c r="C183" i="70"/>
  <c r="O184" i="70"/>
  <c r="E187" i="70"/>
  <c r="N187" i="70"/>
  <c r="D292" i="70"/>
  <c r="D291" i="70" s="1"/>
  <c r="M292" i="70"/>
  <c r="M291" i="70" s="1"/>
  <c r="O45" i="70"/>
  <c r="C45" i="70" s="1"/>
  <c r="C60" i="70"/>
  <c r="C70" i="70"/>
  <c r="D76" i="70"/>
  <c r="D75" i="70" s="1"/>
  <c r="M76" i="70"/>
  <c r="J83" i="70"/>
  <c r="C85" i="70"/>
  <c r="C91" i="70"/>
  <c r="K83" i="70"/>
  <c r="K75" i="70" s="1"/>
  <c r="I95" i="70"/>
  <c r="C100" i="70"/>
  <c r="C101" i="70"/>
  <c r="C107" i="70"/>
  <c r="O116" i="70"/>
  <c r="L131" i="70"/>
  <c r="D130" i="70"/>
  <c r="F141" i="70"/>
  <c r="D174" i="70"/>
  <c r="D173" i="70" s="1"/>
  <c r="J174" i="70"/>
  <c r="J173" i="70" s="1"/>
  <c r="N174" i="70"/>
  <c r="N173" i="70" s="1"/>
  <c r="C178" i="70"/>
  <c r="C190" i="70"/>
  <c r="I196" i="70"/>
  <c r="C202" i="70"/>
  <c r="C215" i="70"/>
  <c r="D231" i="70"/>
  <c r="D230" i="70" s="1"/>
  <c r="H231" i="70"/>
  <c r="N231" i="70"/>
  <c r="N230" i="70" s="1"/>
  <c r="N194" i="70" s="1"/>
  <c r="O238" i="70"/>
  <c r="L238" i="70"/>
  <c r="C255" i="70"/>
  <c r="H259" i="70"/>
  <c r="L260" i="70"/>
  <c r="L259" i="70" s="1"/>
  <c r="C266" i="70"/>
  <c r="C280" i="70"/>
  <c r="F284" i="70"/>
  <c r="C284" i="70" s="1"/>
  <c r="C298" i="70"/>
  <c r="O292" i="70"/>
  <c r="L26" i="70"/>
  <c r="C106" i="70"/>
  <c r="C117" i="70"/>
  <c r="F116" i="70"/>
  <c r="C118" i="70"/>
  <c r="C153" i="70"/>
  <c r="F151" i="70"/>
  <c r="F184" i="70"/>
  <c r="C185" i="70"/>
  <c r="C248" i="70"/>
  <c r="F246" i="70"/>
  <c r="C256" i="70"/>
  <c r="F252" i="70"/>
  <c r="J20" i="70"/>
  <c r="N20" i="70"/>
  <c r="F55" i="70"/>
  <c r="C56" i="70"/>
  <c r="F58" i="70"/>
  <c r="C59" i="70"/>
  <c r="H58" i="70"/>
  <c r="I67" i="70"/>
  <c r="C72" i="70"/>
  <c r="C78" i="70"/>
  <c r="O77" i="70"/>
  <c r="F80" i="70"/>
  <c r="O80" i="70"/>
  <c r="C87" i="70"/>
  <c r="L89" i="70"/>
  <c r="F89" i="70"/>
  <c r="I103" i="70"/>
  <c r="I116" i="70"/>
  <c r="C127" i="70"/>
  <c r="I141" i="70"/>
  <c r="C142" i="70"/>
  <c r="I151" i="70"/>
  <c r="C152" i="70"/>
  <c r="I166" i="70"/>
  <c r="I165" i="70" s="1"/>
  <c r="C170" i="70"/>
  <c r="F192" i="70"/>
  <c r="C193" i="70"/>
  <c r="I286" i="70"/>
  <c r="C286" i="70" s="1"/>
  <c r="C287" i="70"/>
  <c r="H292" i="70"/>
  <c r="H291" i="70" s="1"/>
  <c r="N53" i="70"/>
  <c r="F84" i="70"/>
  <c r="C186" i="70"/>
  <c r="C44" i="70"/>
  <c r="M83" i="70"/>
  <c r="M75" i="70" s="1"/>
  <c r="C88" i="70"/>
  <c r="C92" i="70"/>
  <c r="F95" i="70"/>
  <c r="C96" i="70"/>
  <c r="L103" i="70"/>
  <c r="C108" i="70"/>
  <c r="O122" i="70"/>
  <c r="C181" i="70"/>
  <c r="F179" i="70"/>
  <c r="C177" i="70"/>
  <c r="F175" i="70"/>
  <c r="K20" i="70"/>
  <c r="F69" i="70"/>
  <c r="L55" i="70"/>
  <c r="I57" i="70"/>
  <c r="I55" i="70" s="1"/>
  <c r="I54" i="70" s="1"/>
  <c r="H55" i="70"/>
  <c r="H54" i="70" s="1"/>
  <c r="H53" i="70" s="1"/>
  <c r="L58" i="70"/>
  <c r="O69" i="70"/>
  <c r="O67" i="70" s="1"/>
  <c r="O53" i="70" s="1"/>
  <c r="E83" i="70"/>
  <c r="E75" i="70" s="1"/>
  <c r="O84" i="70"/>
  <c r="C114" i="70"/>
  <c r="C120" i="70"/>
  <c r="F122" i="70"/>
  <c r="C123" i="70"/>
  <c r="C128" i="70"/>
  <c r="H130" i="70"/>
  <c r="C167" i="70"/>
  <c r="F166" i="70"/>
  <c r="I188" i="70"/>
  <c r="I187" i="70" s="1"/>
  <c r="C200" i="70"/>
  <c r="F198" i="70"/>
  <c r="C220" i="70"/>
  <c r="F216" i="70"/>
  <c r="C228" i="70"/>
  <c r="F227" i="70"/>
  <c r="C227" i="70" s="1"/>
  <c r="C113" i="70"/>
  <c r="L116" i="70"/>
  <c r="C133" i="70"/>
  <c r="F136" i="70"/>
  <c r="C136" i="70" s="1"/>
  <c r="C137" i="70"/>
  <c r="F144" i="70"/>
  <c r="C144" i="70" s="1"/>
  <c r="C145" i="70"/>
  <c r="C157" i="70"/>
  <c r="F160" i="70"/>
  <c r="C160" i="70" s="1"/>
  <c r="C161" i="70"/>
  <c r="C169" i="70"/>
  <c r="K173" i="70"/>
  <c r="G187" i="70"/>
  <c r="K187" i="70"/>
  <c r="F188" i="70"/>
  <c r="C189" i="70"/>
  <c r="K194" i="70"/>
  <c r="O259" i="70"/>
  <c r="C121" i="70"/>
  <c r="C129" i="70"/>
  <c r="J130" i="70"/>
  <c r="J75" i="70" s="1"/>
  <c r="J52" i="70" s="1"/>
  <c r="N130" i="70"/>
  <c r="N75" i="70" s="1"/>
  <c r="I131" i="70"/>
  <c r="C135" i="70"/>
  <c r="C139" i="70"/>
  <c r="C143" i="70"/>
  <c r="C147" i="70"/>
  <c r="O151" i="70"/>
  <c r="O130" i="70" s="1"/>
  <c r="C159" i="70"/>
  <c r="C163" i="70"/>
  <c r="L166" i="70"/>
  <c r="L165" i="70" s="1"/>
  <c r="C171" i="70"/>
  <c r="M173" i="70"/>
  <c r="C176" i="70"/>
  <c r="O175" i="70"/>
  <c r="C180" i="70"/>
  <c r="O179" i="70"/>
  <c r="M187" i="70"/>
  <c r="C197" i="70"/>
  <c r="O196" i="70"/>
  <c r="L205" i="70"/>
  <c r="L204" i="70" s="1"/>
  <c r="L195" i="70" s="1"/>
  <c r="C214" i="70"/>
  <c r="C226" i="70"/>
  <c r="C233" i="70"/>
  <c r="I238" i="70"/>
  <c r="C239" i="70"/>
  <c r="C242" i="70"/>
  <c r="C260" i="70"/>
  <c r="F269" i="70"/>
  <c r="C272" i="70"/>
  <c r="C278" i="70"/>
  <c r="C199" i="70"/>
  <c r="C207" i="70"/>
  <c r="I205" i="70"/>
  <c r="C210" i="70"/>
  <c r="I216" i="70"/>
  <c r="C222" i="70"/>
  <c r="J231" i="70"/>
  <c r="I246" i="70"/>
  <c r="C247" i="70"/>
  <c r="C250" i="70"/>
  <c r="C258" i="70"/>
  <c r="C262" i="70"/>
  <c r="I270" i="70"/>
  <c r="I269" i="70" s="1"/>
  <c r="C271" i="70"/>
  <c r="L291" i="70"/>
  <c r="O216" i="70"/>
  <c r="O204" i="70" s="1"/>
  <c r="C232" i="70"/>
  <c r="C236" i="70"/>
  <c r="F235" i="70"/>
  <c r="O246" i="70"/>
  <c r="O231" i="70" s="1"/>
  <c r="O251" i="70"/>
  <c r="C268" i="70"/>
  <c r="F264" i="70"/>
  <c r="C264" i="70" s="1"/>
  <c r="O270" i="70"/>
  <c r="O269" i="70" s="1"/>
  <c r="L270" i="70"/>
  <c r="L269" i="70" s="1"/>
  <c r="C295" i="70"/>
  <c r="I293" i="70"/>
  <c r="C293" i="70" s="1"/>
  <c r="C300" i="70"/>
  <c r="O291" i="70"/>
  <c r="C206" i="70"/>
  <c r="C234" i="70"/>
  <c r="C282" i="70"/>
  <c r="F283" i="70"/>
  <c r="C283" i="70" s="1"/>
  <c r="C294" i="70"/>
  <c r="E194" i="70" l="1"/>
  <c r="I130" i="70"/>
  <c r="H75" i="70"/>
  <c r="C184" i="70"/>
  <c r="J230" i="70"/>
  <c r="J194" i="70" s="1"/>
  <c r="J51" i="70" s="1"/>
  <c r="C235" i="70"/>
  <c r="D194" i="70"/>
  <c r="F204" i="70"/>
  <c r="C95" i="70"/>
  <c r="H230" i="70"/>
  <c r="H194" i="70" s="1"/>
  <c r="G75" i="70"/>
  <c r="N289" i="70"/>
  <c r="D52" i="70"/>
  <c r="I53" i="70"/>
  <c r="L130" i="70"/>
  <c r="K289" i="70"/>
  <c r="K52" i="70"/>
  <c r="K51" i="70" s="1"/>
  <c r="K50" i="70" s="1"/>
  <c r="L83" i="70"/>
  <c r="O76" i="70"/>
  <c r="G194" i="70"/>
  <c r="L231" i="70"/>
  <c r="L230" i="70" s="1"/>
  <c r="C77" i="70"/>
  <c r="G289" i="70"/>
  <c r="F231" i="70"/>
  <c r="O174" i="70"/>
  <c r="O173" i="70" s="1"/>
  <c r="O20" i="70"/>
  <c r="J289" i="70"/>
  <c r="I231" i="70"/>
  <c r="I230" i="70" s="1"/>
  <c r="L194" i="70"/>
  <c r="C21" i="70"/>
  <c r="N52" i="70"/>
  <c r="N51" i="70" s="1"/>
  <c r="N50" i="70" s="1"/>
  <c r="C141" i="70"/>
  <c r="O195" i="70"/>
  <c r="F259" i="70"/>
  <c r="C259" i="70" s="1"/>
  <c r="H289" i="70"/>
  <c r="C103" i="70"/>
  <c r="I83" i="70"/>
  <c r="I75" i="70" s="1"/>
  <c r="I52" i="70" s="1"/>
  <c r="M52" i="70"/>
  <c r="M51" i="70" s="1"/>
  <c r="M289" i="70"/>
  <c r="E52" i="70"/>
  <c r="E51" i="70" s="1"/>
  <c r="E289" i="70"/>
  <c r="I204" i="70"/>
  <c r="I195" i="70" s="1"/>
  <c r="I194" i="70" s="1"/>
  <c r="C205" i="70"/>
  <c r="C238" i="70"/>
  <c r="C216" i="70"/>
  <c r="C198" i="70"/>
  <c r="F196" i="70"/>
  <c r="F130" i="70"/>
  <c r="G52" i="70"/>
  <c r="C26" i="70"/>
  <c r="D289" i="70"/>
  <c r="C270" i="70"/>
  <c r="C166" i="70"/>
  <c r="F165" i="70"/>
  <c r="C165" i="70" s="1"/>
  <c r="O83" i="70"/>
  <c r="L54" i="70"/>
  <c r="L53" i="70" s="1"/>
  <c r="L20" i="70"/>
  <c r="C179" i="70"/>
  <c r="C58" i="70"/>
  <c r="C246" i="70"/>
  <c r="C116" i="70"/>
  <c r="C269" i="70"/>
  <c r="C188" i="70"/>
  <c r="C122" i="70"/>
  <c r="C175" i="70"/>
  <c r="F174" i="70"/>
  <c r="C84" i="70"/>
  <c r="F83" i="70"/>
  <c r="C89" i="70"/>
  <c r="C80" i="70"/>
  <c r="F76" i="70"/>
  <c r="C151" i="70"/>
  <c r="C131" i="70"/>
  <c r="O230" i="70"/>
  <c r="H52" i="70"/>
  <c r="H51" i="70" s="1"/>
  <c r="C69" i="70"/>
  <c r="F67" i="70"/>
  <c r="C67" i="70" s="1"/>
  <c r="C192" i="70"/>
  <c r="F191" i="70"/>
  <c r="C191" i="70" s="1"/>
  <c r="F54" i="70"/>
  <c r="C55" i="70"/>
  <c r="C252" i="70"/>
  <c r="F251" i="70"/>
  <c r="C251" i="70" s="1"/>
  <c r="C57" i="70"/>
  <c r="I292" i="70"/>
  <c r="J50" i="70" l="1"/>
  <c r="J290" i="70"/>
  <c r="O75" i="70"/>
  <c r="O52" i="70" s="1"/>
  <c r="D51" i="70"/>
  <c r="D50" i="70" s="1"/>
  <c r="D24" i="70" s="1"/>
  <c r="D20" i="70" s="1"/>
  <c r="C231" i="70"/>
  <c r="L75" i="70"/>
  <c r="L289" i="70" s="1"/>
  <c r="I289" i="70"/>
  <c r="C204" i="70"/>
  <c r="C130" i="70"/>
  <c r="K290" i="70"/>
  <c r="N290" i="70"/>
  <c r="G51" i="70"/>
  <c r="O289" i="70"/>
  <c r="C83" i="70"/>
  <c r="I51" i="70"/>
  <c r="I50" i="70" s="1"/>
  <c r="F187" i="70"/>
  <c r="C187" i="70" s="1"/>
  <c r="I291" i="70"/>
  <c r="C291" i="70" s="1"/>
  <c r="C292" i="70"/>
  <c r="H290" i="70"/>
  <c r="H50" i="70"/>
  <c r="C76" i="70"/>
  <c r="F75" i="70"/>
  <c r="C75" i="70" s="1"/>
  <c r="F53" i="70"/>
  <c r="C54" i="70"/>
  <c r="C174" i="70"/>
  <c r="F173" i="70"/>
  <c r="C173" i="70" s="1"/>
  <c r="F24" i="70"/>
  <c r="O194" i="70"/>
  <c r="G50" i="70"/>
  <c r="G24" i="70" s="1"/>
  <c r="G290" i="70" s="1"/>
  <c r="F230" i="70"/>
  <c r="E290" i="70"/>
  <c r="E50" i="70"/>
  <c r="M50" i="70"/>
  <c r="M290" i="70"/>
  <c r="C196" i="70"/>
  <c r="F195" i="70"/>
  <c r="O51" i="70" l="1"/>
  <c r="O50" i="70" s="1"/>
  <c r="D290" i="70"/>
  <c r="L52" i="70"/>
  <c r="L51" i="70" s="1"/>
  <c r="L290" i="70" s="1"/>
  <c r="L50" i="70"/>
  <c r="O290" i="70"/>
  <c r="C230" i="70"/>
  <c r="F289" i="70"/>
  <c r="C289" i="70" s="1"/>
  <c r="C195" i="70"/>
  <c r="F194" i="70"/>
  <c r="C194" i="70" s="1"/>
  <c r="I24" i="70"/>
  <c r="C24" i="70" s="1"/>
  <c r="G20" i="70"/>
  <c r="F20" i="70"/>
  <c r="F52" i="70"/>
  <c r="C53" i="70"/>
  <c r="C52" i="70" l="1"/>
  <c r="F51" i="70"/>
  <c r="I20" i="70"/>
  <c r="C20" i="70" s="1"/>
  <c r="I290" i="70"/>
  <c r="F290" i="70" l="1"/>
  <c r="C290" i="70" s="1"/>
  <c r="C51" i="70"/>
  <c r="F50" i="70"/>
  <c r="C50" i="70" s="1"/>
  <c r="O301" i="69" l="1"/>
  <c r="L301" i="69"/>
  <c r="I301" i="69"/>
  <c r="F301" i="69"/>
  <c r="C301" i="69" s="1"/>
  <c r="O300" i="69"/>
  <c r="L300" i="69"/>
  <c r="I300" i="69"/>
  <c r="F300" i="69"/>
  <c r="O299" i="69"/>
  <c r="L299" i="69"/>
  <c r="I299" i="69"/>
  <c r="F299" i="69"/>
  <c r="O298" i="69"/>
  <c r="L298" i="69"/>
  <c r="I298" i="69"/>
  <c r="F298" i="69"/>
  <c r="O297" i="69"/>
  <c r="L297" i="69"/>
  <c r="I297" i="69"/>
  <c r="F297" i="69"/>
  <c r="C297" i="69" s="1"/>
  <c r="O296" i="69"/>
  <c r="L296" i="69"/>
  <c r="I296" i="69"/>
  <c r="F296" i="69"/>
  <c r="O295" i="69"/>
  <c r="L295" i="69"/>
  <c r="I295" i="69"/>
  <c r="F295" i="69"/>
  <c r="O294" i="69"/>
  <c r="L294" i="69"/>
  <c r="I294" i="69"/>
  <c r="F294" i="69"/>
  <c r="N293" i="69"/>
  <c r="M293" i="69"/>
  <c r="K293" i="69"/>
  <c r="J293" i="69"/>
  <c r="H293" i="69"/>
  <c r="G293" i="69"/>
  <c r="E293" i="69"/>
  <c r="D293" i="69"/>
  <c r="O288" i="69"/>
  <c r="L288" i="69"/>
  <c r="I288" i="69"/>
  <c r="F288" i="69"/>
  <c r="O287" i="69"/>
  <c r="L287" i="69"/>
  <c r="L286" i="69" s="1"/>
  <c r="I287" i="69"/>
  <c r="I286" i="69" s="1"/>
  <c r="F287" i="69"/>
  <c r="F286" i="69" s="1"/>
  <c r="O286" i="69"/>
  <c r="N286" i="69"/>
  <c r="M286" i="69"/>
  <c r="K286" i="69"/>
  <c r="J286" i="69"/>
  <c r="H286" i="69"/>
  <c r="G286" i="69"/>
  <c r="E286" i="69"/>
  <c r="D286" i="69"/>
  <c r="O285" i="69"/>
  <c r="O284" i="69" s="1"/>
  <c r="O283" i="69" s="1"/>
  <c r="L285" i="69"/>
  <c r="I285" i="69"/>
  <c r="I284" i="69" s="1"/>
  <c r="I283" i="69" s="1"/>
  <c r="F285" i="69"/>
  <c r="N284" i="69"/>
  <c r="M284" i="69"/>
  <c r="M283" i="69" s="1"/>
  <c r="L284" i="69"/>
  <c r="L283" i="69" s="1"/>
  <c r="K284" i="69"/>
  <c r="J284" i="69"/>
  <c r="J283" i="69" s="1"/>
  <c r="H284" i="69"/>
  <c r="H283" i="69" s="1"/>
  <c r="G284" i="69"/>
  <c r="G283" i="69" s="1"/>
  <c r="E284" i="69"/>
  <c r="E283" i="69" s="1"/>
  <c r="D284" i="69"/>
  <c r="D283" i="69" s="1"/>
  <c r="N283" i="69"/>
  <c r="K283" i="69"/>
  <c r="O282" i="69"/>
  <c r="L282" i="69"/>
  <c r="L281" i="69" s="1"/>
  <c r="I282" i="69"/>
  <c r="I281" i="69" s="1"/>
  <c r="F282" i="69"/>
  <c r="F281" i="69" s="1"/>
  <c r="O281" i="69"/>
  <c r="N281" i="69"/>
  <c r="M281" i="69"/>
  <c r="K281" i="69"/>
  <c r="J281" i="69"/>
  <c r="H281" i="69"/>
  <c r="G281" i="69"/>
  <c r="E281" i="69"/>
  <c r="D281" i="69"/>
  <c r="O280" i="69"/>
  <c r="L280" i="69"/>
  <c r="I280" i="69"/>
  <c r="F280" i="69"/>
  <c r="O279" i="69"/>
  <c r="L279" i="69"/>
  <c r="I279" i="69"/>
  <c r="F279" i="69"/>
  <c r="O278" i="69"/>
  <c r="L278" i="69"/>
  <c r="I278" i="69"/>
  <c r="F278" i="69"/>
  <c r="O277" i="69"/>
  <c r="O276" i="69" s="1"/>
  <c r="L277" i="69"/>
  <c r="L276" i="69" s="1"/>
  <c r="I277" i="69"/>
  <c r="F277" i="69"/>
  <c r="N276" i="69"/>
  <c r="M276" i="69"/>
  <c r="K276" i="69"/>
  <c r="J276" i="69"/>
  <c r="H276" i="69"/>
  <c r="G276" i="69"/>
  <c r="E276" i="69"/>
  <c r="D276" i="69"/>
  <c r="O275" i="69"/>
  <c r="L275" i="69"/>
  <c r="I275" i="69"/>
  <c r="F275" i="69"/>
  <c r="O274" i="69"/>
  <c r="L274" i="69"/>
  <c r="I274" i="69"/>
  <c r="F274" i="69"/>
  <c r="O273" i="69"/>
  <c r="O272" i="69" s="1"/>
  <c r="L273" i="69"/>
  <c r="I273" i="69"/>
  <c r="I272" i="69" s="1"/>
  <c r="F273" i="69"/>
  <c r="N272" i="69"/>
  <c r="N270" i="69" s="1"/>
  <c r="N269" i="69" s="1"/>
  <c r="M272" i="69"/>
  <c r="K272" i="69"/>
  <c r="K270" i="69" s="1"/>
  <c r="J272" i="69"/>
  <c r="J270" i="69" s="1"/>
  <c r="J269" i="69" s="1"/>
  <c r="H272" i="69"/>
  <c r="G272" i="69"/>
  <c r="G270" i="69" s="1"/>
  <c r="E272" i="69"/>
  <c r="E270" i="69" s="1"/>
  <c r="E269" i="69" s="1"/>
  <c r="D272" i="69"/>
  <c r="O271" i="69"/>
  <c r="L271" i="69"/>
  <c r="I271" i="69"/>
  <c r="F271" i="69"/>
  <c r="O268" i="69"/>
  <c r="L268" i="69"/>
  <c r="I268" i="69"/>
  <c r="F268" i="69"/>
  <c r="O267" i="69"/>
  <c r="L267" i="69"/>
  <c r="I267" i="69"/>
  <c r="F267" i="69"/>
  <c r="O266" i="69"/>
  <c r="L266" i="69"/>
  <c r="I266" i="69"/>
  <c r="F266" i="69"/>
  <c r="O265" i="69"/>
  <c r="O264" i="69" s="1"/>
  <c r="L265" i="69"/>
  <c r="L264" i="69" s="1"/>
  <c r="I265" i="69"/>
  <c r="F265" i="69"/>
  <c r="N264" i="69"/>
  <c r="M264" i="69"/>
  <c r="K264" i="69"/>
  <c r="J264" i="69"/>
  <c r="H264" i="69"/>
  <c r="G264" i="69"/>
  <c r="E264" i="69"/>
  <c r="D264" i="69"/>
  <c r="O263" i="69"/>
  <c r="L263" i="69"/>
  <c r="I263" i="69"/>
  <c r="F263" i="69"/>
  <c r="O262" i="69"/>
  <c r="L262" i="69"/>
  <c r="I262" i="69"/>
  <c r="F262" i="69"/>
  <c r="O261" i="69"/>
  <c r="O260" i="69" s="1"/>
  <c r="L261" i="69"/>
  <c r="I261" i="69"/>
  <c r="F261" i="69"/>
  <c r="N260" i="69"/>
  <c r="M260" i="69"/>
  <c r="M259" i="69" s="1"/>
  <c r="K260" i="69"/>
  <c r="K259" i="69" s="1"/>
  <c r="J260" i="69"/>
  <c r="J259" i="69" s="1"/>
  <c r="H260" i="69"/>
  <c r="G260" i="69"/>
  <c r="G259" i="69" s="1"/>
  <c r="E260" i="69"/>
  <c r="D260" i="69"/>
  <c r="N259" i="69"/>
  <c r="O258" i="69"/>
  <c r="L258" i="69"/>
  <c r="I258" i="69"/>
  <c r="F258" i="69"/>
  <c r="O257" i="69"/>
  <c r="L257" i="69"/>
  <c r="I257" i="69"/>
  <c r="F257" i="69"/>
  <c r="O256" i="69"/>
  <c r="L256" i="69"/>
  <c r="I256" i="69"/>
  <c r="F256" i="69"/>
  <c r="O255" i="69"/>
  <c r="L255" i="69"/>
  <c r="I255" i="69"/>
  <c r="F255" i="69"/>
  <c r="O254" i="69"/>
  <c r="L254" i="69"/>
  <c r="I254" i="69"/>
  <c r="F254" i="69"/>
  <c r="O253" i="69"/>
  <c r="O252" i="69" s="1"/>
  <c r="O251" i="69" s="1"/>
  <c r="L253" i="69"/>
  <c r="L252" i="69" s="1"/>
  <c r="I253" i="69"/>
  <c r="F253" i="69"/>
  <c r="N252" i="69"/>
  <c r="N251" i="69" s="1"/>
  <c r="M252" i="69"/>
  <c r="M251" i="69" s="1"/>
  <c r="K252" i="69"/>
  <c r="J252" i="69"/>
  <c r="H252" i="69"/>
  <c r="H251" i="69" s="1"/>
  <c r="G252" i="69"/>
  <c r="G251" i="69" s="1"/>
  <c r="E252" i="69"/>
  <c r="D252" i="69"/>
  <c r="D251" i="69" s="1"/>
  <c r="K251" i="69"/>
  <c r="J251" i="69"/>
  <c r="E251" i="69"/>
  <c r="O250" i="69"/>
  <c r="L250" i="69"/>
  <c r="I250" i="69"/>
  <c r="F250" i="69"/>
  <c r="O249" i="69"/>
  <c r="L249" i="69"/>
  <c r="I249" i="69"/>
  <c r="F249" i="69"/>
  <c r="O248" i="69"/>
  <c r="L248" i="69"/>
  <c r="I248" i="69"/>
  <c r="F248" i="69"/>
  <c r="O247" i="69"/>
  <c r="L247" i="69"/>
  <c r="I247" i="69"/>
  <c r="F247" i="69"/>
  <c r="F246" i="69" s="1"/>
  <c r="N246" i="69"/>
  <c r="M246" i="69"/>
  <c r="K246" i="69"/>
  <c r="J246" i="69"/>
  <c r="H246" i="69"/>
  <c r="G246" i="69"/>
  <c r="E246" i="69"/>
  <c r="D246" i="69"/>
  <c r="O245" i="69"/>
  <c r="L245" i="69"/>
  <c r="I245" i="69"/>
  <c r="F245" i="69"/>
  <c r="O244" i="69"/>
  <c r="L244" i="69"/>
  <c r="I244" i="69"/>
  <c r="F244" i="69"/>
  <c r="O243" i="69"/>
  <c r="L243" i="69"/>
  <c r="I243" i="69"/>
  <c r="F243" i="69"/>
  <c r="O242" i="69"/>
  <c r="L242" i="69"/>
  <c r="I242" i="69"/>
  <c r="F242" i="69"/>
  <c r="O241" i="69"/>
  <c r="L241" i="69"/>
  <c r="I241" i="69"/>
  <c r="F241" i="69"/>
  <c r="O240" i="69"/>
  <c r="L240" i="69"/>
  <c r="I240" i="69"/>
  <c r="F240" i="69"/>
  <c r="O239" i="69"/>
  <c r="L239" i="69"/>
  <c r="I239" i="69"/>
  <c r="F239" i="69"/>
  <c r="N238" i="69"/>
  <c r="M238" i="69"/>
  <c r="K238" i="69"/>
  <c r="J238" i="69"/>
  <c r="H238" i="69"/>
  <c r="G238" i="69"/>
  <c r="E238" i="69"/>
  <c r="D238" i="69"/>
  <c r="O237" i="69"/>
  <c r="L237" i="69"/>
  <c r="I237" i="69"/>
  <c r="F237" i="69"/>
  <c r="O236" i="69"/>
  <c r="L236" i="69"/>
  <c r="L235" i="69" s="1"/>
  <c r="I236" i="69"/>
  <c r="I235" i="69" s="1"/>
  <c r="F236" i="69"/>
  <c r="N235" i="69"/>
  <c r="M235" i="69"/>
  <c r="K235" i="69"/>
  <c r="J235" i="69"/>
  <c r="H235" i="69"/>
  <c r="G235" i="69"/>
  <c r="E235" i="69"/>
  <c r="D235" i="69"/>
  <c r="O234" i="69"/>
  <c r="L234" i="69"/>
  <c r="L233" i="69" s="1"/>
  <c r="I234" i="69"/>
  <c r="I233" i="69" s="1"/>
  <c r="F234" i="69"/>
  <c r="F233" i="69" s="1"/>
  <c r="O233" i="69"/>
  <c r="N233" i="69"/>
  <c r="M233" i="69"/>
  <c r="K233" i="69"/>
  <c r="J233" i="69"/>
  <c r="H233" i="69"/>
  <c r="G233" i="69"/>
  <c r="E233" i="69"/>
  <c r="D233" i="69"/>
  <c r="O232" i="69"/>
  <c r="L232" i="69"/>
  <c r="I232" i="69"/>
  <c r="F232" i="69"/>
  <c r="O229" i="69"/>
  <c r="L229" i="69"/>
  <c r="I229" i="69"/>
  <c r="F229" i="69"/>
  <c r="O228" i="69"/>
  <c r="O227" i="69" s="1"/>
  <c r="L228" i="69"/>
  <c r="L227" i="69" s="1"/>
  <c r="I228" i="69"/>
  <c r="I227" i="69" s="1"/>
  <c r="F228" i="69"/>
  <c r="N227" i="69"/>
  <c r="M227" i="69"/>
  <c r="K227" i="69"/>
  <c r="J227" i="69"/>
  <c r="H227" i="69"/>
  <c r="G227" i="69"/>
  <c r="E227" i="69"/>
  <c r="D227" i="69"/>
  <c r="O226" i="69"/>
  <c r="L226" i="69"/>
  <c r="I226" i="69"/>
  <c r="F226" i="69"/>
  <c r="O225" i="69"/>
  <c r="L225" i="69"/>
  <c r="I225" i="69"/>
  <c r="F225" i="69"/>
  <c r="O224" i="69"/>
  <c r="L224" i="69"/>
  <c r="I224" i="69"/>
  <c r="F224" i="69"/>
  <c r="O223" i="69"/>
  <c r="L223" i="69"/>
  <c r="I223" i="69"/>
  <c r="F223" i="69"/>
  <c r="O222" i="69"/>
  <c r="L222" i="69"/>
  <c r="I222" i="69"/>
  <c r="F222" i="69"/>
  <c r="O221" i="69"/>
  <c r="L221" i="69"/>
  <c r="I221" i="69"/>
  <c r="F221" i="69"/>
  <c r="O220" i="69"/>
  <c r="L220" i="69"/>
  <c r="I220" i="69"/>
  <c r="F220" i="69"/>
  <c r="O219" i="69"/>
  <c r="L219" i="69"/>
  <c r="I219" i="69"/>
  <c r="F219" i="69"/>
  <c r="O218" i="69"/>
  <c r="L218" i="69"/>
  <c r="I218" i="69"/>
  <c r="F218" i="69"/>
  <c r="O217" i="69"/>
  <c r="O216" i="69" s="1"/>
  <c r="L217" i="69"/>
  <c r="I217" i="69"/>
  <c r="F217" i="69"/>
  <c r="N216" i="69"/>
  <c r="M216" i="69"/>
  <c r="K216" i="69"/>
  <c r="J216" i="69"/>
  <c r="H216" i="69"/>
  <c r="G216" i="69"/>
  <c r="E216" i="69"/>
  <c r="D216" i="69"/>
  <c r="O215" i="69"/>
  <c r="L215" i="69"/>
  <c r="I215" i="69"/>
  <c r="F215" i="69"/>
  <c r="O214" i="69"/>
  <c r="L214" i="69"/>
  <c r="I214" i="69"/>
  <c r="F214" i="69"/>
  <c r="O213" i="69"/>
  <c r="L213" i="69"/>
  <c r="I213" i="69"/>
  <c r="F213" i="69"/>
  <c r="O212" i="69"/>
  <c r="L212" i="69"/>
  <c r="I212" i="69"/>
  <c r="F212" i="69"/>
  <c r="O211" i="69"/>
  <c r="L211" i="69"/>
  <c r="I211" i="69"/>
  <c r="F211" i="69"/>
  <c r="O210" i="69"/>
  <c r="L210" i="69"/>
  <c r="I210" i="69"/>
  <c r="F210" i="69"/>
  <c r="O209" i="69"/>
  <c r="L209" i="69"/>
  <c r="I209" i="69"/>
  <c r="F209" i="69"/>
  <c r="O208" i="69"/>
  <c r="L208" i="69"/>
  <c r="I208" i="69"/>
  <c r="F208" i="69"/>
  <c r="O207" i="69"/>
  <c r="L207" i="69"/>
  <c r="I207" i="69"/>
  <c r="F207" i="69"/>
  <c r="O206" i="69"/>
  <c r="L206" i="69"/>
  <c r="I206" i="69"/>
  <c r="F206" i="69"/>
  <c r="N205" i="69"/>
  <c r="M205" i="69"/>
  <c r="K205" i="69"/>
  <c r="K204" i="69" s="1"/>
  <c r="J205" i="69"/>
  <c r="H205" i="69"/>
  <c r="G205" i="69"/>
  <c r="G204" i="69" s="1"/>
  <c r="E205" i="69"/>
  <c r="D205" i="69"/>
  <c r="O203" i="69"/>
  <c r="L203" i="69"/>
  <c r="I203" i="69"/>
  <c r="F203" i="69"/>
  <c r="O202" i="69"/>
  <c r="L202" i="69"/>
  <c r="I202" i="69"/>
  <c r="F202" i="69"/>
  <c r="O201" i="69"/>
  <c r="L201" i="69"/>
  <c r="I201" i="69"/>
  <c r="F201" i="69"/>
  <c r="O200" i="69"/>
  <c r="L200" i="69"/>
  <c r="I200" i="69"/>
  <c r="F200" i="69"/>
  <c r="O199" i="69"/>
  <c r="O198" i="69" s="1"/>
  <c r="L199" i="69"/>
  <c r="I199" i="69"/>
  <c r="F199" i="69"/>
  <c r="N198" i="69"/>
  <c r="N196" i="69" s="1"/>
  <c r="M198" i="69"/>
  <c r="M196" i="69" s="1"/>
  <c r="K198" i="69"/>
  <c r="K196" i="69" s="1"/>
  <c r="J198" i="69"/>
  <c r="J196" i="69" s="1"/>
  <c r="H198" i="69"/>
  <c r="H196" i="69" s="1"/>
  <c r="G198" i="69"/>
  <c r="G196" i="69" s="1"/>
  <c r="F198" i="69"/>
  <c r="E198" i="69"/>
  <c r="E196" i="69" s="1"/>
  <c r="D198" i="69"/>
  <c r="D196" i="69" s="1"/>
  <c r="O197" i="69"/>
  <c r="L197" i="69"/>
  <c r="I197" i="69"/>
  <c r="F197" i="69"/>
  <c r="O193" i="69"/>
  <c r="O192" i="69" s="1"/>
  <c r="O191" i="69" s="1"/>
  <c r="L193" i="69"/>
  <c r="L192" i="69" s="1"/>
  <c r="I193" i="69"/>
  <c r="F193" i="69"/>
  <c r="F192" i="69" s="1"/>
  <c r="F191" i="69" s="1"/>
  <c r="N192" i="69"/>
  <c r="N191" i="69" s="1"/>
  <c r="M192" i="69"/>
  <c r="K192" i="69"/>
  <c r="K191" i="69" s="1"/>
  <c r="J192" i="69"/>
  <c r="J191" i="69" s="1"/>
  <c r="H192" i="69"/>
  <c r="H191" i="69" s="1"/>
  <c r="G192" i="69"/>
  <c r="G191" i="69" s="1"/>
  <c r="E192" i="69"/>
  <c r="E191" i="69" s="1"/>
  <c r="D192" i="69"/>
  <c r="D191" i="69" s="1"/>
  <c r="M191" i="69"/>
  <c r="O190" i="69"/>
  <c r="L190" i="69"/>
  <c r="I190" i="69"/>
  <c r="F190" i="69"/>
  <c r="O189" i="69"/>
  <c r="L189" i="69"/>
  <c r="I189" i="69"/>
  <c r="I188" i="69" s="1"/>
  <c r="F189" i="69"/>
  <c r="O188" i="69"/>
  <c r="N188" i="69"/>
  <c r="M188" i="69"/>
  <c r="K188" i="69"/>
  <c r="J188" i="69"/>
  <c r="H188" i="69"/>
  <c r="H187" i="69" s="1"/>
  <c r="G188" i="69"/>
  <c r="E188" i="69"/>
  <c r="D188" i="69"/>
  <c r="O186" i="69"/>
  <c r="L186" i="69"/>
  <c r="I186" i="69"/>
  <c r="F186" i="69"/>
  <c r="O185" i="69"/>
  <c r="L185" i="69"/>
  <c r="L184" i="69" s="1"/>
  <c r="I185" i="69"/>
  <c r="I184" i="69" s="1"/>
  <c r="F185" i="69"/>
  <c r="N184" i="69"/>
  <c r="M184" i="69"/>
  <c r="K184" i="69"/>
  <c r="J184" i="69"/>
  <c r="H184" i="69"/>
  <c r="G184" i="69"/>
  <c r="E184" i="69"/>
  <c r="D184" i="69"/>
  <c r="O183" i="69"/>
  <c r="L183" i="69"/>
  <c r="I183" i="69"/>
  <c r="F183" i="69"/>
  <c r="O182" i="69"/>
  <c r="L182" i="69"/>
  <c r="I182" i="69"/>
  <c r="F182" i="69"/>
  <c r="O181" i="69"/>
  <c r="L181" i="69"/>
  <c r="I181" i="69"/>
  <c r="F181" i="69"/>
  <c r="O180" i="69"/>
  <c r="L180" i="69"/>
  <c r="I180" i="69"/>
  <c r="F180" i="69"/>
  <c r="F179" i="69" s="1"/>
  <c r="N179" i="69"/>
  <c r="M179" i="69"/>
  <c r="K179" i="69"/>
  <c r="J179" i="69"/>
  <c r="H179" i="69"/>
  <c r="G179" i="69"/>
  <c r="E179" i="69"/>
  <c r="D179" i="69"/>
  <c r="O178" i="69"/>
  <c r="L178" i="69"/>
  <c r="I178" i="69"/>
  <c r="F178" i="69"/>
  <c r="O177" i="69"/>
  <c r="L177" i="69"/>
  <c r="I177" i="69"/>
  <c r="F177" i="69"/>
  <c r="O176" i="69"/>
  <c r="O175" i="69" s="1"/>
  <c r="L176" i="69"/>
  <c r="L175" i="69" s="1"/>
  <c r="I176" i="69"/>
  <c r="F176" i="69"/>
  <c r="N175" i="69"/>
  <c r="M175" i="69"/>
  <c r="M174" i="69" s="1"/>
  <c r="K175" i="69"/>
  <c r="J175" i="69"/>
  <c r="H175" i="69"/>
  <c r="H174" i="69" s="1"/>
  <c r="H173" i="69" s="1"/>
  <c r="G175" i="69"/>
  <c r="E175" i="69"/>
  <c r="D175" i="69"/>
  <c r="D174" i="69" s="1"/>
  <c r="D173" i="69" s="1"/>
  <c r="K174" i="69"/>
  <c r="G174" i="69"/>
  <c r="O172" i="69"/>
  <c r="L172" i="69"/>
  <c r="I172" i="69"/>
  <c r="F172" i="69"/>
  <c r="O171" i="69"/>
  <c r="L171" i="69"/>
  <c r="I171" i="69"/>
  <c r="F171" i="69"/>
  <c r="O170" i="69"/>
  <c r="L170" i="69"/>
  <c r="I170" i="69"/>
  <c r="F170" i="69"/>
  <c r="O169" i="69"/>
  <c r="L169" i="69"/>
  <c r="I169" i="69"/>
  <c r="F169" i="69"/>
  <c r="O168" i="69"/>
  <c r="L168" i="69"/>
  <c r="I168" i="69"/>
  <c r="F168" i="69"/>
  <c r="O167" i="69"/>
  <c r="L167" i="69"/>
  <c r="I167" i="69"/>
  <c r="F167" i="69"/>
  <c r="F166" i="69" s="1"/>
  <c r="F165" i="69" s="1"/>
  <c r="N166" i="69"/>
  <c r="M166" i="69"/>
  <c r="M165" i="69" s="1"/>
  <c r="K166" i="69"/>
  <c r="K165" i="69" s="1"/>
  <c r="J166" i="69"/>
  <c r="H166" i="69"/>
  <c r="G166" i="69"/>
  <c r="G165" i="69" s="1"/>
  <c r="E166" i="69"/>
  <c r="E165" i="69" s="1"/>
  <c r="D166" i="69"/>
  <c r="D165" i="69" s="1"/>
  <c r="N165" i="69"/>
  <c r="J165" i="69"/>
  <c r="H165" i="69"/>
  <c r="O164" i="69"/>
  <c r="L164" i="69"/>
  <c r="I164" i="69"/>
  <c r="F164" i="69"/>
  <c r="O163" i="69"/>
  <c r="L163" i="69"/>
  <c r="I163" i="69"/>
  <c r="F163" i="69"/>
  <c r="O162" i="69"/>
  <c r="L162" i="69"/>
  <c r="I162" i="69"/>
  <c r="F162" i="69"/>
  <c r="O161" i="69"/>
  <c r="L161" i="69"/>
  <c r="I161" i="69"/>
  <c r="I160" i="69" s="1"/>
  <c r="F161" i="69"/>
  <c r="N160" i="69"/>
  <c r="M160" i="69"/>
  <c r="K160" i="69"/>
  <c r="J160" i="69"/>
  <c r="H160" i="69"/>
  <c r="G160" i="69"/>
  <c r="E160" i="69"/>
  <c r="D160" i="69"/>
  <c r="O159" i="69"/>
  <c r="L159" i="69"/>
  <c r="I159" i="69"/>
  <c r="F159" i="69"/>
  <c r="O158" i="69"/>
  <c r="L158" i="69"/>
  <c r="I158" i="69"/>
  <c r="F158" i="69"/>
  <c r="O157" i="69"/>
  <c r="L157" i="69"/>
  <c r="I157" i="69"/>
  <c r="F157" i="69"/>
  <c r="O156" i="69"/>
  <c r="L156" i="69"/>
  <c r="I156" i="69"/>
  <c r="F156" i="69"/>
  <c r="O155" i="69"/>
  <c r="L155" i="69"/>
  <c r="I155" i="69"/>
  <c r="F155" i="69"/>
  <c r="O154" i="69"/>
  <c r="L154" i="69"/>
  <c r="I154" i="69"/>
  <c r="F154" i="69"/>
  <c r="O153" i="69"/>
  <c r="L153" i="69"/>
  <c r="I153" i="69"/>
  <c r="F153" i="69"/>
  <c r="O152" i="69"/>
  <c r="L152" i="69"/>
  <c r="I152" i="69"/>
  <c r="F152" i="69"/>
  <c r="N151" i="69"/>
  <c r="M151" i="69"/>
  <c r="K151" i="69"/>
  <c r="J151" i="69"/>
  <c r="H151" i="69"/>
  <c r="G151" i="69"/>
  <c r="E151" i="69"/>
  <c r="D151" i="69"/>
  <c r="O150" i="69"/>
  <c r="L150" i="69"/>
  <c r="I150" i="69"/>
  <c r="F150" i="69"/>
  <c r="O149" i="69"/>
  <c r="L149" i="69"/>
  <c r="I149" i="69"/>
  <c r="F149" i="69"/>
  <c r="O148" i="69"/>
  <c r="L148" i="69"/>
  <c r="I148" i="69"/>
  <c r="F148" i="69"/>
  <c r="O147" i="69"/>
  <c r="L147" i="69"/>
  <c r="I147" i="69"/>
  <c r="F147" i="69"/>
  <c r="O146" i="69"/>
  <c r="L146" i="69"/>
  <c r="I146" i="69"/>
  <c r="F146" i="69"/>
  <c r="O145" i="69"/>
  <c r="L145" i="69"/>
  <c r="I145" i="69"/>
  <c r="I144" i="69" s="1"/>
  <c r="F145" i="69"/>
  <c r="N144" i="69"/>
  <c r="M144" i="69"/>
  <c r="K144" i="69"/>
  <c r="J144" i="69"/>
  <c r="H144" i="69"/>
  <c r="G144" i="69"/>
  <c r="E144" i="69"/>
  <c r="D144" i="69"/>
  <c r="O143" i="69"/>
  <c r="L143" i="69"/>
  <c r="I143" i="69"/>
  <c r="F143" i="69"/>
  <c r="O142" i="69"/>
  <c r="O141" i="69" s="1"/>
  <c r="L142" i="69"/>
  <c r="L141" i="69" s="1"/>
  <c r="I142" i="69"/>
  <c r="I141" i="69" s="1"/>
  <c r="F142" i="69"/>
  <c r="N141" i="69"/>
  <c r="M141" i="69"/>
  <c r="K141" i="69"/>
  <c r="J141" i="69"/>
  <c r="H141" i="69"/>
  <c r="G141" i="69"/>
  <c r="E141" i="69"/>
  <c r="D141" i="69"/>
  <c r="O140" i="69"/>
  <c r="L140" i="69"/>
  <c r="I140" i="69"/>
  <c r="F140" i="69"/>
  <c r="O139" i="69"/>
  <c r="L139" i="69"/>
  <c r="I139" i="69"/>
  <c r="F139" i="69"/>
  <c r="O138" i="69"/>
  <c r="L138" i="69"/>
  <c r="I138" i="69"/>
  <c r="F138" i="69"/>
  <c r="O137" i="69"/>
  <c r="L137" i="69"/>
  <c r="I137" i="69"/>
  <c r="I136" i="69" s="1"/>
  <c r="F137" i="69"/>
  <c r="N136" i="69"/>
  <c r="M136" i="69"/>
  <c r="K136" i="69"/>
  <c r="J136" i="69"/>
  <c r="H136" i="69"/>
  <c r="G136" i="69"/>
  <c r="E136" i="69"/>
  <c r="D136" i="69"/>
  <c r="O135" i="69"/>
  <c r="L135" i="69"/>
  <c r="I135" i="69"/>
  <c r="F135" i="69"/>
  <c r="O134" i="69"/>
  <c r="L134" i="69"/>
  <c r="I134" i="69"/>
  <c r="F134" i="69"/>
  <c r="O133" i="69"/>
  <c r="L133" i="69"/>
  <c r="I133" i="69"/>
  <c r="F133" i="69"/>
  <c r="O132" i="69"/>
  <c r="L132" i="69"/>
  <c r="I132" i="69"/>
  <c r="F132" i="69"/>
  <c r="N131" i="69"/>
  <c r="M131" i="69"/>
  <c r="K131" i="69"/>
  <c r="J131" i="69"/>
  <c r="H131" i="69"/>
  <c r="G131" i="69"/>
  <c r="E131" i="69"/>
  <c r="D131" i="69"/>
  <c r="O129" i="69"/>
  <c r="L129" i="69"/>
  <c r="L128" i="69" s="1"/>
  <c r="I129" i="69"/>
  <c r="F129" i="69"/>
  <c r="O128" i="69"/>
  <c r="N128" i="69"/>
  <c r="M128" i="69"/>
  <c r="K128" i="69"/>
  <c r="J128" i="69"/>
  <c r="I128" i="69"/>
  <c r="H128" i="69"/>
  <c r="G128" i="69"/>
  <c r="E128" i="69"/>
  <c r="D128" i="69"/>
  <c r="O127" i="69"/>
  <c r="L127" i="69"/>
  <c r="I127" i="69"/>
  <c r="F127" i="69"/>
  <c r="O126" i="69"/>
  <c r="L126" i="69"/>
  <c r="I126" i="69"/>
  <c r="F126" i="69"/>
  <c r="O125" i="69"/>
  <c r="L125" i="69"/>
  <c r="I125" i="69"/>
  <c r="F125" i="69"/>
  <c r="O124" i="69"/>
  <c r="L124" i="69"/>
  <c r="I124" i="69"/>
  <c r="F124" i="69"/>
  <c r="O123" i="69"/>
  <c r="L123" i="69"/>
  <c r="I123" i="69"/>
  <c r="F123" i="69"/>
  <c r="N122" i="69"/>
  <c r="M122" i="69"/>
  <c r="K122" i="69"/>
  <c r="J122" i="69"/>
  <c r="H122" i="69"/>
  <c r="G122" i="69"/>
  <c r="E122" i="69"/>
  <c r="D122" i="69"/>
  <c r="O121" i="69"/>
  <c r="L121" i="69"/>
  <c r="I121" i="69"/>
  <c r="F121" i="69"/>
  <c r="O120" i="69"/>
  <c r="L120" i="69"/>
  <c r="I120" i="69"/>
  <c r="F120" i="69"/>
  <c r="O119" i="69"/>
  <c r="L119" i="69"/>
  <c r="I119" i="69"/>
  <c r="F119" i="69"/>
  <c r="O118" i="69"/>
  <c r="L118" i="69"/>
  <c r="I118" i="69"/>
  <c r="F118" i="69"/>
  <c r="O117" i="69"/>
  <c r="L117" i="69"/>
  <c r="I117" i="69"/>
  <c r="F117" i="69"/>
  <c r="N116" i="69"/>
  <c r="M116" i="69"/>
  <c r="K116" i="69"/>
  <c r="J116" i="69"/>
  <c r="H116" i="69"/>
  <c r="G116" i="69"/>
  <c r="E116" i="69"/>
  <c r="D116" i="69"/>
  <c r="O115" i="69"/>
  <c r="L115" i="69"/>
  <c r="I115" i="69"/>
  <c r="F115" i="69"/>
  <c r="O114" i="69"/>
  <c r="L114" i="69"/>
  <c r="I114" i="69"/>
  <c r="F114" i="69"/>
  <c r="O113" i="69"/>
  <c r="L113" i="69"/>
  <c r="L112" i="69" s="1"/>
  <c r="I113" i="69"/>
  <c r="I112" i="69" s="1"/>
  <c r="F113" i="69"/>
  <c r="N112" i="69"/>
  <c r="M112" i="69"/>
  <c r="K112" i="69"/>
  <c r="J112" i="69"/>
  <c r="H112" i="69"/>
  <c r="G112" i="69"/>
  <c r="E112" i="69"/>
  <c r="D112" i="69"/>
  <c r="O111" i="69"/>
  <c r="L111" i="69"/>
  <c r="I111" i="69"/>
  <c r="F111" i="69"/>
  <c r="O110" i="69"/>
  <c r="L110" i="69"/>
  <c r="I110" i="69"/>
  <c r="F110" i="69"/>
  <c r="O109" i="69"/>
  <c r="L109" i="69"/>
  <c r="I109" i="69"/>
  <c r="F109" i="69"/>
  <c r="O108" i="69"/>
  <c r="L108" i="69"/>
  <c r="I108" i="69"/>
  <c r="F108" i="69"/>
  <c r="O107" i="69"/>
  <c r="L107" i="69"/>
  <c r="I107" i="69"/>
  <c r="F107" i="69"/>
  <c r="O106" i="69"/>
  <c r="L106" i="69"/>
  <c r="I106" i="69"/>
  <c r="F106" i="69"/>
  <c r="O105" i="69"/>
  <c r="L105" i="69"/>
  <c r="I105" i="69"/>
  <c r="F105" i="69"/>
  <c r="O104" i="69"/>
  <c r="L104" i="69"/>
  <c r="I104" i="69"/>
  <c r="F104" i="69"/>
  <c r="N103" i="69"/>
  <c r="M103" i="69"/>
  <c r="K103" i="69"/>
  <c r="J103" i="69"/>
  <c r="H103" i="69"/>
  <c r="G103" i="69"/>
  <c r="E103" i="69"/>
  <c r="D103" i="69"/>
  <c r="O102" i="69"/>
  <c r="L102" i="69"/>
  <c r="I102" i="69"/>
  <c r="F102" i="69"/>
  <c r="O101" i="69"/>
  <c r="L101" i="69"/>
  <c r="I101" i="69"/>
  <c r="F101" i="69"/>
  <c r="O100" i="69"/>
  <c r="L100" i="69"/>
  <c r="I100" i="69"/>
  <c r="F100" i="69"/>
  <c r="O99" i="69"/>
  <c r="L99" i="69"/>
  <c r="I99" i="69"/>
  <c r="F99" i="69"/>
  <c r="O98" i="69"/>
  <c r="L98" i="69"/>
  <c r="I98" i="69"/>
  <c r="F98" i="69"/>
  <c r="O97" i="69"/>
  <c r="L97" i="69"/>
  <c r="I97" i="69"/>
  <c r="F97" i="69"/>
  <c r="O96" i="69"/>
  <c r="L96" i="69"/>
  <c r="L95" i="69" s="1"/>
  <c r="I96" i="69"/>
  <c r="F96" i="69"/>
  <c r="N95" i="69"/>
  <c r="M95" i="69"/>
  <c r="K95" i="69"/>
  <c r="J95" i="69"/>
  <c r="H95" i="69"/>
  <c r="G95" i="69"/>
  <c r="E95" i="69"/>
  <c r="D95" i="69"/>
  <c r="O94" i="69"/>
  <c r="L94" i="69"/>
  <c r="I94" i="69"/>
  <c r="F94" i="69"/>
  <c r="O93" i="69"/>
  <c r="L93" i="69"/>
  <c r="I93" i="69"/>
  <c r="F93" i="69"/>
  <c r="O92" i="69"/>
  <c r="L92" i="69"/>
  <c r="I92" i="69"/>
  <c r="F92" i="69"/>
  <c r="O91" i="69"/>
  <c r="L91" i="69"/>
  <c r="I91" i="69"/>
  <c r="F91" i="69"/>
  <c r="O90" i="69"/>
  <c r="L90" i="69"/>
  <c r="I90" i="69"/>
  <c r="F90" i="69"/>
  <c r="N89" i="69"/>
  <c r="M89" i="69"/>
  <c r="K89" i="69"/>
  <c r="J89" i="69"/>
  <c r="H89" i="69"/>
  <c r="G89" i="69"/>
  <c r="E89" i="69"/>
  <c r="D89" i="69"/>
  <c r="O88" i="69"/>
  <c r="L88" i="69"/>
  <c r="I88" i="69"/>
  <c r="F88" i="69"/>
  <c r="O87" i="69"/>
  <c r="L87" i="69"/>
  <c r="I87" i="69"/>
  <c r="F87" i="69"/>
  <c r="O86" i="69"/>
  <c r="L86" i="69"/>
  <c r="I86" i="69"/>
  <c r="F86" i="69"/>
  <c r="O85" i="69"/>
  <c r="O84" i="69" s="1"/>
  <c r="L85" i="69"/>
  <c r="L84" i="69" s="1"/>
  <c r="I85" i="69"/>
  <c r="I84" i="69" s="1"/>
  <c r="F85" i="69"/>
  <c r="N84" i="69"/>
  <c r="N83" i="69" s="1"/>
  <c r="M84" i="69"/>
  <c r="K84" i="69"/>
  <c r="J84" i="69"/>
  <c r="H84" i="69"/>
  <c r="G84" i="69"/>
  <c r="E84" i="69"/>
  <c r="D84" i="69"/>
  <c r="O82" i="69"/>
  <c r="L82" i="69"/>
  <c r="I82" i="69"/>
  <c r="F82" i="69"/>
  <c r="O81" i="69"/>
  <c r="O80" i="69" s="1"/>
  <c r="L81" i="69"/>
  <c r="L80" i="69" s="1"/>
  <c r="I81" i="69"/>
  <c r="I80" i="69" s="1"/>
  <c r="F81" i="69"/>
  <c r="N80" i="69"/>
  <c r="M80" i="69"/>
  <c r="K80" i="69"/>
  <c r="J80" i="69"/>
  <c r="H80" i="69"/>
  <c r="G80" i="69"/>
  <c r="F80" i="69"/>
  <c r="E80" i="69"/>
  <c r="D80" i="69"/>
  <c r="O79" i="69"/>
  <c r="L79" i="69"/>
  <c r="I79" i="69"/>
  <c r="F79" i="69"/>
  <c r="O78" i="69"/>
  <c r="L78" i="69"/>
  <c r="L77" i="69" s="1"/>
  <c r="I78" i="69"/>
  <c r="I77" i="69" s="1"/>
  <c r="F78" i="69"/>
  <c r="O77" i="69"/>
  <c r="N77" i="69"/>
  <c r="M77" i="69"/>
  <c r="M76" i="69" s="1"/>
  <c r="K77" i="69"/>
  <c r="J77" i="69"/>
  <c r="H77" i="69"/>
  <c r="G77" i="69"/>
  <c r="G76" i="69" s="1"/>
  <c r="F77" i="69"/>
  <c r="E77" i="69"/>
  <c r="D77" i="69"/>
  <c r="O74" i="69"/>
  <c r="L74" i="69"/>
  <c r="I74" i="69"/>
  <c r="F74" i="69"/>
  <c r="O73" i="69"/>
  <c r="L73" i="69"/>
  <c r="I73" i="69"/>
  <c r="F73" i="69"/>
  <c r="O72" i="69"/>
  <c r="L72" i="69"/>
  <c r="I72" i="69"/>
  <c r="F72" i="69"/>
  <c r="O71" i="69"/>
  <c r="L71" i="69"/>
  <c r="I71" i="69"/>
  <c r="F71" i="69"/>
  <c r="O70" i="69"/>
  <c r="L70" i="69"/>
  <c r="L69" i="69" s="1"/>
  <c r="H70" i="69"/>
  <c r="I70" i="69" s="1"/>
  <c r="I69" i="69" s="1"/>
  <c r="F70" i="69"/>
  <c r="N69" i="69"/>
  <c r="N67" i="69" s="1"/>
  <c r="M69" i="69"/>
  <c r="M67" i="69" s="1"/>
  <c r="K69" i="69"/>
  <c r="K67" i="69" s="1"/>
  <c r="J69" i="69"/>
  <c r="G69" i="69"/>
  <c r="G67" i="69" s="1"/>
  <c r="E69" i="69"/>
  <c r="D69" i="69"/>
  <c r="D67" i="69" s="1"/>
  <c r="O68" i="69"/>
  <c r="L68" i="69"/>
  <c r="H68" i="69"/>
  <c r="I68" i="69" s="1"/>
  <c r="F68" i="69"/>
  <c r="J67" i="69"/>
  <c r="E67" i="69"/>
  <c r="O66" i="69"/>
  <c r="L66" i="69"/>
  <c r="I66" i="69"/>
  <c r="F66" i="69"/>
  <c r="O65" i="69"/>
  <c r="L65" i="69"/>
  <c r="H65" i="69"/>
  <c r="I65" i="69" s="1"/>
  <c r="F65" i="69"/>
  <c r="O64" i="69"/>
  <c r="L64" i="69"/>
  <c r="I64" i="69"/>
  <c r="F64" i="69"/>
  <c r="O63" i="69"/>
  <c r="L63" i="69"/>
  <c r="H63" i="69"/>
  <c r="H58" i="69" s="1"/>
  <c r="F63" i="69"/>
  <c r="O62" i="69"/>
  <c r="L62" i="69"/>
  <c r="I62" i="69"/>
  <c r="F62" i="69"/>
  <c r="O61" i="69"/>
  <c r="L61" i="69"/>
  <c r="I61" i="69"/>
  <c r="F61" i="69"/>
  <c r="O60" i="69"/>
  <c r="L60" i="69"/>
  <c r="I60" i="69"/>
  <c r="F60" i="69"/>
  <c r="O59" i="69"/>
  <c r="L59" i="69"/>
  <c r="I59" i="69"/>
  <c r="F59" i="69"/>
  <c r="N58" i="69"/>
  <c r="M58" i="69"/>
  <c r="K58" i="69"/>
  <c r="J58" i="69"/>
  <c r="G58" i="69"/>
  <c r="E58" i="69"/>
  <c r="D58" i="69"/>
  <c r="O57" i="69"/>
  <c r="L57" i="69"/>
  <c r="H57" i="69"/>
  <c r="F57" i="69"/>
  <c r="O56" i="69"/>
  <c r="L56" i="69"/>
  <c r="L55" i="69" s="1"/>
  <c r="I56" i="69"/>
  <c r="F56" i="69"/>
  <c r="N55" i="69"/>
  <c r="M55" i="69"/>
  <c r="M54" i="69" s="1"/>
  <c r="K55" i="69"/>
  <c r="K54" i="69" s="1"/>
  <c r="J55" i="69"/>
  <c r="G55" i="69"/>
  <c r="G54" i="69" s="1"/>
  <c r="E55" i="69"/>
  <c r="E54" i="69" s="1"/>
  <c r="D55" i="69"/>
  <c r="O47" i="69"/>
  <c r="C47" i="69" s="1"/>
  <c r="O46" i="69"/>
  <c r="C46" i="69" s="1"/>
  <c r="N45" i="69"/>
  <c r="M45" i="69"/>
  <c r="L44" i="69"/>
  <c r="L43" i="69" s="1"/>
  <c r="I44" i="69"/>
  <c r="F44" i="69"/>
  <c r="F43" i="69" s="1"/>
  <c r="K43" i="69"/>
  <c r="J43" i="69"/>
  <c r="H43" i="69"/>
  <c r="G43" i="69"/>
  <c r="E43" i="69"/>
  <c r="D43" i="69"/>
  <c r="F42" i="69"/>
  <c r="E41" i="69"/>
  <c r="D41" i="69"/>
  <c r="L40" i="69"/>
  <c r="C40" i="69" s="1"/>
  <c r="L39" i="69"/>
  <c r="C39" i="69" s="1"/>
  <c r="L38" i="69"/>
  <c r="C38" i="69" s="1"/>
  <c r="L37" i="69"/>
  <c r="K36" i="69"/>
  <c r="J36" i="69"/>
  <c r="L35" i="69"/>
  <c r="C35" i="69" s="1"/>
  <c r="L34" i="69"/>
  <c r="C34" i="69" s="1"/>
  <c r="K33" i="69"/>
  <c r="J33" i="69"/>
  <c r="L32" i="69"/>
  <c r="C32" i="69" s="1"/>
  <c r="K31" i="69"/>
  <c r="J31" i="69"/>
  <c r="L30" i="69"/>
  <c r="C30" i="69" s="1"/>
  <c r="L29" i="69"/>
  <c r="C29" i="69" s="1"/>
  <c r="L28" i="69"/>
  <c r="C28" i="69" s="1"/>
  <c r="K27" i="69"/>
  <c r="J27" i="69"/>
  <c r="F25" i="69"/>
  <c r="C25" i="69" s="1"/>
  <c r="I24" i="69"/>
  <c r="F24" i="69"/>
  <c r="O23" i="69"/>
  <c r="L23" i="69"/>
  <c r="I23" i="69"/>
  <c r="F23" i="69"/>
  <c r="O22" i="69"/>
  <c r="L22" i="69"/>
  <c r="L21" i="69" s="1"/>
  <c r="L292" i="69" s="1"/>
  <c r="I22" i="69"/>
  <c r="F22" i="69"/>
  <c r="O21" i="69"/>
  <c r="N21" i="69"/>
  <c r="N292" i="69" s="1"/>
  <c r="N291" i="69" s="1"/>
  <c r="M21" i="69"/>
  <c r="M292" i="69" s="1"/>
  <c r="M291" i="69" s="1"/>
  <c r="K21" i="69"/>
  <c r="J21" i="69"/>
  <c r="J292" i="69" s="1"/>
  <c r="H21" i="69"/>
  <c r="H292" i="69" s="1"/>
  <c r="H291" i="69" s="1"/>
  <c r="G21" i="69"/>
  <c r="F21" i="69"/>
  <c r="F292" i="69" s="1"/>
  <c r="E21" i="69"/>
  <c r="D21" i="69"/>
  <c r="D292" i="69" s="1"/>
  <c r="N20" i="69" l="1"/>
  <c r="E53" i="69"/>
  <c r="H69" i="69"/>
  <c r="H67" i="69" s="1"/>
  <c r="C265" i="69"/>
  <c r="K53" i="69"/>
  <c r="C22" i="69"/>
  <c r="H20" i="69"/>
  <c r="N54" i="69"/>
  <c r="C61" i="69"/>
  <c r="C94" i="69"/>
  <c r="F55" i="69"/>
  <c r="C92" i="69"/>
  <c r="C93" i="69"/>
  <c r="C182" i="69"/>
  <c r="D187" i="69"/>
  <c r="M270" i="69"/>
  <c r="M269" i="69" s="1"/>
  <c r="G53" i="69"/>
  <c r="C109" i="69"/>
  <c r="O116" i="69"/>
  <c r="C134" i="69"/>
  <c r="C170" i="69"/>
  <c r="O187" i="69"/>
  <c r="C193" i="69"/>
  <c r="K231" i="69"/>
  <c r="K230" i="69" s="1"/>
  <c r="K194" i="69" s="1"/>
  <c r="D231" i="69"/>
  <c r="C60" i="69"/>
  <c r="L89" i="69"/>
  <c r="C118" i="69"/>
  <c r="C146" i="69"/>
  <c r="C213" i="69"/>
  <c r="J204" i="69"/>
  <c r="J195" i="69" s="1"/>
  <c r="C225" i="69"/>
  <c r="C226" i="69"/>
  <c r="C261" i="69"/>
  <c r="C102" i="69"/>
  <c r="C105" i="69"/>
  <c r="C108" i="69"/>
  <c r="I116" i="69"/>
  <c r="L131" i="69"/>
  <c r="G130" i="69"/>
  <c r="C181" i="69"/>
  <c r="O184" i="69"/>
  <c r="C197" i="69"/>
  <c r="G195" i="69"/>
  <c r="M231" i="69"/>
  <c r="M230" i="69" s="1"/>
  <c r="E231" i="69"/>
  <c r="C241" i="69"/>
  <c r="C245" i="69"/>
  <c r="F260" i="69"/>
  <c r="E259" i="69"/>
  <c r="L198" i="69"/>
  <c r="L196" i="69" s="1"/>
  <c r="O238" i="69"/>
  <c r="C81" i="69"/>
  <c r="D291" i="69"/>
  <c r="C70" i="69"/>
  <c r="D76" i="69"/>
  <c r="H76" i="69"/>
  <c r="N76" i="69"/>
  <c r="L76" i="69"/>
  <c r="C85" i="69"/>
  <c r="C98" i="69"/>
  <c r="C133" i="69"/>
  <c r="O136" i="69"/>
  <c r="C150" i="69"/>
  <c r="C154" i="69"/>
  <c r="C158" i="69"/>
  <c r="C169" i="69"/>
  <c r="O166" i="69"/>
  <c r="O165" i="69" s="1"/>
  <c r="E174" i="69"/>
  <c r="E173" i="69" s="1"/>
  <c r="C186" i="69"/>
  <c r="I192" i="69"/>
  <c r="I191" i="69" s="1"/>
  <c r="I187" i="69" s="1"/>
  <c r="C201" i="69"/>
  <c r="O205" i="69"/>
  <c r="O204" i="69" s="1"/>
  <c r="C243" i="69"/>
  <c r="C277" i="69"/>
  <c r="O55" i="69"/>
  <c r="D204" i="69"/>
  <c r="D195" i="69" s="1"/>
  <c r="J291" i="69"/>
  <c r="D20" i="69"/>
  <c r="M53" i="69"/>
  <c r="C73" i="69"/>
  <c r="E83" i="69"/>
  <c r="K83" i="69"/>
  <c r="C114" i="69"/>
  <c r="C115" i="69"/>
  <c r="O122" i="69"/>
  <c r="E130" i="69"/>
  <c r="I131" i="69"/>
  <c r="C138" i="69"/>
  <c r="C140" i="69"/>
  <c r="C156" i="69"/>
  <c r="C162" i="69"/>
  <c r="G173" i="69"/>
  <c r="M173" i="69"/>
  <c r="C190" i="69"/>
  <c r="C203" i="69"/>
  <c r="C209" i="69"/>
  <c r="C212" i="69"/>
  <c r="H204" i="69"/>
  <c r="H195" i="69" s="1"/>
  <c r="N204" i="69"/>
  <c r="C229" i="69"/>
  <c r="C253" i="69"/>
  <c r="C281" i="69"/>
  <c r="O293" i="69"/>
  <c r="L216" i="69"/>
  <c r="O45" i="69"/>
  <c r="C45" i="69" s="1"/>
  <c r="C59" i="69"/>
  <c r="F58" i="69"/>
  <c r="C90" i="69"/>
  <c r="F89" i="69"/>
  <c r="C120" i="69"/>
  <c r="C124" i="69"/>
  <c r="C142" i="69"/>
  <c r="N187" i="69"/>
  <c r="C237" i="69"/>
  <c r="I57" i="69"/>
  <c r="I55" i="69" s="1"/>
  <c r="C55" i="69" s="1"/>
  <c r="H55" i="69"/>
  <c r="H54" i="69" s="1"/>
  <c r="I21" i="69"/>
  <c r="C21" i="69" s="1"/>
  <c r="C37" i="69"/>
  <c r="L36" i="69"/>
  <c r="C36" i="69" s="1"/>
  <c r="C44" i="69"/>
  <c r="I43" i="69"/>
  <c r="C43" i="69" s="1"/>
  <c r="L67" i="69"/>
  <c r="M83" i="69"/>
  <c r="L246" i="69"/>
  <c r="E292" i="69"/>
  <c r="E291" i="69" s="1"/>
  <c r="L27" i="69"/>
  <c r="C27" i="69" s="1"/>
  <c r="C42" i="69"/>
  <c r="F41" i="69"/>
  <c r="C41" i="69" s="1"/>
  <c r="C64" i="69"/>
  <c r="C97" i="69"/>
  <c r="I122" i="69"/>
  <c r="M130" i="69"/>
  <c r="M75" i="69" s="1"/>
  <c r="C178" i="69"/>
  <c r="E187" i="69"/>
  <c r="J187" i="69"/>
  <c r="C217" i="69"/>
  <c r="C221" i="69"/>
  <c r="M204" i="69"/>
  <c r="M195" i="69" s="1"/>
  <c r="H231" i="69"/>
  <c r="C249" i="69"/>
  <c r="C257" i="69"/>
  <c r="C273" i="69"/>
  <c r="F272" i="69"/>
  <c r="C285" i="69"/>
  <c r="C23" i="69"/>
  <c r="J26" i="69"/>
  <c r="D54" i="69"/>
  <c r="D53" i="69" s="1"/>
  <c r="C62" i="69"/>
  <c r="C68" i="69"/>
  <c r="C71" i="69"/>
  <c r="C72" i="69"/>
  <c r="O69" i="69"/>
  <c r="O67" i="69" s="1"/>
  <c r="E76" i="69"/>
  <c r="E75" i="69" s="1"/>
  <c r="E52" i="69" s="1"/>
  <c r="J76" i="69"/>
  <c r="C82" i="69"/>
  <c r="G83" i="69"/>
  <c r="C86" i="69"/>
  <c r="C87" i="69"/>
  <c r="C88" i="69"/>
  <c r="C106" i="69"/>
  <c r="C119" i="69"/>
  <c r="C135" i="69"/>
  <c r="C149" i="69"/>
  <c r="L151" i="69"/>
  <c r="O160" i="69"/>
  <c r="C171" i="69"/>
  <c r="K173" i="69"/>
  <c r="J174" i="69"/>
  <c r="J173" i="69" s="1"/>
  <c r="G187" i="69"/>
  <c r="K187" i="69"/>
  <c r="N195" i="69"/>
  <c r="C211" i="69"/>
  <c r="C214" i="69"/>
  <c r="E204" i="69"/>
  <c r="E195" i="69" s="1"/>
  <c r="O235" i="69"/>
  <c r="C248" i="69"/>
  <c r="O246" i="69"/>
  <c r="H259" i="69"/>
  <c r="L260" i="69"/>
  <c r="L259" i="69" s="1"/>
  <c r="C266" i="69"/>
  <c r="D270" i="69"/>
  <c r="D269" i="69" s="1"/>
  <c r="H270" i="69"/>
  <c r="H269" i="69" s="1"/>
  <c r="C275" i="69"/>
  <c r="F284" i="69"/>
  <c r="F283" i="69" s="1"/>
  <c r="C283" i="69" s="1"/>
  <c r="C298" i="69"/>
  <c r="K26" i="69"/>
  <c r="J54" i="69"/>
  <c r="J53" i="69" s="1"/>
  <c r="N53" i="69"/>
  <c r="C65" i="69"/>
  <c r="C74" i="69"/>
  <c r="F76" i="69"/>
  <c r="K76" i="69"/>
  <c r="C78" i="69"/>
  <c r="C79" i="69"/>
  <c r="C80" i="69"/>
  <c r="H83" i="69"/>
  <c r="C96" i="69"/>
  <c r="L103" i="69"/>
  <c r="C110" i="69"/>
  <c r="O112" i="69"/>
  <c r="H130" i="69"/>
  <c r="F141" i="69"/>
  <c r="C141" i="69" s="1"/>
  <c r="C148" i="69"/>
  <c r="C153" i="69"/>
  <c r="C163" i="69"/>
  <c r="L166" i="69"/>
  <c r="L165" i="69" s="1"/>
  <c r="C172" i="69"/>
  <c r="F175" i="69"/>
  <c r="F174" i="69" s="1"/>
  <c r="C177" i="69"/>
  <c r="M187" i="69"/>
  <c r="C200" i="69"/>
  <c r="J231" i="69"/>
  <c r="J230" i="69" s="1"/>
  <c r="C240" i="69"/>
  <c r="C254" i="69"/>
  <c r="L272" i="69"/>
  <c r="L270" i="69" s="1"/>
  <c r="L269" i="69" s="1"/>
  <c r="F276" i="69"/>
  <c r="C288" i="69"/>
  <c r="C295" i="69"/>
  <c r="L33" i="69"/>
  <c r="C33" i="69" s="1"/>
  <c r="F54" i="69"/>
  <c r="C57" i="69"/>
  <c r="O58" i="69"/>
  <c r="L58" i="69"/>
  <c r="L54" i="69" s="1"/>
  <c r="C66" i="69"/>
  <c r="D83" i="69"/>
  <c r="J83" i="69"/>
  <c r="O89" i="69"/>
  <c r="C100" i="69"/>
  <c r="C101" i="69"/>
  <c r="O103" i="69"/>
  <c r="C113" i="69"/>
  <c r="D130" i="69"/>
  <c r="K130" i="69"/>
  <c r="C139" i="69"/>
  <c r="C143" i="69"/>
  <c r="C157" i="69"/>
  <c r="L160" i="69"/>
  <c r="C164" i="69"/>
  <c r="O179" i="69"/>
  <c r="O174" i="69" s="1"/>
  <c r="L179" i="69"/>
  <c r="L174" i="69" s="1"/>
  <c r="L173" i="69" s="1"/>
  <c r="L188" i="69"/>
  <c r="K195" i="69"/>
  <c r="I216" i="69"/>
  <c r="C223" i="69"/>
  <c r="C224" i="69"/>
  <c r="G231" i="69"/>
  <c r="G230" i="69" s="1"/>
  <c r="C244" i="69"/>
  <c r="H230" i="69"/>
  <c r="C258" i="69"/>
  <c r="O270" i="69"/>
  <c r="O269" i="69" s="1"/>
  <c r="C278" i="69"/>
  <c r="G269" i="69"/>
  <c r="K269" i="69"/>
  <c r="C282" i="69"/>
  <c r="I20" i="69"/>
  <c r="O292" i="69"/>
  <c r="J75" i="69"/>
  <c r="J52" i="69" s="1"/>
  <c r="O76" i="69"/>
  <c r="K292" i="69"/>
  <c r="K291" i="69" s="1"/>
  <c r="K20" i="69"/>
  <c r="C24" i="69"/>
  <c r="G292" i="69"/>
  <c r="G291" i="69" s="1"/>
  <c r="G20" i="69"/>
  <c r="J20" i="69"/>
  <c r="I67" i="69"/>
  <c r="I76" i="69"/>
  <c r="C77" i="69"/>
  <c r="C104" i="69"/>
  <c r="F122" i="69"/>
  <c r="C123" i="69"/>
  <c r="C168" i="69"/>
  <c r="I166" i="69"/>
  <c r="I165" i="69" s="1"/>
  <c r="I175" i="69"/>
  <c r="C176" i="69"/>
  <c r="C268" i="69"/>
  <c r="F264" i="69"/>
  <c r="C294" i="69"/>
  <c r="L293" i="69"/>
  <c r="L291" i="69" s="1"/>
  <c r="E20" i="69"/>
  <c r="M20" i="69"/>
  <c r="L31" i="69"/>
  <c r="I63" i="69"/>
  <c r="I58" i="69" s="1"/>
  <c r="C91" i="69"/>
  <c r="I95" i="69"/>
  <c r="L116" i="69"/>
  <c r="C121" i="69"/>
  <c r="C125" i="69"/>
  <c r="C126" i="69"/>
  <c r="C129" i="69"/>
  <c r="F128" i="69"/>
  <c r="C128" i="69" s="1"/>
  <c r="J130" i="69"/>
  <c r="N130" i="69"/>
  <c r="L136" i="69"/>
  <c r="C145" i="69"/>
  <c r="F144" i="69"/>
  <c r="O144" i="69"/>
  <c r="F151" i="69"/>
  <c r="I151" i="69"/>
  <c r="C152" i="69"/>
  <c r="C155" i="69"/>
  <c r="C233" i="69"/>
  <c r="C56" i="69"/>
  <c r="F69" i="69"/>
  <c r="F84" i="69"/>
  <c r="I89" i="69"/>
  <c r="F95" i="69"/>
  <c r="C99" i="69"/>
  <c r="I103" i="69"/>
  <c r="C111" i="69"/>
  <c r="L122" i="69"/>
  <c r="C127" i="69"/>
  <c r="F131" i="69"/>
  <c r="C132" i="69"/>
  <c r="O131" i="69"/>
  <c r="C147" i="69"/>
  <c r="C159" i="69"/>
  <c r="N174" i="69"/>
  <c r="N173" i="69" s="1"/>
  <c r="I179" i="69"/>
  <c r="C180" i="69"/>
  <c r="C183" i="69"/>
  <c r="C255" i="69"/>
  <c r="I252" i="69"/>
  <c r="I251" i="69" s="1"/>
  <c r="O95" i="69"/>
  <c r="F103" i="69"/>
  <c r="C107" i="69"/>
  <c r="F112" i="69"/>
  <c r="C117" i="69"/>
  <c r="F116" i="69"/>
  <c r="C137" i="69"/>
  <c r="F136" i="69"/>
  <c r="L144" i="69"/>
  <c r="O151" i="69"/>
  <c r="C161" i="69"/>
  <c r="F160" i="69"/>
  <c r="C185" i="69"/>
  <c r="F184" i="69"/>
  <c r="C189" i="69"/>
  <c r="F188" i="69"/>
  <c r="C236" i="69"/>
  <c r="F235" i="69"/>
  <c r="C235" i="69" s="1"/>
  <c r="C280" i="69"/>
  <c r="C167" i="69"/>
  <c r="L191" i="69"/>
  <c r="F196" i="69"/>
  <c r="C206" i="69"/>
  <c r="C208" i="69"/>
  <c r="F205" i="69"/>
  <c r="C218" i="69"/>
  <c r="C219" i="69"/>
  <c r="C220" i="69"/>
  <c r="F216" i="69"/>
  <c r="C216" i="69" s="1"/>
  <c r="N231" i="69"/>
  <c r="N230" i="69" s="1"/>
  <c r="N194" i="69" s="1"/>
  <c r="L238" i="69"/>
  <c r="C242" i="69"/>
  <c r="O259" i="69"/>
  <c r="C267" i="69"/>
  <c r="I264" i="69"/>
  <c r="C274" i="69"/>
  <c r="C279" i="69"/>
  <c r="I276" i="69"/>
  <c r="I270" i="69" s="1"/>
  <c r="I269" i="69" s="1"/>
  <c r="O196" i="69"/>
  <c r="I198" i="69"/>
  <c r="I196" i="69" s="1"/>
  <c r="C199" i="69"/>
  <c r="C202" i="69"/>
  <c r="C207" i="69"/>
  <c r="I205" i="69"/>
  <c r="I204" i="69" s="1"/>
  <c r="C210" i="69"/>
  <c r="C222" i="69"/>
  <c r="C228" i="69"/>
  <c r="F227" i="69"/>
  <c r="C227" i="69" s="1"/>
  <c r="I246" i="69"/>
  <c r="C247" i="69"/>
  <c r="C250" i="69"/>
  <c r="C262" i="69"/>
  <c r="C271" i="69"/>
  <c r="C286" i="69"/>
  <c r="C296" i="69"/>
  <c r="F293" i="69"/>
  <c r="L205" i="69"/>
  <c r="L204" i="69" s="1"/>
  <c r="L195" i="69" s="1"/>
  <c r="C215" i="69"/>
  <c r="C232" i="69"/>
  <c r="F238" i="69"/>
  <c r="I238" i="69"/>
  <c r="I231" i="69" s="1"/>
  <c r="C239" i="69"/>
  <c r="L251" i="69"/>
  <c r="C256" i="69"/>
  <c r="F252" i="69"/>
  <c r="D259" i="69"/>
  <c r="D230" i="69" s="1"/>
  <c r="C263" i="69"/>
  <c r="I260" i="69"/>
  <c r="C287" i="69"/>
  <c r="I293" i="69"/>
  <c r="C299" i="69"/>
  <c r="C300" i="69"/>
  <c r="C234" i="69"/>
  <c r="H53" i="69" l="1"/>
  <c r="O231" i="69"/>
  <c r="G75" i="69"/>
  <c r="G52" i="69" s="1"/>
  <c r="C192" i="69"/>
  <c r="N75" i="69"/>
  <c r="E230" i="69"/>
  <c r="E194" i="69"/>
  <c r="E51" i="69" s="1"/>
  <c r="E50" i="69" s="1"/>
  <c r="L53" i="69"/>
  <c r="O54" i="69"/>
  <c r="O53" i="69" s="1"/>
  <c r="C284" i="69"/>
  <c r="O83" i="69"/>
  <c r="J194" i="69"/>
  <c r="C272" i="69"/>
  <c r="I259" i="69"/>
  <c r="C112" i="69"/>
  <c r="C179" i="69"/>
  <c r="D75" i="69"/>
  <c r="D52" i="69" s="1"/>
  <c r="G289" i="69"/>
  <c r="C184" i="69"/>
  <c r="C165" i="69"/>
  <c r="I292" i="69"/>
  <c r="C292" i="69" s="1"/>
  <c r="C293" i="69"/>
  <c r="G194" i="69"/>
  <c r="C89" i="69"/>
  <c r="I130" i="69"/>
  <c r="O20" i="69"/>
  <c r="O173" i="69"/>
  <c r="J289" i="69"/>
  <c r="H75" i="69"/>
  <c r="H289" i="69" s="1"/>
  <c r="M52" i="69"/>
  <c r="C276" i="69"/>
  <c r="O195" i="69"/>
  <c r="F270" i="69"/>
  <c r="I230" i="69"/>
  <c r="C246" i="69"/>
  <c r="H194" i="69"/>
  <c r="C160" i="69"/>
  <c r="L83" i="69"/>
  <c r="O291" i="69"/>
  <c r="M194" i="69"/>
  <c r="M289" i="69"/>
  <c r="M51" i="69"/>
  <c r="C166" i="69"/>
  <c r="J51" i="69"/>
  <c r="J290" i="69" s="1"/>
  <c r="K75" i="69"/>
  <c r="F291" i="69"/>
  <c r="L231" i="69"/>
  <c r="L230" i="69" s="1"/>
  <c r="L194" i="69" s="1"/>
  <c r="L187" i="69"/>
  <c r="L130" i="69"/>
  <c r="C116" i="69"/>
  <c r="C175" i="69"/>
  <c r="C122" i="69"/>
  <c r="F20" i="69"/>
  <c r="J50" i="69"/>
  <c r="N289" i="69"/>
  <c r="N52" i="69"/>
  <c r="N51" i="69" s="1"/>
  <c r="E290" i="69"/>
  <c r="I54" i="69"/>
  <c r="C58" i="69"/>
  <c r="C238" i="69"/>
  <c r="C260" i="69"/>
  <c r="F231" i="69"/>
  <c r="E289" i="69"/>
  <c r="O230" i="69"/>
  <c r="C191" i="69"/>
  <c r="C103" i="69"/>
  <c r="C69" i="69"/>
  <c r="F67" i="69"/>
  <c r="C63" i="69"/>
  <c r="D194" i="69"/>
  <c r="F204" i="69"/>
  <c r="C204" i="69" s="1"/>
  <c r="C205" i="69"/>
  <c r="C198" i="69"/>
  <c r="C188" i="69"/>
  <c r="F187" i="69"/>
  <c r="C187" i="69" s="1"/>
  <c r="C136" i="69"/>
  <c r="O130" i="69"/>
  <c r="C95" i="69"/>
  <c r="C144" i="69"/>
  <c r="L26" i="69"/>
  <c r="C31" i="69"/>
  <c r="C76" i="69"/>
  <c r="C252" i="69"/>
  <c r="F251" i="69"/>
  <c r="C251" i="69" s="1"/>
  <c r="C196" i="69"/>
  <c r="F173" i="69"/>
  <c r="C264" i="69"/>
  <c r="F259" i="69"/>
  <c r="C259" i="69" s="1"/>
  <c r="I174" i="69"/>
  <c r="I173" i="69" s="1"/>
  <c r="I195" i="69"/>
  <c r="F269" i="69"/>
  <c r="C270" i="69"/>
  <c r="F130" i="69"/>
  <c r="C131" i="69"/>
  <c r="C84" i="69"/>
  <c r="F83" i="69"/>
  <c r="C151" i="69"/>
  <c r="I83" i="69"/>
  <c r="O75" i="69" l="1"/>
  <c r="D289" i="69"/>
  <c r="O52" i="69"/>
  <c r="H52" i="69"/>
  <c r="H51" i="69" s="1"/>
  <c r="D51" i="69"/>
  <c r="G51" i="69"/>
  <c r="L75" i="69"/>
  <c r="L289" i="69" s="1"/>
  <c r="C291" i="69"/>
  <c r="I75" i="69"/>
  <c r="I194" i="69"/>
  <c r="I291" i="69"/>
  <c r="L52" i="69"/>
  <c r="L51" i="69" s="1"/>
  <c r="L50" i="69" s="1"/>
  <c r="K52" i="69"/>
  <c r="K51" i="69" s="1"/>
  <c r="K289" i="69"/>
  <c r="M50" i="69"/>
  <c r="M290" i="69"/>
  <c r="C174" i="69"/>
  <c r="C130" i="69"/>
  <c r="D290" i="69"/>
  <c r="D50" i="69"/>
  <c r="C269" i="69"/>
  <c r="C67" i="69"/>
  <c r="F53" i="69"/>
  <c r="O289" i="69"/>
  <c r="C173" i="69"/>
  <c r="N50" i="69"/>
  <c r="N290" i="69"/>
  <c r="F195" i="69"/>
  <c r="O194" i="69"/>
  <c r="C83" i="69"/>
  <c r="F75" i="69"/>
  <c r="C26" i="69"/>
  <c r="L20" i="69"/>
  <c r="C20" i="69" s="1"/>
  <c r="C231" i="69"/>
  <c r="F230" i="69"/>
  <c r="C230" i="69" s="1"/>
  <c r="I53" i="69"/>
  <c r="I52" i="69" s="1"/>
  <c r="I51" i="69" s="1"/>
  <c r="C54" i="69"/>
  <c r="O51" i="69" l="1"/>
  <c r="L290" i="69"/>
  <c r="G290" i="69"/>
  <c r="G50" i="69"/>
  <c r="H290" i="69"/>
  <c r="H50" i="69"/>
  <c r="C75" i="69"/>
  <c r="K50" i="69"/>
  <c r="K290" i="69"/>
  <c r="O50" i="69"/>
  <c r="O290" i="69"/>
  <c r="I290" i="69"/>
  <c r="I50" i="69"/>
  <c r="C195" i="69"/>
  <c r="F194" i="69"/>
  <c r="C194" i="69" s="1"/>
  <c r="F289" i="69"/>
  <c r="I289" i="69"/>
  <c r="C53" i="69"/>
  <c r="F52" i="69"/>
  <c r="C289" i="69" l="1"/>
  <c r="C52" i="69"/>
  <c r="F51" i="69"/>
  <c r="F290" i="69" l="1"/>
  <c r="C290" i="69" s="1"/>
  <c r="F50" i="69"/>
  <c r="C50" i="69" s="1"/>
  <c r="C51" i="69"/>
  <c r="O301" i="68" l="1"/>
  <c r="L301" i="68"/>
  <c r="I301" i="68"/>
  <c r="F301" i="68"/>
  <c r="O300" i="68"/>
  <c r="L300" i="68"/>
  <c r="I300" i="68"/>
  <c r="F300" i="68"/>
  <c r="O299" i="68"/>
  <c r="L299" i="68"/>
  <c r="I299" i="68"/>
  <c r="F299" i="68"/>
  <c r="O298" i="68"/>
  <c r="L298" i="68"/>
  <c r="I298" i="68"/>
  <c r="F298" i="68"/>
  <c r="O297" i="68"/>
  <c r="L297" i="68"/>
  <c r="I297" i="68"/>
  <c r="F297" i="68"/>
  <c r="O296" i="68"/>
  <c r="L296" i="68"/>
  <c r="I296" i="68"/>
  <c r="F296" i="68"/>
  <c r="O295" i="68"/>
  <c r="L295" i="68"/>
  <c r="I295" i="68"/>
  <c r="F295" i="68"/>
  <c r="O294" i="68"/>
  <c r="L294" i="68"/>
  <c r="L293" i="68" s="1"/>
  <c r="I294" i="68"/>
  <c r="F294" i="68"/>
  <c r="N293" i="68"/>
  <c r="M293" i="68"/>
  <c r="K293" i="68"/>
  <c r="J293" i="68"/>
  <c r="H293" i="68"/>
  <c r="G293" i="68"/>
  <c r="E293" i="68"/>
  <c r="D293" i="68"/>
  <c r="O288" i="68"/>
  <c r="L288" i="68"/>
  <c r="I288" i="68"/>
  <c r="F288" i="68"/>
  <c r="O287" i="68"/>
  <c r="L287" i="68"/>
  <c r="L286" i="68" s="1"/>
  <c r="I287" i="68"/>
  <c r="I286" i="68" s="1"/>
  <c r="F287" i="68"/>
  <c r="F286" i="68" s="1"/>
  <c r="N286" i="68"/>
  <c r="M286" i="68"/>
  <c r="K286" i="68"/>
  <c r="J286" i="68"/>
  <c r="H286" i="68"/>
  <c r="G286" i="68"/>
  <c r="E286" i="68"/>
  <c r="D286" i="68"/>
  <c r="O285" i="68"/>
  <c r="O284" i="68" s="1"/>
  <c r="O283" i="68" s="1"/>
  <c r="L285" i="68"/>
  <c r="L284" i="68" s="1"/>
  <c r="I285" i="68"/>
  <c r="I284" i="68" s="1"/>
  <c r="I283" i="68" s="1"/>
  <c r="F285" i="68"/>
  <c r="F284" i="68" s="1"/>
  <c r="F283" i="68" s="1"/>
  <c r="N284" i="68"/>
  <c r="N283" i="68" s="1"/>
  <c r="M284" i="68"/>
  <c r="M283" i="68" s="1"/>
  <c r="K284" i="68"/>
  <c r="K283" i="68" s="1"/>
  <c r="J284" i="68"/>
  <c r="J283" i="68" s="1"/>
  <c r="H284" i="68"/>
  <c r="H283" i="68" s="1"/>
  <c r="G284" i="68"/>
  <c r="G283" i="68" s="1"/>
  <c r="E284" i="68"/>
  <c r="E283" i="68" s="1"/>
  <c r="D284" i="68"/>
  <c r="D283" i="68" s="1"/>
  <c r="O282" i="68"/>
  <c r="L282" i="68"/>
  <c r="L281" i="68" s="1"/>
  <c r="I282" i="68"/>
  <c r="I281" i="68" s="1"/>
  <c r="F282" i="68"/>
  <c r="O281" i="68"/>
  <c r="N281" i="68"/>
  <c r="M281" i="68"/>
  <c r="K281" i="68"/>
  <c r="J281" i="68"/>
  <c r="H281" i="68"/>
  <c r="G281" i="68"/>
  <c r="F281" i="68"/>
  <c r="E281" i="68"/>
  <c r="D281" i="68"/>
  <c r="O280" i="68"/>
  <c r="L280" i="68"/>
  <c r="I280" i="68"/>
  <c r="F280" i="68"/>
  <c r="O279" i="68"/>
  <c r="L279" i="68"/>
  <c r="I279" i="68"/>
  <c r="F279" i="68"/>
  <c r="O278" i="68"/>
  <c r="L278" i="68"/>
  <c r="I278" i="68"/>
  <c r="F278" i="68"/>
  <c r="O277" i="68"/>
  <c r="O276" i="68" s="1"/>
  <c r="L277" i="68"/>
  <c r="L276" i="68" s="1"/>
  <c r="I277" i="68"/>
  <c r="F277" i="68"/>
  <c r="N276" i="68"/>
  <c r="M276" i="68"/>
  <c r="K276" i="68"/>
  <c r="J276" i="68"/>
  <c r="H276" i="68"/>
  <c r="G276" i="68"/>
  <c r="E276" i="68"/>
  <c r="D276" i="68"/>
  <c r="O275" i="68"/>
  <c r="L275" i="68"/>
  <c r="I275" i="68"/>
  <c r="F275" i="68"/>
  <c r="O274" i="68"/>
  <c r="L274" i="68"/>
  <c r="I274" i="68"/>
  <c r="F274" i="68"/>
  <c r="O273" i="68"/>
  <c r="O272" i="68" s="1"/>
  <c r="L273" i="68"/>
  <c r="I273" i="68"/>
  <c r="F273" i="68"/>
  <c r="F272" i="68" s="1"/>
  <c r="N272" i="68"/>
  <c r="M272" i="68"/>
  <c r="M270" i="68" s="1"/>
  <c r="M269" i="68" s="1"/>
  <c r="K272" i="68"/>
  <c r="J272" i="68"/>
  <c r="J270" i="68" s="1"/>
  <c r="J269" i="68" s="1"/>
  <c r="H272" i="68"/>
  <c r="H270" i="68" s="1"/>
  <c r="G272" i="68"/>
  <c r="E272" i="68"/>
  <c r="D272" i="68"/>
  <c r="O271" i="68"/>
  <c r="L271" i="68"/>
  <c r="I271" i="68"/>
  <c r="F271" i="68"/>
  <c r="K270" i="68"/>
  <c r="K269" i="68" s="1"/>
  <c r="O268" i="68"/>
  <c r="L268" i="68"/>
  <c r="I268" i="68"/>
  <c r="F268" i="68"/>
  <c r="O267" i="68"/>
  <c r="L267" i="68"/>
  <c r="I267" i="68"/>
  <c r="F267" i="68"/>
  <c r="O266" i="68"/>
  <c r="L266" i="68"/>
  <c r="I266" i="68"/>
  <c r="F266" i="68"/>
  <c r="O265" i="68"/>
  <c r="O264" i="68" s="1"/>
  <c r="L265" i="68"/>
  <c r="L264" i="68" s="1"/>
  <c r="I265" i="68"/>
  <c r="F265" i="68"/>
  <c r="N264" i="68"/>
  <c r="M264" i="68"/>
  <c r="K264" i="68"/>
  <c r="J264" i="68"/>
  <c r="H264" i="68"/>
  <c r="G264" i="68"/>
  <c r="E264" i="68"/>
  <c r="D264" i="68"/>
  <c r="O263" i="68"/>
  <c r="L263" i="68"/>
  <c r="I263" i="68"/>
  <c r="F263" i="68"/>
  <c r="O262" i="68"/>
  <c r="L262" i="68"/>
  <c r="I262" i="68"/>
  <c r="F262" i="68"/>
  <c r="O261" i="68"/>
  <c r="O260" i="68" s="1"/>
  <c r="L261" i="68"/>
  <c r="I261" i="68"/>
  <c r="F261" i="68"/>
  <c r="N260" i="68"/>
  <c r="N259" i="68" s="1"/>
  <c r="M260" i="68"/>
  <c r="K260" i="68"/>
  <c r="J260" i="68"/>
  <c r="J259" i="68" s="1"/>
  <c r="H260" i="68"/>
  <c r="G260" i="68"/>
  <c r="F260" i="68"/>
  <c r="E260" i="68"/>
  <c r="E259" i="68" s="1"/>
  <c r="D260" i="68"/>
  <c r="D259" i="68" s="1"/>
  <c r="K259" i="68"/>
  <c r="G259" i="68"/>
  <c r="O258" i="68"/>
  <c r="L258" i="68"/>
  <c r="I258" i="68"/>
  <c r="F258" i="68"/>
  <c r="O257" i="68"/>
  <c r="L257" i="68"/>
  <c r="I257" i="68"/>
  <c r="F257" i="68"/>
  <c r="O256" i="68"/>
  <c r="L256" i="68"/>
  <c r="I256" i="68"/>
  <c r="F256" i="68"/>
  <c r="O255" i="68"/>
  <c r="L255" i="68"/>
  <c r="I255" i="68"/>
  <c r="F255" i="68"/>
  <c r="O254" i="68"/>
  <c r="L254" i="68"/>
  <c r="I254" i="68"/>
  <c r="F254" i="68"/>
  <c r="O253" i="68"/>
  <c r="O252" i="68" s="1"/>
  <c r="L253" i="68"/>
  <c r="L252" i="68" s="1"/>
  <c r="L251" i="68" s="1"/>
  <c r="I253" i="68"/>
  <c r="F253" i="68"/>
  <c r="N252" i="68"/>
  <c r="N251" i="68" s="1"/>
  <c r="M252" i="68"/>
  <c r="M251" i="68" s="1"/>
  <c r="K252" i="68"/>
  <c r="J252" i="68"/>
  <c r="J251" i="68" s="1"/>
  <c r="H252" i="68"/>
  <c r="H251" i="68" s="1"/>
  <c r="G252" i="68"/>
  <c r="G251" i="68" s="1"/>
  <c r="E252" i="68"/>
  <c r="D252" i="68"/>
  <c r="D251" i="68" s="1"/>
  <c r="K251" i="68"/>
  <c r="E251" i="68"/>
  <c r="O250" i="68"/>
  <c r="L250" i="68"/>
  <c r="I250" i="68"/>
  <c r="F250" i="68"/>
  <c r="O249" i="68"/>
  <c r="L249" i="68"/>
  <c r="I249" i="68"/>
  <c r="F249" i="68"/>
  <c r="O248" i="68"/>
  <c r="L248" i="68"/>
  <c r="I248" i="68"/>
  <c r="F248" i="68"/>
  <c r="O247" i="68"/>
  <c r="L247" i="68"/>
  <c r="I247" i="68"/>
  <c r="F247" i="68"/>
  <c r="N246" i="68"/>
  <c r="M246" i="68"/>
  <c r="K246" i="68"/>
  <c r="J246" i="68"/>
  <c r="H246" i="68"/>
  <c r="G246" i="68"/>
  <c r="E246" i="68"/>
  <c r="D246" i="68"/>
  <c r="O245" i="68"/>
  <c r="L245" i="68"/>
  <c r="I245" i="68"/>
  <c r="F245" i="68"/>
  <c r="O244" i="68"/>
  <c r="L244" i="68"/>
  <c r="I244" i="68"/>
  <c r="F244" i="68"/>
  <c r="O243" i="68"/>
  <c r="L243" i="68"/>
  <c r="I243" i="68"/>
  <c r="F243" i="68"/>
  <c r="O242" i="68"/>
  <c r="L242" i="68"/>
  <c r="I242" i="68"/>
  <c r="F242" i="68"/>
  <c r="O241" i="68"/>
  <c r="L241" i="68"/>
  <c r="I241" i="68"/>
  <c r="F241" i="68"/>
  <c r="O240" i="68"/>
  <c r="L240" i="68"/>
  <c r="I240" i="68"/>
  <c r="F240" i="68"/>
  <c r="O239" i="68"/>
  <c r="L239" i="68"/>
  <c r="I239" i="68"/>
  <c r="F239" i="68"/>
  <c r="N238" i="68"/>
  <c r="M238" i="68"/>
  <c r="K238" i="68"/>
  <c r="J238" i="68"/>
  <c r="H238" i="68"/>
  <c r="G238" i="68"/>
  <c r="F238" i="68"/>
  <c r="E238" i="68"/>
  <c r="D238" i="68"/>
  <c r="O237" i="68"/>
  <c r="L237" i="68"/>
  <c r="I237" i="68"/>
  <c r="F237" i="68"/>
  <c r="O236" i="68"/>
  <c r="L236" i="68"/>
  <c r="I236" i="68"/>
  <c r="I235" i="68" s="1"/>
  <c r="F236" i="68"/>
  <c r="N235" i="68"/>
  <c r="M235" i="68"/>
  <c r="K235" i="68"/>
  <c r="J235" i="68"/>
  <c r="H235" i="68"/>
  <c r="G235" i="68"/>
  <c r="E235" i="68"/>
  <c r="D235" i="68"/>
  <c r="O234" i="68"/>
  <c r="L234" i="68"/>
  <c r="L233" i="68" s="1"/>
  <c r="I234" i="68"/>
  <c r="I233" i="68" s="1"/>
  <c r="F234" i="68"/>
  <c r="F233" i="68" s="1"/>
  <c r="O233" i="68"/>
  <c r="N233" i="68"/>
  <c r="M233" i="68"/>
  <c r="K233" i="68"/>
  <c r="J233" i="68"/>
  <c r="H233" i="68"/>
  <c r="G233" i="68"/>
  <c r="E233" i="68"/>
  <c r="D233" i="68"/>
  <c r="D231" i="68" s="1"/>
  <c r="O232" i="68"/>
  <c r="L232" i="68"/>
  <c r="I232" i="68"/>
  <c r="F232" i="68"/>
  <c r="O229" i="68"/>
  <c r="L229" i="68"/>
  <c r="I229" i="68"/>
  <c r="F229" i="68"/>
  <c r="O228" i="68"/>
  <c r="L228" i="68"/>
  <c r="L227" i="68" s="1"/>
  <c r="I228" i="68"/>
  <c r="I227" i="68" s="1"/>
  <c r="F228" i="68"/>
  <c r="O227" i="68"/>
  <c r="N227" i="68"/>
  <c r="M227" i="68"/>
  <c r="K227" i="68"/>
  <c r="J227" i="68"/>
  <c r="H227" i="68"/>
  <c r="G227" i="68"/>
  <c r="E227" i="68"/>
  <c r="D227" i="68"/>
  <c r="O226" i="68"/>
  <c r="L226" i="68"/>
  <c r="I226" i="68"/>
  <c r="F226" i="68"/>
  <c r="O225" i="68"/>
  <c r="L225" i="68"/>
  <c r="I225" i="68"/>
  <c r="F225" i="68"/>
  <c r="O224" i="68"/>
  <c r="L224" i="68"/>
  <c r="I224" i="68"/>
  <c r="F224" i="68"/>
  <c r="O223" i="68"/>
  <c r="L223" i="68"/>
  <c r="I223" i="68"/>
  <c r="F223" i="68"/>
  <c r="O222" i="68"/>
  <c r="L222" i="68"/>
  <c r="I222" i="68"/>
  <c r="F222" i="68"/>
  <c r="O221" i="68"/>
  <c r="L221" i="68"/>
  <c r="I221" i="68"/>
  <c r="F221" i="68"/>
  <c r="O220" i="68"/>
  <c r="L220" i="68"/>
  <c r="I220" i="68"/>
  <c r="F220" i="68"/>
  <c r="O219" i="68"/>
  <c r="L219" i="68"/>
  <c r="I219" i="68"/>
  <c r="F219" i="68"/>
  <c r="O218" i="68"/>
  <c r="L218" i="68"/>
  <c r="I218" i="68"/>
  <c r="F218" i="68"/>
  <c r="O217" i="68"/>
  <c r="L217" i="68"/>
  <c r="L216" i="68" s="1"/>
  <c r="I217" i="68"/>
  <c r="F217" i="68"/>
  <c r="N216" i="68"/>
  <c r="M216" i="68"/>
  <c r="K216" i="68"/>
  <c r="J216" i="68"/>
  <c r="H216" i="68"/>
  <c r="G216" i="68"/>
  <c r="E216" i="68"/>
  <c r="D216" i="68"/>
  <c r="O215" i="68"/>
  <c r="L215" i="68"/>
  <c r="I215" i="68"/>
  <c r="F215" i="68"/>
  <c r="O214" i="68"/>
  <c r="L214" i="68"/>
  <c r="I214" i="68"/>
  <c r="F214" i="68"/>
  <c r="O213" i="68"/>
  <c r="L213" i="68"/>
  <c r="I213" i="68"/>
  <c r="F213" i="68"/>
  <c r="O212" i="68"/>
  <c r="L212" i="68"/>
  <c r="I212" i="68"/>
  <c r="F212" i="68"/>
  <c r="O211" i="68"/>
  <c r="L211" i="68"/>
  <c r="I211" i="68"/>
  <c r="F211" i="68"/>
  <c r="O210" i="68"/>
  <c r="L210" i="68"/>
  <c r="I210" i="68"/>
  <c r="F210" i="68"/>
  <c r="O209" i="68"/>
  <c r="L209" i="68"/>
  <c r="I209" i="68"/>
  <c r="F209" i="68"/>
  <c r="O208" i="68"/>
  <c r="L208" i="68"/>
  <c r="I208" i="68"/>
  <c r="F208" i="68"/>
  <c r="O207" i="68"/>
  <c r="L207" i="68"/>
  <c r="I207" i="68"/>
  <c r="F207" i="68"/>
  <c r="O206" i="68"/>
  <c r="L206" i="68"/>
  <c r="I206" i="68"/>
  <c r="F206" i="68"/>
  <c r="N205" i="68"/>
  <c r="M205" i="68"/>
  <c r="K205" i="68"/>
  <c r="K204" i="68" s="1"/>
  <c r="J205" i="68"/>
  <c r="J204" i="68" s="1"/>
  <c r="H205" i="68"/>
  <c r="G205" i="68"/>
  <c r="G204" i="68" s="1"/>
  <c r="E205" i="68"/>
  <c r="D205" i="68"/>
  <c r="O203" i="68"/>
  <c r="L203" i="68"/>
  <c r="I203" i="68"/>
  <c r="F203" i="68"/>
  <c r="O202" i="68"/>
  <c r="L202" i="68"/>
  <c r="I202" i="68"/>
  <c r="F202" i="68"/>
  <c r="O201" i="68"/>
  <c r="L201" i="68"/>
  <c r="I201" i="68"/>
  <c r="F201" i="68"/>
  <c r="O200" i="68"/>
  <c r="L200" i="68"/>
  <c r="I200" i="68"/>
  <c r="F200" i="68"/>
  <c r="O199" i="68"/>
  <c r="O198" i="68" s="1"/>
  <c r="L199" i="68"/>
  <c r="L198" i="68" s="1"/>
  <c r="I199" i="68"/>
  <c r="F199" i="68"/>
  <c r="F198" i="68" s="1"/>
  <c r="N198" i="68"/>
  <c r="N196" i="68" s="1"/>
  <c r="M198" i="68"/>
  <c r="M196" i="68" s="1"/>
  <c r="K198" i="68"/>
  <c r="K196" i="68" s="1"/>
  <c r="J198" i="68"/>
  <c r="J196" i="68" s="1"/>
  <c r="H198" i="68"/>
  <c r="H196" i="68" s="1"/>
  <c r="G198" i="68"/>
  <c r="G196" i="68" s="1"/>
  <c r="E198" i="68"/>
  <c r="E196" i="68" s="1"/>
  <c r="D198" i="68"/>
  <c r="O197" i="68"/>
  <c r="O196" i="68" s="1"/>
  <c r="L197" i="68"/>
  <c r="I197" i="68"/>
  <c r="F197" i="68"/>
  <c r="D196" i="68"/>
  <c r="O193" i="68"/>
  <c r="O192" i="68" s="1"/>
  <c r="O191" i="68" s="1"/>
  <c r="L193" i="68"/>
  <c r="L192" i="68" s="1"/>
  <c r="L191" i="68" s="1"/>
  <c r="I193" i="68"/>
  <c r="I192" i="68" s="1"/>
  <c r="I191" i="68" s="1"/>
  <c r="F193" i="68"/>
  <c r="N192" i="68"/>
  <c r="N191" i="68" s="1"/>
  <c r="M192" i="68"/>
  <c r="M191" i="68" s="1"/>
  <c r="K192" i="68"/>
  <c r="J192" i="68"/>
  <c r="J191" i="68" s="1"/>
  <c r="H192" i="68"/>
  <c r="H191" i="68" s="1"/>
  <c r="G192" i="68"/>
  <c r="G191" i="68" s="1"/>
  <c r="F192" i="68"/>
  <c r="F191" i="68" s="1"/>
  <c r="E192" i="68"/>
  <c r="E191" i="68" s="1"/>
  <c r="D192" i="68"/>
  <c r="D191" i="68" s="1"/>
  <c r="K191" i="68"/>
  <c r="O190" i="68"/>
  <c r="L190" i="68"/>
  <c r="I190" i="68"/>
  <c r="F190" i="68"/>
  <c r="O189" i="68"/>
  <c r="O188" i="68" s="1"/>
  <c r="L189" i="68"/>
  <c r="L188" i="68" s="1"/>
  <c r="I189" i="68"/>
  <c r="I188" i="68" s="1"/>
  <c r="F189" i="68"/>
  <c r="N188" i="68"/>
  <c r="M188" i="68"/>
  <c r="K188" i="68"/>
  <c r="J188" i="68"/>
  <c r="H188" i="68"/>
  <c r="G188" i="68"/>
  <c r="F188" i="68"/>
  <c r="E188" i="68"/>
  <c r="D188" i="68"/>
  <c r="O186" i="68"/>
  <c r="L186" i="68"/>
  <c r="I186" i="68"/>
  <c r="F186" i="68"/>
  <c r="O185" i="68"/>
  <c r="O184" i="68" s="1"/>
  <c r="L185" i="68"/>
  <c r="L184" i="68" s="1"/>
  <c r="I185" i="68"/>
  <c r="I184" i="68" s="1"/>
  <c r="F185" i="68"/>
  <c r="N184" i="68"/>
  <c r="M184" i="68"/>
  <c r="K184" i="68"/>
  <c r="J184" i="68"/>
  <c r="H184" i="68"/>
  <c r="G184" i="68"/>
  <c r="F184" i="68"/>
  <c r="E184" i="68"/>
  <c r="D184" i="68"/>
  <c r="O183" i="68"/>
  <c r="L183" i="68"/>
  <c r="I183" i="68"/>
  <c r="F183" i="68"/>
  <c r="O182" i="68"/>
  <c r="L182" i="68"/>
  <c r="I182" i="68"/>
  <c r="F182" i="68"/>
  <c r="O181" i="68"/>
  <c r="L181" i="68"/>
  <c r="I181" i="68"/>
  <c r="F181" i="68"/>
  <c r="O180" i="68"/>
  <c r="L180" i="68"/>
  <c r="I180" i="68"/>
  <c r="F180" i="68"/>
  <c r="N179" i="68"/>
  <c r="M179" i="68"/>
  <c r="K179" i="68"/>
  <c r="J179" i="68"/>
  <c r="H179" i="68"/>
  <c r="G179" i="68"/>
  <c r="E179" i="68"/>
  <c r="D179" i="68"/>
  <c r="O178" i="68"/>
  <c r="L178" i="68"/>
  <c r="I178" i="68"/>
  <c r="F178" i="68"/>
  <c r="O177" i="68"/>
  <c r="L177" i="68"/>
  <c r="I177" i="68"/>
  <c r="F177" i="68"/>
  <c r="O176" i="68"/>
  <c r="L176" i="68"/>
  <c r="L175" i="68" s="1"/>
  <c r="I176" i="68"/>
  <c r="I175" i="68" s="1"/>
  <c r="F176" i="68"/>
  <c r="O175" i="68"/>
  <c r="N175" i="68"/>
  <c r="M175" i="68"/>
  <c r="K175" i="68"/>
  <c r="J175" i="68"/>
  <c r="H175" i="68"/>
  <c r="G175" i="68"/>
  <c r="E175" i="68"/>
  <c r="E174" i="68" s="1"/>
  <c r="E173" i="68" s="1"/>
  <c r="D175" i="68"/>
  <c r="D174" i="68" s="1"/>
  <c r="D173" i="68" s="1"/>
  <c r="O172" i="68"/>
  <c r="L172" i="68"/>
  <c r="I172" i="68"/>
  <c r="F172" i="68"/>
  <c r="O171" i="68"/>
  <c r="L171" i="68"/>
  <c r="I171" i="68"/>
  <c r="F171" i="68"/>
  <c r="O170" i="68"/>
  <c r="L170" i="68"/>
  <c r="I170" i="68"/>
  <c r="F170" i="68"/>
  <c r="O169" i="68"/>
  <c r="L169" i="68"/>
  <c r="I169" i="68"/>
  <c r="F169" i="68"/>
  <c r="O168" i="68"/>
  <c r="L168" i="68"/>
  <c r="I168" i="68"/>
  <c r="F168" i="68"/>
  <c r="O167" i="68"/>
  <c r="O166" i="68" s="1"/>
  <c r="L167" i="68"/>
  <c r="I167" i="68"/>
  <c r="F167" i="68"/>
  <c r="N166" i="68"/>
  <c r="M166" i="68"/>
  <c r="K166" i="68"/>
  <c r="K165" i="68" s="1"/>
  <c r="J166" i="68"/>
  <c r="J165" i="68" s="1"/>
  <c r="H166" i="68"/>
  <c r="H165" i="68" s="1"/>
  <c r="G166" i="68"/>
  <c r="G165" i="68" s="1"/>
  <c r="E166" i="68"/>
  <c r="E165" i="68" s="1"/>
  <c r="D166" i="68"/>
  <c r="D165" i="68" s="1"/>
  <c r="N165" i="68"/>
  <c r="M165" i="68"/>
  <c r="O164" i="68"/>
  <c r="L164" i="68"/>
  <c r="I164" i="68"/>
  <c r="F164" i="68"/>
  <c r="O163" i="68"/>
  <c r="L163" i="68"/>
  <c r="I163" i="68"/>
  <c r="F163" i="68"/>
  <c r="O162" i="68"/>
  <c r="L162" i="68"/>
  <c r="I162" i="68"/>
  <c r="F162" i="68"/>
  <c r="O161" i="68"/>
  <c r="L161" i="68"/>
  <c r="L160" i="68" s="1"/>
  <c r="I161" i="68"/>
  <c r="I160" i="68" s="1"/>
  <c r="F161" i="68"/>
  <c r="F160" i="68" s="1"/>
  <c r="N160" i="68"/>
  <c r="M160" i="68"/>
  <c r="K160" i="68"/>
  <c r="J160" i="68"/>
  <c r="H160" i="68"/>
  <c r="G160" i="68"/>
  <c r="E160" i="68"/>
  <c r="D160" i="68"/>
  <c r="O159" i="68"/>
  <c r="L159" i="68"/>
  <c r="I159" i="68"/>
  <c r="F159" i="68"/>
  <c r="O158" i="68"/>
  <c r="L158" i="68"/>
  <c r="I158" i="68"/>
  <c r="F158" i="68"/>
  <c r="O157" i="68"/>
  <c r="L157" i="68"/>
  <c r="I157" i="68"/>
  <c r="F157" i="68"/>
  <c r="O156" i="68"/>
  <c r="L156" i="68"/>
  <c r="I156" i="68"/>
  <c r="F156" i="68"/>
  <c r="O155" i="68"/>
  <c r="L155" i="68"/>
  <c r="I155" i="68"/>
  <c r="F155" i="68"/>
  <c r="O154" i="68"/>
  <c r="L154" i="68"/>
  <c r="I154" i="68"/>
  <c r="F154" i="68"/>
  <c r="O153" i="68"/>
  <c r="L153" i="68"/>
  <c r="I153" i="68"/>
  <c r="F153" i="68"/>
  <c r="O152" i="68"/>
  <c r="L152" i="68"/>
  <c r="I152" i="68"/>
  <c r="F152" i="68"/>
  <c r="N151" i="68"/>
  <c r="M151" i="68"/>
  <c r="K151" i="68"/>
  <c r="J151" i="68"/>
  <c r="H151" i="68"/>
  <c r="G151" i="68"/>
  <c r="E151" i="68"/>
  <c r="D151" i="68"/>
  <c r="O150" i="68"/>
  <c r="L150" i="68"/>
  <c r="I150" i="68"/>
  <c r="F150" i="68"/>
  <c r="O149" i="68"/>
  <c r="L149" i="68"/>
  <c r="I149" i="68"/>
  <c r="F149" i="68"/>
  <c r="O148" i="68"/>
  <c r="L148" i="68"/>
  <c r="I148" i="68"/>
  <c r="F148" i="68"/>
  <c r="O147" i="68"/>
  <c r="L147" i="68"/>
  <c r="I147" i="68"/>
  <c r="F147" i="68"/>
  <c r="O146" i="68"/>
  <c r="L146" i="68"/>
  <c r="I146" i="68"/>
  <c r="F146" i="68"/>
  <c r="O145" i="68"/>
  <c r="L145" i="68"/>
  <c r="I145" i="68"/>
  <c r="F145" i="68"/>
  <c r="N144" i="68"/>
  <c r="M144" i="68"/>
  <c r="K144" i="68"/>
  <c r="J144" i="68"/>
  <c r="H144" i="68"/>
  <c r="G144" i="68"/>
  <c r="E144" i="68"/>
  <c r="D144" i="68"/>
  <c r="O143" i="68"/>
  <c r="L143" i="68"/>
  <c r="I143" i="68"/>
  <c r="F143" i="68"/>
  <c r="O142" i="68"/>
  <c r="L142" i="68"/>
  <c r="I142" i="68"/>
  <c r="I141" i="68" s="1"/>
  <c r="F142" i="68"/>
  <c r="N141" i="68"/>
  <c r="M141" i="68"/>
  <c r="K141" i="68"/>
  <c r="J141" i="68"/>
  <c r="H141" i="68"/>
  <c r="G141" i="68"/>
  <c r="E141" i="68"/>
  <c r="D141" i="68"/>
  <c r="O140" i="68"/>
  <c r="L140" i="68"/>
  <c r="I140" i="68"/>
  <c r="F140" i="68"/>
  <c r="O139" i="68"/>
  <c r="L139" i="68"/>
  <c r="I139" i="68"/>
  <c r="F139" i="68"/>
  <c r="O138" i="68"/>
  <c r="L138" i="68"/>
  <c r="I138" i="68"/>
  <c r="F138" i="68"/>
  <c r="O137" i="68"/>
  <c r="L137" i="68"/>
  <c r="I137" i="68"/>
  <c r="F137" i="68"/>
  <c r="F136" i="68" s="1"/>
  <c r="N136" i="68"/>
  <c r="M136" i="68"/>
  <c r="K136" i="68"/>
  <c r="J136" i="68"/>
  <c r="H136" i="68"/>
  <c r="G136" i="68"/>
  <c r="E136" i="68"/>
  <c r="D136" i="68"/>
  <c r="O135" i="68"/>
  <c r="L135" i="68"/>
  <c r="I135" i="68"/>
  <c r="F135" i="68"/>
  <c r="C135" i="68" s="1"/>
  <c r="O134" i="68"/>
  <c r="L134" i="68"/>
  <c r="I134" i="68"/>
  <c r="F134" i="68"/>
  <c r="C134" i="68" s="1"/>
  <c r="O133" i="68"/>
  <c r="L133" i="68"/>
  <c r="I133" i="68"/>
  <c r="F133" i="68"/>
  <c r="F131" i="68" s="1"/>
  <c r="E133" i="68"/>
  <c r="O132" i="68"/>
  <c r="L132" i="68"/>
  <c r="I132" i="68"/>
  <c r="F132" i="68"/>
  <c r="N131" i="68"/>
  <c r="M131" i="68"/>
  <c r="L131" i="68"/>
  <c r="K131" i="68"/>
  <c r="J131" i="68"/>
  <c r="H131" i="68"/>
  <c r="G131" i="68"/>
  <c r="E131" i="68"/>
  <c r="D131" i="68"/>
  <c r="O129" i="68"/>
  <c r="L129" i="68"/>
  <c r="L128" i="68" s="1"/>
  <c r="I129" i="68"/>
  <c r="I128" i="68" s="1"/>
  <c r="F129" i="68"/>
  <c r="O128" i="68"/>
  <c r="N128" i="68"/>
  <c r="M128" i="68"/>
  <c r="K128" i="68"/>
  <c r="J128" i="68"/>
  <c r="H128" i="68"/>
  <c r="G128" i="68"/>
  <c r="F128" i="68"/>
  <c r="E128" i="68"/>
  <c r="D128" i="68"/>
  <c r="O127" i="68"/>
  <c r="L127" i="68"/>
  <c r="I127" i="68"/>
  <c r="F127" i="68"/>
  <c r="O126" i="68"/>
  <c r="L126" i="68"/>
  <c r="I126" i="68"/>
  <c r="F126" i="68"/>
  <c r="O125" i="68"/>
  <c r="L125" i="68"/>
  <c r="I125" i="68"/>
  <c r="F125" i="68"/>
  <c r="O124" i="68"/>
  <c r="L124" i="68"/>
  <c r="I124" i="68"/>
  <c r="F124" i="68"/>
  <c r="O123" i="68"/>
  <c r="L123" i="68"/>
  <c r="I123" i="68"/>
  <c r="I122" i="68" s="1"/>
  <c r="F123" i="68"/>
  <c r="N122" i="68"/>
  <c r="M122" i="68"/>
  <c r="K122" i="68"/>
  <c r="J122" i="68"/>
  <c r="H122" i="68"/>
  <c r="G122" i="68"/>
  <c r="E122" i="68"/>
  <c r="D122" i="68"/>
  <c r="O121" i="68"/>
  <c r="L121" i="68"/>
  <c r="I121" i="68"/>
  <c r="F121" i="68"/>
  <c r="O120" i="68"/>
  <c r="L120" i="68"/>
  <c r="I120" i="68"/>
  <c r="F120" i="68"/>
  <c r="O119" i="68"/>
  <c r="L119" i="68"/>
  <c r="I119" i="68"/>
  <c r="F119" i="68"/>
  <c r="O118" i="68"/>
  <c r="L118" i="68"/>
  <c r="I118" i="68"/>
  <c r="F118" i="68"/>
  <c r="O117" i="68"/>
  <c r="L117" i="68"/>
  <c r="I117" i="68"/>
  <c r="F117" i="68"/>
  <c r="N116" i="68"/>
  <c r="M116" i="68"/>
  <c r="K116" i="68"/>
  <c r="J116" i="68"/>
  <c r="H116" i="68"/>
  <c r="G116" i="68"/>
  <c r="E116" i="68"/>
  <c r="D116" i="68"/>
  <c r="O115" i="68"/>
  <c r="L115" i="68"/>
  <c r="I115" i="68"/>
  <c r="F115" i="68"/>
  <c r="O114" i="68"/>
  <c r="L114" i="68"/>
  <c r="I114" i="68"/>
  <c r="F114" i="68"/>
  <c r="O113" i="68"/>
  <c r="L113" i="68"/>
  <c r="L112" i="68" s="1"/>
  <c r="I113" i="68"/>
  <c r="I112" i="68" s="1"/>
  <c r="F113" i="68"/>
  <c r="O112" i="68"/>
  <c r="N112" i="68"/>
  <c r="M112" i="68"/>
  <c r="K112" i="68"/>
  <c r="J112" i="68"/>
  <c r="H112" i="68"/>
  <c r="G112" i="68"/>
  <c r="E112" i="68"/>
  <c r="D112" i="68"/>
  <c r="O111" i="68"/>
  <c r="L111" i="68"/>
  <c r="I111" i="68"/>
  <c r="F111" i="68"/>
  <c r="O110" i="68"/>
  <c r="L110" i="68"/>
  <c r="I110" i="68"/>
  <c r="F110" i="68"/>
  <c r="O109" i="68"/>
  <c r="L109" i="68"/>
  <c r="I109" i="68"/>
  <c r="F109" i="68"/>
  <c r="O108" i="68"/>
  <c r="L108" i="68"/>
  <c r="I108" i="68"/>
  <c r="F108" i="68"/>
  <c r="O107" i="68"/>
  <c r="L107" i="68"/>
  <c r="I107" i="68"/>
  <c r="F107" i="68"/>
  <c r="O106" i="68"/>
  <c r="L106" i="68"/>
  <c r="I106" i="68"/>
  <c r="F106" i="68"/>
  <c r="O105" i="68"/>
  <c r="L105" i="68"/>
  <c r="I105" i="68"/>
  <c r="F105" i="68"/>
  <c r="O104" i="68"/>
  <c r="L104" i="68"/>
  <c r="I104" i="68"/>
  <c r="F104" i="68"/>
  <c r="N103" i="68"/>
  <c r="M103" i="68"/>
  <c r="K103" i="68"/>
  <c r="J103" i="68"/>
  <c r="H103" i="68"/>
  <c r="G103" i="68"/>
  <c r="E103" i="68"/>
  <c r="D103" i="68"/>
  <c r="O102" i="68"/>
  <c r="L102" i="68"/>
  <c r="I102" i="68"/>
  <c r="F102" i="68"/>
  <c r="O101" i="68"/>
  <c r="L101" i="68"/>
  <c r="I101" i="68"/>
  <c r="F101" i="68"/>
  <c r="O100" i="68"/>
  <c r="L100" i="68"/>
  <c r="I100" i="68"/>
  <c r="F100" i="68"/>
  <c r="O99" i="68"/>
  <c r="L99" i="68"/>
  <c r="I99" i="68"/>
  <c r="F99" i="68"/>
  <c r="O98" i="68"/>
  <c r="L98" i="68"/>
  <c r="I98" i="68"/>
  <c r="F98" i="68"/>
  <c r="O97" i="68"/>
  <c r="L97" i="68"/>
  <c r="I97" i="68"/>
  <c r="F97" i="68"/>
  <c r="O96" i="68"/>
  <c r="L96" i="68"/>
  <c r="I96" i="68"/>
  <c r="F96" i="68"/>
  <c r="N95" i="68"/>
  <c r="M95" i="68"/>
  <c r="K95" i="68"/>
  <c r="J95" i="68"/>
  <c r="H95" i="68"/>
  <c r="G95" i="68"/>
  <c r="E95" i="68"/>
  <c r="D95" i="68"/>
  <c r="O94" i="68"/>
  <c r="L94" i="68"/>
  <c r="I94" i="68"/>
  <c r="F94" i="68"/>
  <c r="O93" i="68"/>
  <c r="L93" i="68"/>
  <c r="I93" i="68"/>
  <c r="F93" i="68"/>
  <c r="O92" i="68"/>
  <c r="L92" i="68"/>
  <c r="I92" i="68"/>
  <c r="F92" i="68"/>
  <c r="O91" i="68"/>
  <c r="L91" i="68"/>
  <c r="I91" i="68"/>
  <c r="F91" i="68"/>
  <c r="O90" i="68"/>
  <c r="L90" i="68"/>
  <c r="I90" i="68"/>
  <c r="F90" i="68"/>
  <c r="N89" i="68"/>
  <c r="M89" i="68"/>
  <c r="K89" i="68"/>
  <c r="J89" i="68"/>
  <c r="H89" i="68"/>
  <c r="G89" i="68"/>
  <c r="E89" i="68"/>
  <c r="D89" i="68"/>
  <c r="O88" i="68"/>
  <c r="L88" i="68"/>
  <c r="I88" i="68"/>
  <c r="F88" i="68"/>
  <c r="O87" i="68"/>
  <c r="L87" i="68"/>
  <c r="I87" i="68"/>
  <c r="F87" i="68"/>
  <c r="O86" i="68"/>
  <c r="L86" i="68"/>
  <c r="I86" i="68"/>
  <c r="F86" i="68"/>
  <c r="O85" i="68"/>
  <c r="L85" i="68"/>
  <c r="I85" i="68"/>
  <c r="F85" i="68"/>
  <c r="N84" i="68"/>
  <c r="M84" i="68"/>
  <c r="K84" i="68"/>
  <c r="K83" i="68" s="1"/>
  <c r="J84" i="68"/>
  <c r="H84" i="68"/>
  <c r="G84" i="68"/>
  <c r="F84" i="68"/>
  <c r="E84" i="68"/>
  <c r="D84" i="68"/>
  <c r="M83" i="68"/>
  <c r="O82" i="68"/>
  <c r="L82" i="68"/>
  <c r="I82" i="68"/>
  <c r="F82" i="68"/>
  <c r="O81" i="68"/>
  <c r="O80" i="68" s="1"/>
  <c r="L81" i="68"/>
  <c r="L80" i="68" s="1"/>
  <c r="I81" i="68"/>
  <c r="F81" i="68"/>
  <c r="F80" i="68" s="1"/>
  <c r="N80" i="68"/>
  <c r="N76" i="68" s="1"/>
  <c r="M80" i="68"/>
  <c r="K80" i="68"/>
  <c r="J80" i="68"/>
  <c r="H80" i="68"/>
  <c r="G80" i="68"/>
  <c r="E80" i="68"/>
  <c r="D80" i="68"/>
  <c r="O79" i="68"/>
  <c r="L79" i="68"/>
  <c r="I79" i="68"/>
  <c r="F79" i="68"/>
  <c r="C79" i="68" s="1"/>
  <c r="O78" i="68"/>
  <c r="L78" i="68"/>
  <c r="L77" i="68" s="1"/>
  <c r="I78" i="68"/>
  <c r="F78" i="68"/>
  <c r="N77" i="68"/>
  <c r="M77" i="68"/>
  <c r="M76" i="68" s="1"/>
  <c r="K77" i="68"/>
  <c r="K76" i="68" s="1"/>
  <c r="J77" i="68"/>
  <c r="H77" i="68"/>
  <c r="G77" i="68"/>
  <c r="G76" i="68" s="1"/>
  <c r="E77" i="68"/>
  <c r="D77" i="68"/>
  <c r="O74" i="68"/>
  <c r="L74" i="68"/>
  <c r="I74" i="68"/>
  <c r="F74" i="68"/>
  <c r="O73" i="68"/>
  <c r="L73" i="68"/>
  <c r="I73" i="68"/>
  <c r="F73" i="68"/>
  <c r="O72" i="68"/>
  <c r="L72" i="68"/>
  <c r="I72" i="68"/>
  <c r="F72" i="68"/>
  <c r="O71" i="68"/>
  <c r="L71" i="68"/>
  <c r="I71" i="68"/>
  <c r="C71" i="68" s="1"/>
  <c r="F71" i="68"/>
  <c r="O70" i="68"/>
  <c r="L70" i="68"/>
  <c r="I70" i="68"/>
  <c r="F70" i="68"/>
  <c r="N69" i="68"/>
  <c r="N67" i="68" s="1"/>
  <c r="M69" i="68"/>
  <c r="M67" i="68" s="1"/>
  <c r="K69" i="68"/>
  <c r="J69" i="68"/>
  <c r="H69" i="68"/>
  <c r="H67" i="68" s="1"/>
  <c r="G69" i="68"/>
  <c r="G67" i="68" s="1"/>
  <c r="E69" i="68"/>
  <c r="E67" i="68" s="1"/>
  <c r="D69" i="68"/>
  <c r="D67" i="68" s="1"/>
  <c r="O68" i="68"/>
  <c r="L68" i="68"/>
  <c r="I68" i="68"/>
  <c r="F68" i="68"/>
  <c r="K67" i="68"/>
  <c r="J67" i="68"/>
  <c r="O66" i="68"/>
  <c r="L66" i="68"/>
  <c r="I66" i="68"/>
  <c r="F66" i="68"/>
  <c r="O65" i="68"/>
  <c r="L65" i="68"/>
  <c r="I65" i="68"/>
  <c r="F65" i="68"/>
  <c r="O64" i="68"/>
  <c r="L64" i="68"/>
  <c r="I64" i="68"/>
  <c r="F64" i="68"/>
  <c r="O63" i="68"/>
  <c r="L63" i="68"/>
  <c r="I63" i="68"/>
  <c r="F63" i="68"/>
  <c r="O62" i="68"/>
  <c r="L62" i="68"/>
  <c r="I62" i="68"/>
  <c r="F62" i="68"/>
  <c r="O61" i="68"/>
  <c r="L61" i="68"/>
  <c r="H61" i="68"/>
  <c r="I61" i="68" s="1"/>
  <c r="F61" i="68"/>
  <c r="O60" i="68"/>
  <c r="L60" i="68"/>
  <c r="I60" i="68"/>
  <c r="F60" i="68"/>
  <c r="O59" i="68"/>
  <c r="L59" i="68"/>
  <c r="I59" i="68"/>
  <c r="F59" i="68"/>
  <c r="N58" i="68"/>
  <c r="M58" i="68"/>
  <c r="K58" i="68"/>
  <c r="J58" i="68"/>
  <c r="G58" i="68"/>
  <c r="E58" i="68"/>
  <c r="D58" i="68"/>
  <c r="O57" i="68"/>
  <c r="L57" i="68"/>
  <c r="H57" i="68"/>
  <c r="F57" i="68"/>
  <c r="O56" i="68"/>
  <c r="L56" i="68"/>
  <c r="I56" i="68"/>
  <c r="F56" i="68"/>
  <c r="O55" i="68"/>
  <c r="N55" i="68"/>
  <c r="M55" i="68"/>
  <c r="M54" i="68" s="1"/>
  <c r="M53" i="68" s="1"/>
  <c r="K55" i="68"/>
  <c r="J55" i="68"/>
  <c r="J54" i="68" s="1"/>
  <c r="G55" i="68"/>
  <c r="G54" i="68" s="1"/>
  <c r="E55" i="68"/>
  <c r="E54" i="68" s="1"/>
  <c r="D55" i="68"/>
  <c r="D54" i="68"/>
  <c r="O47" i="68"/>
  <c r="C47" i="68" s="1"/>
  <c r="O46" i="68"/>
  <c r="C46" i="68" s="1"/>
  <c r="N45" i="68"/>
  <c r="M45" i="68"/>
  <c r="L44" i="68"/>
  <c r="L43" i="68" s="1"/>
  <c r="I44" i="68"/>
  <c r="I43" i="68" s="1"/>
  <c r="F44" i="68"/>
  <c r="F43" i="68" s="1"/>
  <c r="K43" i="68"/>
  <c r="J43" i="68"/>
  <c r="H43" i="68"/>
  <c r="G43" i="68"/>
  <c r="E43" i="68"/>
  <c r="D43" i="68"/>
  <c r="F42" i="68"/>
  <c r="C42" i="68" s="1"/>
  <c r="E41" i="68"/>
  <c r="D41" i="68"/>
  <c r="L40" i="68"/>
  <c r="C40" i="68" s="1"/>
  <c r="L39" i="68"/>
  <c r="C39" i="68" s="1"/>
  <c r="L38" i="68"/>
  <c r="C38" i="68" s="1"/>
  <c r="L37" i="68"/>
  <c r="C37" i="68" s="1"/>
  <c r="K36" i="68"/>
  <c r="J36" i="68"/>
  <c r="L35" i="68"/>
  <c r="C35" i="68" s="1"/>
  <c r="L34" i="68"/>
  <c r="C34" i="68" s="1"/>
  <c r="K33" i="68"/>
  <c r="J33" i="68"/>
  <c r="L32" i="68"/>
  <c r="C32" i="68" s="1"/>
  <c r="K31" i="68"/>
  <c r="J31" i="68"/>
  <c r="L30" i="68"/>
  <c r="C30" i="68" s="1"/>
  <c r="L29" i="68"/>
  <c r="C29" i="68" s="1"/>
  <c r="L28" i="68"/>
  <c r="C28" i="68" s="1"/>
  <c r="K27" i="68"/>
  <c r="K26" i="68" s="1"/>
  <c r="J27" i="68"/>
  <c r="J26" i="68" s="1"/>
  <c r="F25" i="68"/>
  <c r="C25" i="68" s="1"/>
  <c r="I24" i="68"/>
  <c r="F24" i="68"/>
  <c r="C24" i="68" s="1"/>
  <c r="O23" i="68"/>
  <c r="L23" i="68"/>
  <c r="I23" i="68"/>
  <c r="F23" i="68"/>
  <c r="O22" i="68"/>
  <c r="O21" i="68" s="1"/>
  <c r="L22" i="68"/>
  <c r="L21" i="68" s="1"/>
  <c r="I22" i="68"/>
  <c r="I21" i="68" s="1"/>
  <c r="I292" i="68" s="1"/>
  <c r="F22" i="68"/>
  <c r="N21" i="68"/>
  <c r="M21" i="68"/>
  <c r="M292" i="68" s="1"/>
  <c r="M291" i="68" s="1"/>
  <c r="K21" i="68"/>
  <c r="K292" i="68" s="1"/>
  <c r="K291" i="68" s="1"/>
  <c r="J21" i="68"/>
  <c r="H21" i="68"/>
  <c r="G21" i="68"/>
  <c r="G292" i="68" s="1"/>
  <c r="G291" i="68" s="1"/>
  <c r="E21" i="68"/>
  <c r="D21" i="68"/>
  <c r="C22" i="68" l="1"/>
  <c r="H130" i="68"/>
  <c r="C162" i="68"/>
  <c r="E292" i="68"/>
  <c r="E291" i="68" s="1"/>
  <c r="J53" i="68"/>
  <c r="H58" i="68"/>
  <c r="N83" i="68"/>
  <c r="C147" i="68"/>
  <c r="O187" i="68"/>
  <c r="C211" i="68"/>
  <c r="C261" i="68"/>
  <c r="I77" i="68"/>
  <c r="C120" i="68"/>
  <c r="K54" i="68"/>
  <c r="K53" i="68" s="1"/>
  <c r="C60" i="68"/>
  <c r="I69" i="68"/>
  <c r="I67" i="68" s="1"/>
  <c r="H76" i="68"/>
  <c r="E83" i="68"/>
  <c r="C87" i="68"/>
  <c r="C92" i="68"/>
  <c r="E231" i="68"/>
  <c r="D270" i="68"/>
  <c r="D269" i="68" s="1"/>
  <c r="H269" i="68"/>
  <c r="C128" i="68"/>
  <c r="C171" i="68"/>
  <c r="C183" i="68"/>
  <c r="M231" i="68"/>
  <c r="C96" i="68"/>
  <c r="C100" i="68"/>
  <c r="C101" i="68"/>
  <c r="C102" i="68"/>
  <c r="C108" i="68"/>
  <c r="G187" i="68"/>
  <c r="C117" i="68"/>
  <c r="H174" i="68"/>
  <c r="H173" i="68" s="1"/>
  <c r="C257" i="68"/>
  <c r="E270" i="68"/>
  <c r="E269" i="68" s="1"/>
  <c r="N54" i="68"/>
  <c r="N53" i="68" s="1"/>
  <c r="I58" i="68"/>
  <c r="C65" i="68"/>
  <c r="O77" i="68"/>
  <c r="C139" i="68"/>
  <c r="O151" i="68"/>
  <c r="K187" i="68"/>
  <c r="C191" i="68"/>
  <c r="C193" i="68"/>
  <c r="C201" i="68"/>
  <c r="H204" i="68"/>
  <c r="N204" i="68"/>
  <c r="C229" i="68"/>
  <c r="H231" i="68"/>
  <c r="C241" i="68"/>
  <c r="C245" i="68"/>
  <c r="C249" i="68"/>
  <c r="M259" i="68"/>
  <c r="C277" i="68"/>
  <c r="C301" i="68"/>
  <c r="D76" i="68"/>
  <c r="O116" i="68"/>
  <c r="C132" i="68"/>
  <c r="E130" i="68"/>
  <c r="C143" i="68"/>
  <c r="C159" i="68"/>
  <c r="C163" i="68"/>
  <c r="C167" i="68"/>
  <c r="N174" i="68"/>
  <c r="N173" i="68" s="1"/>
  <c r="L196" i="68"/>
  <c r="C203" i="68"/>
  <c r="C209" i="68"/>
  <c r="C213" i="68"/>
  <c r="D204" i="68"/>
  <c r="C217" i="68"/>
  <c r="C221" i="68"/>
  <c r="C225" i="68"/>
  <c r="C233" i="68"/>
  <c r="C253" i="68"/>
  <c r="C254" i="68"/>
  <c r="C265" i="68"/>
  <c r="I264" i="68"/>
  <c r="C273" i="68"/>
  <c r="C281" i="68"/>
  <c r="C297" i="68"/>
  <c r="I20" i="68"/>
  <c r="J76" i="68"/>
  <c r="G83" i="68"/>
  <c r="L89" i="68"/>
  <c r="C124" i="68"/>
  <c r="O235" i="68"/>
  <c r="O231" i="68" s="1"/>
  <c r="L238" i="68"/>
  <c r="G270" i="68"/>
  <c r="E20" i="68"/>
  <c r="G20" i="68"/>
  <c r="C63" i="68"/>
  <c r="O69" i="68"/>
  <c r="O67" i="68" s="1"/>
  <c r="O84" i="68"/>
  <c r="C104" i="68"/>
  <c r="L141" i="68"/>
  <c r="L166" i="68"/>
  <c r="L165" i="68" s="1"/>
  <c r="C177" i="68"/>
  <c r="C180" i="68"/>
  <c r="C181" i="68"/>
  <c r="O179" i="68"/>
  <c r="C197" i="68"/>
  <c r="H195" i="68"/>
  <c r="C237" i="68"/>
  <c r="C271" i="68"/>
  <c r="N270" i="68"/>
  <c r="N269" i="68" s="1"/>
  <c r="C285" i="68"/>
  <c r="O293" i="68"/>
  <c r="L187" i="68"/>
  <c r="E53" i="68"/>
  <c r="L76" i="68"/>
  <c r="C88" i="68"/>
  <c r="I95" i="68"/>
  <c r="C155" i="68"/>
  <c r="E187" i="68"/>
  <c r="J187" i="68"/>
  <c r="G195" i="68"/>
  <c r="O286" i="68"/>
  <c r="O292" i="68" s="1"/>
  <c r="C23" i="68"/>
  <c r="G53" i="68"/>
  <c r="C72" i="68"/>
  <c r="C74" i="68"/>
  <c r="C82" i="68"/>
  <c r="I84" i="68"/>
  <c r="C90" i="68"/>
  <c r="C106" i="68"/>
  <c r="C107" i="68"/>
  <c r="I116" i="68"/>
  <c r="C121" i="68"/>
  <c r="O122" i="68"/>
  <c r="L122" i="68"/>
  <c r="D130" i="68"/>
  <c r="N130" i="68"/>
  <c r="N75" i="68" s="1"/>
  <c r="O136" i="68"/>
  <c r="L136" i="68"/>
  <c r="L144" i="68"/>
  <c r="I151" i="68"/>
  <c r="C157" i="68"/>
  <c r="C158" i="68"/>
  <c r="O165" i="68"/>
  <c r="G174" i="68"/>
  <c r="G173" i="68" s="1"/>
  <c r="M174" i="68"/>
  <c r="M173" i="68" s="1"/>
  <c r="I179" i="68"/>
  <c r="I174" i="68" s="1"/>
  <c r="I173" i="68" s="1"/>
  <c r="C190" i="68"/>
  <c r="J195" i="68"/>
  <c r="N195" i="68"/>
  <c r="C215" i="68"/>
  <c r="E204" i="68"/>
  <c r="E195" i="68" s="1"/>
  <c r="L235" i="68"/>
  <c r="C240" i="68"/>
  <c r="O238" i="68"/>
  <c r="C258" i="68"/>
  <c r="I272" i="68"/>
  <c r="L272" i="68"/>
  <c r="F276" i="68"/>
  <c r="F270" i="68" s="1"/>
  <c r="C282" i="68"/>
  <c r="C288" i="68"/>
  <c r="N187" i="68"/>
  <c r="K20" i="68"/>
  <c r="C62" i="68"/>
  <c r="C73" i="68"/>
  <c r="E76" i="68"/>
  <c r="D83" i="68"/>
  <c r="H83" i="68"/>
  <c r="H75" i="68" s="1"/>
  <c r="L84" i="68"/>
  <c r="O95" i="68"/>
  <c r="L95" i="68"/>
  <c r="C109" i="68"/>
  <c r="C111" i="68"/>
  <c r="K130" i="68"/>
  <c r="K75" i="68" s="1"/>
  <c r="C138" i="68"/>
  <c r="C145" i="68"/>
  <c r="C146" i="68"/>
  <c r="C170" i="68"/>
  <c r="L179" i="68"/>
  <c r="L174" i="68" s="1"/>
  <c r="L173" i="68" s="1"/>
  <c r="I187" i="68"/>
  <c r="D187" i="68"/>
  <c r="H187" i="68"/>
  <c r="C200" i="68"/>
  <c r="C206" i="68"/>
  <c r="C218" i="68"/>
  <c r="M230" i="68"/>
  <c r="G231" i="68"/>
  <c r="G230" i="68" s="1"/>
  <c r="G194" i="68" s="1"/>
  <c r="K231" i="68"/>
  <c r="K230" i="68" s="1"/>
  <c r="C242" i="68"/>
  <c r="C244" i="68"/>
  <c r="L246" i="68"/>
  <c r="C278" i="68"/>
  <c r="C279" i="68"/>
  <c r="G269" i="68"/>
  <c r="C64" i="68"/>
  <c r="C66" i="68"/>
  <c r="C97" i="68"/>
  <c r="C99" i="68"/>
  <c r="L103" i="68"/>
  <c r="C126" i="68"/>
  <c r="C127" i="68"/>
  <c r="G130" i="68"/>
  <c r="G75" i="68" s="1"/>
  <c r="G52" i="68" s="1"/>
  <c r="I136" i="68"/>
  <c r="C136" i="68" s="1"/>
  <c r="M130" i="68"/>
  <c r="M75" i="68" s="1"/>
  <c r="C148" i="68"/>
  <c r="C150" i="68"/>
  <c r="O160" i="68"/>
  <c r="C160" i="68" s="1"/>
  <c r="C168" i="68"/>
  <c r="J174" i="68"/>
  <c r="C186" i="68"/>
  <c r="M187" i="68"/>
  <c r="C202" i="68"/>
  <c r="K195" i="68"/>
  <c r="C210" i="68"/>
  <c r="C212" i="68"/>
  <c r="C222" i="68"/>
  <c r="C223" i="68"/>
  <c r="C224" i="68"/>
  <c r="M204" i="68"/>
  <c r="M195" i="68" s="1"/>
  <c r="C243" i="68"/>
  <c r="C248" i="68"/>
  <c r="O246" i="68"/>
  <c r="H259" i="68"/>
  <c r="H230" i="68" s="1"/>
  <c r="H194" i="68" s="1"/>
  <c r="L260" i="68"/>
  <c r="L259" i="68" s="1"/>
  <c r="C266" i="68"/>
  <c r="C267" i="68"/>
  <c r="C275" i="68"/>
  <c r="I276" i="68"/>
  <c r="I270" i="68" s="1"/>
  <c r="I269" i="68" s="1"/>
  <c r="C298" i="68"/>
  <c r="L292" i="68"/>
  <c r="L291" i="68" s="1"/>
  <c r="D292" i="68"/>
  <c r="D291" i="68" s="1"/>
  <c r="D20" i="68"/>
  <c r="H292" i="68"/>
  <c r="H291" i="68" s="1"/>
  <c r="H20" i="68"/>
  <c r="L27" i="68"/>
  <c r="C44" i="68"/>
  <c r="L55" i="68"/>
  <c r="I57" i="68"/>
  <c r="H55" i="68"/>
  <c r="H54" i="68" s="1"/>
  <c r="H53" i="68" s="1"/>
  <c r="C59" i="68"/>
  <c r="F58" i="68"/>
  <c r="O58" i="68"/>
  <c r="O54" i="68" s="1"/>
  <c r="O53" i="68" s="1"/>
  <c r="L69" i="68"/>
  <c r="L67" i="68" s="1"/>
  <c r="J83" i="68"/>
  <c r="J292" i="68"/>
  <c r="J291" i="68" s="1"/>
  <c r="J20" i="68"/>
  <c r="O45" i="68"/>
  <c r="O76" i="68"/>
  <c r="L36" i="68"/>
  <c r="C36" i="68" s="1"/>
  <c r="N292" i="68"/>
  <c r="N291" i="68" s="1"/>
  <c r="N20" i="68"/>
  <c r="C61" i="68"/>
  <c r="C78" i="68"/>
  <c r="F77" i="68"/>
  <c r="I80" i="68"/>
  <c r="I76" i="68" s="1"/>
  <c r="C81" i="68"/>
  <c r="M20" i="68"/>
  <c r="F21" i="68"/>
  <c r="L31" i="68"/>
  <c r="C31" i="68" s="1"/>
  <c r="L33" i="68"/>
  <c r="C33" i="68" s="1"/>
  <c r="F41" i="68"/>
  <c r="C41" i="68" s="1"/>
  <c r="C43" i="68"/>
  <c r="D53" i="68"/>
  <c r="C56" i="68"/>
  <c r="F55" i="68"/>
  <c r="L58" i="68"/>
  <c r="C70" i="68"/>
  <c r="F69" i="68"/>
  <c r="C91" i="68"/>
  <c r="F89" i="68"/>
  <c r="C142" i="68"/>
  <c r="F141" i="68"/>
  <c r="C182" i="68"/>
  <c r="F179" i="68"/>
  <c r="I198" i="68"/>
  <c r="I196" i="68" s="1"/>
  <c r="C199" i="68"/>
  <c r="C207" i="68"/>
  <c r="I205" i="68"/>
  <c r="C219" i="68"/>
  <c r="I216" i="68"/>
  <c r="C255" i="68"/>
  <c r="I252" i="68"/>
  <c r="I251" i="68" s="1"/>
  <c r="C68" i="68"/>
  <c r="C85" i="68"/>
  <c r="C86" i="68"/>
  <c r="I89" i="68"/>
  <c r="C93" i="68"/>
  <c r="C94" i="68"/>
  <c r="O103" i="68"/>
  <c r="C113" i="68"/>
  <c r="C114" i="68"/>
  <c r="C115" i="68"/>
  <c r="F112" i="68"/>
  <c r="C112" i="68" s="1"/>
  <c r="L116" i="68"/>
  <c r="C123" i="68"/>
  <c r="F122" i="68"/>
  <c r="C129" i="68"/>
  <c r="O131" i="68"/>
  <c r="J130" i="68"/>
  <c r="C137" i="68"/>
  <c r="O144" i="68"/>
  <c r="C152" i="68"/>
  <c r="C153" i="68"/>
  <c r="C154" i="68"/>
  <c r="F151" i="68"/>
  <c r="C161" i="68"/>
  <c r="C169" i="68"/>
  <c r="J173" i="68"/>
  <c r="O174" i="68"/>
  <c r="O173" i="68" s="1"/>
  <c r="F187" i="68"/>
  <c r="C188" i="68"/>
  <c r="C189" i="68"/>
  <c r="C232" i="68"/>
  <c r="C236" i="68"/>
  <c r="F235" i="68"/>
  <c r="C272" i="68"/>
  <c r="L270" i="68"/>
  <c r="L269" i="68" s="1"/>
  <c r="C105" i="68"/>
  <c r="C125" i="68"/>
  <c r="C140" i="68"/>
  <c r="C156" i="68"/>
  <c r="C172" i="68"/>
  <c r="K174" i="68"/>
  <c r="K173" i="68" s="1"/>
  <c r="C176" i="68"/>
  <c r="C178" i="68"/>
  <c r="F175" i="68"/>
  <c r="E230" i="68"/>
  <c r="C268" i="68"/>
  <c r="F264" i="68"/>
  <c r="C280" i="68"/>
  <c r="O89" i="68"/>
  <c r="O83" i="68" s="1"/>
  <c r="C98" i="68"/>
  <c r="I103" i="68"/>
  <c r="I83" i="68" s="1"/>
  <c r="C110" i="68"/>
  <c r="C118" i="68"/>
  <c r="C119" i="68"/>
  <c r="F116" i="68"/>
  <c r="C116" i="68" s="1"/>
  <c r="I131" i="68"/>
  <c r="O141" i="68"/>
  <c r="F144" i="68"/>
  <c r="I144" i="68"/>
  <c r="C149" i="68"/>
  <c r="L151" i="68"/>
  <c r="C164" i="68"/>
  <c r="C184" i="68"/>
  <c r="C185" i="68"/>
  <c r="O205" i="68"/>
  <c r="O270" i="68"/>
  <c r="O269" i="68" s="1"/>
  <c r="C133" i="68"/>
  <c r="I166" i="68"/>
  <c r="I165" i="68" s="1"/>
  <c r="C192" i="68"/>
  <c r="D195" i="68"/>
  <c r="L205" i="68"/>
  <c r="L204" i="68" s="1"/>
  <c r="C214" i="68"/>
  <c r="C226" i="68"/>
  <c r="N231" i="68"/>
  <c r="N230" i="68" s="1"/>
  <c r="N194" i="68" s="1"/>
  <c r="D230" i="68"/>
  <c r="O259" i="68"/>
  <c r="C274" i="68"/>
  <c r="C284" i="68"/>
  <c r="L283" i="68"/>
  <c r="C283" i="68" s="1"/>
  <c r="F95" i="68"/>
  <c r="F103" i="68"/>
  <c r="F166" i="68"/>
  <c r="L195" i="68"/>
  <c r="O216" i="68"/>
  <c r="J231" i="68"/>
  <c r="J230" i="68" s="1"/>
  <c r="F246" i="68"/>
  <c r="F231" i="68" s="1"/>
  <c r="I246" i="68"/>
  <c r="C247" i="68"/>
  <c r="C250" i="68"/>
  <c r="O251" i="68"/>
  <c r="C262" i="68"/>
  <c r="C294" i="68"/>
  <c r="C295" i="68"/>
  <c r="C296" i="68"/>
  <c r="F293" i="68"/>
  <c r="F196" i="68"/>
  <c r="C208" i="68"/>
  <c r="F205" i="68"/>
  <c r="C220" i="68"/>
  <c r="F216" i="68"/>
  <c r="C228" i="68"/>
  <c r="F227" i="68"/>
  <c r="C227" i="68" s="1"/>
  <c r="I238" i="68"/>
  <c r="C238" i="68" s="1"/>
  <c r="C239" i="68"/>
  <c r="C256" i="68"/>
  <c r="F252" i="68"/>
  <c r="C263" i="68"/>
  <c r="I260" i="68"/>
  <c r="I259" i="68" s="1"/>
  <c r="C286" i="68"/>
  <c r="C287" i="68"/>
  <c r="I293" i="68"/>
  <c r="I291" i="68" s="1"/>
  <c r="C299" i="68"/>
  <c r="C300" i="68"/>
  <c r="C234" i="68"/>
  <c r="L130" i="68" l="1"/>
  <c r="E75" i="68"/>
  <c r="O291" i="68"/>
  <c r="E52" i="68"/>
  <c r="C95" i="68"/>
  <c r="I130" i="68"/>
  <c r="E289" i="68"/>
  <c r="M52" i="68"/>
  <c r="N52" i="68"/>
  <c r="L231" i="68"/>
  <c r="K194" i="68"/>
  <c r="C80" i="68"/>
  <c r="O230" i="68"/>
  <c r="O204" i="68"/>
  <c r="O195" i="68" s="1"/>
  <c r="O194" i="68" s="1"/>
  <c r="L83" i="68"/>
  <c r="L75" i="68" s="1"/>
  <c r="I231" i="68"/>
  <c r="I230" i="68" s="1"/>
  <c r="J194" i="68"/>
  <c r="D194" i="68"/>
  <c r="C144" i="68"/>
  <c r="C187" i="68"/>
  <c r="C84" i="68"/>
  <c r="L230" i="68"/>
  <c r="L194" i="68" s="1"/>
  <c r="K289" i="68"/>
  <c r="C69" i="68"/>
  <c r="G289" i="68"/>
  <c r="C276" i="68"/>
  <c r="D75" i="68"/>
  <c r="D52" i="68" s="1"/>
  <c r="D51" i="68" s="1"/>
  <c r="G51" i="68"/>
  <c r="G50" i="68" s="1"/>
  <c r="M194" i="68"/>
  <c r="M289" i="68"/>
  <c r="C235" i="68"/>
  <c r="I204" i="68"/>
  <c r="I195" i="68" s="1"/>
  <c r="I194" i="68" s="1"/>
  <c r="C179" i="68"/>
  <c r="I75" i="68"/>
  <c r="H52" i="68"/>
  <c r="H51" i="68" s="1"/>
  <c r="H290" i="68" s="1"/>
  <c r="N51" i="68"/>
  <c r="N50" i="68" s="1"/>
  <c r="C122" i="68"/>
  <c r="C141" i="68"/>
  <c r="J75" i="68"/>
  <c r="J52" i="68" s="1"/>
  <c r="L54" i="68"/>
  <c r="L53" i="68" s="1"/>
  <c r="F204" i="68"/>
  <c r="C205" i="68"/>
  <c r="C57" i="68"/>
  <c r="I55" i="68"/>
  <c r="I54" i="68" s="1"/>
  <c r="I53" i="68" s="1"/>
  <c r="K52" i="68"/>
  <c r="K51" i="68" s="1"/>
  <c r="C293" i="68"/>
  <c r="F174" i="68"/>
  <c r="C175" i="68"/>
  <c r="F67" i="68"/>
  <c r="C67" i="68" s="1"/>
  <c r="C58" i="68"/>
  <c r="C216" i="68"/>
  <c r="C246" i="68"/>
  <c r="C166" i="68"/>
  <c r="F165" i="68"/>
  <c r="C165" i="68" s="1"/>
  <c r="H289" i="68"/>
  <c r="C260" i="68"/>
  <c r="F130" i="68"/>
  <c r="C264" i="68"/>
  <c r="F259" i="68"/>
  <c r="C259" i="68" s="1"/>
  <c r="O130" i="68"/>
  <c r="O75" i="68" s="1"/>
  <c r="C89" i="68"/>
  <c r="F83" i="68"/>
  <c r="C196" i="68"/>
  <c r="F269" i="68"/>
  <c r="C270" i="68"/>
  <c r="F54" i="68"/>
  <c r="C45" i="68"/>
  <c r="O20" i="68"/>
  <c r="N289" i="68"/>
  <c r="E194" i="68"/>
  <c r="C252" i="68"/>
  <c r="F251" i="68"/>
  <c r="C251" i="68" s="1"/>
  <c r="C198" i="68"/>
  <c r="C103" i="68"/>
  <c r="C131" i="68"/>
  <c r="C151" i="68"/>
  <c r="F292" i="68"/>
  <c r="F20" i="68"/>
  <c r="C21" i="68"/>
  <c r="C77" i="68"/>
  <c r="F76" i="68"/>
  <c r="C27" i="68"/>
  <c r="L26" i="68"/>
  <c r="G290" i="68"/>
  <c r="D289" i="68" l="1"/>
  <c r="E51" i="68"/>
  <c r="C83" i="68"/>
  <c r="C231" i="68"/>
  <c r="M51" i="68"/>
  <c r="N290" i="68"/>
  <c r="H50" i="68"/>
  <c r="L289" i="68"/>
  <c r="I52" i="68"/>
  <c r="I51" i="68" s="1"/>
  <c r="C204" i="68"/>
  <c r="J51" i="68"/>
  <c r="J50" i="68" s="1"/>
  <c r="O52" i="68"/>
  <c r="O51" i="68" s="1"/>
  <c r="O289" i="68"/>
  <c r="J289" i="68"/>
  <c r="J290" i="68"/>
  <c r="M50" i="68"/>
  <c r="M290" i="68"/>
  <c r="F195" i="68"/>
  <c r="C195" i="68" s="1"/>
  <c r="C130" i="68"/>
  <c r="F75" i="68"/>
  <c r="C75" i="68" s="1"/>
  <c r="C76" i="68"/>
  <c r="C269" i="68"/>
  <c r="C55" i="68"/>
  <c r="L52" i="68"/>
  <c r="L51" i="68" s="1"/>
  <c r="L50" i="68" s="1"/>
  <c r="C174" i="68"/>
  <c r="F173" i="68"/>
  <c r="C173" i="68" s="1"/>
  <c r="C292" i="68"/>
  <c r="F291" i="68"/>
  <c r="C291" i="68" s="1"/>
  <c r="F53" i="68"/>
  <c r="C54" i="68"/>
  <c r="F230" i="68"/>
  <c r="C230" i="68" s="1"/>
  <c r="E290" i="68"/>
  <c r="E50" i="68"/>
  <c r="D290" i="68"/>
  <c r="D50" i="68"/>
  <c r="L290" i="68"/>
  <c r="C26" i="68"/>
  <c r="L20" i="68"/>
  <c r="C20" i="68" s="1"/>
  <c r="K50" i="68"/>
  <c r="K290" i="68"/>
  <c r="I289" i="68"/>
  <c r="I290" i="68" l="1"/>
  <c r="I50" i="68"/>
  <c r="O50" i="68"/>
  <c r="O290" i="68"/>
  <c r="F194" i="68"/>
  <c r="C194" i="68" s="1"/>
  <c r="F289" i="68"/>
  <c r="C289" i="68" s="1"/>
  <c r="F52" i="68"/>
  <c r="C53" i="68"/>
  <c r="C52" i="68" l="1"/>
  <c r="F51" i="68"/>
  <c r="F290" i="68" l="1"/>
  <c r="C290" i="68" s="1"/>
  <c r="C51" i="68"/>
  <c r="F50" i="68"/>
  <c r="C50" i="68" s="1"/>
  <c r="O301" i="67" l="1"/>
  <c r="L301" i="67"/>
  <c r="I301" i="67"/>
  <c r="F301" i="67"/>
  <c r="O300" i="67"/>
  <c r="L300" i="67"/>
  <c r="I300" i="67"/>
  <c r="F300" i="67"/>
  <c r="O299" i="67"/>
  <c r="L299" i="67"/>
  <c r="I299" i="67"/>
  <c r="F299" i="67"/>
  <c r="O298" i="67"/>
  <c r="L298" i="67"/>
  <c r="I298" i="67"/>
  <c r="F298" i="67"/>
  <c r="O297" i="67"/>
  <c r="L297" i="67"/>
  <c r="I297" i="67"/>
  <c r="F297" i="67"/>
  <c r="O296" i="67"/>
  <c r="L296" i="67"/>
  <c r="I296" i="67"/>
  <c r="F296" i="67"/>
  <c r="O295" i="67"/>
  <c r="L295" i="67"/>
  <c r="I295" i="67"/>
  <c r="F295" i="67"/>
  <c r="O294" i="67"/>
  <c r="L294" i="67"/>
  <c r="I294" i="67"/>
  <c r="F294" i="67"/>
  <c r="N293" i="67"/>
  <c r="M293" i="67"/>
  <c r="L293" i="67"/>
  <c r="K293" i="67"/>
  <c r="J293" i="67"/>
  <c r="H293" i="67"/>
  <c r="G293" i="67"/>
  <c r="E293" i="67"/>
  <c r="D293" i="67"/>
  <c r="O288" i="67"/>
  <c r="L288" i="67"/>
  <c r="I288" i="67"/>
  <c r="F288" i="67"/>
  <c r="O287" i="67"/>
  <c r="L287" i="67"/>
  <c r="L286" i="67" s="1"/>
  <c r="I287" i="67"/>
  <c r="F287" i="67"/>
  <c r="O286" i="67"/>
  <c r="N286" i="67"/>
  <c r="M286" i="67"/>
  <c r="K286" i="67"/>
  <c r="J286" i="67"/>
  <c r="H286" i="67"/>
  <c r="G286" i="67"/>
  <c r="F286" i="67"/>
  <c r="E286" i="67"/>
  <c r="D286" i="67"/>
  <c r="O285" i="67"/>
  <c r="O284" i="67" s="1"/>
  <c r="O283" i="67" s="1"/>
  <c r="L285" i="67"/>
  <c r="L284" i="67" s="1"/>
  <c r="L283" i="67" s="1"/>
  <c r="I285" i="67"/>
  <c r="F285" i="67"/>
  <c r="N284" i="67"/>
  <c r="N283" i="67" s="1"/>
  <c r="M284" i="67"/>
  <c r="M283" i="67" s="1"/>
  <c r="K284" i="67"/>
  <c r="J284" i="67"/>
  <c r="J283" i="67" s="1"/>
  <c r="I284" i="67"/>
  <c r="I283" i="67" s="1"/>
  <c r="H284" i="67"/>
  <c r="H283" i="67" s="1"/>
  <c r="G284" i="67"/>
  <c r="E284" i="67"/>
  <c r="E283" i="67" s="1"/>
  <c r="D284" i="67"/>
  <c r="K283" i="67"/>
  <c r="G283" i="67"/>
  <c r="D283" i="67"/>
  <c r="O282" i="67"/>
  <c r="O281" i="67" s="1"/>
  <c r="L282" i="67"/>
  <c r="I282" i="67"/>
  <c r="I281" i="67" s="1"/>
  <c r="F282" i="67"/>
  <c r="N281" i="67"/>
  <c r="M281" i="67"/>
  <c r="L281" i="67"/>
  <c r="K281" i="67"/>
  <c r="J281" i="67"/>
  <c r="H281" i="67"/>
  <c r="G281" i="67"/>
  <c r="E281" i="67"/>
  <c r="D281" i="67"/>
  <c r="O280" i="67"/>
  <c r="L280" i="67"/>
  <c r="I280" i="67"/>
  <c r="F280" i="67"/>
  <c r="O279" i="67"/>
  <c r="L279" i="67"/>
  <c r="I279" i="67"/>
  <c r="F279" i="67"/>
  <c r="O278" i="67"/>
  <c r="L278" i="67"/>
  <c r="I278" i="67"/>
  <c r="F278" i="67"/>
  <c r="O277" i="67"/>
  <c r="L277" i="67"/>
  <c r="I277" i="67"/>
  <c r="I276" i="67" s="1"/>
  <c r="F277" i="67"/>
  <c r="N276" i="67"/>
  <c r="M276" i="67"/>
  <c r="K276" i="67"/>
  <c r="J276" i="67"/>
  <c r="H276" i="67"/>
  <c r="G276" i="67"/>
  <c r="E276" i="67"/>
  <c r="D276" i="67"/>
  <c r="O275" i="67"/>
  <c r="L275" i="67"/>
  <c r="I275" i="67"/>
  <c r="F275" i="67"/>
  <c r="O274" i="67"/>
  <c r="L274" i="67"/>
  <c r="I274" i="67"/>
  <c r="F274" i="67"/>
  <c r="O273" i="67"/>
  <c r="L273" i="67"/>
  <c r="L272" i="67" s="1"/>
  <c r="I273" i="67"/>
  <c r="F273" i="67"/>
  <c r="O272" i="67"/>
  <c r="N272" i="67"/>
  <c r="M272" i="67"/>
  <c r="M270" i="67" s="1"/>
  <c r="K272" i="67"/>
  <c r="J272" i="67"/>
  <c r="J270" i="67" s="1"/>
  <c r="J269" i="67" s="1"/>
  <c r="I272" i="67"/>
  <c r="H272" i="67"/>
  <c r="G272" i="67"/>
  <c r="E272" i="67"/>
  <c r="D272" i="67"/>
  <c r="O271" i="67"/>
  <c r="L271" i="67"/>
  <c r="I271" i="67"/>
  <c r="F271" i="67"/>
  <c r="O268" i="67"/>
  <c r="L268" i="67"/>
  <c r="I268" i="67"/>
  <c r="F268" i="67"/>
  <c r="O267" i="67"/>
  <c r="L267" i="67"/>
  <c r="I267" i="67"/>
  <c r="F267" i="67"/>
  <c r="O266" i="67"/>
  <c r="L266" i="67"/>
  <c r="I266" i="67"/>
  <c r="F266" i="67"/>
  <c r="O265" i="67"/>
  <c r="L265" i="67"/>
  <c r="I265" i="67"/>
  <c r="F265" i="67"/>
  <c r="N264" i="67"/>
  <c r="M264" i="67"/>
  <c r="K264" i="67"/>
  <c r="J264" i="67"/>
  <c r="H264" i="67"/>
  <c r="G264" i="67"/>
  <c r="E264" i="67"/>
  <c r="D264" i="67"/>
  <c r="O263" i="67"/>
  <c r="L263" i="67"/>
  <c r="I263" i="67"/>
  <c r="F263" i="67"/>
  <c r="O262" i="67"/>
  <c r="L262" i="67"/>
  <c r="I262" i="67"/>
  <c r="F262" i="67"/>
  <c r="O261" i="67"/>
  <c r="L261" i="67"/>
  <c r="I261" i="67"/>
  <c r="I260" i="67" s="1"/>
  <c r="F261" i="67"/>
  <c r="N260" i="67"/>
  <c r="M260" i="67"/>
  <c r="M259" i="67" s="1"/>
  <c r="K260" i="67"/>
  <c r="J260" i="67"/>
  <c r="H260" i="67"/>
  <c r="H259" i="67" s="1"/>
  <c r="G260" i="67"/>
  <c r="E260" i="67"/>
  <c r="E259" i="67" s="1"/>
  <c r="D260" i="67"/>
  <c r="N259" i="67"/>
  <c r="J259" i="67"/>
  <c r="O258" i="67"/>
  <c r="L258" i="67"/>
  <c r="I258" i="67"/>
  <c r="F258" i="67"/>
  <c r="O257" i="67"/>
  <c r="L257" i="67"/>
  <c r="I257" i="67"/>
  <c r="F257" i="67"/>
  <c r="O256" i="67"/>
  <c r="L256" i="67"/>
  <c r="I256" i="67"/>
  <c r="F256" i="67"/>
  <c r="O255" i="67"/>
  <c r="L255" i="67"/>
  <c r="I255" i="67"/>
  <c r="F255" i="67"/>
  <c r="O254" i="67"/>
  <c r="L254" i="67"/>
  <c r="I254" i="67"/>
  <c r="F254" i="67"/>
  <c r="O253" i="67"/>
  <c r="L253" i="67"/>
  <c r="I253" i="67"/>
  <c r="F253" i="67"/>
  <c r="N252" i="67"/>
  <c r="M252" i="67"/>
  <c r="M251" i="67" s="1"/>
  <c r="K252" i="67"/>
  <c r="K251" i="67" s="1"/>
  <c r="J252" i="67"/>
  <c r="J251" i="67" s="1"/>
  <c r="H252" i="67"/>
  <c r="H251" i="67" s="1"/>
  <c r="G252" i="67"/>
  <c r="G251" i="67" s="1"/>
  <c r="E252" i="67"/>
  <c r="E251" i="67" s="1"/>
  <c r="D252" i="67"/>
  <c r="D251" i="67" s="1"/>
  <c r="N251" i="67"/>
  <c r="O250" i="67"/>
  <c r="L250" i="67"/>
  <c r="I250" i="67"/>
  <c r="F250" i="67"/>
  <c r="O249" i="67"/>
  <c r="L249" i="67"/>
  <c r="I249" i="67"/>
  <c r="F249" i="67"/>
  <c r="O248" i="67"/>
  <c r="L248" i="67"/>
  <c r="I248" i="67"/>
  <c r="F248" i="67"/>
  <c r="O247" i="67"/>
  <c r="O246" i="67" s="1"/>
  <c r="L247" i="67"/>
  <c r="I247" i="67"/>
  <c r="F247" i="67"/>
  <c r="N246" i="67"/>
  <c r="M246" i="67"/>
  <c r="K246" i="67"/>
  <c r="J246" i="67"/>
  <c r="H246" i="67"/>
  <c r="G246" i="67"/>
  <c r="E246" i="67"/>
  <c r="D246" i="67"/>
  <c r="O245" i="67"/>
  <c r="L245" i="67"/>
  <c r="I245" i="67"/>
  <c r="F245" i="67"/>
  <c r="O244" i="67"/>
  <c r="L244" i="67"/>
  <c r="I244" i="67"/>
  <c r="F244" i="67"/>
  <c r="O243" i="67"/>
  <c r="L243" i="67"/>
  <c r="I243" i="67"/>
  <c r="F243" i="67"/>
  <c r="O242" i="67"/>
  <c r="L242" i="67"/>
  <c r="I242" i="67"/>
  <c r="F242" i="67"/>
  <c r="O241" i="67"/>
  <c r="L241" i="67"/>
  <c r="I241" i="67"/>
  <c r="F241" i="67"/>
  <c r="O240" i="67"/>
  <c r="L240" i="67"/>
  <c r="I240" i="67"/>
  <c r="F240" i="67"/>
  <c r="O239" i="67"/>
  <c r="L239" i="67"/>
  <c r="I239" i="67"/>
  <c r="F239" i="67"/>
  <c r="N238" i="67"/>
  <c r="M238" i="67"/>
  <c r="K238" i="67"/>
  <c r="J238" i="67"/>
  <c r="H238" i="67"/>
  <c r="G238" i="67"/>
  <c r="E238" i="67"/>
  <c r="D238" i="67"/>
  <c r="O237" i="67"/>
  <c r="L237" i="67"/>
  <c r="I237" i="67"/>
  <c r="F237" i="67"/>
  <c r="O236" i="67"/>
  <c r="O235" i="67" s="1"/>
  <c r="L236" i="67"/>
  <c r="L235" i="67" s="1"/>
  <c r="I236" i="67"/>
  <c r="I235" i="67" s="1"/>
  <c r="F236" i="67"/>
  <c r="N235" i="67"/>
  <c r="M235" i="67"/>
  <c r="K235" i="67"/>
  <c r="J235" i="67"/>
  <c r="H235" i="67"/>
  <c r="G235" i="67"/>
  <c r="E235" i="67"/>
  <c r="D235" i="67"/>
  <c r="O234" i="67"/>
  <c r="O233" i="67" s="1"/>
  <c r="L234" i="67"/>
  <c r="I234" i="67"/>
  <c r="I233" i="67" s="1"/>
  <c r="F234" i="67"/>
  <c r="N233" i="67"/>
  <c r="M233" i="67"/>
  <c r="L233" i="67"/>
  <c r="K233" i="67"/>
  <c r="J233" i="67"/>
  <c r="H233" i="67"/>
  <c r="H231" i="67" s="1"/>
  <c r="G233" i="67"/>
  <c r="E233" i="67"/>
  <c r="D233" i="67"/>
  <c r="O232" i="67"/>
  <c r="L232" i="67"/>
  <c r="I232" i="67"/>
  <c r="F232" i="67"/>
  <c r="N231" i="67"/>
  <c r="O229" i="67"/>
  <c r="L229" i="67"/>
  <c r="I229" i="67"/>
  <c r="F229" i="67"/>
  <c r="O228" i="67"/>
  <c r="O227" i="67" s="1"/>
  <c r="L228" i="67"/>
  <c r="L227" i="67" s="1"/>
  <c r="I228" i="67"/>
  <c r="I227" i="67" s="1"/>
  <c r="F228" i="67"/>
  <c r="F227" i="67" s="1"/>
  <c r="N227" i="67"/>
  <c r="M227" i="67"/>
  <c r="K227" i="67"/>
  <c r="J227" i="67"/>
  <c r="H227" i="67"/>
  <c r="G227" i="67"/>
  <c r="E227" i="67"/>
  <c r="D227" i="67"/>
  <c r="O226" i="67"/>
  <c r="L226" i="67"/>
  <c r="I226" i="67"/>
  <c r="F226" i="67"/>
  <c r="O225" i="67"/>
  <c r="L225" i="67"/>
  <c r="I225" i="67"/>
  <c r="F225" i="67"/>
  <c r="O224" i="67"/>
  <c r="L224" i="67"/>
  <c r="I224" i="67"/>
  <c r="F224" i="67"/>
  <c r="O223" i="67"/>
  <c r="L223" i="67"/>
  <c r="I223" i="67"/>
  <c r="F223" i="67"/>
  <c r="O222" i="67"/>
  <c r="L222" i="67"/>
  <c r="I222" i="67"/>
  <c r="F222" i="67"/>
  <c r="O221" i="67"/>
  <c r="L221" i="67"/>
  <c r="I221" i="67"/>
  <c r="F221" i="67"/>
  <c r="O220" i="67"/>
  <c r="L220" i="67"/>
  <c r="I220" i="67"/>
  <c r="F220" i="67"/>
  <c r="O219" i="67"/>
  <c r="L219" i="67"/>
  <c r="I219" i="67"/>
  <c r="F219" i="67"/>
  <c r="O218" i="67"/>
  <c r="L218" i="67"/>
  <c r="I218" i="67"/>
  <c r="F218" i="67"/>
  <c r="O217" i="67"/>
  <c r="L217" i="67"/>
  <c r="I217" i="67"/>
  <c r="F217" i="67"/>
  <c r="N216" i="67"/>
  <c r="M216" i="67"/>
  <c r="K216" i="67"/>
  <c r="J216" i="67"/>
  <c r="H216" i="67"/>
  <c r="G216" i="67"/>
  <c r="E216" i="67"/>
  <c r="D216" i="67"/>
  <c r="O215" i="67"/>
  <c r="L215" i="67"/>
  <c r="I215" i="67"/>
  <c r="F215" i="67"/>
  <c r="O214" i="67"/>
  <c r="L214" i="67"/>
  <c r="I214" i="67"/>
  <c r="F214" i="67"/>
  <c r="O213" i="67"/>
  <c r="L213" i="67"/>
  <c r="I213" i="67"/>
  <c r="F213" i="67"/>
  <c r="O212" i="67"/>
  <c r="L212" i="67"/>
  <c r="I212" i="67"/>
  <c r="F212" i="67"/>
  <c r="O211" i="67"/>
  <c r="L211" i="67"/>
  <c r="I211" i="67"/>
  <c r="F211" i="67"/>
  <c r="O210" i="67"/>
  <c r="L210" i="67"/>
  <c r="I210" i="67"/>
  <c r="F210" i="67"/>
  <c r="O209" i="67"/>
  <c r="L209" i="67"/>
  <c r="I209" i="67"/>
  <c r="F209" i="67"/>
  <c r="O208" i="67"/>
  <c r="L208" i="67"/>
  <c r="I208" i="67"/>
  <c r="F208" i="67"/>
  <c r="O207" i="67"/>
  <c r="L207" i="67"/>
  <c r="I207" i="67"/>
  <c r="F207" i="67"/>
  <c r="O206" i="67"/>
  <c r="L206" i="67"/>
  <c r="I206" i="67"/>
  <c r="F206" i="67"/>
  <c r="N205" i="67"/>
  <c r="M205" i="67"/>
  <c r="K205" i="67"/>
  <c r="J205" i="67"/>
  <c r="J204" i="67" s="1"/>
  <c r="H205" i="67"/>
  <c r="G205" i="67"/>
  <c r="E205" i="67"/>
  <c r="E204" i="67" s="1"/>
  <c r="D205" i="67"/>
  <c r="O203" i="67"/>
  <c r="L203" i="67"/>
  <c r="I203" i="67"/>
  <c r="F203" i="67"/>
  <c r="O202" i="67"/>
  <c r="L202" i="67"/>
  <c r="I202" i="67"/>
  <c r="F202" i="67"/>
  <c r="O201" i="67"/>
  <c r="L201" i="67"/>
  <c r="I201" i="67"/>
  <c r="F201" i="67"/>
  <c r="O200" i="67"/>
  <c r="L200" i="67"/>
  <c r="I200" i="67"/>
  <c r="F200" i="67"/>
  <c r="O199" i="67"/>
  <c r="L199" i="67"/>
  <c r="L198" i="67" s="1"/>
  <c r="I199" i="67"/>
  <c r="I198" i="67" s="1"/>
  <c r="F199" i="67"/>
  <c r="O198" i="67"/>
  <c r="N198" i="67"/>
  <c r="M198" i="67"/>
  <c r="M196" i="67" s="1"/>
  <c r="K198" i="67"/>
  <c r="K196" i="67" s="1"/>
  <c r="J198" i="67"/>
  <c r="J196" i="67" s="1"/>
  <c r="J195" i="67" s="1"/>
  <c r="H198" i="67"/>
  <c r="H196" i="67" s="1"/>
  <c r="G198" i="67"/>
  <c r="G196" i="67" s="1"/>
  <c r="E198" i="67"/>
  <c r="E196" i="67" s="1"/>
  <c r="D198" i="67"/>
  <c r="O197" i="67"/>
  <c r="L197" i="67"/>
  <c r="L196" i="67" s="1"/>
  <c r="I197" i="67"/>
  <c r="F197" i="67"/>
  <c r="N196" i="67"/>
  <c r="D196" i="67"/>
  <c r="O193" i="67"/>
  <c r="L193" i="67"/>
  <c r="L192" i="67" s="1"/>
  <c r="L191" i="67" s="1"/>
  <c r="I193" i="67"/>
  <c r="I192" i="67" s="1"/>
  <c r="I191" i="67" s="1"/>
  <c r="F193" i="67"/>
  <c r="O192" i="67"/>
  <c r="O191" i="67" s="1"/>
  <c r="N192" i="67"/>
  <c r="N191" i="67" s="1"/>
  <c r="M192" i="67"/>
  <c r="M191" i="67" s="1"/>
  <c r="K192" i="67"/>
  <c r="J192" i="67"/>
  <c r="H192" i="67"/>
  <c r="H191" i="67" s="1"/>
  <c r="G192" i="67"/>
  <c r="G191" i="67" s="1"/>
  <c r="E192" i="67"/>
  <c r="E191" i="67" s="1"/>
  <c r="D192" i="67"/>
  <c r="D191" i="67" s="1"/>
  <c r="K191" i="67"/>
  <c r="J191" i="67"/>
  <c r="O190" i="67"/>
  <c r="L190" i="67"/>
  <c r="I190" i="67"/>
  <c r="F190" i="67"/>
  <c r="O189" i="67"/>
  <c r="O188" i="67" s="1"/>
  <c r="L189" i="67"/>
  <c r="I189" i="67"/>
  <c r="I188" i="67" s="1"/>
  <c r="F189" i="67"/>
  <c r="C189" i="67" s="1"/>
  <c r="N188" i="67"/>
  <c r="M188" i="67"/>
  <c r="K188" i="67"/>
  <c r="J188" i="67"/>
  <c r="H188" i="67"/>
  <c r="G188" i="67"/>
  <c r="F188" i="67"/>
  <c r="E188" i="67"/>
  <c r="D188" i="67"/>
  <c r="D187" i="67" s="1"/>
  <c r="O186" i="67"/>
  <c r="L186" i="67"/>
  <c r="I186" i="67"/>
  <c r="F186" i="67"/>
  <c r="O185" i="67"/>
  <c r="O184" i="67" s="1"/>
  <c r="L185" i="67"/>
  <c r="L184" i="67" s="1"/>
  <c r="I185" i="67"/>
  <c r="I184" i="67" s="1"/>
  <c r="F185" i="67"/>
  <c r="N184" i="67"/>
  <c r="M184" i="67"/>
  <c r="K184" i="67"/>
  <c r="J184" i="67"/>
  <c r="H184" i="67"/>
  <c r="G184" i="67"/>
  <c r="F184" i="67"/>
  <c r="E184" i="67"/>
  <c r="D184" i="67"/>
  <c r="O183" i="67"/>
  <c r="L183" i="67"/>
  <c r="I183" i="67"/>
  <c r="F183" i="67"/>
  <c r="O182" i="67"/>
  <c r="L182" i="67"/>
  <c r="I182" i="67"/>
  <c r="F182" i="67"/>
  <c r="O181" i="67"/>
  <c r="L181" i="67"/>
  <c r="I181" i="67"/>
  <c r="F181" i="67"/>
  <c r="O180" i="67"/>
  <c r="L180" i="67"/>
  <c r="I180" i="67"/>
  <c r="F180" i="67"/>
  <c r="N179" i="67"/>
  <c r="M179" i="67"/>
  <c r="K179" i="67"/>
  <c r="J179" i="67"/>
  <c r="H179" i="67"/>
  <c r="G179" i="67"/>
  <c r="E179" i="67"/>
  <c r="D179" i="67"/>
  <c r="O178" i="67"/>
  <c r="L178" i="67"/>
  <c r="I178" i="67"/>
  <c r="F178" i="67"/>
  <c r="O177" i="67"/>
  <c r="L177" i="67"/>
  <c r="I177" i="67"/>
  <c r="F177" i="67"/>
  <c r="O176" i="67"/>
  <c r="L176" i="67"/>
  <c r="I176" i="67"/>
  <c r="F176" i="67"/>
  <c r="N175" i="67"/>
  <c r="N174" i="67" s="1"/>
  <c r="M175" i="67"/>
  <c r="K175" i="67"/>
  <c r="K174" i="67" s="1"/>
  <c r="K173" i="67" s="1"/>
  <c r="J175" i="67"/>
  <c r="I175" i="67"/>
  <c r="H175" i="67"/>
  <c r="G175" i="67"/>
  <c r="G174" i="67" s="1"/>
  <c r="E175" i="67"/>
  <c r="D175" i="67"/>
  <c r="D174" i="67" s="1"/>
  <c r="D173" i="67" s="1"/>
  <c r="O172" i="67"/>
  <c r="L172" i="67"/>
  <c r="I172" i="67"/>
  <c r="F172" i="67"/>
  <c r="O171" i="67"/>
  <c r="L171" i="67"/>
  <c r="I171" i="67"/>
  <c r="F171" i="67"/>
  <c r="O170" i="67"/>
  <c r="L170" i="67"/>
  <c r="I170" i="67"/>
  <c r="F170" i="67"/>
  <c r="O169" i="67"/>
  <c r="L169" i="67"/>
  <c r="I169" i="67"/>
  <c r="F169" i="67"/>
  <c r="O168" i="67"/>
  <c r="L168" i="67"/>
  <c r="I168" i="67"/>
  <c r="F168" i="67"/>
  <c r="O167" i="67"/>
  <c r="L167" i="67"/>
  <c r="I167" i="67"/>
  <c r="F167" i="67"/>
  <c r="N166" i="67"/>
  <c r="M166" i="67"/>
  <c r="M165" i="67" s="1"/>
  <c r="K166" i="67"/>
  <c r="J166" i="67"/>
  <c r="J165" i="67" s="1"/>
  <c r="H166" i="67"/>
  <c r="H165" i="67" s="1"/>
  <c r="G166" i="67"/>
  <c r="G165" i="67" s="1"/>
  <c r="F166" i="67"/>
  <c r="E166" i="67"/>
  <c r="E165" i="67" s="1"/>
  <c r="D166" i="67"/>
  <c r="D165" i="67" s="1"/>
  <c r="N165" i="67"/>
  <c r="K165" i="67"/>
  <c r="O164" i="67"/>
  <c r="L164" i="67"/>
  <c r="I164" i="67"/>
  <c r="F164" i="67"/>
  <c r="O163" i="67"/>
  <c r="L163" i="67"/>
  <c r="I163" i="67"/>
  <c r="F163" i="67"/>
  <c r="O162" i="67"/>
  <c r="L162" i="67"/>
  <c r="I162" i="67"/>
  <c r="F162" i="67"/>
  <c r="O161" i="67"/>
  <c r="O160" i="67" s="1"/>
  <c r="L161" i="67"/>
  <c r="L160" i="67" s="1"/>
  <c r="I161" i="67"/>
  <c r="I160" i="67" s="1"/>
  <c r="F161" i="67"/>
  <c r="C161" i="67" s="1"/>
  <c r="N160" i="67"/>
  <c r="M160" i="67"/>
  <c r="K160" i="67"/>
  <c r="J160" i="67"/>
  <c r="H160" i="67"/>
  <c r="G160" i="67"/>
  <c r="E160" i="67"/>
  <c r="D160" i="67"/>
  <c r="O159" i="67"/>
  <c r="L159" i="67"/>
  <c r="I159" i="67"/>
  <c r="F159" i="67"/>
  <c r="O158" i="67"/>
  <c r="L158" i="67"/>
  <c r="I158" i="67"/>
  <c r="F158" i="67"/>
  <c r="O157" i="67"/>
  <c r="L157" i="67"/>
  <c r="I157" i="67"/>
  <c r="C157" i="67" s="1"/>
  <c r="F157" i="67"/>
  <c r="O156" i="67"/>
  <c r="L156" i="67"/>
  <c r="I156" i="67"/>
  <c r="F156" i="67"/>
  <c r="O155" i="67"/>
  <c r="L155" i="67"/>
  <c r="I155" i="67"/>
  <c r="F155" i="67"/>
  <c r="O154" i="67"/>
  <c r="L154" i="67"/>
  <c r="I154" i="67"/>
  <c r="F154" i="67"/>
  <c r="O153" i="67"/>
  <c r="L153" i="67"/>
  <c r="I153" i="67"/>
  <c r="F153" i="67"/>
  <c r="O152" i="67"/>
  <c r="L152" i="67"/>
  <c r="I152" i="67"/>
  <c r="F152" i="67"/>
  <c r="N151" i="67"/>
  <c r="M151" i="67"/>
  <c r="K151" i="67"/>
  <c r="J151" i="67"/>
  <c r="H151" i="67"/>
  <c r="G151" i="67"/>
  <c r="E151" i="67"/>
  <c r="D151" i="67"/>
  <c r="O150" i="67"/>
  <c r="L150" i="67"/>
  <c r="I150" i="67"/>
  <c r="F150" i="67"/>
  <c r="O149" i="67"/>
  <c r="L149" i="67"/>
  <c r="I149" i="67"/>
  <c r="F149" i="67"/>
  <c r="O148" i="67"/>
  <c r="L148" i="67"/>
  <c r="I148" i="67"/>
  <c r="F148" i="67"/>
  <c r="O147" i="67"/>
  <c r="L147" i="67"/>
  <c r="I147" i="67"/>
  <c r="F147" i="67"/>
  <c r="O146" i="67"/>
  <c r="L146" i="67"/>
  <c r="I146" i="67"/>
  <c r="F146" i="67"/>
  <c r="O145" i="67"/>
  <c r="O144" i="67" s="1"/>
  <c r="L145" i="67"/>
  <c r="I145" i="67"/>
  <c r="F145" i="67"/>
  <c r="N144" i="67"/>
  <c r="M144" i="67"/>
  <c r="K144" i="67"/>
  <c r="J144" i="67"/>
  <c r="H144" i="67"/>
  <c r="G144" i="67"/>
  <c r="F144" i="67"/>
  <c r="E144" i="67"/>
  <c r="D144" i="67"/>
  <c r="O143" i="67"/>
  <c r="L143" i="67"/>
  <c r="I143" i="67"/>
  <c r="F143" i="67"/>
  <c r="O142" i="67"/>
  <c r="L142" i="67"/>
  <c r="L141" i="67" s="1"/>
  <c r="I142" i="67"/>
  <c r="F142" i="67"/>
  <c r="N141" i="67"/>
  <c r="M141" i="67"/>
  <c r="K141" i="67"/>
  <c r="J141" i="67"/>
  <c r="H141" i="67"/>
  <c r="G141" i="67"/>
  <c r="E141" i="67"/>
  <c r="D141" i="67"/>
  <c r="O140" i="67"/>
  <c r="L140" i="67"/>
  <c r="I140" i="67"/>
  <c r="F140" i="67"/>
  <c r="O139" i="67"/>
  <c r="L139" i="67"/>
  <c r="I139" i="67"/>
  <c r="F139" i="67"/>
  <c r="O138" i="67"/>
  <c r="L138" i="67"/>
  <c r="I138" i="67"/>
  <c r="F138" i="67"/>
  <c r="O137" i="67"/>
  <c r="L137" i="67"/>
  <c r="I137" i="67"/>
  <c r="F137" i="67"/>
  <c r="O136" i="67"/>
  <c r="N136" i="67"/>
  <c r="M136" i="67"/>
  <c r="K136" i="67"/>
  <c r="J136" i="67"/>
  <c r="H136" i="67"/>
  <c r="G136" i="67"/>
  <c r="F136" i="67"/>
  <c r="E136" i="67"/>
  <c r="D136" i="67"/>
  <c r="D130" i="67" s="1"/>
  <c r="O135" i="67"/>
  <c r="L135" i="67"/>
  <c r="I135" i="67"/>
  <c r="F135" i="67"/>
  <c r="C135" i="67" s="1"/>
  <c r="O134" i="67"/>
  <c r="L134" i="67"/>
  <c r="I134" i="67"/>
  <c r="F134" i="67"/>
  <c r="O133" i="67"/>
  <c r="L133" i="67"/>
  <c r="I133" i="67"/>
  <c r="F133" i="67"/>
  <c r="O132" i="67"/>
  <c r="L132" i="67"/>
  <c r="L131" i="67" s="1"/>
  <c r="I132" i="67"/>
  <c r="F132" i="67"/>
  <c r="O131" i="67"/>
  <c r="N131" i="67"/>
  <c r="M131" i="67"/>
  <c r="M130" i="67" s="1"/>
  <c r="K131" i="67"/>
  <c r="J131" i="67"/>
  <c r="H131" i="67"/>
  <c r="G131" i="67"/>
  <c r="E131" i="67"/>
  <c r="D131" i="67"/>
  <c r="O129" i="67"/>
  <c r="O128" i="67" s="1"/>
  <c r="L129" i="67"/>
  <c r="L128" i="67" s="1"/>
  <c r="I129" i="67"/>
  <c r="I128" i="67" s="1"/>
  <c r="F129" i="67"/>
  <c r="F128" i="67" s="1"/>
  <c r="N128" i="67"/>
  <c r="M128" i="67"/>
  <c r="K128" i="67"/>
  <c r="J128" i="67"/>
  <c r="H128" i="67"/>
  <c r="G128" i="67"/>
  <c r="E128" i="67"/>
  <c r="D128" i="67"/>
  <c r="O127" i="67"/>
  <c r="L127" i="67"/>
  <c r="I127" i="67"/>
  <c r="F127" i="67"/>
  <c r="O126" i="67"/>
  <c r="L126" i="67"/>
  <c r="I126" i="67"/>
  <c r="F126" i="67"/>
  <c r="O125" i="67"/>
  <c r="L125" i="67"/>
  <c r="I125" i="67"/>
  <c r="F125" i="67"/>
  <c r="O124" i="67"/>
  <c r="L124" i="67"/>
  <c r="I124" i="67"/>
  <c r="F124" i="67"/>
  <c r="O123" i="67"/>
  <c r="L123" i="67"/>
  <c r="I123" i="67"/>
  <c r="F123" i="67"/>
  <c r="N122" i="67"/>
  <c r="M122" i="67"/>
  <c r="K122" i="67"/>
  <c r="J122" i="67"/>
  <c r="H122" i="67"/>
  <c r="G122" i="67"/>
  <c r="E122" i="67"/>
  <c r="D122" i="67"/>
  <c r="O121" i="67"/>
  <c r="L121" i="67"/>
  <c r="I121" i="67"/>
  <c r="F121" i="67"/>
  <c r="O120" i="67"/>
  <c r="L120" i="67"/>
  <c r="I120" i="67"/>
  <c r="F120" i="67"/>
  <c r="O119" i="67"/>
  <c r="L119" i="67"/>
  <c r="I119" i="67"/>
  <c r="F119" i="67"/>
  <c r="O118" i="67"/>
  <c r="L118" i="67"/>
  <c r="I118" i="67"/>
  <c r="F118" i="67"/>
  <c r="O117" i="67"/>
  <c r="L117" i="67"/>
  <c r="I117" i="67"/>
  <c r="I116" i="67" s="1"/>
  <c r="F117" i="67"/>
  <c r="O116" i="67"/>
  <c r="N116" i="67"/>
  <c r="M116" i="67"/>
  <c r="K116" i="67"/>
  <c r="J116" i="67"/>
  <c r="H116" i="67"/>
  <c r="G116" i="67"/>
  <c r="E116" i="67"/>
  <c r="D116" i="67"/>
  <c r="O115" i="67"/>
  <c r="L115" i="67"/>
  <c r="I115" i="67"/>
  <c r="F115" i="67"/>
  <c r="O114" i="67"/>
  <c r="L114" i="67"/>
  <c r="I114" i="67"/>
  <c r="F114" i="67"/>
  <c r="O113" i="67"/>
  <c r="L113" i="67"/>
  <c r="I113" i="67"/>
  <c r="I112" i="67" s="1"/>
  <c r="F113" i="67"/>
  <c r="O112" i="67"/>
  <c r="N112" i="67"/>
  <c r="M112" i="67"/>
  <c r="K112" i="67"/>
  <c r="J112" i="67"/>
  <c r="H112" i="67"/>
  <c r="G112" i="67"/>
  <c r="E112" i="67"/>
  <c r="D112" i="67"/>
  <c r="O111" i="67"/>
  <c r="L111" i="67"/>
  <c r="I111" i="67"/>
  <c r="F111" i="67"/>
  <c r="O110" i="67"/>
  <c r="L110" i="67"/>
  <c r="I110" i="67"/>
  <c r="F110" i="67"/>
  <c r="O109" i="67"/>
  <c r="L109" i="67"/>
  <c r="I109" i="67"/>
  <c r="F109" i="67"/>
  <c r="O108" i="67"/>
  <c r="L108" i="67"/>
  <c r="I108" i="67"/>
  <c r="F108" i="67"/>
  <c r="O107" i="67"/>
  <c r="L107" i="67"/>
  <c r="I107" i="67"/>
  <c r="F107" i="67"/>
  <c r="O106" i="67"/>
  <c r="L106" i="67"/>
  <c r="I106" i="67"/>
  <c r="F106" i="67"/>
  <c r="O105" i="67"/>
  <c r="L105" i="67"/>
  <c r="I105" i="67"/>
  <c r="F105" i="67"/>
  <c r="O104" i="67"/>
  <c r="L104" i="67"/>
  <c r="I104" i="67"/>
  <c r="I103" i="67" s="1"/>
  <c r="F104" i="67"/>
  <c r="N103" i="67"/>
  <c r="M103" i="67"/>
  <c r="K103" i="67"/>
  <c r="J103" i="67"/>
  <c r="H103" i="67"/>
  <c r="G103" i="67"/>
  <c r="E103" i="67"/>
  <c r="D103" i="67"/>
  <c r="O102" i="67"/>
  <c r="L102" i="67"/>
  <c r="I102" i="67"/>
  <c r="F102" i="67"/>
  <c r="O101" i="67"/>
  <c r="L101" i="67"/>
  <c r="I101" i="67"/>
  <c r="F101" i="67"/>
  <c r="C101" i="67" s="1"/>
  <c r="O100" i="67"/>
  <c r="L100" i="67"/>
  <c r="I100" i="67"/>
  <c r="F100" i="67"/>
  <c r="O99" i="67"/>
  <c r="L99" i="67"/>
  <c r="I99" i="67"/>
  <c r="F99" i="67"/>
  <c r="O98" i="67"/>
  <c r="L98" i="67"/>
  <c r="I98" i="67"/>
  <c r="F98" i="67"/>
  <c r="O97" i="67"/>
  <c r="L97" i="67"/>
  <c r="I97" i="67"/>
  <c r="F97" i="67"/>
  <c r="O96" i="67"/>
  <c r="O95" i="67" s="1"/>
  <c r="L96" i="67"/>
  <c r="I96" i="67"/>
  <c r="F96" i="67"/>
  <c r="N95" i="67"/>
  <c r="M95" i="67"/>
  <c r="K95" i="67"/>
  <c r="J95" i="67"/>
  <c r="H95" i="67"/>
  <c r="G95" i="67"/>
  <c r="E95" i="67"/>
  <c r="D95" i="67"/>
  <c r="O94" i="67"/>
  <c r="L94" i="67"/>
  <c r="I94" i="67"/>
  <c r="F94" i="67"/>
  <c r="O93" i="67"/>
  <c r="L93" i="67"/>
  <c r="I93" i="67"/>
  <c r="F93" i="67"/>
  <c r="O92" i="67"/>
  <c r="L92" i="67"/>
  <c r="I92" i="67"/>
  <c r="F92" i="67"/>
  <c r="C92" i="67" s="1"/>
  <c r="O91" i="67"/>
  <c r="L91" i="67"/>
  <c r="I91" i="67"/>
  <c r="F91" i="67"/>
  <c r="O90" i="67"/>
  <c r="L90" i="67"/>
  <c r="I90" i="67"/>
  <c r="F90" i="67"/>
  <c r="F89" i="67" s="1"/>
  <c r="N89" i="67"/>
  <c r="M89" i="67"/>
  <c r="K89" i="67"/>
  <c r="J89" i="67"/>
  <c r="H89" i="67"/>
  <c r="G89" i="67"/>
  <c r="E89" i="67"/>
  <c r="D89" i="67"/>
  <c r="O88" i="67"/>
  <c r="L88" i="67"/>
  <c r="I88" i="67"/>
  <c r="F88" i="67"/>
  <c r="O87" i="67"/>
  <c r="L87" i="67"/>
  <c r="I87" i="67"/>
  <c r="F87" i="67"/>
  <c r="O86" i="67"/>
  <c r="L86" i="67"/>
  <c r="I86" i="67"/>
  <c r="F86" i="67"/>
  <c r="O85" i="67"/>
  <c r="O84" i="67" s="1"/>
  <c r="L85" i="67"/>
  <c r="I85" i="67"/>
  <c r="I84" i="67" s="1"/>
  <c r="F85" i="67"/>
  <c r="C85" i="67" s="1"/>
  <c r="N84" i="67"/>
  <c r="M84" i="67"/>
  <c r="L84" i="67"/>
  <c r="K84" i="67"/>
  <c r="J84" i="67"/>
  <c r="H84" i="67"/>
  <c r="G84" i="67"/>
  <c r="E84" i="67"/>
  <c r="E83" i="67" s="1"/>
  <c r="D84" i="67"/>
  <c r="O82" i="67"/>
  <c r="L82" i="67"/>
  <c r="I82" i="67"/>
  <c r="F82" i="67"/>
  <c r="O81" i="67"/>
  <c r="L81" i="67"/>
  <c r="I81" i="67"/>
  <c r="I80" i="67" s="1"/>
  <c r="F81" i="67"/>
  <c r="O80" i="67"/>
  <c r="N80" i="67"/>
  <c r="M80" i="67"/>
  <c r="K80" i="67"/>
  <c r="J80" i="67"/>
  <c r="H80" i="67"/>
  <c r="G80" i="67"/>
  <c r="G76" i="67" s="1"/>
  <c r="F80" i="67"/>
  <c r="E80" i="67"/>
  <c r="D80" i="67"/>
  <c r="O79" i="67"/>
  <c r="L79" i="67"/>
  <c r="I79" i="67"/>
  <c r="F79" i="67"/>
  <c r="O78" i="67"/>
  <c r="O77" i="67" s="1"/>
  <c r="O76" i="67" s="1"/>
  <c r="L78" i="67"/>
  <c r="L77" i="67" s="1"/>
  <c r="I78" i="67"/>
  <c r="I77" i="67" s="1"/>
  <c r="F78" i="67"/>
  <c r="N77" i="67"/>
  <c r="M77" i="67"/>
  <c r="K77" i="67"/>
  <c r="J77" i="67"/>
  <c r="J76" i="67" s="1"/>
  <c r="H77" i="67"/>
  <c r="G77" i="67"/>
  <c r="F77" i="67"/>
  <c r="E77" i="67"/>
  <c r="E76" i="67" s="1"/>
  <c r="D77" i="67"/>
  <c r="O74" i="67"/>
  <c r="L74" i="67"/>
  <c r="I74" i="67"/>
  <c r="F74" i="67"/>
  <c r="O73" i="67"/>
  <c r="L73" i="67"/>
  <c r="I73" i="67"/>
  <c r="F73" i="67"/>
  <c r="O72" i="67"/>
  <c r="L72" i="67"/>
  <c r="I72" i="67"/>
  <c r="F72" i="67"/>
  <c r="O71" i="67"/>
  <c r="L71" i="67"/>
  <c r="I71" i="67"/>
  <c r="F71" i="67"/>
  <c r="O70" i="67"/>
  <c r="L70" i="67"/>
  <c r="L69" i="67" s="1"/>
  <c r="I70" i="67"/>
  <c r="F70" i="67"/>
  <c r="N69" i="67"/>
  <c r="N67" i="67" s="1"/>
  <c r="M69" i="67"/>
  <c r="K69" i="67"/>
  <c r="J69" i="67"/>
  <c r="J67" i="67" s="1"/>
  <c r="I69" i="67"/>
  <c r="H69" i="67"/>
  <c r="H67" i="67" s="1"/>
  <c r="G69" i="67"/>
  <c r="E69" i="67"/>
  <c r="E67" i="67" s="1"/>
  <c r="D69" i="67"/>
  <c r="D67" i="67" s="1"/>
  <c r="O68" i="67"/>
  <c r="L68" i="67"/>
  <c r="I68" i="67"/>
  <c r="F68" i="67"/>
  <c r="M67" i="67"/>
  <c r="K67" i="67"/>
  <c r="G67" i="67"/>
  <c r="O66" i="67"/>
  <c r="L66" i="67"/>
  <c r="I66" i="67"/>
  <c r="F66" i="67"/>
  <c r="O65" i="67"/>
  <c r="L65" i="67"/>
  <c r="I65" i="67"/>
  <c r="F65" i="67"/>
  <c r="O64" i="67"/>
  <c r="L64" i="67"/>
  <c r="I64" i="67"/>
  <c r="F64" i="67"/>
  <c r="O63" i="67"/>
  <c r="L63" i="67"/>
  <c r="I63" i="67"/>
  <c r="F63" i="67"/>
  <c r="O62" i="67"/>
  <c r="L62" i="67"/>
  <c r="I62" i="67"/>
  <c r="F62" i="67"/>
  <c r="O61" i="67"/>
  <c r="L61" i="67"/>
  <c r="I61" i="67"/>
  <c r="F61" i="67"/>
  <c r="O60" i="67"/>
  <c r="L60" i="67"/>
  <c r="I60" i="67"/>
  <c r="F60" i="67"/>
  <c r="O59" i="67"/>
  <c r="L59" i="67"/>
  <c r="I59" i="67"/>
  <c r="F59" i="67"/>
  <c r="F58" i="67" s="1"/>
  <c r="N58" i="67"/>
  <c r="M58" i="67"/>
  <c r="K58" i="67"/>
  <c r="J58" i="67"/>
  <c r="H58" i="67"/>
  <c r="G58" i="67"/>
  <c r="E58" i="67"/>
  <c r="D58" i="67"/>
  <c r="O57" i="67"/>
  <c r="L57" i="67"/>
  <c r="I57" i="67"/>
  <c r="F57" i="67"/>
  <c r="O56" i="67"/>
  <c r="O55" i="67" s="1"/>
  <c r="L56" i="67"/>
  <c r="I56" i="67"/>
  <c r="F56" i="67"/>
  <c r="F55" i="67" s="1"/>
  <c r="N55" i="67"/>
  <c r="M55" i="67"/>
  <c r="M54" i="67" s="1"/>
  <c r="L55" i="67"/>
  <c r="K55" i="67"/>
  <c r="J55" i="67"/>
  <c r="J54" i="67" s="1"/>
  <c r="J53" i="67" s="1"/>
  <c r="I55" i="67"/>
  <c r="H55" i="67"/>
  <c r="G55" i="67"/>
  <c r="G54" i="67" s="1"/>
  <c r="G53" i="67" s="1"/>
  <c r="E55" i="67"/>
  <c r="E54" i="67" s="1"/>
  <c r="E53" i="67" s="1"/>
  <c r="D55" i="67"/>
  <c r="O47" i="67"/>
  <c r="C47" i="67" s="1"/>
  <c r="O46" i="67"/>
  <c r="C46" i="67" s="1"/>
  <c r="N45" i="67"/>
  <c r="M45" i="67"/>
  <c r="L44" i="67"/>
  <c r="L43" i="67" s="1"/>
  <c r="I44" i="67"/>
  <c r="I43" i="67" s="1"/>
  <c r="F44" i="67"/>
  <c r="K43" i="67"/>
  <c r="J43" i="67"/>
  <c r="H43" i="67"/>
  <c r="G43" i="67"/>
  <c r="F43" i="67"/>
  <c r="E43" i="67"/>
  <c r="D43" i="67"/>
  <c r="F42" i="67"/>
  <c r="C42" i="67" s="1"/>
  <c r="E41" i="67"/>
  <c r="D41" i="67"/>
  <c r="L40" i="67"/>
  <c r="C40" i="67"/>
  <c r="L39" i="67"/>
  <c r="C39" i="67" s="1"/>
  <c r="L38" i="67"/>
  <c r="C38" i="67" s="1"/>
  <c r="L37" i="67"/>
  <c r="C37" i="67" s="1"/>
  <c r="K36" i="67"/>
  <c r="J36" i="67"/>
  <c r="L35" i="67"/>
  <c r="C35" i="67" s="1"/>
  <c r="L34" i="67"/>
  <c r="C34" i="67" s="1"/>
  <c r="K33" i="67"/>
  <c r="J33" i="67"/>
  <c r="L32" i="67"/>
  <c r="C32" i="67" s="1"/>
  <c r="L31" i="67"/>
  <c r="C31" i="67" s="1"/>
  <c r="K31" i="67"/>
  <c r="J31" i="67"/>
  <c r="L30" i="67"/>
  <c r="C30" i="67" s="1"/>
  <c r="L29" i="67"/>
  <c r="C29" i="67" s="1"/>
  <c r="L28" i="67"/>
  <c r="C28" i="67" s="1"/>
  <c r="K27" i="67"/>
  <c r="K26" i="67" s="1"/>
  <c r="J27" i="67"/>
  <c r="F25" i="67"/>
  <c r="C25" i="67" s="1"/>
  <c r="I24" i="67"/>
  <c r="F24" i="67"/>
  <c r="O23" i="67"/>
  <c r="L23" i="67"/>
  <c r="I23" i="67"/>
  <c r="F23" i="67"/>
  <c r="C23" i="67" s="1"/>
  <c r="O22" i="67"/>
  <c r="L22" i="67"/>
  <c r="I22" i="67"/>
  <c r="I21" i="67" s="1"/>
  <c r="F22" i="67"/>
  <c r="N21" i="67"/>
  <c r="N292" i="67" s="1"/>
  <c r="N291" i="67" s="1"/>
  <c r="M21" i="67"/>
  <c r="K21" i="67"/>
  <c r="K292" i="67" s="1"/>
  <c r="J21" i="67"/>
  <c r="H21" i="67"/>
  <c r="H292" i="67" s="1"/>
  <c r="G21" i="67"/>
  <c r="E21" i="67"/>
  <c r="D21" i="67"/>
  <c r="D292" i="67" s="1"/>
  <c r="D291" i="67" s="1"/>
  <c r="N20" i="67"/>
  <c r="F160" i="67" l="1"/>
  <c r="C177" i="67"/>
  <c r="C214" i="67"/>
  <c r="G292" i="67"/>
  <c r="G291" i="67" s="1"/>
  <c r="C108" i="67"/>
  <c r="M20" i="67"/>
  <c r="M76" i="67"/>
  <c r="G173" i="67"/>
  <c r="C200" i="67"/>
  <c r="C202" i="67"/>
  <c r="C206" i="67"/>
  <c r="C208" i="67"/>
  <c r="C210" i="67"/>
  <c r="N230" i="67"/>
  <c r="C266" i="67"/>
  <c r="H270" i="67"/>
  <c r="H269" i="67" s="1"/>
  <c r="M269" i="67"/>
  <c r="K270" i="67"/>
  <c r="K269" i="67" s="1"/>
  <c r="K291" i="67"/>
  <c r="M53" i="67"/>
  <c r="L67" i="67"/>
  <c r="D76" i="67"/>
  <c r="H76" i="67"/>
  <c r="N76" i="67"/>
  <c r="N75" i="67" s="1"/>
  <c r="N52" i="67" s="1"/>
  <c r="N51" i="67" s="1"/>
  <c r="N50" i="67" s="1"/>
  <c r="C143" i="67"/>
  <c r="J187" i="67"/>
  <c r="M204" i="67"/>
  <c r="D231" i="67"/>
  <c r="D270" i="67"/>
  <c r="D269" i="67" s="1"/>
  <c r="N270" i="67"/>
  <c r="N269" i="67" s="1"/>
  <c r="C43" i="67"/>
  <c r="C102" i="67"/>
  <c r="E187" i="67"/>
  <c r="O187" i="67"/>
  <c r="M187" i="67"/>
  <c r="M231" i="67"/>
  <c r="M230" i="67" s="1"/>
  <c r="C254" i="67"/>
  <c r="G270" i="67"/>
  <c r="G269" i="67" s="1"/>
  <c r="C282" i="67"/>
  <c r="C294" i="67"/>
  <c r="C298" i="67"/>
  <c r="C299" i="67"/>
  <c r="C300" i="67"/>
  <c r="L21" i="67"/>
  <c r="L292" i="67" s="1"/>
  <c r="L291" i="67" s="1"/>
  <c r="J26" i="67"/>
  <c r="J20" i="67" s="1"/>
  <c r="K76" i="67"/>
  <c r="C96" i="67"/>
  <c r="I95" i="67"/>
  <c r="J130" i="67"/>
  <c r="C169" i="67"/>
  <c r="J174" i="67"/>
  <c r="J173" i="67" s="1"/>
  <c r="K187" i="67"/>
  <c r="C218" i="67"/>
  <c r="C262" i="67"/>
  <c r="D259" i="67"/>
  <c r="O276" i="67"/>
  <c r="O270" i="67" s="1"/>
  <c r="O269" i="67" s="1"/>
  <c r="N54" i="67"/>
  <c r="N53" i="67" s="1"/>
  <c r="C93" i="67"/>
  <c r="N130" i="67"/>
  <c r="C137" i="67"/>
  <c r="C181" i="67"/>
  <c r="G187" i="67"/>
  <c r="C212" i="67"/>
  <c r="C213" i="67"/>
  <c r="C234" i="67"/>
  <c r="C236" i="67"/>
  <c r="C240" i="67"/>
  <c r="C242" i="67"/>
  <c r="C278" i="67"/>
  <c r="C22" i="67"/>
  <c r="I67" i="67"/>
  <c r="C86" i="67"/>
  <c r="H83" i="67"/>
  <c r="C105" i="67"/>
  <c r="C121" i="67"/>
  <c r="C125" i="67"/>
  <c r="C149" i="67"/>
  <c r="C152" i="67"/>
  <c r="I179" i="67"/>
  <c r="I196" i="67"/>
  <c r="C224" i="67"/>
  <c r="C226" i="67"/>
  <c r="C64" i="67"/>
  <c r="K54" i="67"/>
  <c r="K53" i="67" s="1"/>
  <c r="D54" i="67"/>
  <c r="D53" i="67" s="1"/>
  <c r="L58" i="67"/>
  <c r="H54" i="67"/>
  <c r="H53" i="67" s="1"/>
  <c r="L54" i="67"/>
  <c r="L53" i="67" s="1"/>
  <c r="C59" i="67"/>
  <c r="O69" i="67"/>
  <c r="O67" i="67" s="1"/>
  <c r="G231" i="67"/>
  <c r="O264" i="67"/>
  <c r="I293" i="67"/>
  <c r="C57" i="67"/>
  <c r="C63" i="67"/>
  <c r="C71" i="67"/>
  <c r="C72" i="67"/>
  <c r="C74" i="67"/>
  <c r="C90" i="67"/>
  <c r="C91" i="67"/>
  <c r="O89" i="67"/>
  <c r="C97" i="67"/>
  <c r="C104" i="67"/>
  <c r="L103" i="67"/>
  <c r="C120" i="67"/>
  <c r="L122" i="67"/>
  <c r="C129" i="67"/>
  <c r="C128" i="67"/>
  <c r="C148" i="67"/>
  <c r="H130" i="67"/>
  <c r="H75" i="67" s="1"/>
  <c r="C160" i="67"/>
  <c r="L166" i="67"/>
  <c r="L165" i="67" s="1"/>
  <c r="C178" i="67"/>
  <c r="L179" i="67"/>
  <c r="C185" i="67"/>
  <c r="D204" i="67"/>
  <c r="D195" i="67" s="1"/>
  <c r="H204" i="67"/>
  <c r="H195" i="67" s="1"/>
  <c r="N204" i="67"/>
  <c r="N195" i="67" s="1"/>
  <c r="N194" i="67" s="1"/>
  <c r="L205" i="67"/>
  <c r="O216" i="67"/>
  <c r="H230" i="67"/>
  <c r="I238" i="67"/>
  <c r="C244" i="67"/>
  <c r="O252" i="67"/>
  <c r="O251" i="67" s="1"/>
  <c r="C280" i="67"/>
  <c r="C287" i="67"/>
  <c r="C288" i="67"/>
  <c r="I292" i="67"/>
  <c r="I291" i="67" s="1"/>
  <c r="C24" i="67"/>
  <c r="G20" i="67"/>
  <c r="F54" i="67"/>
  <c r="C60" i="67"/>
  <c r="C62" i="67"/>
  <c r="F76" i="67"/>
  <c r="C79" i="67"/>
  <c r="C81" i="67"/>
  <c r="D83" i="67"/>
  <c r="D75" i="67" s="1"/>
  <c r="J83" i="67"/>
  <c r="J75" i="67" s="1"/>
  <c r="N83" i="67"/>
  <c r="C106" i="67"/>
  <c r="C107" i="67"/>
  <c r="C113" i="67"/>
  <c r="C124" i="67"/>
  <c r="C140" i="67"/>
  <c r="O141" i="67"/>
  <c r="C150" i="67"/>
  <c r="C156" i="67"/>
  <c r="O151" i="67"/>
  <c r="O130" i="67" s="1"/>
  <c r="C164" i="67"/>
  <c r="C168" i="67"/>
  <c r="N173" i="67"/>
  <c r="H174" i="67"/>
  <c r="H173" i="67" s="1"/>
  <c r="M174" i="67"/>
  <c r="M173" i="67" s="1"/>
  <c r="C186" i="67"/>
  <c r="O196" i="67"/>
  <c r="K204" i="67"/>
  <c r="K195" i="67" s="1"/>
  <c r="C223" i="67"/>
  <c r="C228" i="67"/>
  <c r="C232" i="67"/>
  <c r="J231" i="67"/>
  <c r="J230" i="67" s="1"/>
  <c r="J194" i="67" s="1"/>
  <c r="C248" i="67"/>
  <c r="I264" i="67"/>
  <c r="C275" i="67"/>
  <c r="F281" i="67"/>
  <c r="C281" i="67" s="1"/>
  <c r="I286" i="67"/>
  <c r="C286" i="67" s="1"/>
  <c r="I270" i="67"/>
  <c r="I269" i="67" s="1"/>
  <c r="E292" i="67"/>
  <c r="E291" i="67" s="1"/>
  <c r="J292" i="67"/>
  <c r="J291" i="67" s="1"/>
  <c r="O21" i="67"/>
  <c r="C44" i="67"/>
  <c r="C56" i="67"/>
  <c r="C61" i="67"/>
  <c r="I58" i="67"/>
  <c r="I54" i="67" s="1"/>
  <c r="I53" i="67" s="1"/>
  <c r="C88" i="67"/>
  <c r="C100" i="67"/>
  <c r="M83" i="67"/>
  <c r="M75" i="67" s="1"/>
  <c r="M52" i="67" s="1"/>
  <c r="C117" i="67"/>
  <c r="I122" i="67"/>
  <c r="C126" i="67"/>
  <c r="C127" i="67"/>
  <c r="E130" i="67"/>
  <c r="C134" i="67"/>
  <c r="I141" i="67"/>
  <c r="C145" i="67"/>
  <c r="C158" i="67"/>
  <c r="C159" i="67"/>
  <c r="I166" i="67"/>
  <c r="I165" i="67" s="1"/>
  <c r="C172" i="67"/>
  <c r="L175" i="67"/>
  <c r="H187" i="67"/>
  <c r="N187" i="67"/>
  <c r="L188" i="67"/>
  <c r="L187" i="67" s="1"/>
  <c r="C203" i="67"/>
  <c r="F205" i="67"/>
  <c r="C211" i="67"/>
  <c r="G204" i="67"/>
  <c r="G195" i="67" s="1"/>
  <c r="I216" i="67"/>
  <c r="C222" i="67"/>
  <c r="C225" i="67"/>
  <c r="C229" i="67"/>
  <c r="F233" i="67"/>
  <c r="C233" i="67" s="1"/>
  <c r="K231" i="67"/>
  <c r="C241" i="67"/>
  <c r="I252" i="67"/>
  <c r="I251" i="67" s="1"/>
  <c r="C258" i="67"/>
  <c r="O260" i="67"/>
  <c r="C274" i="67"/>
  <c r="E270" i="67"/>
  <c r="E269" i="67" s="1"/>
  <c r="C295" i="67"/>
  <c r="O292" i="67"/>
  <c r="E75" i="67"/>
  <c r="C55" i="67"/>
  <c r="C73" i="67"/>
  <c r="C87" i="67"/>
  <c r="F84" i="67"/>
  <c r="C142" i="67"/>
  <c r="F141" i="67"/>
  <c r="C141" i="67" s="1"/>
  <c r="C180" i="67"/>
  <c r="F179" i="67"/>
  <c r="M292" i="67"/>
  <c r="M291" i="67" s="1"/>
  <c r="F21" i="67"/>
  <c r="L27" i="67"/>
  <c r="L33" i="67"/>
  <c r="C33" i="67" s="1"/>
  <c r="L36" i="67"/>
  <c r="C36" i="67" s="1"/>
  <c r="F41" i="67"/>
  <c r="C41" i="67" s="1"/>
  <c r="O45" i="67"/>
  <c r="O58" i="67"/>
  <c r="C58" i="67" s="1"/>
  <c r="C68" i="67"/>
  <c r="F69" i="67"/>
  <c r="C69" i="67" s="1"/>
  <c r="C78" i="67"/>
  <c r="L80" i="67"/>
  <c r="L76" i="67" s="1"/>
  <c r="I89" i="67"/>
  <c r="L95" i="67"/>
  <c r="F95" i="67"/>
  <c r="C109" i="67"/>
  <c r="L112" i="67"/>
  <c r="L116" i="67"/>
  <c r="O122" i="67"/>
  <c r="K130" i="67"/>
  <c r="C132" i="67"/>
  <c r="L144" i="67"/>
  <c r="F165" i="67"/>
  <c r="C301" i="67"/>
  <c r="K20" i="67"/>
  <c r="D20" i="67"/>
  <c r="H20" i="67"/>
  <c r="C65" i="67"/>
  <c r="C70" i="67"/>
  <c r="C77" i="67"/>
  <c r="I76" i="67"/>
  <c r="C82" i="67"/>
  <c r="K83" i="67"/>
  <c r="L89" i="67"/>
  <c r="C94" i="67"/>
  <c r="C98" i="67"/>
  <c r="C99" i="67"/>
  <c r="O103" i="67"/>
  <c r="C110" i="67"/>
  <c r="C111" i="67"/>
  <c r="C114" i="67"/>
  <c r="C115" i="67"/>
  <c r="F112" i="67"/>
  <c r="C112" i="67" s="1"/>
  <c r="C118" i="67"/>
  <c r="C119" i="67"/>
  <c r="F116" i="67"/>
  <c r="F122" i="67"/>
  <c r="C123" i="67"/>
  <c r="G130" i="67"/>
  <c r="C133" i="67"/>
  <c r="I131" i="67"/>
  <c r="L136" i="67"/>
  <c r="C147" i="67"/>
  <c r="L151" i="67"/>
  <c r="C153" i="67"/>
  <c r="I151" i="67"/>
  <c r="I187" i="67"/>
  <c r="E20" i="67"/>
  <c r="I20" i="67"/>
  <c r="H291" i="67"/>
  <c r="C66" i="67"/>
  <c r="G83" i="67"/>
  <c r="F103" i="67"/>
  <c r="C139" i="67"/>
  <c r="C167" i="67"/>
  <c r="O179" i="67"/>
  <c r="C138" i="67"/>
  <c r="C146" i="67"/>
  <c r="F151" i="67"/>
  <c r="C162" i="67"/>
  <c r="C163" i="67"/>
  <c r="C170" i="67"/>
  <c r="C171" i="67"/>
  <c r="I174" i="67"/>
  <c r="I173" i="67" s="1"/>
  <c r="O175" i="67"/>
  <c r="C182" i="67"/>
  <c r="C183" i="67"/>
  <c r="C184" i="67"/>
  <c r="C217" i="67"/>
  <c r="F216" i="67"/>
  <c r="C237" i="67"/>
  <c r="F235" i="67"/>
  <c r="C261" i="67"/>
  <c r="F260" i="67"/>
  <c r="F131" i="67"/>
  <c r="I136" i="67"/>
  <c r="C136" i="67" s="1"/>
  <c r="I144" i="67"/>
  <c r="C144" i="67" s="1"/>
  <c r="C154" i="67"/>
  <c r="C155" i="67"/>
  <c r="O166" i="67"/>
  <c r="O165" i="67" s="1"/>
  <c r="E174" i="67"/>
  <c r="E173" i="67" s="1"/>
  <c r="C176" i="67"/>
  <c r="F175" i="67"/>
  <c r="C190" i="67"/>
  <c r="E195" i="67"/>
  <c r="O205" i="67"/>
  <c r="O238" i="67"/>
  <c r="O231" i="67" s="1"/>
  <c r="I246" i="67"/>
  <c r="C250" i="67"/>
  <c r="C253" i="67"/>
  <c r="F252" i="67"/>
  <c r="G259" i="67"/>
  <c r="G230" i="67" s="1"/>
  <c r="K259" i="67"/>
  <c r="K230" i="67" s="1"/>
  <c r="C265" i="67"/>
  <c r="F264" i="67"/>
  <c r="C277" i="67"/>
  <c r="F276" i="67"/>
  <c r="F198" i="67"/>
  <c r="C198" i="67" s="1"/>
  <c r="C199" i="67"/>
  <c r="C207" i="67"/>
  <c r="C215" i="67"/>
  <c r="C219" i="67"/>
  <c r="C220" i="67"/>
  <c r="L238" i="67"/>
  <c r="C243" i="67"/>
  <c r="F246" i="67"/>
  <c r="C247" i="67"/>
  <c r="C255" i="67"/>
  <c r="C256" i="67"/>
  <c r="C263" i="67"/>
  <c r="C267" i="67"/>
  <c r="C268" i="67"/>
  <c r="C285" i="67"/>
  <c r="F284" i="67"/>
  <c r="C193" i="67"/>
  <c r="F192" i="67"/>
  <c r="C197" i="67"/>
  <c r="C201" i="67"/>
  <c r="I205" i="67"/>
  <c r="I204" i="67" s="1"/>
  <c r="C209" i="67"/>
  <c r="L216" i="67"/>
  <c r="L204" i="67" s="1"/>
  <c r="L195" i="67" s="1"/>
  <c r="C221" i="67"/>
  <c r="E231" i="67"/>
  <c r="E230" i="67" s="1"/>
  <c r="C245" i="67"/>
  <c r="C249" i="67"/>
  <c r="L252" i="67"/>
  <c r="L251" i="67" s="1"/>
  <c r="C257" i="67"/>
  <c r="I259" i="67"/>
  <c r="L260" i="67"/>
  <c r="L264" i="67"/>
  <c r="C273" i="67"/>
  <c r="F272" i="67"/>
  <c r="C272" i="67" s="1"/>
  <c r="O293" i="67"/>
  <c r="M195" i="67"/>
  <c r="M194" i="67" s="1"/>
  <c r="C227" i="67"/>
  <c r="F238" i="67"/>
  <c r="C239" i="67"/>
  <c r="L246" i="67"/>
  <c r="C271" i="67"/>
  <c r="L276" i="67"/>
  <c r="L270" i="67" s="1"/>
  <c r="L269" i="67" s="1"/>
  <c r="C279" i="67"/>
  <c r="C296" i="67"/>
  <c r="C297" i="67"/>
  <c r="F293" i="67"/>
  <c r="C293" i="67" s="1"/>
  <c r="D230" i="67" l="1"/>
  <c r="O204" i="67"/>
  <c r="O195" i="67" s="1"/>
  <c r="L130" i="67"/>
  <c r="I195" i="67"/>
  <c r="C103" i="67"/>
  <c r="C188" i="67"/>
  <c r="J52" i="67"/>
  <c r="J289" i="67"/>
  <c r="K194" i="67"/>
  <c r="D194" i="67"/>
  <c r="C95" i="67"/>
  <c r="O259" i="67"/>
  <c r="O230" i="67" s="1"/>
  <c r="O194" i="67" s="1"/>
  <c r="K75" i="67"/>
  <c r="K52" i="67" s="1"/>
  <c r="I231" i="67"/>
  <c r="L174" i="67"/>
  <c r="L173" i="67" s="1"/>
  <c r="H52" i="67"/>
  <c r="N289" i="67"/>
  <c r="F67" i="67"/>
  <c r="C67" i="67" s="1"/>
  <c r="I83" i="67"/>
  <c r="J51" i="67"/>
  <c r="D289" i="67"/>
  <c r="D52" i="67"/>
  <c r="D51" i="67" s="1"/>
  <c r="H194" i="67"/>
  <c r="H289" i="67"/>
  <c r="K289" i="67"/>
  <c r="L231" i="67"/>
  <c r="C179" i="67"/>
  <c r="C89" i="67"/>
  <c r="E52" i="67"/>
  <c r="C264" i="67"/>
  <c r="K51" i="67"/>
  <c r="K50" i="67" s="1"/>
  <c r="O83" i="67"/>
  <c r="O75" i="67" s="1"/>
  <c r="C216" i="67"/>
  <c r="E289" i="67"/>
  <c r="O174" i="67"/>
  <c r="O173" i="67" s="1"/>
  <c r="L83" i="67"/>
  <c r="K290" i="67"/>
  <c r="O54" i="67"/>
  <c r="C284" i="67"/>
  <c r="F283" i="67"/>
  <c r="C283" i="67" s="1"/>
  <c r="C235" i="67"/>
  <c r="F231" i="67"/>
  <c r="C45" i="67"/>
  <c r="F270" i="67"/>
  <c r="I230" i="67"/>
  <c r="G194" i="67"/>
  <c r="C276" i="67"/>
  <c r="G75" i="67"/>
  <c r="I130" i="67"/>
  <c r="I75" i="67" s="1"/>
  <c r="I52" i="67" s="1"/>
  <c r="C122" i="67"/>
  <c r="C76" i="67"/>
  <c r="C205" i="67"/>
  <c r="F292" i="67"/>
  <c r="C21" i="67"/>
  <c r="F20" i="67"/>
  <c r="C166" i="67"/>
  <c r="F83" i="67"/>
  <c r="C84" i="67"/>
  <c r="F53" i="67"/>
  <c r="M51" i="67"/>
  <c r="O20" i="67"/>
  <c r="C252" i="67"/>
  <c r="F251" i="67"/>
  <c r="C251" i="67" s="1"/>
  <c r="C165" i="67"/>
  <c r="C238" i="67"/>
  <c r="C175" i="67"/>
  <c r="F174" i="67"/>
  <c r="C131" i="67"/>
  <c r="F130" i="67"/>
  <c r="F204" i="67"/>
  <c r="C204" i="67" s="1"/>
  <c r="C27" i="67"/>
  <c r="L26" i="67"/>
  <c r="L259" i="67"/>
  <c r="L230" i="67" s="1"/>
  <c r="F196" i="67"/>
  <c r="C192" i="67"/>
  <c r="F191" i="67"/>
  <c r="M289" i="67"/>
  <c r="C246" i="67"/>
  <c r="E194" i="67"/>
  <c r="E51" i="67" s="1"/>
  <c r="C260" i="67"/>
  <c r="F259" i="67"/>
  <c r="C259" i="67" s="1"/>
  <c r="C151" i="67"/>
  <c r="C116" i="67"/>
  <c r="N290" i="67"/>
  <c r="L75" i="67"/>
  <c r="L52" i="67" s="1"/>
  <c r="C80" i="67"/>
  <c r="O291" i="67"/>
  <c r="H51" i="67" l="1"/>
  <c r="D290" i="67"/>
  <c r="D50" i="67"/>
  <c r="J50" i="67"/>
  <c r="J290" i="67"/>
  <c r="L289" i="67"/>
  <c r="L194" i="67"/>
  <c r="L51" i="67" s="1"/>
  <c r="L50" i="67" s="1"/>
  <c r="E290" i="67"/>
  <c r="E50" i="67"/>
  <c r="C191" i="67"/>
  <c r="F187" i="67"/>
  <c r="C187" i="67" s="1"/>
  <c r="M50" i="67"/>
  <c r="M290" i="67"/>
  <c r="I289" i="67"/>
  <c r="O53" i="67"/>
  <c r="C53" i="67" s="1"/>
  <c r="C54" i="67"/>
  <c r="I194" i="67"/>
  <c r="I51" i="67" s="1"/>
  <c r="F173" i="67"/>
  <c r="C173" i="67" s="1"/>
  <c r="C174" i="67"/>
  <c r="G52" i="67"/>
  <c r="G51" i="67" s="1"/>
  <c r="G289" i="67"/>
  <c r="F269" i="67"/>
  <c r="C270" i="67"/>
  <c r="C26" i="67"/>
  <c r="L20" i="67"/>
  <c r="C20" i="67" s="1"/>
  <c r="F230" i="67"/>
  <c r="C230" i="67" s="1"/>
  <c r="C231" i="67"/>
  <c r="C196" i="67"/>
  <c r="F195" i="67"/>
  <c r="C130" i="67"/>
  <c r="C83" i="67"/>
  <c r="F75" i="67"/>
  <c r="C75" i="67" s="1"/>
  <c r="C292" i="67"/>
  <c r="F291" i="67"/>
  <c r="C291" i="67" s="1"/>
  <c r="H290" i="67" l="1"/>
  <c r="H50" i="67"/>
  <c r="I290" i="67"/>
  <c r="I50" i="67"/>
  <c r="F52" i="67"/>
  <c r="L290" i="67"/>
  <c r="G290" i="67"/>
  <c r="G50" i="67"/>
  <c r="O52" i="67"/>
  <c r="O51" i="67" s="1"/>
  <c r="O289" i="67"/>
  <c r="F194" i="67"/>
  <c r="C194" i="67" s="1"/>
  <c r="C195" i="67"/>
  <c r="C269" i="67"/>
  <c r="F289" i="67"/>
  <c r="C289" i="67" l="1"/>
  <c r="O50" i="67"/>
  <c r="O290" i="67"/>
  <c r="F51" i="67"/>
  <c r="C52" i="67"/>
  <c r="F290" i="67" l="1"/>
  <c r="C290" i="67" s="1"/>
  <c r="C51" i="67"/>
  <c r="F50" i="67"/>
  <c r="C50" i="67" s="1"/>
  <c r="E64" i="22" l="1"/>
  <c r="E63" i="22"/>
  <c r="O301" i="66" l="1"/>
  <c r="L301" i="66"/>
  <c r="I301" i="66"/>
  <c r="F301" i="66"/>
  <c r="O300" i="66"/>
  <c r="L300" i="66"/>
  <c r="I300" i="66"/>
  <c r="F300" i="66"/>
  <c r="O299" i="66"/>
  <c r="L299" i="66"/>
  <c r="I299" i="66"/>
  <c r="F299" i="66"/>
  <c r="O298" i="66"/>
  <c r="L298" i="66"/>
  <c r="I298" i="66"/>
  <c r="F298" i="66"/>
  <c r="O297" i="66"/>
  <c r="L297" i="66"/>
  <c r="I297" i="66"/>
  <c r="F297" i="66"/>
  <c r="O296" i="66"/>
  <c r="L296" i="66"/>
  <c r="I296" i="66"/>
  <c r="F296" i="66"/>
  <c r="O295" i="66"/>
  <c r="L295" i="66"/>
  <c r="I295" i="66"/>
  <c r="F295" i="66"/>
  <c r="O294" i="66"/>
  <c r="O293" i="66" s="1"/>
  <c r="L294" i="66"/>
  <c r="I294" i="66"/>
  <c r="I293" i="66" s="1"/>
  <c r="F294" i="66"/>
  <c r="N293" i="66"/>
  <c r="M293" i="66"/>
  <c r="K293" i="66"/>
  <c r="J293" i="66"/>
  <c r="H293" i="66"/>
  <c r="G293" i="66"/>
  <c r="E293" i="66"/>
  <c r="D293" i="66"/>
  <c r="O288" i="66"/>
  <c r="L288" i="66"/>
  <c r="I288" i="66"/>
  <c r="F288" i="66"/>
  <c r="O287" i="66"/>
  <c r="L287" i="66"/>
  <c r="L286" i="66" s="1"/>
  <c r="I287" i="66"/>
  <c r="F287" i="66"/>
  <c r="F286" i="66" s="1"/>
  <c r="O286" i="66"/>
  <c r="N286" i="66"/>
  <c r="M286" i="66"/>
  <c r="K286" i="66"/>
  <c r="J286" i="66"/>
  <c r="H286" i="66"/>
  <c r="G286" i="66"/>
  <c r="E286" i="66"/>
  <c r="D286" i="66"/>
  <c r="O285" i="66"/>
  <c r="L285" i="66"/>
  <c r="L284" i="66" s="1"/>
  <c r="L283" i="66" s="1"/>
  <c r="I285" i="66"/>
  <c r="I284" i="66" s="1"/>
  <c r="I283" i="66" s="1"/>
  <c r="F285" i="66"/>
  <c r="O284" i="66"/>
  <c r="O283" i="66" s="1"/>
  <c r="N284" i="66"/>
  <c r="N283" i="66" s="1"/>
  <c r="M284" i="66"/>
  <c r="M283" i="66" s="1"/>
  <c r="K284" i="66"/>
  <c r="K283" i="66" s="1"/>
  <c r="J284" i="66"/>
  <c r="H284" i="66"/>
  <c r="H283" i="66" s="1"/>
  <c r="G284" i="66"/>
  <c r="G283" i="66" s="1"/>
  <c r="E284" i="66"/>
  <c r="E283" i="66" s="1"/>
  <c r="D284" i="66"/>
  <c r="D283" i="66" s="1"/>
  <c r="J283" i="66"/>
  <c r="O282" i="66"/>
  <c r="O281" i="66" s="1"/>
  <c r="L282" i="66"/>
  <c r="L281" i="66" s="1"/>
  <c r="I282" i="66"/>
  <c r="I281" i="66" s="1"/>
  <c r="F282" i="66"/>
  <c r="N281" i="66"/>
  <c r="M281" i="66"/>
  <c r="K281" i="66"/>
  <c r="J281" i="66"/>
  <c r="H281" i="66"/>
  <c r="G281" i="66"/>
  <c r="E281" i="66"/>
  <c r="D281" i="66"/>
  <c r="O280" i="66"/>
  <c r="L280" i="66"/>
  <c r="I280" i="66"/>
  <c r="F280" i="66"/>
  <c r="O279" i="66"/>
  <c r="L279" i="66"/>
  <c r="I279" i="66"/>
  <c r="F279" i="66"/>
  <c r="O278" i="66"/>
  <c r="L278" i="66"/>
  <c r="I278" i="66"/>
  <c r="F278" i="66"/>
  <c r="O277" i="66"/>
  <c r="L277" i="66"/>
  <c r="I277" i="66"/>
  <c r="I276" i="66" s="1"/>
  <c r="F277" i="66"/>
  <c r="N276" i="66"/>
  <c r="M276" i="66"/>
  <c r="K276" i="66"/>
  <c r="J276" i="66"/>
  <c r="H276" i="66"/>
  <c r="G276" i="66"/>
  <c r="E276" i="66"/>
  <c r="D276" i="66"/>
  <c r="O275" i="66"/>
  <c r="L275" i="66"/>
  <c r="I275" i="66"/>
  <c r="F275" i="66"/>
  <c r="O274" i="66"/>
  <c r="O272" i="66" s="1"/>
  <c r="L274" i="66"/>
  <c r="I274" i="66"/>
  <c r="F274" i="66"/>
  <c r="C274" i="66" s="1"/>
  <c r="O273" i="66"/>
  <c r="L273" i="66"/>
  <c r="L272" i="66" s="1"/>
  <c r="I273" i="66"/>
  <c r="F273" i="66"/>
  <c r="N272" i="66"/>
  <c r="M272" i="66"/>
  <c r="K272" i="66"/>
  <c r="K270" i="66" s="1"/>
  <c r="K269" i="66" s="1"/>
  <c r="J272" i="66"/>
  <c r="H272" i="66"/>
  <c r="G272" i="66"/>
  <c r="E272" i="66"/>
  <c r="D272" i="66"/>
  <c r="O271" i="66"/>
  <c r="L271" i="66"/>
  <c r="I271" i="66"/>
  <c r="F271" i="66"/>
  <c r="G270" i="66"/>
  <c r="G269" i="66" s="1"/>
  <c r="D270" i="66"/>
  <c r="O268" i="66"/>
  <c r="L268" i="66"/>
  <c r="I268" i="66"/>
  <c r="F268" i="66"/>
  <c r="O267" i="66"/>
  <c r="L267" i="66"/>
  <c r="I267" i="66"/>
  <c r="F267" i="66"/>
  <c r="O266" i="66"/>
  <c r="L266" i="66"/>
  <c r="I266" i="66"/>
  <c r="F266" i="66"/>
  <c r="C266" i="66" s="1"/>
  <c r="O265" i="66"/>
  <c r="L265" i="66"/>
  <c r="L264" i="66" s="1"/>
  <c r="I265" i="66"/>
  <c r="F265" i="66"/>
  <c r="N264" i="66"/>
  <c r="M264" i="66"/>
  <c r="K264" i="66"/>
  <c r="J264" i="66"/>
  <c r="H264" i="66"/>
  <c r="G264" i="66"/>
  <c r="E264" i="66"/>
  <c r="D264" i="66"/>
  <c r="O263" i="66"/>
  <c r="L263" i="66"/>
  <c r="I263" i="66"/>
  <c r="F263" i="66"/>
  <c r="O262" i="66"/>
  <c r="L262" i="66"/>
  <c r="I262" i="66"/>
  <c r="F262" i="66"/>
  <c r="O261" i="66"/>
  <c r="L261" i="66"/>
  <c r="I261" i="66"/>
  <c r="I260" i="66" s="1"/>
  <c r="F261" i="66"/>
  <c r="N260" i="66"/>
  <c r="N259" i="66" s="1"/>
  <c r="M260" i="66"/>
  <c r="K260" i="66"/>
  <c r="K259" i="66" s="1"/>
  <c r="J260" i="66"/>
  <c r="J259" i="66" s="1"/>
  <c r="H260" i="66"/>
  <c r="H259" i="66" s="1"/>
  <c r="G260" i="66"/>
  <c r="G259" i="66" s="1"/>
  <c r="E260" i="66"/>
  <c r="E259" i="66" s="1"/>
  <c r="D260" i="66"/>
  <c r="O258" i="66"/>
  <c r="L258" i="66"/>
  <c r="I258" i="66"/>
  <c r="F258" i="66"/>
  <c r="O257" i="66"/>
  <c r="L257" i="66"/>
  <c r="I257" i="66"/>
  <c r="F257" i="66"/>
  <c r="O256" i="66"/>
  <c r="L256" i="66"/>
  <c r="I256" i="66"/>
  <c r="F256" i="66"/>
  <c r="O255" i="66"/>
  <c r="L255" i="66"/>
  <c r="I255" i="66"/>
  <c r="F255" i="66"/>
  <c r="O254" i="66"/>
  <c r="L254" i="66"/>
  <c r="I254" i="66"/>
  <c r="C254" i="66" s="1"/>
  <c r="F254" i="66"/>
  <c r="O253" i="66"/>
  <c r="L253" i="66"/>
  <c r="L252" i="66" s="1"/>
  <c r="I253" i="66"/>
  <c r="F253" i="66"/>
  <c r="N252" i="66"/>
  <c r="M252" i="66"/>
  <c r="M251" i="66" s="1"/>
  <c r="K252" i="66"/>
  <c r="K251" i="66" s="1"/>
  <c r="J252" i="66"/>
  <c r="J251" i="66" s="1"/>
  <c r="H252" i="66"/>
  <c r="G252" i="66"/>
  <c r="G251" i="66" s="1"/>
  <c r="E252" i="66"/>
  <c r="E251" i="66" s="1"/>
  <c r="D252" i="66"/>
  <c r="D251" i="66" s="1"/>
  <c r="N251" i="66"/>
  <c r="H251" i="66"/>
  <c r="O250" i="66"/>
  <c r="L250" i="66"/>
  <c r="I250" i="66"/>
  <c r="F250" i="66"/>
  <c r="O249" i="66"/>
  <c r="L249" i="66"/>
  <c r="I249" i="66"/>
  <c r="F249" i="66"/>
  <c r="O248" i="66"/>
  <c r="L248" i="66"/>
  <c r="I248" i="66"/>
  <c r="F248" i="66"/>
  <c r="O247" i="66"/>
  <c r="O246" i="66" s="1"/>
  <c r="L247" i="66"/>
  <c r="L246" i="66" s="1"/>
  <c r="I247" i="66"/>
  <c r="F247" i="66"/>
  <c r="N246" i="66"/>
  <c r="M246" i="66"/>
  <c r="K246" i="66"/>
  <c r="J246" i="66"/>
  <c r="H246" i="66"/>
  <c r="G246" i="66"/>
  <c r="E246" i="66"/>
  <c r="D246" i="66"/>
  <c r="O245" i="66"/>
  <c r="L245" i="66"/>
  <c r="I245" i="66"/>
  <c r="F245" i="66"/>
  <c r="O244" i="66"/>
  <c r="L244" i="66"/>
  <c r="I244" i="66"/>
  <c r="F244" i="66"/>
  <c r="O243" i="66"/>
  <c r="L243" i="66"/>
  <c r="I243" i="66"/>
  <c r="F243" i="66"/>
  <c r="O242" i="66"/>
  <c r="L242" i="66"/>
  <c r="I242" i="66"/>
  <c r="F242" i="66"/>
  <c r="O241" i="66"/>
  <c r="L241" i="66"/>
  <c r="I241" i="66"/>
  <c r="F241" i="66"/>
  <c r="O240" i="66"/>
  <c r="L240" i="66"/>
  <c r="I240" i="66"/>
  <c r="F240" i="66"/>
  <c r="O239" i="66"/>
  <c r="L239" i="66"/>
  <c r="I239" i="66"/>
  <c r="F239" i="66"/>
  <c r="F238" i="66" s="1"/>
  <c r="N238" i="66"/>
  <c r="M238" i="66"/>
  <c r="K238" i="66"/>
  <c r="J238" i="66"/>
  <c r="H238" i="66"/>
  <c r="G238" i="66"/>
  <c r="E238" i="66"/>
  <c r="D238" i="66"/>
  <c r="O237" i="66"/>
  <c r="L237" i="66"/>
  <c r="I237" i="66"/>
  <c r="F237" i="66"/>
  <c r="O236" i="66"/>
  <c r="O235" i="66" s="1"/>
  <c r="L236" i="66"/>
  <c r="I236" i="66"/>
  <c r="F236" i="66"/>
  <c r="N235" i="66"/>
  <c r="M235" i="66"/>
  <c r="L235" i="66"/>
  <c r="K235" i="66"/>
  <c r="J235" i="66"/>
  <c r="H235" i="66"/>
  <c r="G235" i="66"/>
  <c r="F235" i="66"/>
  <c r="E235" i="66"/>
  <c r="D235" i="66"/>
  <c r="O234" i="66"/>
  <c r="O233" i="66" s="1"/>
  <c r="L234" i="66"/>
  <c r="L233" i="66" s="1"/>
  <c r="I234" i="66"/>
  <c r="I233" i="66" s="1"/>
  <c r="F234" i="66"/>
  <c r="N233" i="66"/>
  <c r="M233" i="66"/>
  <c r="M231" i="66" s="1"/>
  <c r="K233" i="66"/>
  <c r="J233" i="66"/>
  <c r="H233" i="66"/>
  <c r="H231" i="66" s="1"/>
  <c r="G233" i="66"/>
  <c r="F233" i="66"/>
  <c r="E233" i="66"/>
  <c r="D233" i="66"/>
  <c r="O232" i="66"/>
  <c r="L232" i="66"/>
  <c r="I232" i="66"/>
  <c r="F232" i="66"/>
  <c r="E231" i="66"/>
  <c r="O229" i="66"/>
  <c r="L229" i="66"/>
  <c r="I229" i="66"/>
  <c r="F229" i="66"/>
  <c r="O228" i="66"/>
  <c r="O227" i="66" s="1"/>
  <c r="L228" i="66"/>
  <c r="I228" i="66"/>
  <c r="F228" i="66"/>
  <c r="N227" i="66"/>
  <c r="M227" i="66"/>
  <c r="L227" i="66"/>
  <c r="K227" i="66"/>
  <c r="J227" i="66"/>
  <c r="H227" i="66"/>
  <c r="G227" i="66"/>
  <c r="F227" i="66"/>
  <c r="E227" i="66"/>
  <c r="D227" i="66"/>
  <c r="O226" i="66"/>
  <c r="L226" i="66"/>
  <c r="C226" i="66" s="1"/>
  <c r="I226" i="66"/>
  <c r="F226" i="66"/>
  <c r="O225" i="66"/>
  <c r="L225" i="66"/>
  <c r="I225" i="66"/>
  <c r="F225" i="66"/>
  <c r="O224" i="66"/>
  <c r="L224" i="66"/>
  <c r="I224" i="66"/>
  <c r="F224" i="66"/>
  <c r="O223" i="66"/>
  <c r="L223" i="66"/>
  <c r="I223" i="66"/>
  <c r="F223" i="66"/>
  <c r="O222" i="66"/>
  <c r="L222" i="66"/>
  <c r="I222" i="66"/>
  <c r="F222" i="66"/>
  <c r="O221" i="66"/>
  <c r="L221" i="66"/>
  <c r="I221" i="66"/>
  <c r="F221" i="66"/>
  <c r="O220" i="66"/>
  <c r="L220" i="66"/>
  <c r="I220" i="66"/>
  <c r="F220" i="66"/>
  <c r="O219" i="66"/>
  <c r="L219" i="66"/>
  <c r="I219" i="66"/>
  <c r="F219" i="66"/>
  <c r="O218" i="66"/>
  <c r="L218" i="66"/>
  <c r="I218" i="66"/>
  <c r="F218" i="66"/>
  <c r="O217" i="66"/>
  <c r="L217" i="66"/>
  <c r="I217" i="66"/>
  <c r="F217" i="66"/>
  <c r="N216" i="66"/>
  <c r="M216" i="66"/>
  <c r="K216" i="66"/>
  <c r="J216" i="66"/>
  <c r="H216" i="66"/>
  <c r="G216" i="66"/>
  <c r="E216" i="66"/>
  <c r="D216" i="66"/>
  <c r="O215" i="66"/>
  <c r="L215" i="66"/>
  <c r="I215" i="66"/>
  <c r="F215" i="66"/>
  <c r="O214" i="66"/>
  <c r="L214" i="66"/>
  <c r="I214" i="66"/>
  <c r="F214" i="66"/>
  <c r="O213" i="66"/>
  <c r="L213" i="66"/>
  <c r="I213" i="66"/>
  <c r="F213" i="66"/>
  <c r="O212" i="66"/>
  <c r="L212" i="66"/>
  <c r="I212" i="66"/>
  <c r="F212" i="66"/>
  <c r="O211" i="66"/>
  <c r="L211" i="66"/>
  <c r="I211" i="66"/>
  <c r="F211" i="66"/>
  <c r="O210" i="66"/>
  <c r="L210" i="66"/>
  <c r="I210" i="66"/>
  <c r="F210" i="66"/>
  <c r="O209" i="66"/>
  <c r="L209" i="66"/>
  <c r="I209" i="66"/>
  <c r="F209" i="66"/>
  <c r="O208" i="66"/>
  <c r="L208" i="66"/>
  <c r="I208" i="66"/>
  <c r="F208" i="66"/>
  <c r="O207" i="66"/>
  <c r="L207" i="66"/>
  <c r="I207" i="66"/>
  <c r="F207" i="66"/>
  <c r="O206" i="66"/>
  <c r="L206" i="66"/>
  <c r="I206" i="66"/>
  <c r="F206" i="66"/>
  <c r="N205" i="66"/>
  <c r="M205" i="66"/>
  <c r="M204" i="66" s="1"/>
  <c r="K205" i="66"/>
  <c r="J205" i="66"/>
  <c r="H205" i="66"/>
  <c r="G205" i="66"/>
  <c r="E205" i="66"/>
  <c r="E204" i="66" s="1"/>
  <c r="D205" i="66"/>
  <c r="O203" i="66"/>
  <c r="L203" i="66"/>
  <c r="I203" i="66"/>
  <c r="F203" i="66"/>
  <c r="O202" i="66"/>
  <c r="L202" i="66"/>
  <c r="I202" i="66"/>
  <c r="F202" i="66"/>
  <c r="O201" i="66"/>
  <c r="L201" i="66"/>
  <c r="I201" i="66"/>
  <c r="F201" i="66"/>
  <c r="O200" i="66"/>
  <c r="L200" i="66"/>
  <c r="I200" i="66"/>
  <c r="F200" i="66"/>
  <c r="O199" i="66"/>
  <c r="O198" i="66" s="1"/>
  <c r="L199" i="66"/>
  <c r="L198" i="66" s="1"/>
  <c r="I199" i="66"/>
  <c r="F199" i="66"/>
  <c r="F198" i="66" s="1"/>
  <c r="N198" i="66"/>
  <c r="M198" i="66"/>
  <c r="K198" i="66"/>
  <c r="K196" i="66" s="1"/>
  <c r="J198" i="66"/>
  <c r="J196" i="66" s="1"/>
  <c r="H198" i="66"/>
  <c r="H196" i="66" s="1"/>
  <c r="G198" i="66"/>
  <c r="G196" i="66" s="1"/>
  <c r="E198" i="66"/>
  <c r="D198" i="66"/>
  <c r="D196" i="66" s="1"/>
  <c r="O197" i="66"/>
  <c r="L197" i="66"/>
  <c r="I197" i="66"/>
  <c r="F197" i="66"/>
  <c r="N196" i="66"/>
  <c r="M196" i="66"/>
  <c r="E196" i="66"/>
  <c r="O193" i="66"/>
  <c r="L193" i="66"/>
  <c r="L192" i="66" s="1"/>
  <c r="L191" i="66" s="1"/>
  <c r="I193" i="66"/>
  <c r="I192" i="66" s="1"/>
  <c r="I191" i="66" s="1"/>
  <c r="F193" i="66"/>
  <c r="O192" i="66"/>
  <c r="O191" i="66" s="1"/>
  <c r="N192" i="66"/>
  <c r="M192" i="66"/>
  <c r="M191" i="66" s="1"/>
  <c r="K192" i="66"/>
  <c r="K191" i="66" s="1"/>
  <c r="J192" i="66"/>
  <c r="J191" i="66" s="1"/>
  <c r="J187" i="66" s="1"/>
  <c r="H192" i="66"/>
  <c r="H191" i="66" s="1"/>
  <c r="G192" i="66"/>
  <c r="G191" i="66" s="1"/>
  <c r="E192" i="66"/>
  <c r="E191" i="66" s="1"/>
  <c r="D192" i="66"/>
  <c r="D191" i="66" s="1"/>
  <c r="D187" i="66" s="1"/>
  <c r="N191" i="66"/>
  <c r="N187" i="66" s="1"/>
  <c r="O190" i="66"/>
  <c r="L190" i="66"/>
  <c r="I190" i="66"/>
  <c r="F190" i="66"/>
  <c r="O189" i="66"/>
  <c r="L189" i="66"/>
  <c r="L188" i="66" s="1"/>
  <c r="I189" i="66"/>
  <c r="I188" i="66" s="1"/>
  <c r="F189" i="66"/>
  <c r="N188" i="66"/>
  <c r="M188" i="66"/>
  <c r="K188" i="66"/>
  <c r="K187" i="66" s="1"/>
  <c r="J188" i="66"/>
  <c r="H188" i="66"/>
  <c r="G188" i="66"/>
  <c r="G187" i="66" s="1"/>
  <c r="E188" i="66"/>
  <c r="D188" i="66"/>
  <c r="O186" i="66"/>
  <c r="L186" i="66"/>
  <c r="I186" i="66"/>
  <c r="F186" i="66"/>
  <c r="O185" i="66"/>
  <c r="L185" i="66"/>
  <c r="L184" i="66" s="1"/>
  <c r="I185" i="66"/>
  <c r="I184" i="66" s="1"/>
  <c r="F185" i="66"/>
  <c r="N184" i="66"/>
  <c r="M184" i="66"/>
  <c r="K184" i="66"/>
  <c r="J184" i="66"/>
  <c r="H184" i="66"/>
  <c r="G184" i="66"/>
  <c r="E184" i="66"/>
  <c r="D184" i="66"/>
  <c r="O183" i="66"/>
  <c r="L183" i="66"/>
  <c r="I183" i="66"/>
  <c r="F183" i="66"/>
  <c r="O182" i="66"/>
  <c r="L182" i="66"/>
  <c r="I182" i="66"/>
  <c r="F182" i="66"/>
  <c r="O181" i="66"/>
  <c r="L181" i="66"/>
  <c r="I181" i="66"/>
  <c r="F181" i="66"/>
  <c r="O180" i="66"/>
  <c r="L180" i="66"/>
  <c r="I180" i="66"/>
  <c r="F180" i="66"/>
  <c r="N179" i="66"/>
  <c r="M179" i="66"/>
  <c r="K179" i="66"/>
  <c r="J179" i="66"/>
  <c r="H179" i="66"/>
  <c r="G179" i="66"/>
  <c r="E179" i="66"/>
  <c r="D179" i="66"/>
  <c r="O178" i="66"/>
  <c r="L178" i="66"/>
  <c r="I178" i="66"/>
  <c r="F178" i="66"/>
  <c r="O177" i="66"/>
  <c r="L177" i="66"/>
  <c r="I177" i="66"/>
  <c r="F177" i="66"/>
  <c r="O176" i="66"/>
  <c r="L176" i="66"/>
  <c r="I176" i="66"/>
  <c r="F176" i="66"/>
  <c r="N175" i="66"/>
  <c r="M175" i="66"/>
  <c r="K175" i="66"/>
  <c r="J175" i="66"/>
  <c r="H175" i="66"/>
  <c r="H174" i="66" s="1"/>
  <c r="H173" i="66" s="1"/>
  <c r="G175" i="66"/>
  <c r="G174" i="66" s="1"/>
  <c r="G173" i="66" s="1"/>
  <c r="F175" i="66"/>
  <c r="E175" i="66"/>
  <c r="E174" i="66" s="1"/>
  <c r="D175" i="66"/>
  <c r="D174" i="66" s="1"/>
  <c r="D173" i="66" s="1"/>
  <c r="K174" i="66"/>
  <c r="K173" i="66" s="1"/>
  <c r="O172" i="66"/>
  <c r="L172" i="66"/>
  <c r="I172" i="66"/>
  <c r="F172" i="66"/>
  <c r="O171" i="66"/>
  <c r="L171" i="66"/>
  <c r="I171" i="66"/>
  <c r="F171" i="66"/>
  <c r="O170" i="66"/>
  <c r="L170" i="66"/>
  <c r="I170" i="66"/>
  <c r="F170" i="66"/>
  <c r="O169" i="66"/>
  <c r="L169" i="66"/>
  <c r="I169" i="66"/>
  <c r="F169" i="66"/>
  <c r="O168" i="66"/>
  <c r="L168" i="66"/>
  <c r="I168" i="66"/>
  <c r="F168" i="66"/>
  <c r="O167" i="66"/>
  <c r="L167" i="66"/>
  <c r="I167" i="66"/>
  <c r="F167" i="66"/>
  <c r="F166" i="66" s="1"/>
  <c r="F165" i="66" s="1"/>
  <c r="N166" i="66"/>
  <c r="M166" i="66"/>
  <c r="M165" i="66" s="1"/>
  <c r="K166" i="66"/>
  <c r="K165" i="66" s="1"/>
  <c r="J166" i="66"/>
  <c r="H166" i="66"/>
  <c r="H165" i="66" s="1"/>
  <c r="G166" i="66"/>
  <c r="G165" i="66" s="1"/>
  <c r="E166" i="66"/>
  <c r="E165" i="66" s="1"/>
  <c r="D166" i="66"/>
  <c r="N165" i="66"/>
  <c r="J165" i="66"/>
  <c r="D165" i="66"/>
  <c r="O164" i="66"/>
  <c r="L164" i="66"/>
  <c r="I164" i="66"/>
  <c r="F164" i="66"/>
  <c r="O163" i="66"/>
  <c r="L163" i="66"/>
  <c r="I163" i="66"/>
  <c r="F163" i="66"/>
  <c r="O162" i="66"/>
  <c r="L162" i="66"/>
  <c r="I162" i="66"/>
  <c r="F162" i="66"/>
  <c r="O161" i="66"/>
  <c r="L161" i="66"/>
  <c r="L160" i="66" s="1"/>
  <c r="I161" i="66"/>
  <c r="I160" i="66" s="1"/>
  <c r="F161" i="66"/>
  <c r="N160" i="66"/>
  <c r="M160" i="66"/>
  <c r="K160" i="66"/>
  <c r="J160" i="66"/>
  <c r="H160" i="66"/>
  <c r="G160" i="66"/>
  <c r="E160" i="66"/>
  <c r="D160" i="66"/>
  <c r="O159" i="66"/>
  <c r="L159" i="66"/>
  <c r="I159" i="66"/>
  <c r="F159" i="66"/>
  <c r="O158" i="66"/>
  <c r="L158" i="66"/>
  <c r="I158" i="66"/>
  <c r="F158" i="66"/>
  <c r="O157" i="66"/>
  <c r="L157" i="66"/>
  <c r="I157" i="66"/>
  <c r="F157" i="66"/>
  <c r="O156" i="66"/>
  <c r="L156" i="66"/>
  <c r="I156" i="66"/>
  <c r="F156" i="66"/>
  <c r="O155" i="66"/>
  <c r="L155" i="66"/>
  <c r="I155" i="66"/>
  <c r="F155" i="66"/>
  <c r="O154" i="66"/>
  <c r="L154" i="66"/>
  <c r="I154" i="66"/>
  <c r="F154" i="66"/>
  <c r="O153" i="66"/>
  <c r="L153" i="66"/>
  <c r="I153" i="66"/>
  <c r="F153" i="66"/>
  <c r="O152" i="66"/>
  <c r="L152" i="66"/>
  <c r="I152" i="66"/>
  <c r="F152" i="66"/>
  <c r="F151" i="66" s="1"/>
  <c r="N151" i="66"/>
  <c r="M151" i="66"/>
  <c r="K151" i="66"/>
  <c r="J151" i="66"/>
  <c r="H151" i="66"/>
  <c r="G151" i="66"/>
  <c r="E151" i="66"/>
  <c r="D151" i="66"/>
  <c r="O150" i="66"/>
  <c r="L150" i="66"/>
  <c r="I150" i="66"/>
  <c r="F150" i="66"/>
  <c r="O149" i="66"/>
  <c r="L149" i="66"/>
  <c r="I149" i="66"/>
  <c r="F149" i="66"/>
  <c r="O148" i="66"/>
  <c r="L148" i="66"/>
  <c r="I148" i="66"/>
  <c r="F148" i="66"/>
  <c r="O147" i="66"/>
  <c r="L147" i="66"/>
  <c r="I147" i="66"/>
  <c r="F147" i="66"/>
  <c r="O146" i="66"/>
  <c r="L146" i="66"/>
  <c r="I146" i="66"/>
  <c r="F146" i="66"/>
  <c r="O145" i="66"/>
  <c r="L145" i="66"/>
  <c r="L144" i="66" s="1"/>
  <c r="I145" i="66"/>
  <c r="F145" i="66"/>
  <c r="N144" i="66"/>
  <c r="M144" i="66"/>
  <c r="K144" i="66"/>
  <c r="J144" i="66"/>
  <c r="H144" i="66"/>
  <c r="G144" i="66"/>
  <c r="E144" i="66"/>
  <c r="D144" i="66"/>
  <c r="O143" i="66"/>
  <c r="L143" i="66"/>
  <c r="I143" i="66"/>
  <c r="F143" i="66"/>
  <c r="O142" i="66"/>
  <c r="O141" i="66" s="1"/>
  <c r="L142" i="66"/>
  <c r="I142" i="66"/>
  <c r="F142" i="66"/>
  <c r="N141" i="66"/>
  <c r="M141" i="66"/>
  <c r="K141" i="66"/>
  <c r="J141" i="66"/>
  <c r="H141" i="66"/>
  <c r="G141" i="66"/>
  <c r="F141" i="66"/>
  <c r="E141" i="66"/>
  <c r="D141" i="66"/>
  <c r="O140" i="66"/>
  <c r="L140" i="66"/>
  <c r="I140" i="66"/>
  <c r="F140" i="66"/>
  <c r="O139" i="66"/>
  <c r="L139" i="66"/>
  <c r="I139" i="66"/>
  <c r="F139" i="66"/>
  <c r="O138" i="66"/>
  <c r="L138" i="66"/>
  <c r="I138" i="66"/>
  <c r="F138" i="66"/>
  <c r="O137" i="66"/>
  <c r="L137" i="66"/>
  <c r="L136" i="66" s="1"/>
  <c r="I137" i="66"/>
  <c r="F137" i="66"/>
  <c r="N136" i="66"/>
  <c r="M136" i="66"/>
  <c r="K136" i="66"/>
  <c r="J136" i="66"/>
  <c r="H136" i="66"/>
  <c r="G136" i="66"/>
  <c r="E136" i="66"/>
  <c r="D136" i="66"/>
  <c r="O135" i="66"/>
  <c r="L135" i="66"/>
  <c r="I135" i="66"/>
  <c r="F135" i="66"/>
  <c r="O134" i="66"/>
  <c r="L134" i="66"/>
  <c r="I134" i="66"/>
  <c r="F134" i="66"/>
  <c r="O133" i="66"/>
  <c r="L133" i="66"/>
  <c r="I133" i="66"/>
  <c r="F133" i="66"/>
  <c r="O132" i="66"/>
  <c r="L132" i="66"/>
  <c r="L131" i="66" s="1"/>
  <c r="I132" i="66"/>
  <c r="F132" i="66"/>
  <c r="N131" i="66"/>
  <c r="M131" i="66"/>
  <c r="K131" i="66"/>
  <c r="J131" i="66"/>
  <c r="H131" i="66"/>
  <c r="G131" i="66"/>
  <c r="E131" i="66"/>
  <c r="D131" i="66"/>
  <c r="O129" i="66"/>
  <c r="L129" i="66"/>
  <c r="L128" i="66" s="1"/>
  <c r="I129" i="66"/>
  <c r="F129" i="66"/>
  <c r="F128" i="66" s="1"/>
  <c r="O128" i="66"/>
  <c r="N128" i="66"/>
  <c r="M128" i="66"/>
  <c r="K128" i="66"/>
  <c r="J128" i="66"/>
  <c r="I128" i="66"/>
  <c r="H128" i="66"/>
  <c r="G128" i="66"/>
  <c r="E128" i="66"/>
  <c r="D128" i="66"/>
  <c r="O127" i="66"/>
  <c r="L127" i="66"/>
  <c r="I127" i="66"/>
  <c r="F127" i="66"/>
  <c r="O126" i="66"/>
  <c r="L126" i="66"/>
  <c r="I126" i="66"/>
  <c r="F126" i="66"/>
  <c r="O125" i="66"/>
  <c r="L125" i="66"/>
  <c r="I125" i="66"/>
  <c r="F125" i="66"/>
  <c r="O124" i="66"/>
  <c r="L124" i="66"/>
  <c r="I124" i="66"/>
  <c r="F124" i="66"/>
  <c r="O123" i="66"/>
  <c r="L123" i="66"/>
  <c r="I123" i="66"/>
  <c r="I122" i="66" s="1"/>
  <c r="F123" i="66"/>
  <c r="N122" i="66"/>
  <c r="M122" i="66"/>
  <c r="K122" i="66"/>
  <c r="J122" i="66"/>
  <c r="H122" i="66"/>
  <c r="G122" i="66"/>
  <c r="E122" i="66"/>
  <c r="D122" i="66"/>
  <c r="O121" i="66"/>
  <c r="L121" i="66"/>
  <c r="I121" i="66"/>
  <c r="F121" i="66"/>
  <c r="O120" i="66"/>
  <c r="L120" i="66"/>
  <c r="I120" i="66"/>
  <c r="F120" i="66"/>
  <c r="O119" i="66"/>
  <c r="L119" i="66"/>
  <c r="I119" i="66"/>
  <c r="F119" i="66"/>
  <c r="O118" i="66"/>
  <c r="L118" i="66"/>
  <c r="I118" i="66"/>
  <c r="F118" i="66"/>
  <c r="O117" i="66"/>
  <c r="O116" i="66" s="1"/>
  <c r="L117" i="66"/>
  <c r="I117" i="66"/>
  <c r="F117" i="66"/>
  <c r="N116" i="66"/>
  <c r="M116" i="66"/>
  <c r="K116" i="66"/>
  <c r="J116" i="66"/>
  <c r="H116" i="66"/>
  <c r="G116" i="66"/>
  <c r="E116" i="66"/>
  <c r="D116" i="66"/>
  <c r="O115" i="66"/>
  <c r="L115" i="66"/>
  <c r="I115" i="66"/>
  <c r="F115" i="66"/>
  <c r="O114" i="66"/>
  <c r="L114" i="66"/>
  <c r="I114" i="66"/>
  <c r="F114" i="66"/>
  <c r="O113" i="66"/>
  <c r="O112" i="66" s="1"/>
  <c r="L113" i="66"/>
  <c r="L112" i="66" s="1"/>
  <c r="I113" i="66"/>
  <c r="F113" i="66"/>
  <c r="N112" i="66"/>
  <c r="M112" i="66"/>
  <c r="K112" i="66"/>
  <c r="J112" i="66"/>
  <c r="H112" i="66"/>
  <c r="G112" i="66"/>
  <c r="E112" i="66"/>
  <c r="D112" i="66"/>
  <c r="O111" i="66"/>
  <c r="L111" i="66"/>
  <c r="I111" i="66"/>
  <c r="F111" i="66"/>
  <c r="O110" i="66"/>
  <c r="L110" i="66"/>
  <c r="I110" i="66"/>
  <c r="F110" i="66"/>
  <c r="O109" i="66"/>
  <c r="L109" i="66"/>
  <c r="I109" i="66"/>
  <c r="F109" i="66"/>
  <c r="O108" i="66"/>
  <c r="L108" i="66"/>
  <c r="I108" i="66"/>
  <c r="F108" i="66"/>
  <c r="O107" i="66"/>
  <c r="L107" i="66"/>
  <c r="I107" i="66"/>
  <c r="F107" i="66"/>
  <c r="O106" i="66"/>
  <c r="L106" i="66"/>
  <c r="I106" i="66"/>
  <c r="F106" i="66"/>
  <c r="O105" i="66"/>
  <c r="L105" i="66"/>
  <c r="I105" i="66"/>
  <c r="F105" i="66"/>
  <c r="O104" i="66"/>
  <c r="L104" i="66"/>
  <c r="I104" i="66"/>
  <c r="F104" i="66"/>
  <c r="N103" i="66"/>
  <c r="M103" i="66"/>
  <c r="K103" i="66"/>
  <c r="J103" i="66"/>
  <c r="H103" i="66"/>
  <c r="G103" i="66"/>
  <c r="E103" i="66"/>
  <c r="D103" i="66"/>
  <c r="O102" i="66"/>
  <c r="L102" i="66"/>
  <c r="I102" i="66"/>
  <c r="F102" i="66"/>
  <c r="O101" i="66"/>
  <c r="L101" i="66"/>
  <c r="I101" i="66"/>
  <c r="F101" i="66"/>
  <c r="O100" i="66"/>
  <c r="L100" i="66"/>
  <c r="I100" i="66"/>
  <c r="F100" i="66"/>
  <c r="O99" i="66"/>
  <c r="L99" i="66"/>
  <c r="I99" i="66"/>
  <c r="F99" i="66"/>
  <c r="O98" i="66"/>
  <c r="L98" i="66"/>
  <c r="I98" i="66"/>
  <c r="F98" i="66"/>
  <c r="O97" i="66"/>
  <c r="L97" i="66"/>
  <c r="I97" i="66"/>
  <c r="F97" i="66"/>
  <c r="O96" i="66"/>
  <c r="L96" i="66"/>
  <c r="I96" i="66"/>
  <c r="F96" i="66"/>
  <c r="N95" i="66"/>
  <c r="M95" i="66"/>
  <c r="K95" i="66"/>
  <c r="J95" i="66"/>
  <c r="H95" i="66"/>
  <c r="G95" i="66"/>
  <c r="E95" i="66"/>
  <c r="D95" i="66"/>
  <c r="O94" i="66"/>
  <c r="L94" i="66"/>
  <c r="I94" i="66"/>
  <c r="F94" i="66"/>
  <c r="O93" i="66"/>
  <c r="L93" i="66"/>
  <c r="I93" i="66"/>
  <c r="F93" i="66"/>
  <c r="O92" i="66"/>
  <c r="L92" i="66"/>
  <c r="I92" i="66"/>
  <c r="F92" i="66"/>
  <c r="O91" i="66"/>
  <c r="L91" i="66"/>
  <c r="I91" i="66"/>
  <c r="F91" i="66"/>
  <c r="O90" i="66"/>
  <c r="O89" i="66" s="1"/>
  <c r="L90" i="66"/>
  <c r="I90" i="66"/>
  <c r="I89" i="66" s="1"/>
  <c r="F90" i="66"/>
  <c r="N89" i="66"/>
  <c r="M89" i="66"/>
  <c r="K89" i="66"/>
  <c r="J89" i="66"/>
  <c r="H89" i="66"/>
  <c r="G89" i="66"/>
  <c r="E89" i="66"/>
  <c r="D89" i="66"/>
  <c r="O88" i="66"/>
  <c r="L88" i="66"/>
  <c r="I88" i="66"/>
  <c r="F88" i="66"/>
  <c r="O87" i="66"/>
  <c r="L87" i="66"/>
  <c r="I87" i="66"/>
  <c r="F87" i="66"/>
  <c r="O86" i="66"/>
  <c r="L86" i="66"/>
  <c r="I86" i="66"/>
  <c r="F86" i="66"/>
  <c r="O85" i="66"/>
  <c r="L85" i="66"/>
  <c r="L84" i="66" s="1"/>
  <c r="I85" i="66"/>
  <c r="I84" i="66" s="1"/>
  <c r="F85" i="66"/>
  <c r="F84" i="66" s="1"/>
  <c r="N84" i="66"/>
  <c r="M84" i="66"/>
  <c r="K84" i="66"/>
  <c r="J84" i="66"/>
  <c r="H84" i="66"/>
  <c r="G84" i="66"/>
  <c r="E84" i="66"/>
  <c r="E83" i="66" s="1"/>
  <c r="D84" i="66"/>
  <c r="O82" i="66"/>
  <c r="L82" i="66"/>
  <c r="I82" i="66"/>
  <c r="F82" i="66"/>
  <c r="O81" i="66"/>
  <c r="O80" i="66" s="1"/>
  <c r="L81" i="66"/>
  <c r="L80" i="66" s="1"/>
  <c r="I81" i="66"/>
  <c r="I80" i="66" s="1"/>
  <c r="F81" i="66"/>
  <c r="F80" i="66" s="1"/>
  <c r="N80" i="66"/>
  <c r="M80" i="66"/>
  <c r="K80" i="66"/>
  <c r="J80" i="66"/>
  <c r="H80" i="66"/>
  <c r="G80" i="66"/>
  <c r="E80" i="66"/>
  <c r="D80" i="66"/>
  <c r="O79" i="66"/>
  <c r="L79" i="66"/>
  <c r="I79" i="66"/>
  <c r="F79" i="66"/>
  <c r="O78" i="66"/>
  <c r="L78" i="66"/>
  <c r="L77" i="66" s="1"/>
  <c r="I78" i="66"/>
  <c r="F78" i="66"/>
  <c r="F77" i="66" s="1"/>
  <c r="O77" i="66"/>
  <c r="N77" i="66"/>
  <c r="M77" i="66"/>
  <c r="K77" i="66"/>
  <c r="J77" i="66"/>
  <c r="J76" i="66" s="1"/>
  <c r="H77" i="66"/>
  <c r="H76" i="66" s="1"/>
  <c r="G77" i="66"/>
  <c r="E77" i="66"/>
  <c r="D77" i="66"/>
  <c r="D76" i="66" s="1"/>
  <c r="N76" i="66"/>
  <c r="O74" i="66"/>
  <c r="L74" i="66"/>
  <c r="I74" i="66"/>
  <c r="F74" i="66"/>
  <c r="O73" i="66"/>
  <c r="L73" i="66"/>
  <c r="I73" i="66"/>
  <c r="F73" i="66"/>
  <c r="O72" i="66"/>
  <c r="L72" i="66"/>
  <c r="I72" i="66"/>
  <c r="F72" i="66"/>
  <c r="O71" i="66"/>
  <c r="L71" i="66"/>
  <c r="I71" i="66"/>
  <c r="F71" i="66"/>
  <c r="O70" i="66"/>
  <c r="L70" i="66"/>
  <c r="I70" i="66"/>
  <c r="F70" i="66"/>
  <c r="F69" i="66" s="1"/>
  <c r="O69" i="66"/>
  <c r="N69" i="66"/>
  <c r="N67" i="66" s="1"/>
  <c r="M69" i="66"/>
  <c r="M67" i="66" s="1"/>
  <c r="K69" i="66"/>
  <c r="K67" i="66" s="1"/>
  <c r="J69" i="66"/>
  <c r="J67" i="66" s="1"/>
  <c r="H69" i="66"/>
  <c r="H67" i="66" s="1"/>
  <c r="G69" i="66"/>
  <c r="G67" i="66" s="1"/>
  <c r="E69" i="66"/>
  <c r="E67" i="66" s="1"/>
  <c r="D69" i="66"/>
  <c r="D67" i="66" s="1"/>
  <c r="O68" i="66"/>
  <c r="L68" i="66"/>
  <c r="F68" i="66"/>
  <c r="O66" i="66"/>
  <c r="L66" i="66"/>
  <c r="C66" i="66" s="1"/>
  <c r="I66" i="66"/>
  <c r="F66" i="66"/>
  <c r="O65" i="66"/>
  <c r="L65" i="66"/>
  <c r="I65" i="66"/>
  <c r="F65" i="66"/>
  <c r="O64" i="66"/>
  <c r="L64" i="66"/>
  <c r="I64" i="66"/>
  <c r="F64" i="66"/>
  <c r="O63" i="66"/>
  <c r="L63" i="66"/>
  <c r="I63" i="66"/>
  <c r="F63" i="66"/>
  <c r="O62" i="66"/>
  <c r="L62" i="66"/>
  <c r="I62" i="66"/>
  <c r="F62" i="66"/>
  <c r="O61" i="66"/>
  <c r="L61" i="66"/>
  <c r="I61" i="66"/>
  <c r="F61" i="66"/>
  <c r="O60" i="66"/>
  <c r="L60" i="66"/>
  <c r="I60" i="66"/>
  <c r="F60" i="66"/>
  <c r="O59" i="66"/>
  <c r="L59" i="66"/>
  <c r="L58" i="66" s="1"/>
  <c r="I59" i="66"/>
  <c r="F59" i="66"/>
  <c r="N58" i="66"/>
  <c r="M58" i="66"/>
  <c r="K58" i="66"/>
  <c r="J58" i="66"/>
  <c r="H58" i="66"/>
  <c r="G58" i="66"/>
  <c r="E58" i="66"/>
  <c r="D58" i="66"/>
  <c r="O57" i="66"/>
  <c r="L57" i="66"/>
  <c r="I57" i="66"/>
  <c r="F57" i="66"/>
  <c r="O56" i="66"/>
  <c r="O55" i="66" s="1"/>
  <c r="L56" i="66"/>
  <c r="L55" i="66" s="1"/>
  <c r="I56" i="66"/>
  <c r="F56" i="66"/>
  <c r="N55" i="66"/>
  <c r="M55" i="66"/>
  <c r="K55" i="66"/>
  <c r="K54" i="66" s="1"/>
  <c r="K53" i="66" s="1"/>
  <c r="J55" i="66"/>
  <c r="G55" i="66"/>
  <c r="E55" i="66"/>
  <c r="E54" i="66" s="1"/>
  <c r="E53" i="66" s="1"/>
  <c r="D55" i="66"/>
  <c r="D54" i="66" s="1"/>
  <c r="J54" i="66"/>
  <c r="O47" i="66"/>
  <c r="C47" i="66" s="1"/>
  <c r="O46" i="66"/>
  <c r="C46" i="66" s="1"/>
  <c r="N45" i="66"/>
  <c r="M45" i="66"/>
  <c r="L44" i="66"/>
  <c r="L43" i="66" s="1"/>
  <c r="I44" i="66"/>
  <c r="I43" i="66" s="1"/>
  <c r="F44" i="66"/>
  <c r="K43" i="66"/>
  <c r="J43" i="66"/>
  <c r="H43" i="66"/>
  <c r="G43" i="66"/>
  <c r="E43" i="66"/>
  <c r="D43" i="66"/>
  <c r="F42" i="66"/>
  <c r="C42" i="66" s="1"/>
  <c r="E41" i="66"/>
  <c r="D41" i="66"/>
  <c r="L40" i="66"/>
  <c r="C40" i="66" s="1"/>
  <c r="L39" i="66"/>
  <c r="C39" i="66" s="1"/>
  <c r="L38" i="66"/>
  <c r="C38" i="66" s="1"/>
  <c r="L37" i="66"/>
  <c r="C37" i="66" s="1"/>
  <c r="K36" i="66"/>
  <c r="J36" i="66"/>
  <c r="L35" i="66"/>
  <c r="C35" i="66" s="1"/>
  <c r="L34" i="66"/>
  <c r="C34" i="66" s="1"/>
  <c r="K33" i="66"/>
  <c r="J33" i="66"/>
  <c r="L32" i="66"/>
  <c r="C32" i="66" s="1"/>
  <c r="K31" i="66"/>
  <c r="J31" i="66"/>
  <c r="J26" i="66" s="1"/>
  <c r="J20" i="66" s="1"/>
  <c r="L30" i="66"/>
  <c r="C30" i="66" s="1"/>
  <c r="L29" i="66"/>
  <c r="C29" i="66" s="1"/>
  <c r="L28" i="66"/>
  <c r="C28" i="66" s="1"/>
  <c r="K27" i="66"/>
  <c r="J27" i="66"/>
  <c r="F25" i="66"/>
  <c r="C25" i="66" s="1"/>
  <c r="I24" i="66"/>
  <c r="F24" i="66"/>
  <c r="O23" i="66"/>
  <c r="L23" i="66"/>
  <c r="I23" i="66"/>
  <c r="F23" i="66"/>
  <c r="O22" i="66"/>
  <c r="L22" i="66"/>
  <c r="I22" i="66"/>
  <c r="F22" i="66"/>
  <c r="N21" i="66"/>
  <c r="N292" i="66" s="1"/>
  <c r="N291" i="66" s="1"/>
  <c r="M21" i="66"/>
  <c r="M20" i="66" s="1"/>
  <c r="K21" i="66"/>
  <c r="J21" i="66"/>
  <c r="H21" i="66"/>
  <c r="H292" i="66" s="1"/>
  <c r="H291" i="66" s="1"/>
  <c r="G21" i="66"/>
  <c r="E21" i="66"/>
  <c r="D21" i="66"/>
  <c r="D292" i="66" s="1"/>
  <c r="D291" i="66" s="1"/>
  <c r="C222" i="66" l="1"/>
  <c r="D231" i="66"/>
  <c r="C296" i="66"/>
  <c r="I141" i="66"/>
  <c r="E292" i="66"/>
  <c r="I21" i="66"/>
  <c r="C214" i="66"/>
  <c r="C225" i="66"/>
  <c r="G292" i="66"/>
  <c r="C82" i="66"/>
  <c r="C186" i="66"/>
  <c r="K204" i="66"/>
  <c r="K195" i="66" s="1"/>
  <c r="C206" i="66"/>
  <c r="O252" i="66"/>
  <c r="O251" i="66" s="1"/>
  <c r="K292" i="66"/>
  <c r="K291" i="66" s="1"/>
  <c r="G54" i="66"/>
  <c r="C97" i="66"/>
  <c r="L187" i="66"/>
  <c r="C223" i="66"/>
  <c r="H20" i="66"/>
  <c r="C44" i="66"/>
  <c r="G76" i="66"/>
  <c r="M76" i="66"/>
  <c r="G130" i="66"/>
  <c r="E130" i="66"/>
  <c r="C138" i="66"/>
  <c r="C140" i="66"/>
  <c r="N231" i="66"/>
  <c r="N230" i="66" s="1"/>
  <c r="J270" i="66"/>
  <c r="J269" i="66" s="1"/>
  <c r="H270" i="66"/>
  <c r="H269" i="66" s="1"/>
  <c r="N270" i="66"/>
  <c r="L95" i="66"/>
  <c r="C142" i="66"/>
  <c r="L175" i="66"/>
  <c r="H230" i="66"/>
  <c r="O276" i="66"/>
  <c r="O270" i="66" s="1"/>
  <c r="O269" i="66" s="1"/>
  <c r="K26" i="66"/>
  <c r="C62" i="66"/>
  <c r="E291" i="66"/>
  <c r="N54" i="66"/>
  <c r="N53" i="66" s="1"/>
  <c r="L54" i="66"/>
  <c r="E76" i="66"/>
  <c r="C104" i="66"/>
  <c r="C117" i="66"/>
  <c r="C126" i="66"/>
  <c r="C132" i="66"/>
  <c r="C133" i="66"/>
  <c r="C158" i="66"/>
  <c r="C170" i="66"/>
  <c r="O184" i="66"/>
  <c r="C190" i="66"/>
  <c r="D204" i="66"/>
  <c r="D195" i="66" s="1"/>
  <c r="C210" i="66"/>
  <c r="C211" i="66"/>
  <c r="C213" i="66"/>
  <c r="J231" i="66"/>
  <c r="J230" i="66" s="1"/>
  <c r="C262" i="66"/>
  <c r="D259" i="66"/>
  <c r="O264" i="66"/>
  <c r="C298" i="66"/>
  <c r="C299" i="66"/>
  <c r="M174" i="66"/>
  <c r="E195" i="66"/>
  <c r="C202" i="66"/>
  <c r="G204" i="66"/>
  <c r="C218" i="66"/>
  <c r="C220" i="66"/>
  <c r="C250" i="66"/>
  <c r="C258" i="66"/>
  <c r="C282" i="66"/>
  <c r="O58" i="66"/>
  <c r="O54" i="66" s="1"/>
  <c r="M83" i="66"/>
  <c r="N269" i="66"/>
  <c r="C23" i="66"/>
  <c r="F55" i="66"/>
  <c r="F54" i="66" s="1"/>
  <c r="C63" i="66"/>
  <c r="C65" i="66"/>
  <c r="L69" i="66"/>
  <c r="L67" i="66" s="1"/>
  <c r="L53" i="66" s="1"/>
  <c r="C96" i="66"/>
  <c r="C150" i="66"/>
  <c r="L31" i="66"/>
  <c r="C31" i="66" s="1"/>
  <c r="C60" i="66"/>
  <c r="C73" i="66"/>
  <c r="C94" i="66"/>
  <c r="C100" i="66"/>
  <c r="C109" i="66"/>
  <c r="C111" i="66"/>
  <c r="C113" i="66"/>
  <c r="C120" i="66"/>
  <c r="C121" i="66"/>
  <c r="C134" i="66"/>
  <c r="C146" i="66"/>
  <c r="C148" i="66"/>
  <c r="C154" i="66"/>
  <c r="O160" i="66"/>
  <c r="C178" i="66"/>
  <c r="C182" i="66"/>
  <c r="H187" i="66"/>
  <c r="O188" i="66"/>
  <c r="O187" i="66" s="1"/>
  <c r="C242" i="66"/>
  <c r="I272" i="66"/>
  <c r="I270" i="66" s="1"/>
  <c r="I269" i="66" s="1"/>
  <c r="C278" i="66"/>
  <c r="C280" i="66"/>
  <c r="I187" i="66"/>
  <c r="O122" i="66"/>
  <c r="D230" i="66"/>
  <c r="J292" i="66"/>
  <c r="J291" i="66" s="1"/>
  <c r="C22" i="66"/>
  <c r="O21" i="66"/>
  <c r="O292" i="66" s="1"/>
  <c r="O291" i="66" s="1"/>
  <c r="D20" i="66"/>
  <c r="C64" i="66"/>
  <c r="C72" i="66"/>
  <c r="C74" i="66"/>
  <c r="L89" i="66"/>
  <c r="F95" i="66"/>
  <c r="C99" i="66"/>
  <c r="L103" i="66"/>
  <c r="C118" i="66"/>
  <c r="I116" i="66"/>
  <c r="F122" i="66"/>
  <c r="C125" i="66"/>
  <c r="I136" i="66"/>
  <c r="I144" i="66"/>
  <c r="C153" i="66"/>
  <c r="C163" i="66"/>
  <c r="C169" i="66"/>
  <c r="O166" i="66"/>
  <c r="O165" i="66" s="1"/>
  <c r="C177" i="66"/>
  <c r="L179" i="66"/>
  <c r="L174" i="66" s="1"/>
  <c r="L173" i="66" s="1"/>
  <c r="C201" i="66"/>
  <c r="H204" i="66"/>
  <c r="H195" i="66" s="1"/>
  <c r="L205" i="66"/>
  <c r="C212" i="66"/>
  <c r="C215" i="66"/>
  <c r="I216" i="66"/>
  <c r="L216" i="66"/>
  <c r="C224" i="66"/>
  <c r="C237" i="66"/>
  <c r="C241" i="66"/>
  <c r="O238" i="66"/>
  <c r="O231" i="66" s="1"/>
  <c r="E230" i="66"/>
  <c r="C257" i="66"/>
  <c r="L260" i="66"/>
  <c r="L259" i="66" s="1"/>
  <c r="C267" i="66"/>
  <c r="F281" i="66"/>
  <c r="G83" i="66"/>
  <c r="G75" i="66" s="1"/>
  <c r="C162" i="66"/>
  <c r="G291" i="66"/>
  <c r="F43" i="66"/>
  <c r="C43" i="66" s="1"/>
  <c r="C71" i="66"/>
  <c r="E75" i="66"/>
  <c r="K76" i="66"/>
  <c r="D83" i="66"/>
  <c r="C86" i="66"/>
  <c r="N83" i="66"/>
  <c r="C93" i="66"/>
  <c r="C101" i="66"/>
  <c r="I103" i="66"/>
  <c r="C106" i="66"/>
  <c r="C110" i="66"/>
  <c r="L116" i="66"/>
  <c r="C124" i="66"/>
  <c r="J130" i="66"/>
  <c r="N130" i="66"/>
  <c r="O136" i="66"/>
  <c r="O144" i="66"/>
  <c r="C155" i="66"/>
  <c r="C157" i="66"/>
  <c r="M130" i="66"/>
  <c r="C164" i="66"/>
  <c r="C171" i="66"/>
  <c r="C181" i="66"/>
  <c r="M195" i="66"/>
  <c r="G195" i="66"/>
  <c r="C203" i="66"/>
  <c r="J204" i="66"/>
  <c r="J195" i="66" s="1"/>
  <c r="J194" i="66" s="1"/>
  <c r="N204" i="66"/>
  <c r="N195" i="66" s="1"/>
  <c r="C234" i="66"/>
  <c r="K231" i="66"/>
  <c r="K230" i="66" s="1"/>
  <c r="C243" i="66"/>
  <c r="C245" i="66"/>
  <c r="L251" i="66"/>
  <c r="C256" i="66"/>
  <c r="M270" i="66"/>
  <c r="M269" i="66" s="1"/>
  <c r="C294" i="66"/>
  <c r="L293" i="66"/>
  <c r="J53" i="66"/>
  <c r="L76" i="66"/>
  <c r="K83" i="66"/>
  <c r="L151" i="66"/>
  <c r="M187" i="66"/>
  <c r="N20" i="66"/>
  <c r="L21" i="66"/>
  <c r="L292" i="66" s="1"/>
  <c r="D53" i="66"/>
  <c r="M54" i="66"/>
  <c r="M53" i="66" s="1"/>
  <c r="F58" i="66"/>
  <c r="C61" i="66"/>
  <c r="O67" i="66"/>
  <c r="M75" i="66"/>
  <c r="C79" i="66"/>
  <c r="C88" i="66"/>
  <c r="J83" i="66"/>
  <c r="F89" i="66"/>
  <c r="C89" i="66" s="1"/>
  <c r="C92" i="66"/>
  <c r="H83" i="66"/>
  <c r="C98" i="66"/>
  <c r="I95" i="66"/>
  <c r="C102" i="66"/>
  <c r="F103" i="66"/>
  <c r="C105" i="66"/>
  <c r="C108" i="66"/>
  <c r="C114" i="66"/>
  <c r="C119" i="66"/>
  <c r="L122" i="66"/>
  <c r="K130" i="66"/>
  <c r="L141" i="66"/>
  <c r="C149" i="66"/>
  <c r="C156" i="66"/>
  <c r="L166" i="66"/>
  <c r="L165" i="66" s="1"/>
  <c r="C172" i="66"/>
  <c r="C193" i="66"/>
  <c r="C221" i="66"/>
  <c r="C229" i="66"/>
  <c r="L238" i="66"/>
  <c r="L231" i="66" s="1"/>
  <c r="C244" i="66"/>
  <c r="F246" i="66"/>
  <c r="C249" i="66"/>
  <c r="O260" i="66"/>
  <c r="O259" i="66" s="1"/>
  <c r="C279" i="66"/>
  <c r="D269" i="66"/>
  <c r="C295" i="66"/>
  <c r="C24" i="66"/>
  <c r="C57" i="66"/>
  <c r="I55" i="66"/>
  <c r="G53" i="66"/>
  <c r="C80" i="66"/>
  <c r="C128" i="66"/>
  <c r="F67" i="66"/>
  <c r="O76" i="66"/>
  <c r="F76" i="66"/>
  <c r="C137" i="66"/>
  <c r="F136" i="66"/>
  <c r="C136" i="66" s="1"/>
  <c r="C145" i="66"/>
  <c r="F144" i="66"/>
  <c r="I151" i="66"/>
  <c r="C152" i="66"/>
  <c r="C301" i="66"/>
  <c r="G20" i="66"/>
  <c r="K20" i="66"/>
  <c r="F21" i="66"/>
  <c r="H55" i="66"/>
  <c r="H54" i="66" s="1"/>
  <c r="H53" i="66" s="1"/>
  <c r="C56" i="66"/>
  <c r="C59" i="66"/>
  <c r="I68" i="66"/>
  <c r="C70" i="66"/>
  <c r="C78" i="66"/>
  <c r="C87" i="66"/>
  <c r="O95" i="66"/>
  <c r="C107" i="66"/>
  <c r="I112" i="66"/>
  <c r="F112" i="66"/>
  <c r="C127" i="66"/>
  <c r="C129" i="66"/>
  <c r="D130" i="66"/>
  <c r="D75" i="66" s="1"/>
  <c r="H130" i="66"/>
  <c r="I131" i="66"/>
  <c r="C135" i="66"/>
  <c r="C139" i="66"/>
  <c r="C143" i="66"/>
  <c r="C147" i="66"/>
  <c r="C159" i="66"/>
  <c r="J174" i="66"/>
  <c r="J173" i="66" s="1"/>
  <c r="N174" i="66"/>
  <c r="N173" i="66" s="1"/>
  <c r="O175" i="66"/>
  <c r="F179" i="66"/>
  <c r="F174" i="66" s="1"/>
  <c r="I179" i="66"/>
  <c r="C180" i="66"/>
  <c r="C183" i="66"/>
  <c r="E187" i="66"/>
  <c r="C189" i="66"/>
  <c r="F188" i="66"/>
  <c r="C197" i="66"/>
  <c r="F196" i="66"/>
  <c r="C268" i="66"/>
  <c r="I264" i="66"/>
  <c r="I259" i="66" s="1"/>
  <c r="M292" i="66"/>
  <c r="M291" i="66" s="1"/>
  <c r="L27" i="66"/>
  <c r="L33" i="66"/>
  <c r="C33" i="66" s="1"/>
  <c r="F41" i="66"/>
  <c r="C41" i="66" s="1"/>
  <c r="I58" i="66"/>
  <c r="I69" i="66"/>
  <c r="I77" i="66"/>
  <c r="I76" i="66" s="1"/>
  <c r="O84" i="66"/>
  <c r="C90" i="66"/>
  <c r="O103" i="66"/>
  <c r="C115" i="66"/>
  <c r="C123" i="66"/>
  <c r="O151" i="66"/>
  <c r="C161" i="66"/>
  <c r="F160" i="66"/>
  <c r="M173" i="66"/>
  <c r="C185" i="66"/>
  <c r="F184" i="66"/>
  <c r="C184" i="66" s="1"/>
  <c r="C261" i="66"/>
  <c r="F260" i="66"/>
  <c r="C81" i="66"/>
  <c r="L36" i="66"/>
  <c r="C36" i="66" s="1"/>
  <c r="O45" i="66"/>
  <c r="E20" i="66"/>
  <c r="I20" i="66"/>
  <c r="C85" i="66"/>
  <c r="C91" i="66"/>
  <c r="F116" i="66"/>
  <c r="C116" i="66" s="1"/>
  <c r="F131" i="66"/>
  <c r="O131" i="66"/>
  <c r="C168" i="66"/>
  <c r="I166" i="66"/>
  <c r="E173" i="66"/>
  <c r="I175" i="66"/>
  <c r="C176" i="66"/>
  <c r="O179" i="66"/>
  <c r="C232" i="66"/>
  <c r="F231" i="66"/>
  <c r="C253" i="66"/>
  <c r="F252" i="66"/>
  <c r="C167" i="66"/>
  <c r="F192" i="66"/>
  <c r="O196" i="66"/>
  <c r="O205" i="66"/>
  <c r="O204" i="66" s="1"/>
  <c r="C217" i="66"/>
  <c r="F216" i="66"/>
  <c r="O216" i="66"/>
  <c r="C233" i="66"/>
  <c r="I235" i="66"/>
  <c r="C235" i="66" s="1"/>
  <c r="C236" i="66"/>
  <c r="C255" i="66"/>
  <c r="C263" i="66"/>
  <c r="E270" i="66"/>
  <c r="E269" i="66" s="1"/>
  <c r="C273" i="66"/>
  <c r="F272" i="66"/>
  <c r="C272" i="66" s="1"/>
  <c r="L276" i="66"/>
  <c r="L270" i="66" s="1"/>
  <c r="L269" i="66" s="1"/>
  <c r="C288" i="66"/>
  <c r="I286" i="66"/>
  <c r="C286" i="66" s="1"/>
  <c r="C300" i="66"/>
  <c r="L196" i="66"/>
  <c r="C207" i="66"/>
  <c r="C209" i="66"/>
  <c r="F205" i="66"/>
  <c r="C219" i="66"/>
  <c r="C248" i="66"/>
  <c r="I246" i="66"/>
  <c r="C246" i="66" s="1"/>
  <c r="M259" i="66"/>
  <c r="M230" i="66" s="1"/>
  <c r="C265" i="66"/>
  <c r="F264" i="66"/>
  <c r="C275" i="66"/>
  <c r="C281" i="66"/>
  <c r="C285" i="66"/>
  <c r="F284" i="66"/>
  <c r="C200" i="66"/>
  <c r="I198" i="66"/>
  <c r="C208" i="66"/>
  <c r="I205" i="66"/>
  <c r="I227" i="66"/>
  <c r="C227" i="66" s="1"/>
  <c r="C228" i="66"/>
  <c r="G231" i="66"/>
  <c r="G230" i="66" s="1"/>
  <c r="G194" i="66" s="1"/>
  <c r="C240" i="66"/>
  <c r="I238" i="66"/>
  <c r="I252" i="66"/>
  <c r="I251" i="66" s="1"/>
  <c r="C277" i="66"/>
  <c r="F276" i="66"/>
  <c r="C297" i="66"/>
  <c r="F293" i="66"/>
  <c r="C293" i="66" s="1"/>
  <c r="C199" i="66"/>
  <c r="C239" i="66"/>
  <c r="C247" i="66"/>
  <c r="C271" i="66"/>
  <c r="C287" i="66"/>
  <c r="O53" i="66" l="1"/>
  <c r="O130" i="66"/>
  <c r="C55" i="66"/>
  <c r="O230" i="66"/>
  <c r="L83" i="66"/>
  <c r="M194" i="66"/>
  <c r="C160" i="66"/>
  <c r="C264" i="66"/>
  <c r="C95" i="66"/>
  <c r="C141" i="66"/>
  <c r="N194" i="66"/>
  <c r="L291" i="66"/>
  <c r="J75" i="66"/>
  <c r="H194" i="66"/>
  <c r="C122" i="66"/>
  <c r="C276" i="66"/>
  <c r="I174" i="66"/>
  <c r="I173" i="66" s="1"/>
  <c r="C103" i="66"/>
  <c r="C69" i="66"/>
  <c r="L130" i="66"/>
  <c r="L75" i="66" s="1"/>
  <c r="L52" i="66" s="1"/>
  <c r="C58" i="66"/>
  <c r="I83" i="66"/>
  <c r="C238" i="66"/>
  <c r="E194" i="66"/>
  <c r="I130" i="66"/>
  <c r="M52" i="66"/>
  <c r="N75" i="66"/>
  <c r="N289" i="66" s="1"/>
  <c r="G52" i="66"/>
  <c r="G51" i="66" s="1"/>
  <c r="E289" i="66"/>
  <c r="E52" i="66"/>
  <c r="O174" i="66"/>
  <c r="O173" i="66" s="1"/>
  <c r="D194" i="66"/>
  <c r="M51" i="66"/>
  <c r="M50" i="66" s="1"/>
  <c r="O83" i="66"/>
  <c r="N52" i="66"/>
  <c r="N51" i="66" s="1"/>
  <c r="N50" i="66" s="1"/>
  <c r="H75" i="66"/>
  <c r="H289" i="66" s="1"/>
  <c r="C112" i="66"/>
  <c r="C151" i="66"/>
  <c r="K75" i="66"/>
  <c r="K194" i="66"/>
  <c r="J289" i="66"/>
  <c r="C144" i="66"/>
  <c r="L204" i="66"/>
  <c r="L195" i="66" s="1"/>
  <c r="D52" i="66"/>
  <c r="D289" i="66"/>
  <c r="M290" i="66"/>
  <c r="C198" i="66"/>
  <c r="I196" i="66"/>
  <c r="I204" i="66"/>
  <c r="M289" i="66"/>
  <c r="O195" i="66"/>
  <c r="G289" i="66"/>
  <c r="C216" i="66"/>
  <c r="C192" i="66"/>
  <c r="F191" i="66"/>
  <c r="C191" i="66" s="1"/>
  <c r="I231" i="66"/>
  <c r="I230" i="66" s="1"/>
  <c r="F130" i="66"/>
  <c r="C131" i="66"/>
  <c r="F173" i="66"/>
  <c r="C27" i="66"/>
  <c r="L26" i="66"/>
  <c r="F83" i="66"/>
  <c r="C83" i="66" s="1"/>
  <c r="F292" i="66"/>
  <c r="C21" i="66"/>
  <c r="F20" i="66"/>
  <c r="C84" i="66"/>
  <c r="C76" i="66"/>
  <c r="O75" i="66"/>
  <c r="O52" i="66" s="1"/>
  <c r="J52" i="66"/>
  <c r="J51" i="66" s="1"/>
  <c r="C284" i="66"/>
  <c r="F283" i="66"/>
  <c r="C283" i="66" s="1"/>
  <c r="L230" i="66"/>
  <c r="C205" i="66"/>
  <c r="F204" i="66"/>
  <c r="I165" i="66"/>
  <c r="C165" i="66" s="1"/>
  <c r="C166" i="66"/>
  <c r="I292" i="66"/>
  <c r="I291" i="66" s="1"/>
  <c r="C179" i="66"/>
  <c r="I54" i="66"/>
  <c r="C54" i="66" s="1"/>
  <c r="F270" i="66"/>
  <c r="C45" i="66"/>
  <c r="O20" i="66"/>
  <c r="C252" i="66"/>
  <c r="F251" i="66"/>
  <c r="C251" i="66" s="1"/>
  <c r="C260" i="66"/>
  <c r="F259" i="66"/>
  <c r="C259" i="66" s="1"/>
  <c r="C175" i="66"/>
  <c r="C188" i="66"/>
  <c r="I67" i="66"/>
  <c r="C67" i="66" s="1"/>
  <c r="C68" i="66"/>
  <c r="C77" i="66"/>
  <c r="F53" i="66"/>
  <c r="C130" i="66" l="1"/>
  <c r="E51" i="66"/>
  <c r="O194" i="66"/>
  <c r="O51" i="66" s="1"/>
  <c r="C174" i="66"/>
  <c r="I195" i="66"/>
  <c r="C204" i="66"/>
  <c r="C173" i="66"/>
  <c r="I75" i="66"/>
  <c r="H52" i="66"/>
  <c r="H51" i="66" s="1"/>
  <c r="H50" i="66" s="1"/>
  <c r="D51" i="66"/>
  <c r="D50" i="66" s="1"/>
  <c r="I194" i="66"/>
  <c r="K289" i="66"/>
  <c r="K52" i="66"/>
  <c r="K51" i="66" s="1"/>
  <c r="F195" i="66"/>
  <c r="C231" i="66"/>
  <c r="L289" i="66"/>
  <c r="N290" i="66"/>
  <c r="F230" i="66"/>
  <c r="C230" i="66" s="1"/>
  <c r="L194" i="66"/>
  <c r="L51" i="66" s="1"/>
  <c r="L50" i="66" s="1"/>
  <c r="C26" i="66"/>
  <c r="L20" i="66"/>
  <c r="C20" i="66" s="1"/>
  <c r="D290" i="66"/>
  <c r="F187" i="66"/>
  <c r="C187" i="66" s="1"/>
  <c r="F194" i="66"/>
  <c r="C195" i="66"/>
  <c r="F75" i="66"/>
  <c r="C75" i="66" s="1"/>
  <c r="O289" i="66"/>
  <c r="I53" i="66"/>
  <c r="G290" i="66"/>
  <c r="G50" i="66"/>
  <c r="F269" i="66"/>
  <c r="C270" i="66"/>
  <c r="C196" i="66"/>
  <c r="J50" i="66"/>
  <c r="J290" i="66"/>
  <c r="C292" i="66"/>
  <c r="F291" i="66"/>
  <c r="C291" i="66" s="1"/>
  <c r="O50" i="66" l="1"/>
  <c r="O290" i="66"/>
  <c r="E290" i="66"/>
  <c r="E50" i="66"/>
  <c r="I52" i="66"/>
  <c r="I51" i="66" s="1"/>
  <c r="C194" i="66"/>
  <c r="H290" i="66"/>
  <c r="K50" i="66"/>
  <c r="K290" i="66"/>
  <c r="I289" i="66"/>
  <c r="C269" i="66"/>
  <c r="F289" i="66"/>
  <c r="I290" i="66"/>
  <c r="I50" i="66"/>
  <c r="L290" i="66"/>
  <c r="F52" i="66"/>
  <c r="C53" i="66"/>
  <c r="F51" i="66" l="1"/>
  <c r="C52" i="66"/>
  <c r="C289" i="66"/>
  <c r="F290" i="66" l="1"/>
  <c r="C290" i="66" s="1"/>
  <c r="F50" i="66"/>
  <c r="C50" i="66" s="1"/>
  <c r="C51" i="66"/>
  <c r="E24" i="64" l="1"/>
  <c r="F64" i="65"/>
  <c r="F63" i="65"/>
  <c r="F62" i="65"/>
  <c r="F61" i="65"/>
  <c r="F60" i="65"/>
  <c r="F59" i="65"/>
  <c r="F58" i="65"/>
  <c r="F57" i="65"/>
  <c r="F56" i="65"/>
  <c r="F55" i="65"/>
  <c r="F54" i="65"/>
  <c r="F53" i="65"/>
  <c r="F52" i="65"/>
  <c r="F51" i="65"/>
  <c r="F50" i="65"/>
  <c r="F49" i="65"/>
  <c r="F48" i="65"/>
  <c r="F47" i="65"/>
  <c r="F46" i="65"/>
  <c r="F45" i="65"/>
  <c r="F44" i="65"/>
  <c r="F43" i="65"/>
  <c r="F42" i="65"/>
  <c r="F41" i="65"/>
  <c r="F40" i="65"/>
  <c r="D39" i="65"/>
  <c r="F39" i="65" s="1"/>
  <c r="D38" i="65"/>
  <c r="F38" i="65" s="1"/>
  <c r="F37" i="65"/>
  <c r="F36" i="65"/>
  <c r="F35" i="65"/>
  <c r="F34" i="65"/>
  <c r="F33" i="65"/>
  <c r="F32" i="65"/>
  <c r="F31" i="65"/>
  <c r="F30" i="65"/>
  <c r="F29" i="65"/>
  <c r="F28" i="65"/>
  <c r="F27" i="65"/>
  <c r="F26" i="65"/>
  <c r="F25" i="65"/>
  <c r="F24" i="65"/>
  <c r="F23" i="65"/>
  <c r="F22" i="65"/>
  <c r="F21" i="65"/>
  <c r="F20" i="65"/>
  <c r="F19" i="65"/>
  <c r="F18" i="65"/>
  <c r="F17" i="65"/>
  <c r="F16" i="65"/>
  <c r="F15" i="65"/>
  <c r="F14" i="65"/>
  <c r="F13" i="65"/>
  <c r="E12" i="65"/>
  <c r="D12" i="65" l="1"/>
  <c r="F12" i="65"/>
  <c r="O301" i="64" l="1"/>
  <c r="L301" i="64"/>
  <c r="I301" i="64"/>
  <c r="F301" i="64"/>
  <c r="O300" i="64"/>
  <c r="L300" i="64"/>
  <c r="I300" i="64"/>
  <c r="F300" i="64"/>
  <c r="C300" i="64" s="1"/>
  <c r="O299" i="64"/>
  <c r="L299" i="64"/>
  <c r="I299" i="64"/>
  <c r="F299" i="64"/>
  <c r="C299" i="64" s="1"/>
  <c r="O298" i="64"/>
  <c r="L298" i="64"/>
  <c r="I298" i="64"/>
  <c r="F298" i="64"/>
  <c r="O297" i="64"/>
  <c r="L297" i="64"/>
  <c r="I297" i="64"/>
  <c r="F297" i="64"/>
  <c r="O296" i="64"/>
  <c r="L296" i="64"/>
  <c r="I296" i="64"/>
  <c r="F296" i="64"/>
  <c r="O295" i="64"/>
  <c r="L295" i="64"/>
  <c r="I295" i="64"/>
  <c r="F295" i="64"/>
  <c r="O294" i="64"/>
  <c r="L294" i="64"/>
  <c r="I294" i="64"/>
  <c r="F294" i="64"/>
  <c r="N293" i="64"/>
  <c r="M293" i="64"/>
  <c r="K293" i="64"/>
  <c r="J293" i="64"/>
  <c r="H293" i="64"/>
  <c r="G293" i="64"/>
  <c r="E293" i="64"/>
  <c r="D293" i="64"/>
  <c r="O288" i="64"/>
  <c r="L288" i="64"/>
  <c r="I288" i="64"/>
  <c r="F288" i="64"/>
  <c r="O287" i="64"/>
  <c r="O286" i="64" s="1"/>
  <c r="L287" i="64"/>
  <c r="I287" i="64"/>
  <c r="I286" i="64" s="1"/>
  <c r="F287" i="64"/>
  <c r="C287" i="64" s="1"/>
  <c r="N286" i="64"/>
  <c r="M286" i="64"/>
  <c r="L286" i="64"/>
  <c r="K286" i="64"/>
  <c r="J286" i="64"/>
  <c r="H286" i="64"/>
  <c r="G286" i="64"/>
  <c r="E286" i="64"/>
  <c r="D286" i="64"/>
  <c r="O285" i="64"/>
  <c r="L285" i="64"/>
  <c r="L284" i="64" s="1"/>
  <c r="L283" i="64" s="1"/>
  <c r="I285" i="64"/>
  <c r="I284" i="64" s="1"/>
  <c r="I283" i="64" s="1"/>
  <c r="F285" i="64"/>
  <c r="F284" i="64" s="1"/>
  <c r="O284" i="64"/>
  <c r="O283" i="64" s="1"/>
  <c r="N284" i="64"/>
  <c r="N283" i="64" s="1"/>
  <c r="M284" i="64"/>
  <c r="K284" i="64"/>
  <c r="K283" i="64" s="1"/>
  <c r="J284" i="64"/>
  <c r="J283" i="64" s="1"/>
  <c r="H284" i="64"/>
  <c r="H283" i="64" s="1"/>
  <c r="G284" i="64"/>
  <c r="G283" i="64" s="1"/>
  <c r="E284" i="64"/>
  <c r="E283" i="64" s="1"/>
  <c r="D284" i="64"/>
  <c r="D283" i="64" s="1"/>
  <c r="M283" i="64"/>
  <c r="O282" i="64"/>
  <c r="L282" i="64"/>
  <c r="L281" i="64" s="1"/>
  <c r="I282" i="64"/>
  <c r="I281" i="64" s="1"/>
  <c r="F282" i="64"/>
  <c r="F281" i="64" s="1"/>
  <c r="O281" i="64"/>
  <c r="N281" i="64"/>
  <c r="M281" i="64"/>
  <c r="K281" i="64"/>
  <c r="J281" i="64"/>
  <c r="H281" i="64"/>
  <c r="G281" i="64"/>
  <c r="E281" i="64"/>
  <c r="D281" i="64"/>
  <c r="O280" i="64"/>
  <c r="L280" i="64"/>
  <c r="I280" i="64"/>
  <c r="F280" i="64"/>
  <c r="O279" i="64"/>
  <c r="L279" i="64"/>
  <c r="I279" i="64"/>
  <c r="F279" i="64"/>
  <c r="O278" i="64"/>
  <c r="L278" i="64"/>
  <c r="I278" i="64"/>
  <c r="F278" i="64"/>
  <c r="O277" i="64"/>
  <c r="L277" i="64"/>
  <c r="L276" i="64" s="1"/>
  <c r="I277" i="64"/>
  <c r="F277" i="64"/>
  <c r="F276" i="64" s="1"/>
  <c r="N276" i="64"/>
  <c r="M276" i="64"/>
  <c r="K276" i="64"/>
  <c r="J276" i="64"/>
  <c r="H276" i="64"/>
  <c r="G276" i="64"/>
  <c r="E276" i="64"/>
  <c r="D276" i="64"/>
  <c r="D270" i="64" s="1"/>
  <c r="D269" i="64" s="1"/>
  <c r="O275" i="64"/>
  <c r="L275" i="64"/>
  <c r="I275" i="64"/>
  <c r="F275" i="64"/>
  <c r="O274" i="64"/>
  <c r="L274" i="64"/>
  <c r="I274" i="64"/>
  <c r="F274" i="64"/>
  <c r="O273" i="64"/>
  <c r="L273" i="64"/>
  <c r="I273" i="64"/>
  <c r="I272" i="64" s="1"/>
  <c r="F273" i="64"/>
  <c r="F272" i="64" s="1"/>
  <c r="O272" i="64"/>
  <c r="N272" i="64"/>
  <c r="M272" i="64"/>
  <c r="L272" i="64"/>
  <c r="K272" i="64"/>
  <c r="K270" i="64" s="1"/>
  <c r="K269" i="64" s="1"/>
  <c r="J272" i="64"/>
  <c r="H272" i="64"/>
  <c r="G272" i="64"/>
  <c r="G270" i="64" s="1"/>
  <c r="G269" i="64" s="1"/>
  <c r="E272" i="64"/>
  <c r="D272" i="64"/>
  <c r="O271" i="64"/>
  <c r="L271" i="64"/>
  <c r="I271" i="64"/>
  <c r="F271" i="64"/>
  <c r="O268" i="64"/>
  <c r="L268" i="64"/>
  <c r="I268" i="64"/>
  <c r="F268" i="64"/>
  <c r="O267" i="64"/>
  <c r="L267" i="64"/>
  <c r="I267" i="64"/>
  <c r="F267" i="64"/>
  <c r="O266" i="64"/>
  <c r="L266" i="64"/>
  <c r="I266" i="64"/>
  <c r="F266" i="64"/>
  <c r="O265" i="64"/>
  <c r="L265" i="64"/>
  <c r="I265" i="64"/>
  <c r="F265" i="64"/>
  <c r="F264" i="64" s="1"/>
  <c r="N264" i="64"/>
  <c r="M264" i="64"/>
  <c r="K264" i="64"/>
  <c r="J264" i="64"/>
  <c r="H264" i="64"/>
  <c r="G264" i="64"/>
  <c r="E264" i="64"/>
  <c r="D264" i="64"/>
  <c r="O263" i="64"/>
  <c r="L263" i="64"/>
  <c r="I263" i="64"/>
  <c r="F263" i="64"/>
  <c r="O262" i="64"/>
  <c r="L262" i="64"/>
  <c r="I262" i="64"/>
  <c r="F262" i="64"/>
  <c r="O261" i="64"/>
  <c r="O260" i="64" s="1"/>
  <c r="L261" i="64"/>
  <c r="I261" i="64"/>
  <c r="F261" i="64"/>
  <c r="F260" i="64" s="1"/>
  <c r="N260" i="64"/>
  <c r="M260" i="64"/>
  <c r="K260" i="64"/>
  <c r="J260" i="64"/>
  <c r="H260" i="64"/>
  <c r="H259" i="64" s="1"/>
  <c r="G260" i="64"/>
  <c r="G259" i="64" s="1"/>
  <c r="E260" i="64"/>
  <c r="D260" i="64"/>
  <c r="M259" i="64"/>
  <c r="O258" i="64"/>
  <c r="L258" i="64"/>
  <c r="I258" i="64"/>
  <c r="F258" i="64"/>
  <c r="O257" i="64"/>
  <c r="L257" i="64"/>
  <c r="I257" i="64"/>
  <c r="F257" i="64"/>
  <c r="O256" i="64"/>
  <c r="L256" i="64"/>
  <c r="I256" i="64"/>
  <c r="F256" i="64"/>
  <c r="O255" i="64"/>
  <c r="L255" i="64"/>
  <c r="I255" i="64"/>
  <c r="F255" i="64"/>
  <c r="O254" i="64"/>
  <c r="L254" i="64"/>
  <c r="I254" i="64"/>
  <c r="F254" i="64"/>
  <c r="O253" i="64"/>
  <c r="L253" i="64"/>
  <c r="I253" i="64"/>
  <c r="F253" i="64"/>
  <c r="F252" i="64" s="1"/>
  <c r="N252" i="64"/>
  <c r="N251" i="64" s="1"/>
  <c r="M252" i="64"/>
  <c r="M251" i="64" s="1"/>
  <c r="K252" i="64"/>
  <c r="K251" i="64" s="1"/>
  <c r="J252" i="64"/>
  <c r="J251" i="64" s="1"/>
  <c r="H252" i="64"/>
  <c r="H251" i="64" s="1"/>
  <c r="G252" i="64"/>
  <c r="E252" i="64"/>
  <c r="E251" i="64" s="1"/>
  <c r="D252" i="64"/>
  <c r="D251" i="64" s="1"/>
  <c r="G251" i="64"/>
  <c r="O250" i="64"/>
  <c r="L250" i="64"/>
  <c r="I250" i="64"/>
  <c r="F250" i="64"/>
  <c r="O249" i="64"/>
  <c r="L249" i="64"/>
  <c r="I249" i="64"/>
  <c r="F249" i="64"/>
  <c r="O248" i="64"/>
  <c r="L248" i="64"/>
  <c r="I248" i="64"/>
  <c r="F248" i="64"/>
  <c r="O247" i="64"/>
  <c r="O246" i="64" s="1"/>
  <c r="L247" i="64"/>
  <c r="L246" i="64" s="1"/>
  <c r="I247" i="64"/>
  <c r="F247" i="64"/>
  <c r="C247" i="64" s="1"/>
  <c r="N246" i="64"/>
  <c r="M246" i="64"/>
  <c r="K246" i="64"/>
  <c r="J246" i="64"/>
  <c r="H246" i="64"/>
  <c r="G246" i="64"/>
  <c r="E246" i="64"/>
  <c r="D246" i="64"/>
  <c r="O245" i="64"/>
  <c r="L245" i="64"/>
  <c r="I245" i="64"/>
  <c r="F245" i="64"/>
  <c r="O244" i="64"/>
  <c r="L244" i="64"/>
  <c r="I244" i="64"/>
  <c r="F244" i="64"/>
  <c r="O243" i="64"/>
  <c r="L243" i="64"/>
  <c r="I243" i="64"/>
  <c r="F243" i="64"/>
  <c r="O242" i="64"/>
  <c r="L242" i="64"/>
  <c r="I242" i="64"/>
  <c r="F242" i="64"/>
  <c r="O241" i="64"/>
  <c r="L241" i="64"/>
  <c r="I241" i="64"/>
  <c r="F241" i="64"/>
  <c r="O240" i="64"/>
  <c r="L240" i="64"/>
  <c r="I240" i="64"/>
  <c r="F240" i="64"/>
  <c r="O239" i="64"/>
  <c r="O238" i="64" s="1"/>
  <c r="L239" i="64"/>
  <c r="L238" i="64" s="1"/>
  <c r="I239" i="64"/>
  <c r="F239" i="64"/>
  <c r="N238" i="64"/>
  <c r="M238" i="64"/>
  <c r="K238" i="64"/>
  <c r="J238" i="64"/>
  <c r="H238" i="64"/>
  <c r="G238" i="64"/>
  <c r="E238" i="64"/>
  <c r="D238" i="64"/>
  <c r="O237" i="64"/>
  <c r="L237" i="64"/>
  <c r="I237" i="64"/>
  <c r="F237" i="64"/>
  <c r="O236" i="64"/>
  <c r="L236" i="64"/>
  <c r="I236" i="64"/>
  <c r="F236" i="64"/>
  <c r="F235" i="64" s="1"/>
  <c r="O235" i="64"/>
  <c r="N235" i="64"/>
  <c r="M235" i="64"/>
  <c r="K235" i="64"/>
  <c r="J235" i="64"/>
  <c r="H235" i="64"/>
  <c r="H231" i="64" s="1"/>
  <c r="G235" i="64"/>
  <c r="G231" i="64" s="1"/>
  <c r="E235" i="64"/>
  <c r="D235" i="64"/>
  <c r="O234" i="64"/>
  <c r="L234" i="64"/>
  <c r="L233" i="64" s="1"/>
  <c r="I234" i="64"/>
  <c r="F234" i="64"/>
  <c r="O233" i="64"/>
  <c r="N233" i="64"/>
  <c r="N231" i="64" s="1"/>
  <c r="M233" i="64"/>
  <c r="K233" i="64"/>
  <c r="J233" i="64"/>
  <c r="I233" i="64"/>
  <c r="H233" i="64"/>
  <c r="G233" i="64"/>
  <c r="F233" i="64"/>
  <c r="E233" i="64"/>
  <c r="D233" i="64"/>
  <c r="O232" i="64"/>
  <c r="L232" i="64"/>
  <c r="I232" i="64"/>
  <c r="F232" i="64"/>
  <c r="O229" i="64"/>
  <c r="L229" i="64"/>
  <c r="I229" i="64"/>
  <c r="F229" i="64"/>
  <c r="O228" i="64"/>
  <c r="O227" i="64" s="1"/>
  <c r="L228" i="64"/>
  <c r="I228" i="64"/>
  <c r="I227" i="64" s="1"/>
  <c r="F228" i="64"/>
  <c r="N227" i="64"/>
  <c r="M227" i="64"/>
  <c r="L227" i="64"/>
  <c r="K227" i="64"/>
  <c r="J227" i="64"/>
  <c r="H227" i="64"/>
  <c r="G227" i="64"/>
  <c r="E227" i="64"/>
  <c r="D227" i="64"/>
  <c r="O226" i="64"/>
  <c r="L226" i="64"/>
  <c r="I226" i="64"/>
  <c r="F226" i="64"/>
  <c r="O225" i="64"/>
  <c r="L225" i="64"/>
  <c r="I225" i="64"/>
  <c r="F225" i="64"/>
  <c r="O224" i="64"/>
  <c r="L224" i="64"/>
  <c r="I224" i="64"/>
  <c r="F224" i="64"/>
  <c r="O223" i="64"/>
  <c r="L223" i="64"/>
  <c r="I223" i="64"/>
  <c r="F223" i="64"/>
  <c r="O222" i="64"/>
  <c r="L222" i="64"/>
  <c r="I222" i="64"/>
  <c r="F222" i="64"/>
  <c r="O221" i="64"/>
  <c r="L221" i="64"/>
  <c r="I221" i="64"/>
  <c r="F221" i="64"/>
  <c r="O220" i="64"/>
  <c r="L220" i="64"/>
  <c r="I220" i="64"/>
  <c r="F220" i="64"/>
  <c r="O219" i="64"/>
  <c r="L219" i="64"/>
  <c r="I219" i="64"/>
  <c r="F219" i="64"/>
  <c r="O218" i="64"/>
  <c r="L218" i="64"/>
  <c r="I218" i="64"/>
  <c r="F218" i="64"/>
  <c r="O217" i="64"/>
  <c r="L217" i="64"/>
  <c r="I217" i="64"/>
  <c r="I216" i="64" s="1"/>
  <c r="F217" i="64"/>
  <c r="N216" i="64"/>
  <c r="M216" i="64"/>
  <c r="K216" i="64"/>
  <c r="J216" i="64"/>
  <c r="J204" i="64" s="1"/>
  <c r="H216" i="64"/>
  <c r="G216" i="64"/>
  <c r="E216" i="64"/>
  <c r="D216" i="64"/>
  <c r="O215" i="64"/>
  <c r="L215" i="64"/>
  <c r="I215" i="64"/>
  <c r="F215" i="64"/>
  <c r="O214" i="64"/>
  <c r="L214" i="64"/>
  <c r="I214" i="64"/>
  <c r="F214" i="64"/>
  <c r="O213" i="64"/>
  <c r="L213" i="64"/>
  <c r="I213" i="64"/>
  <c r="F213" i="64"/>
  <c r="O212" i="64"/>
  <c r="L212" i="64"/>
  <c r="I212" i="64"/>
  <c r="F212" i="64"/>
  <c r="O211" i="64"/>
  <c r="L211" i="64"/>
  <c r="I211" i="64"/>
  <c r="F211" i="64"/>
  <c r="O210" i="64"/>
  <c r="L210" i="64"/>
  <c r="I210" i="64"/>
  <c r="F210" i="64"/>
  <c r="O209" i="64"/>
  <c r="L209" i="64"/>
  <c r="I209" i="64"/>
  <c r="F209" i="64"/>
  <c r="O208" i="64"/>
  <c r="L208" i="64"/>
  <c r="I208" i="64"/>
  <c r="F208" i="64"/>
  <c r="O207" i="64"/>
  <c r="L207" i="64"/>
  <c r="I207" i="64"/>
  <c r="F207" i="64"/>
  <c r="O206" i="64"/>
  <c r="L206" i="64"/>
  <c r="I206" i="64"/>
  <c r="I205" i="64" s="1"/>
  <c r="F206" i="64"/>
  <c r="N205" i="64"/>
  <c r="M205" i="64"/>
  <c r="L205" i="64"/>
  <c r="K205" i="64"/>
  <c r="J205" i="64"/>
  <c r="H205" i="64"/>
  <c r="H204" i="64" s="1"/>
  <c r="G205" i="64"/>
  <c r="E205" i="64"/>
  <c r="D205" i="64"/>
  <c r="O203" i="64"/>
  <c r="L203" i="64"/>
  <c r="I203" i="64"/>
  <c r="F203" i="64"/>
  <c r="O202" i="64"/>
  <c r="L202" i="64"/>
  <c r="I202" i="64"/>
  <c r="F202" i="64"/>
  <c r="O201" i="64"/>
  <c r="L201" i="64"/>
  <c r="I201" i="64"/>
  <c r="F201" i="64"/>
  <c r="O200" i="64"/>
  <c r="L200" i="64"/>
  <c r="I200" i="64"/>
  <c r="F200" i="64"/>
  <c r="O199" i="64"/>
  <c r="O198" i="64" s="1"/>
  <c r="L199" i="64"/>
  <c r="I199" i="64"/>
  <c r="F199" i="64"/>
  <c r="F198" i="64" s="1"/>
  <c r="N198" i="64"/>
  <c r="M198" i="64"/>
  <c r="M196" i="64" s="1"/>
  <c r="L198" i="64"/>
  <c r="K198" i="64"/>
  <c r="K196" i="64" s="1"/>
  <c r="J198" i="64"/>
  <c r="I198" i="64"/>
  <c r="H198" i="64"/>
  <c r="H196" i="64" s="1"/>
  <c r="G198" i="64"/>
  <c r="G196" i="64" s="1"/>
  <c r="E198" i="64"/>
  <c r="D198" i="64"/>
  <c r="D196" i="64" s="1"/>
  <c r="O197" i="64"/>
  <c r="L197" i="64"/>
  <c r="I197" i="64"/>
  <c r="F197" i="64"/>
  <c r="N196" i="64"/>
  <c r="J196" i="64"/>
  <c r="I196" i="64"/>
  <c r="E196" i="64"/>
  <c r="O193" i="64"/>
  <c r="L193" i="64"/>
  <c r="L192" i="64" s="1"/>
  <c r="L191" i="64" s="1"/>
  <c r="I193" i="64"/>
  <c r="I192" i="64" s="1"/>
  <c r="I191" i="64" s="1"/>
  <c r="F193" i="64"/>
  <c r="O192" i="64"/>
  <c r="N192" i="64"/>
  <c r="N191" i="64" s="1"/>
  <c r="M192" i="64"/>
  <c r="M191" i="64" s="1"/>
  <c r="K192" i="64"/>
  <c r="K191" i="64" s="1"/>
  <c r="J192" i="64"/>
  <c r="J191" i="64" s="1"/>
  <c r="H192" i="64"/>
  <c r="H191" i="64" s="1"/>
  <c r="G192" i="64"/>
  <c r="G191" i="64" s="1"/>
  <c r="E192" i="64"/>
  <c r="E191" i="64" s="1"/>
  <c r="D192" i="64"/>
  <c r="D191" i="64" s="1"/>
  <c r="D187" i="64" s="1"/>
  <c r="O191" i="64"/>
  <c r="O190" i="64"/>
  <c r="L190" i="64"/>
  <c r="C190" i="64" s="1"/>
  <c r="I190" i="64"/>
  <c r="F190" i="64"/>
  <c r="O189" i="64"/>
  <c r="L189" i="64"/>
  <c r="I189" i="64"/>
  <c r="I188" i="64" s="1"/>
  <c r="I187" i="64" s="1"/>
  <c r="F189" i="64"/>
  <c r="N188" i="64"/>
  <c r="M188" i="64"/>
  <c r="K188" i="64"/>
  <c r="K187" i="64" s="1"/>
  <c r="J188" i="64"/>
  <c r="H188" i="64"/>
  <c r="G188" i="64"/>
  <c r="G187" i="64" s="1"/>
  <c r="E188" i="64"/>
  <c r="E187" i="64" s="1"/>
  <c r="D188" i="64"/>
  <c r="O186" i="64"/>
  <c r="L186" i="64"/>
  <c r="I186" i="64"/>
  <c r="F186" i="64"/>
  <c r="C186" i="64" s="1"/>
  <c r="O185" i="64"/>
  <c r="L185" i="64"/>
  <c r="L184" i="64" s="1"/>
  <c r="I185" i="64"/>
  <c r="I184" i="64" s="1"/>
  <c r="F185" i="64"/>
  <c r="N184" i="64"/>
  <c r="M184" i="64"/>
  <c r="K184" i="64"/>
  <c r="J184" i="64"/>
  <c r="H184" i="64"/>
  <c r="G184" i="64"/>
  <c r="E184" i="64"/>
  <c r="D184" i="64"/>
  <c r="O183" i="64"/>
  <c r="L183" i="64"/>
  <c r="I183" i="64"/>
  <c r="F183" i="64"/>
  <c r="O182" i="64"/>
  <c r="L182" i="64"/>
  <c r="I182" i="64"/>
  <c r="F182" i="64"/>
  <c r="O181" i="64"/>
  <c r="L181" i="64"/>
  <c r="I181" i="64"/>
  <c r="F181" i="64"/>
  <c r="O180" i="64"/>
  <c r="L180" i="64"/>
  <c r="I180" i="64"/>
  <c r="I179" i="64" s="1"/>
  <c r="F180" i="64"/>
  <c r="F179" i="64" s="1"/>
  <c r="O179" i="64"/>
  <c r="N179" i="64"/>
  <c r="M179" i="64"/>
  <c r="K179" i="64"/>
  <c r="J179" i="64"/>
  <c r="H179" i="64"/>
  <c r="G179" i="64"/>
  <c r="E179" i="64"/>
  <c r="D179" i="64"/>
  <c r="O178" i="64"/>
  <c r="L178" i="64"/>
  <c r="I178" i="64"/>
  <c r="F178" i="64"/>
  <c r="O177" i="64"/>
  <c r="L177" i="64"/>
  <c r="I177" i="64"/>
  <c r="F177" i="64"/>
  <c r="O176" i="64"/>
  <c r="L176" i="64"/>
  <c r="L175" i="64" s="1"/>
  <c r="I176" i="64"/>
  <c r="I175" i="64" s="1"/>
  <c r="F176" i="64"/>
  <c r="O175" i="64"/>
  <c r="N175" i="64"/>
  <c r="N174" i="64" s="1"/>
  <c r="N173" i="64" s="1"/>
  <c r="M175" i="64"/>
  <c r="K175" i="64"/>
  <c r="J175" i="64"/>
  <c r="H175" i="64"/>
  <c r="H174" i="64" s="1"/>
  <c r="H173" i="64" s="1"/>
  <c r="G175" i="64"/>
  <c r="E175" i="64"/>
  <c r="D175" i="64"/>
  <c r="K174" i="64"/>
  <c r="O172" i="64"/>
  <c r="L172" i="64"/>
  <c r="I172" i="64"/>
  <c r="F172" i="64"/>
  <c r="O171" i="64"/>
  <c r="L171" i="64"/>
  <c r="I171" i="64"/>
  <c r="F171" i="64"/>
  <c r="O170" i="64"/>
  <c r="L170" i="64"/>
  <c r="I170" i="64"/>
  <c r="F170" i="64"/>
  <c r="O169" i="64"/>
  <c r="L169" i="64"/>
  <c r="I169" i="64"/>
  <c r="F169" i="64"/>
  <c r="C169" i="64" s="1"/>
  <c r="O168" i="64"/>
  <c r="L168" i="64"/>
  <c r="I168" i="64"/>
  <c r="F168" i="64"/>
  <c r="O167" i="64"/>
  <c r="L167" i="64"/>
  <c r="I167" i="64"/>
  <c r="I166" i="64" s="1"/>
  <c r="I165" i="64" s="1"/>
  <c r="F167" i="64"/>
  <c r="N166" i="64"/>
  <c r="N165" i="64" s="1"/>
  <c r="M166" i="64"/>
  <c r="M165" i="64" s="1"/>
  <c r="K166" i="64"/>
  <c r="K165" i="64" s="1"/>
  <c r="J166" i="64"/>
  <c r="J165" i="64" s="1"/>
  <c r="H166" i="64"/>
  <c r="H165" i="64" s="1"/>
  <c r="G166" i="64"/>
  <c r="E166" i="64"/>
  <c r="E165" i="64" s="1"/>
  <c r="D166" i="64"/>
  <c r="D165" i="64" s="1"/>
  <c r="G165" i="64"/>
  <c r="O164" i="64"/>
  <c r="L164" i="64"/>
  <c r="I164" i="64"/>
  <c r="F164" i="64"/>
  <c r="O163" i="64"/>
  <c r="L163" i="64"/>
  <c r="I163" i="64"/>
  <c r="F163" i="64"/>
  <c r="O162" i="64"/>
  <c r="L162" i="64"/>
  <c r="I162" i="64"/>
  <c r="F162" i="64"/>
  <c r="O161" i="64"/>
  <c r="O160" i="64" s="1"/>
  <c r="L161" i="64"/>
  <c r="L160" i="64" s="1"/>
  <c r="I161" i="64"/>
  <c r="F161" i="64"/>
  <c r="F160" i="64" s="1"/>
  <c r="N160" i="64"/>
  <c r="M160" i="64"/>
  <c r="K160" i="64"/>
  <c r="J160" i="64"/>
  <c r="H160" i="64"/>
  <c r="G160" i="64"/>
  <c r="E160" i="64"/>
  <c r="D160" i="64"/>
  <c r="O159" i="64"/>
  <c r="L159" i="64"/>
  <c r="I159" i="64"/>
  <c r="F159" i="64"/>
  <c r="O158" i="64"/>
  <c r="L158" i="64"/>
  <c r="I158" i="64"/>
  <c r="F158" i="64"/>
  <c r="O157" i="64"/>
  <c r="L157" i="64"/>
  <c r="I157" i="64"/>
  <c r="F157" i="64"/>
  <c r="O156" i="64"/>
  <c r="L156" i="64"/>
  <c r="I156" i="64"/>
  <c r="F156" i="64"/>
  <c r="O155" i="64"/>
  <c r="L155" i="64"/>
  <c r="I155" i="64"/>
  <c r="F155" i="64"/>
  <c r="O154" i="64"/>
  <c r="L154" i="64"/>
  <c r="I154" i="64"/>
  <c r="F154" i="64"/>
  <c r="O153" i="64"/>
  <c r="L153" i="64"/>
  <c r="I153" i="64"/>
  <c r="F153" i="64"/>
  <c r="O152" i="64"/>
  <c r="L152" i="64"/>
  <c r="L151" i="64" s="1"/>
  <c r="I152" i="64"/>
  <c r="F152" i="64"/>
  <c r="N151" i="64"/>
  <c r="M151" i="64"/>
  <c r="K151" i="64"/>
  <c r="J151" i="64"/>
  <c r="H151" i="64"/>
  <c r="G151" i="64"/>
  <c r="E151" i="64"/>
  <c r="D151" i="64"/>
  <c r="O150" i="64"/>
  <c r="L150" i="64"/>
  <c r="I150" i="64"/>
  <c r="F150" i="64"/>
  <c r="O149" i="64"/>
  <c r="L149" i="64"/>
  <c r="I149" i="64"/>
  <c r="F149" i="64"/>
  <c r="C149" i="64" s="1"/>
  <c r="O148" i="64"/>
  <c r="L148" i="64"/>
  <c r="I148" i="64"/>
  <c r="F148" i="64"/>
  <c r="O147" i="64"/>
  <c r="L147" i="64"/>
  <c r="I147" i="64"/>
  <c r="F147" i="64"/>
  <c r="O146" i="64"/>
  <c r="L146" i="64"/>
  <c r="I146" i="64"/>
  <c r="F146" i="64"/>
  <c r="O145" i="64"/>
  <c r="L145" i="64"/>
  <c r="L144" i="64" s="1"/>
  <c r="I145" i="64"/>
  <c r="F145" i="64"/>
  <c r="N144" i="64"/>
  <c r="M144" i="64"/>
  <c r="K144" i="64"/>
  <c r="J144" i="64"/>
  <c r="H144" i="64"/>
  <c r="G144" i="64"/>
  <c r="E144" i="64"/>
  <c r="D144" i="64"/>
  <c r="O143" i="64"/>
  <c r="L143" i="64"/>
  <c r="I143" i="64"/>
  <c r="F143" i="64"/>
  <c r="O142" i="64"/>
  <c r="L142" i="64"/>
  <c r="L141" i="64" s="1"/>
  <c r="I142" i="64"/>
  <c r="F142" i="64"/>
  <c r="O141" i="64"/>
  <c r="N141" i="64"/>
  <c r="M141" i="64"/>
  <c r="K141" i="64"/>
  <c r="J141" i="64"/>
  <c r="H141" i="64"/>
  <c r="G141" i="64"/>
  <c r="E141" i="64"/>
  <c r="D141" i="64"/>
  <c r="O140" i="64"/>
  <c r="L140" i="64"/>
  <c r="I140" i="64"/>
  <c r="F140" i="64"/>
  <c r="O139" i="64"/>
  <c r="L139" i="64"/>
  <c r="I139" i="64"/>
  <c r="F139" i="64"/>
  <c r="O138" i="64"/>
  <c r="L138" i="64"/>
  <c r="I138" i="64"/>
  <c r="F138" i="64"/>
  <c r="O137" i="64"/>
  <c r="O136" i="64" s="1"/>
  <c r="L137" i="64"/>
  <c r="I137" i="64"/>
  <c r="I136" i="64" s="1"/>
  <c r="F137" i="64"/>
  <c r="N136" i="64"/>
  <c r="M136" i="64"/>
  <c r="L136" i="64"/>
  <c r="K136" i="64"/>
  <c r="J136" i="64"/>
  <c r="H136" i="64"/>
  <c r="G136" i="64"/>
  <c r="E136" i="64"/>
  <c r="D136" i="64"/>
  <c r="O135" i="64"/>
  <c r="L135" i="64"/>
  <c r="I135" i="64"/>
  <c r="F135" i="64"/>
  <c r="O134" i="64"/>
  <c r="L134" i="64"/>
  <c r="I134" i="64"/>
  <c r="F134" i="64"/>
  <c r="O133" i="64"/>
  <c r="L133" i="64"/>
  <c r="I133" i="64"/>
  <c r="F133" i="64"/>
  <c r="O132" i="64"/>
  <c r="L132" i="64"/>
  <c r="I132" i="64"/>
  <c r="F132" i="64"/>
  <c r="N131" i="64"/>
  <c r="M131" i="64"/>
  <c r="K131" i="64"/>
  <c r="J131" i="64"/>
  <c r="I131" i="64"/>
  <c r="H131" i="64"/>
  <c r="G131" i="64"/>
  <c r="E131" i="64"/>
  <c r="D131" i="64"/>
  <c r="O129" i="64"/>
  <c r="O128" i="64" s="1"/>
  <c r="L129" i="64"/>
  <c r="L128" i="64" s="1"/>
  <c r="I129" i="64"/>
  <c r="I128" i="64" s="1"/>
  <c r="F129" i="64"/>
  <c r="N128" i="64"/>
  <c r="M128" i="64"/>
  <c r="K128" i="64"/>
  <c r="J128" i="64"/>
  <c r="H128" i="64"/>
  <c r="G128" i="64"/>
  <c r="E128" i="64"/>
  <c r="D128" i="64"/>
  <c r="O127" i="64"/>
  <c r="L127" i="64"/>
  <c r="I127" i="64"/>
  <c r="F127" i="64"/>
  <c r="O126" i="64"/>
  <c r="L126" i="64"/>
  <c r="I126" i="64"/>
  <c r="F126" i="64"/>
  <c r="O125" i="64"/>
  <c r="L125" i="64"/>
  <c r="I125" i="64"/>
  <c r="F125" i="64"/>
  <c r="O124" i="64"/>
  <c r="L124" i="64"/>
  <c r="I124" i="64"/>
  <c r="F124" i="64"/>
  <c r="O123" i="64"/>
  <c r="O122" i="64" s="1"/>
  <c r="L123" i="64"/>
  <c r="I123" i="64"/>
  <c r="I122" i="64" s="1"/>
  <c r="F123" i="64"/>
  <c r="F122" i="64" s="1"/>
  <c r="N122" i="64"/>
  <c r="M122" i="64"/>
  <c r="K122" i="64"/>
  <c r="J122" i="64"/>
  <c r="H122" i="64"/>
  <c r="G122" i="64"/>
  <c r="E122" i="64"/>
  <c r="D122" i="64"/>
  <c r="O121" i="64"/>
  <c r="L121" i="64"/>
  <c r="I121" i="64"/>
  <c r="F121" i="64"/>
  <c r="O120" i="64"/>
  <c r="L120" i="64"/>
  <c r="I120" i="64"/>
  <c r="F120" i="64"/>
  <c r="O119" i="64"/>
  <c r="L119" i="64"/>
  <c r="I119" i="64"/>
  <c r="F119" i="64"/>
  <c r="O118" i="64"/>
  <c r="L118" i="64"/>
  <c r="I118" i="64"/>
  <c r="F118" i="64"/>
  <c r="O117" i="64"/>
  <c r="O116" i="64" s="1"/>
  <c r="L117" i="64"/>
  <c r="I117" i="64"/>
  <c r="I116" i="64" s="1"/>
  <c r="F117" i="64"/>
  <c r="N116" i="64"/>
  <c r="M116" i="64"/>
  <c r="K116" i="64"/>
  <c r="J116" i="64"/>
  <c r="H116" i="64"/>
  <c r="G116" i="64"/>
  <c r="E116" i="64"/>
  <c r="D116" i="64"/>
  <c r="O115" i="64"/>
  <c r="L115" i="64"/>
  <c r="I115" i="64"/>
  <c r="F115" i="64"/>
  <c r="O114" i="64"/>
  <c r="L114" i="64"/>
  <c r="I114" i="64"/>
  <c r="F114" i="64"/>
  <c r="O113" i="64"/>
  <c r="O112" i="64" s="1"/>
  <c r="L113" i="64"/>
  <c r="I113" i="64"/>
  <c r="F113" i="64"/>
  <c r="N112" i="64"/>
  <c r="M112" i="64"/>
  <c r="L112" i="64"/>
  <c r="K112" i="64"/>
  <c r="J112" i="64"/>
  <c r="H112" i="64"/>
  <c r="G112" i="64"/>
  <c r="F112" i="64"/>
  <c r="E112" i="64"/>
  <c r="D112" i="64"/>
  <c r="O111" i="64"/>
  <c r="L111" i="64"/>
  <c r="I111" i="64"/>
  <c r="F111" i="64"/>
  <c r="O110" i="64"/>
  <c r="L110" i="64"/>
  <c r="I110" i="64"/>
  <c r="F110" i="64"/>
  <c r="O109" i="64"/>
  <c r="L109" i="64"/>
  <c r="I109" i="64"/>
  <c r="F109" i="64"/>
  <c r="O108" i="64"/>
  <c r="L108" i="64"/>
  <c r="I108" i="64"/>
  <c r="F108" i="64"/>
  <c r="O107" i="64"/>
  <c r="L107" i="64"/>
  <c r="I107" i="64"/>
  <c r="F107" i="64"/>
  <c r="O106" i="64"/>
  <c r="L106" i="64"/>
  <c r="I106" i="64"/>
  <c r="F106" i="64"/>
  <c r="O105" i="64"/>
  <c r="L105" i="64"/>
  <c r="I105" i="64"/>
  <c r="F105" i="64"/>
  <c r="O104" i="64"/>
  <c r="L104" i="64"/>
  <c r="L103" i="64" s="1"/>
  <c r="I104" i="64"/>
  <c r="F104" i="64"/>
  <c r="N103" i="64"/>
  <c r="M103" i="64"/>
  <c r="K103" i="64"/>
  <c r="J103" i="64"/>
  <c r="H103" i="64"/>
  <c r="G103" i="64"/>
  <c r="E103" i="64"/>
  <c r="D103" i="64"/>
  <c r="O102" i="64"/>
  <c r="L102" i="64"/>
  <c r="I102" i="64"/>
  <c r="F102" i="64"/>
  <c r="O101" i="64"/>
  <c r="L101" i="64"/>
  <c r="I101" i="64"/>
  <c r="F101" i="64"/>
  <c r="O100" i="64"/>
  <c r="L100" i="64"/>
  <c r="I100" i="64"/>
  <c r="F100" i="64"/>
  <c r="O99" i="64"/>
  <c r="L99" i="64"/>
  <c r="I99" i="64"/>
  <c r="F99" i="64"/>
  <c r="O98" i="64"/>
  <c r="L98" i="64"/>
  <c r="I98" i="64"/>
  <c r="F98" i="64"/>
  <c r="O97" i="64"/>
  <c r="L97" i="64"/>
  <c r="I97" i="64"/>
  <c r="F97" i="64"/>
  <c r="O96" i="64"/>
  <c r="L96" i="64"/>
  <c r="I96" i="64"/>
  <c r="F96" i="64"/>
  <c r="N95" i="64"/>
  <c r="M95" i="64"/>
  <c r="K95" i="64"/>
  <c r="J95" i="64"/>
  <c r="H95" i="64"/>
  <c r="G95" i="64"/>
  <c r="E95" i="64"/>
  <c r="D95" i="64"/>
  <c r="O94" i="64"/>
  <c r="L94" i="64"/>
  <c r="I94" i="64"/>
  <c r="F94" i="64"/>
  <c r="O93" i="64"/>
  <c r="L93" i="64"/>
  <c r="I93" i="64"/>
  <c r="F93" i="64"/>
  <c r="O92" i="64"/>
  <c r="L92" i="64"/>
  <c r="I92" i="64"/>
  <c r="F92" i="64"/>
  <c r="O91" i="64"/>
  <c r="L91" i="64"/>
  <c r="I91" i="64"/>
  <c r="F91" i="64"/>
  <c r="O90" i="64"/>
  <c r="L90" i="64"/>
  <c r="I90" i="64"/>
  <c r="F90" i="64"/>
  <c r="O89" i="64"/>
  <c r="N89" i="64"/>
  <c r="M89" i="64"/>
  <c r="K89" i="64"/>
  <c r="J89" i="64"/>
  <c r="H89" i="64"/>
  <c r="G89" i="64"/>
  <c r="E89" i="64"/>
  <c r="D89" i="64"/>
  <c r="O88" i="64"/>
  <c r="L88" i="64"/>
  <c r="I88" i="64"/>
  <c r="F88" i="64"/>
  <c r="O87" i="64"/>
  <c r="L87" i="64"/>
  <c r="I87" i="64"/>
  <c r="F87" i="64"/>
  <c r="O86" i="64"/>
  <c r="L86" i="64"/>
  <c r="I86" i="64"/>
  <c r="F86" i="64"/>
  <c r="O85" i="64"/>
  <c r="O84" i="64" s="1"/>
  <c r="L85" i="64"/>
  <c r="I85" i="64"/>
  <c r="F85" i="64"/>
  <c r="N84" i="64"/>
  <c r="M84" i="64"/>
  <c r="L84" i="64"/>
  <c r="K84" i="64"/>
  <c r="J84" i="64"/>
  <c r="H84" i="64"/>
  <c r="G84" i="64"/>
  <c r="E84" i="64"/>
  <c r="D84" i="64"/>
  <c r="O82" i="64"/>
  <c r="L82" i="64"/>
  <c r="I82" i="64"/>
  <c r="F82" i="64"/>
  <c r="O81" i="64"/>
  <c r="O80" i="64" s="1"/>
  <c r="L81" i="64"/>
  <c r="I81" i="64"/>
  <c r="I80" i="64" s="1"/>
  <c r="F81" i="64"/>
  <c r="N80" i="64"/>
  <c r="M80" i="64"/>
  <c r="K80" i="64"/>
  <c r="J80" i="64"/>
  <c r="H80" i="64"/>
  <c r="G80" i="64"/>
  <c r="E80" i="64"/>
  <c r="D80" i="64"/>
  <c r="O79" i="64"/>
  <c r="L79" i="64"/>
  <c r="I79" i="64"/>
  <c r="F79" i="64"/>
  <c r="O78" i="64"/>
  <c r="L78" i="64"/>
  <c r="L77" i="64" s="1"/>
  <c r="I78" i="64"/>
  <c r="F78" i="64"/>
  <c r="O77" i="64"/>
  <c r="O76" i="64" s="1"/>
  <c r="N77" i="64"/>
  <c r="N76" i="64" s="1"/>
  <c r="M77" i="64"/>
  <c r="K77" i="64"/>
  <c r="J77" i="64"/>
  <c r="H77" i="64"/>
  <c r="H76" i="64" s="1"/>
  <c r="G77" i="64"/>
  <c r="F77" i="64"/>
  <c r="E77" i="64"/>
  <c r="D77" i="64"/>
  <c r="M76" i="64"/>
  <c r="O74" i="64"/>
  <c r="L74" i="64"/>
  <c r="I74" i="64"/>
  <c r="F74" i="64"/>
  <c r="O73" i="64"/>
  <c r="L73" i="64"/>
  <c r="I73" i="64"/>
  <c r="F73" i="64"/>
  <c r="O72" i="64"/>
  <c r="L72" i="64"/>
  <c r="I72" i="64"/>
  <c r="F72" i="64"/>
  <c r="O71" i="64"/>
  <c r="L71" i="64"/>
  <c r="I71" i="64"/>
  <c r="F71" i="64"/>
  <c r="O70" i="64"/>
  <c r="O69" i="64" s="1"/>
  <c r="L70" i="64"/>
  <c r="I70" i="64"/>
  <c r="F70" i="64"/>
  <c r="N69" i="64"/>
  <c r="M69" i="64"/>
  <c r="K69" i="64"/>
  <c r="K67" i="64" s="1"/>
  <c r="J69" i="64"/>
  <c r="J67" i="64" s="1"/>
  <c r="H69" i="64"/>
  <c r="H67" i="64" s="1"/>
  <c r="G69" i="64"/>
  <c r="G67" i="64" s="1"/>
  <c r="E69" i="64"/>
  <c r="E67" i="64" s="1"/>
  <c r="D69" i="64"/>
  <c r="D67" i="64" s="1"/>
  <c r="O68" i="64"/>
  <c r="L68" i="64"/>
  <c r="I68" i="64"/>
  <c r="F68" i="64"/>
  <c r="N67" i="64"/>
  <c r="M67" i="64"/>
  <c r="O66" i="64"/>
  <c r="L66" i="64"/>
  <c r="I66" i="64"/>
  <c r="F66" i="64"/>
  <c r="O65" i="64"/>
  <c r="L65" i="64"/>
  <c r="I65" i="64"/>
  <c r="F65" i="64"/>
  <c r="O64" i="64"/>
  <c r="L64" i="64"/>
  <c r="I64" i="64"/>
  <c r="F64" i="64"/>
  <c r="O63" i="64"/>
  <c r="L63" i="64"/>
  <c r="I63" i="64"/>
  <c r="F63" i="64"/>
  <c r="O62" i="64"/>
  <c r="L62" i="64"/>
  <c r="I62" i="64"/>
  <c r="F62" i="64"/>
  <c r="O61" i="64"/>
  <c r="L61" i="64"/>
  <c r="I61" i="64"/>
  <c r="F61" i="64"/>
  <c r="O60" i="64"/>
  <c r="L60" i="64"/>
  <c r="I60" i="64"/>
  <c r="F60" i="64"/>
  <c r="O59" i="64"/>
  <c r="L59" i="64"/>
  <c r="I59" i="64"/>
  <c r="F59" i="64"/>
  <c r="N58" i="64"/>
  <c r="M58" i="64"/>
  <c r="K58" i="64"/>
  <c r="J58" i="64"/>
  <c r="H58" i="64"/>
  <c r="G58" i="64"/>
  <c r="E58" i="64"/>
  <c r="D58" i="64"/>
  <c r="O57" i="64"/>
  <c r="L57" i="64"/>
  <c r="I57" i="64"/>
  <c r="F57" i="64"/>
  <c r="O56" i="64"/>
  <c r="L56" i="64"/>
  <c r="L55" i="64" s="1"/>
  <c r="I56" i="64"/>
  <c r="F56" i="64"/>
  <c r="N55" i="64"/>
  <c r="N54" i="64" s="1"/>
  <c r="N53" i="64" s="1"/>
  <c r="M55" i="64"/>
  <c r="M54" i="64" s="1"/>
  <c r="M53" i="64" s="1"/>
  <c r="K55" i="64"/>
  <c r="J55" i="64"/>
  <c r="I55" i="64"/>
  <c r="H55" i="64"/>
  <c r="G55" i="64"/>
  <c r="E55" i="64"/>
  <c r="D55" i="64"/>
  <c r="D54" i="64" s="1"/>
  <c r="O47" i="64"/>
  <c r="O46" i="64"/>
  <c r="C46" i="64" s="1"/>
  <c r="N45" i="64"/>
  <c r="M45" i="64"/>
  <c r="L44" i="64"/>
  <c r="L43" i="64" s="1"/>
  <c r="I44" i="64"/>
  <c r="F44" i="64"/>
  <c r="F43" i="64" s="1"/>
  <c r="C43" i="64" s="1"/>
  <c r="K43" i="64"/>
  <c r="J43" i="64"/>
  <c r="I43" i="64"/>
  <c r="H43" i="64"/>
  <c r="G43" i="64"/>
  <c r="E43" i="64"/>
  <c r="D43" i="64"/>
  <c r="F42" i="64"/>
  <c r="C42" i="64" s="1"/>
  <c r="E41" i="64"/>
  <c r="D41" i="64"/>
  <c r="L40" i="64"/>
  <c r="C40" i="64" s="1"/>
  <c r="L39" i="64"/>
  <c r="C39" i="64" s="1"/>
  <c r="L38" i="64"/>
  <c r="C38" i="64" s="1"/>
  <c r="L37" i="64"/>
  <c r="C37" i="64" s="1"/>
  <c r="K36" i="64"/>
  <c r="J36" i="64"/>
  <c r="L35" i="64"/>
  <c r="C35" i="64" s="1"/>
  <c r="L34" i="64"/>
  <c r="C34" i="64" s="1"/>
  <c r="K33" i="64"/>
  <c r="J33" i="64"/>
  <c r="L32" i="64"/>
  <c r="C32" i="64" s="1"/>
  <c r="K31" i="64"/>
  <c r="J31" i="64"/>
  <c r="L30" i="64"/>
  <c r="C30" i="64" s="1"/>
  <c r="L29" i="64"/>
  <c r="C29" i="64" s="1"/>
  <c r="L28" i="64"/>
  <c r="C28" i="64" s="1"/>
  <c r="K27" i="64"/>
  <c r="J27" i="64"/>
  <c r="F25" i="64"/>
  <c r="C25" i="64" s="1"/>
  <c r="O23" i="64"/>
  <c r="L23" i="64"/>
  <c r="I23" i="64"/>
  <c r="F23" i="64"/>
  <c r="O22" i="64"/>
  <c r="L22" i="64"/>
  <c r="I22" i="64"/>
  <c r="F22" i="64"/>
  <c r="F21" i="64" s="1"/>
  <c r="N21" i="64"/>
  <c r="N292" i="64" s="1"/>
  <c r="N291" i="64" s="1"/>
  <c r="M21" i="64"/>
  <c r="M292" i="64" s="1"/>
  <c r="M291" i="64" s="1"/>
  <c r="K21" i="64"/>
  <c r="J21" i="64"/>
  <c r="J292" i="64" s="1"/>
  <c r="I21" i="64"/>
  <c r="H21" i="64"/>
  <c r="G21" i="64"/>
  <c r="E21" i="64"/>
  <c r="E292" i="64" s="1"/>
  <c r="E291" i="64" s="1"/>
  <c r="D21" i="64"/>
  <c r="D292" i="64" s="1"/>
  <c r="L95" i="64" l="1"/>
  <c r="I292" i="64"/>
  <c r="N130" i="64"/>
  <c r="C155" i="64"/>
  <c r="J187" i="64"/>
  <c r="O188" i="64"/>
  <c r="O187" i="64" s="1"/>
  <c r="C202" i="64"/>
  <c r="C229" i="64"/>
  <c r="C255" i="64"/>
  <c r="C275" i="64"/>
  <c r="H187" i="64"/>
  <c r="C101" i="64"/>
  <c r="C117" i="64"/>
  <c r="C127" i="64"/>
  <c r="J130" i="64"/>
  <c r="C220" i="64"/>
  <c r="C224" i="64"/>
  <c r="D259" i="64"/>
  <c r="C267" i="64"/>
  <c r="E270" i="64"/>
  <c r="E269" i="64" s="1"/>
  <c r="D291" i="64"/>
  <c r="G292" i="64"/>
  <c r="G291" i="64" s="1"/>
  <c r="K292" i="64"/>
  <c r="K291" i="64" s="1"/>
  <c r="F41" i="64"/>
  <c r="C41" i="64" s="1"/>
  <c r="H54" i="64"/>
  <c r="G54" i="64"/>
  <c r="C107" i="64"/>
  <c r="C137" i="64"/>
  <c r="F166" i="64"/>
  <c r="C168" i="64"/>
  <c r="G174" i="64"/>
  <c r="G173" i="64" s="1"/>
  <c r="M174" i="64"/>
  <c r="M173" i="64" s="1"/>
  <c r="I174" i="64"/>
  <c r="O174" i="64"/>
  <c r="O184" i="64"/>
  <c r="O173" i="64" s="1"/>
  <c r="C212" i="64"/>
  <c r="N204" i="64"/>
  <c r="M231" i="64"/>
  <c r="M230" i="64" s="1"/>
  <c r="D231" i="64"/>
  <c r="C239" i="64"/>
  <c r="E83" i="64"/>
  <c r="G230" i="64"/>
  <c r="C85" i="64"/>
  <c r="C88" i="64"/>
  <c r="E130" i="64"/>
  <c r="K173" i="64"/>
  <c r="C182" i="64"/>
  <c r="C218" i="64"/>
  <c r="C219" i="64"/>
  <c r="O216" i="64"/>
  <c r="C233" i="64"/>
  <c r="J231" i="64"/>
  <c r="C243" i="64"/>
  <c r="C245" i="64"/>
  <c r="E231" i="64"/>
  <c r="E230" i="64" s="1"/>
  <c r="C254" i="64"/>
  <c r="O252" i="64"/>
  <c r="O251" i="64" s="1"/>
  <c r="K259" i="64"/>
  <c r="C265" i="64"/>
  <c r="C271" i="64"/>
  <c r="C295" i="64"/>
  <c r="C297" i="64"/>
  <c r="H53" i="64"/>
  <c r="N195" i="64"/>
  <c r="C23" i="64"/>
  <c r="O45" i="64"/>
  <c r="C57" i="64"/>
  <c r="J54" i="64"/>
  <c r="J53" i="64" s="1"/>
  <c r="C61" i="64"/>
  <c r="C62" i="64"/>
  <c r="C64" i="64"/>
  <c r="E76" i="64"/>
  <c r="J76" i="64"/>
  <c r="C97" i="64"/>
  <c r="C98" i="64"/>
  <c r="C100" i="64"/>
  <c r="O103" i="64"/>
  <c r="C115" i="64"/>
  <c r="C145" i="64"/>
  <c r="C146" i="64"/>
  <c r="C148" i="64"/>
  <c r="O151" i="64"/>
  <c r="C163" i="64"/>
  <c r="D174" i="64"/>
  <c r="D173" i="64" s="1"/>
  <c r="J174" i="64"/>
  <c r="J173" i="64" s="1"/>
  <c r="M187" i="64"/>
  <c r="L188" i="64"/>
  <c r="L187" i="64" s="1"/>
  <c r="C203" i="64"/>
  <c r="D204" i="64"/>
  <c r="G204" i="64"/>
  <c r="K204" i="64"/>
  <c r="K195" i="64" s="1"/>
  <c r="M204" i="64"/>
  <c r="M195" i="64" s="1"/>
  <c r="C240" i="64"/>
  <c r="N259" i="64"/>
  <c r="J270" i="64"/>
  <c r="J269" i="64" s="1"/>
  <c r="N270" i="64"/>
  <c r="N269" i="64" s="1"/>
  <c r="C279" i="64"/>
  <c r="F286" i="64"/>
  <c r="I173" i="64"/>
  <c r="D230" i="64"/>
  <c r="J291" i="64"/>
  <c r="C65" i="64"/>
  <c r="C87" i="64"/>
  <c r="H292" i="64"/>
  <c r="H291" i="64" s="1"/>
  <c r="J26" i="64"/>
  <c r="K54" i="64"/>
  <c r="K53" i="64" s="1"/>
  <c r="C73" i="64"/>
  <c r="I95" i="64"/>
  <c r="C109" i="64"/>
  <c r="C110" i="64"/>
  <c r="C129" i="64"/>
  <c r="F136" i="64"/>
  <c r="I144" i="64"/>
  <c r="C157" i="64"/>
  <c r="C158" i="64"/>
  <c r="C183" i="64"/>
  <c r="F184" i="64"/>
  <c r="C185" i="64"/>
  <c r="L196" i="64"/>
  <c r="G195" i="64"/>
  <c r="G194" i="64" s="1"/>
  <c r="O196" i="64"/>
  <c r="C209" i="64"/>
  <c r="C210" i="64"/>
  <c r="C211" i="64"/>
  <c r="E204" i="64"/>
  <c r="E259" i="64"/>
  <c r="J259" i="64"/>
  <c r="L270" i="64"/>
  <c r="L269" i="64" s="1"/>
  <c r="O293" i="64"/>
  <c r="D53" i="64"/>
  <c r="C105" i="64"/>
  <c r="I103" i="64"/>
  <c r="L116" i="64"/>
  <c r="C208" i="64"/>
  <c r="F205" i="64"/>
  <c r="J230" i="64"/>
  <c r="L260" i="64"/>
  <c r="C263" i="64"/>
  <c r="O21" i="64"/>
  <c r="O292" i="64" s="1"/>
  <c r="O291" i="64" s="1"/>
  <c r="K26" i="64"/>
  <c r="K20" i="64" s="1"/>
  <c r="L36" i="64"/>
  <c r="C36" i="64" s="1"/>
  <c r="E54" i="64"/>
  <c r="E53" i="64" s="1"/>
  <c r="G53" i="64"/>
  <c r="I69" i="64"/>
  <c r="I67" i="64" s="1"/>
  <c r="M83" i="64"/>
  <c r="C133" i="64"/>
  <c r="I204" i="64"/>
  <c r="I195" i="64" s="1"/>
  <c r="C228" i="64"/>
  <c r="F227" i="64"/>
  <c r="C227" i="64" s="1"/>
  <c r="H230" i="64"/>
  <c r="H270" i="64"/>
  <c r="H269" i="64" s="1"/>
  <c r="H289" i="64" s="1"/>
  <c r="M270" i="64"/>
  <c r="M269" i="64" s="1"/>
  <c r="I293" i="64"/>
  <c r="C153" i="64"/>
  <c r="I151" i="64"/>
  <c r="H20" i="64"/>
  <c r="C44" i="64"/>
  <c r="O55" i="64"/>
  <c r="L58" i="64"/>
  <c r="L54" i="64" s="1"/>
  <c r="C93" i="64"/>
  <c r="I112" i="64"/>
  <c r="C113" i="64"/>
  <c r="C121" i="64"/>
  <c r="I160" i="64"/>
  <c r="C160" i="64" s="1"/>
  <c r="C161" i="64"/>
  <c r="N187" i="64"/>
  <c r="C193" i="64"/>
  <c r="F192" i="64"/>
  <c r="F191" i="64" s="1"/>
  <c r="C191" i="64" s="1"/>
  <c r="J195" i="64"/>
  <c r="C217" i="64"/>
  <c r="F216" i="64"/>
  <c r="C216" i="64" s="1"/>
  <c r="N20" i="64"/>
  <c r="L21" i="64"/>
  <c r="C59" i="64"/>
  <c r="C60" i="64"/>
  <c r="C81" i="64"/>
  <c r="F80" i="64"/>
  <c r="F76" i="64" s="1"/>
  <c r="C189" i="64"/>
  <c r="F188" i="64"/>
  <c r="F187" i="64" s="1"/>
  <c r="K231" i="64"/>
  <c r="K230" i="64" s="1"/>
  <c r="K76" i="64"/>
  <c r="D76" i="64"/>
  <c r="H83" i="64"/>
  <c r="I84" i="64"/>
  <c r="K83" i="64"/>
  <c r="C92" i="64"/>
  <c r="C99" i="64"/>
  <c r="C102" i="64"/>
  <c r="C111" i="64"/>
  <c r="C118" i="64"/>
  <c r="C120" i="64"/>
  <c r="L122" i="64"/>
  <c r="C122" i="64" s="1"/>
  <c r="F128" i="64"/>
  <c r="C128" i="64" s="1"/>
  <c r="F131" i="64"/>
  <c r="C131" i="64" s="1"/>
  <c r="O131" i="64"/>
  <c r="C138" i="64"/>
  <c r="C140" i="64"/>
  <c r="C147" i="64"/>
  <c r="C150" i="64"/>
  <c r="C159" i="64"/>
  <c r="C170" i="64"/>
  <c r="C172" i="64"/>
  <c r="E174" i="64"/>
  <c r="E173" i="64" s="1"/>
  <c r="C181" i="64"/>
  <c r="H195" i="64"/>
  <c r="H194" i="64" s="1"/>
  <c r="C201" i="64"/>
  <c r="C213" i="64"/>
  <c r="C214" i="64"/>
  <c r="C215" i="64"/>
  <c r="C221" i="64"/>
  <c r="C222" i="64"/>
  <c r="C223" i="64"/>
  <c r="C237" i="64"/>
  <c r="C244" i="64"/>
  <c r="F246" i="64"/>
  <c r="C253" i="64"/>
  <c r="C258" i="64"/>
  <c r="C262" i="64"/>
  <c r="C280" i="64"/>
  <c r="C285" i="64"/>
  <c r="C288" i="64"/>
  <c r="C296" i="64"/>
  <c r="C301" i="64"/>
  <c r="O67" i="64"/>
  <c r="C74" i="64"/>
  <c r="G76" i="64"/>
  <c r="C82" i="64"/>
  <c r="D83" i="64"/>
  <c r="C86" i="64"/>
  <c r="G83" i="64"/>
  <c r="C91" i="64"/>
  <c r="C94" i="64"/>
  <c r="F103" i="64"/>
  <c r="C112" i="64"/>
  <c r="C119" i="64"/>
  <c r="N83" i="64"/>
  <c r="K130" i="64"/>
  <c r="C134" i="64"/>
  <c r="D130" i="64"/>
  <c r="H130" i="64"/>
  <c r="C139" i="64"/>
  <c r="C142" i="64"/>
  <c r="F151" i="64"/>
  <c r="C171" i="64"/>
  <c r="F175" i="64"/>
  <c r="C175" i="64" s="1"/>
  <c r="E195" i="64"/>
  <c r="C197" i="64"/>
  <c r="D195" i="64"/>
  <c r="C200" i="64"/>
  <c r="O205" i="64"/>
  <c r="O204" i="64" s="1"/>
  <c r="O195" i="64" s="1"/>
  <c r="L216" i="64"/>
  <c r="C225" i="64"/>
  <c r="C226" i="64"/>
  <c r="C234" i="64"/>
  <c r="C236" i="64"/>
  <c r="F238" i="64"/>
  <c r="C249" i="64"/>
  <c r="C257" i="64"/>
  <c r="C261" i="64"/>
  <c r="L264" i="64"/>
  <c r="L259" i="64" s="1"/>
  <c r="F270" i="64"/>
  <c r="F269" i="64" s="1"/>
  <c r="C277" i="64"/>
  <c r="C278" i="64"/>
  <c r="O276" i="64"/>
  <c r="O270" i="64" s="1"/>
  <c r="O269" i="64" s="1"/>
  <c r="C281" i="64"/>
  <c r="F293" i="64"/>
  <c r="H75" i="64"/>
  <c r="C90" i="64"/>
  <c r="F95" i="64"/>
  <c r="O95" i="64"/>
  <c r="C106" i="64"/>
  <c r="C108" i="64"/>
  <c r="C114" i="64"/>
  <c r="J83" i="64"/>
  <c r="C124" i="64"/>
  <c r="C125" i="64"/>
  <c r="C126" i="64"/>
  <c r="M130" i="64"/>
  <c r="L131" i="64"/>
  <c r="L130" i="64" s="1"/>
  <c r="C135" i="64"/>
  <c r="G130" i="64"/>
  <c r="C143" i="64"/>
  <c r="O144" i="64"/>
  <c r="C154" i="64"/>
  <c r="C156" i="64"/>
  <c r="C162" i="64"/>
  <c r="C164" i="64"/>
  <c r="O166" i="64"/>
  <c r="O165" i="64" s="1"/>
  <c r="L166" i="64"/>
  <c r="L165" i="64" s="1"/>
  <c r="L179" i="64"/>
  <c r="C199" i="64"/>
  <c r="C206" i="64"/>
  <c r="C207" i="64"/>
  <c r="C232" i="64"/>
  <c r="C241" i="64"/>
  <c r="C248" i="64"/>
  <c r="N230" i="64"/>
  <c r="L252" i="64"/>
  <c r="L251" i="64" s="1"/>
  <c r="C266" i="64"/>
  <c r="O264" i="64"/>
  <c r="O259" i="64" s="1"/>
  <c r="C273" i="64"/>
  <c r="C274" i="64"/>
  <c r="I276" i="64"/>
  <c r="C298" i="64"/>
  <c r="F292" i="64"/>
  <c r="J20" i="64"/>
  <c r="C45" i="64"/>
  <c r="L27" i="64"/>
  <c r="L33" i="64"/>
  <c r="C33" i="64" s="1"/>
  <c r="L31" i="64"/>
  <c r="C31" i="64" s="1"/>
  <c r="C66" i="64"/>
  <c r="C78" i="64"/>
  <c r="E20" i="64"/>
  <c r="M20" i="64"/>
  <c r="C22" i="64"/>
  <c r="C47" i="64"/>
  <c r="O58" i="64"/>
  <c r="O54" i="64" s="1"/>
  <c r="O53" i="64" s="1"/>
  <c r="C70" i="64"/>
  <c r="C71" i="64"/>
  <c r="C72" i="64"/>
  <c r="F69" i="64"/>
  <c r="F67" i="64" s="1"/>
  <c r="C79" i="64"/>
  <c r="I77" i="64"/>
  <c r="C136" i="64"/>
  <c r="F58" i="64"/>
  <c r="I58" i="64"/>
  <c r="I54" i="64" s="1"/>
  <c r="C63" i="64"/>
  <c r="C68" i="64"/>
  <c r="L69" i="64"/>
  <c r="L67" i="64" s="1"/>
  <c r="O83" i="64"/>
  <c r="F55" i="64"/>
  <c r="C56" i="64"/>
  <c r="L80" i="64"/>
  <c r="L76" i="64" s="1"/>
  <c r="F84" i="64"/>
  <c r="I89" i="64"/>
  <c r="F116" i="64"/>
  <c r="C116" i="64" s="1"/>
  <c r="C123" i="64"/>
  <c r="I141" i="64"/>
  <c r="F144" i="64"/>
  <c r="C144" i="64" s="1"/>
  <c r="C167" i="64"/>
  <c r="C176" i="64"/>
  <c r="C184" i="64"/>
  <c r="C284" i="64"/>
  <c r="F89" i="64"/>
  <c r="C96" i="64"/>
  <c r="C104" i="64"/>
  <c r="C132" i="64"/>
  <c r="F141" i="64"/>
  <c r="C152" i="64"/>
  <c r="F165" i="64"/>
  <c r="C177" i="64"/>
  <c r="C178" i="64"/>
  <c r="F196" i="64"/>
  <c r="C198" i="64"/>
  <c r="O231" i="64"/>
  <c r="L204" i="64"/>
  <c r="F231" i="64"/>
  <c r="L89" i="64"/>
  <c r="C192" i="64"/>
  <c r="C242" i="64"/>
  <c r="C250" i="64"/>
  <c r="F251" i="64"/>
  <c r="I252" i="64"/>
  <c r="I251" i="64" s="1"/>
  <c r="F259" i="64"/>
  <c r="I260" i="64"/>
  <c r="I259" i="64" s="1"/>
  <c r="I264" i="64"/>
  <c r="C282" i="64"/>
  <c r="F283" i="64"/>
  <c r="C283" i="64" s="1"/>
  <c r="C286" i="64"/>
  <c r="L293" i="64"/>
  <c r="C294" i="64"/>
  <c r="C180" i="64"/>
  <c r="L235" i="64"/>
  <c r="L231" i="64" s="1"/>
  <c r="L230" i="64" s="1"/>
  <c r="I238" i="64"/>
  <c r="I246" i="64"/>
  <c r="C246" i="64" s="1"/>
  <c r="C256" i="64"/>
  <c r="C268" i="64"/>
  <c r="C272" i="64"/>
  <c r="I235" i="64"/>
  <c r="I291" i="64"/>
  <c r="M194" i="64" l="1"/>
  <c r="I53" i="64"/>
  <c r="C276" i="64"/>
  <c r="N75" i="64"/>
  <c r="N289" i="64" s="1"/>
  <c r="K194" i="64"/>
  <c r="C21" i="64"/>
  <c r="N194" i="64"/>
  <c r="C238" i="64"/>
  <c r="C141" i="64"/>
  <c r="O20" i="64"/>
  <c r="J75" i="64"/>
  <c r="J52" i="64" s="1"/>
  <c r="J51" i="64" s="1"/>
  <c r="E194" i="64"/>
  <c r="C151" i="64"/>
  <c r="C95" i="64"/>
  <c r="C264" i="64"/>
  <c r="C188" i="64"/>
  <c r="L292" i="64"/>
  <c r="L291" i="64" s="1"/>
  <c r="D194" i="64"/>
  <c r="C103" i="64"/>
  <c r="C187" i="64"/>
  <c r="G75" i="64"/>
  <c r="G289" i="64" s="1"/>
  <c r="I130" i="64"/>
  <c r="F174" i="64"/>
  <c r="C174" i="64" s="1"/>
  <c r="H52" i="64"/>
  <c r="H51" i="64" s="1"/>
  <c r="E75" i="64"/>
  <c r="E289" i="64" s="1"/>
  <c r="G52" i="64"/>
  <c r="G51" i="64" s="1"/>
  <c r="G24" i="64" s="1"/>
  <c r="G290" i="64" s="1"/>
  <c r="H50" i="64"/>
  <c r="H290" i="64"/>
  <c r="C165" i="64"/>
  <c r="O130" i="64"/>
  <c r="O75" i="64" s="1"/>
  <c r="O52" i="64" s="1"/>
  <c r="O51" i="64" s="1"/>
  <c r="J194" i="64"/>
  <c r="C166" i="64"/>
  <c r="M75" i="64"/>
  <c r="C293" i="64"/>
  <c r="I83" i="64"/>
  <c r="C179" i="64"/>
  <c r="L174" i="64"/>
  <c r="L173" i="64" s="1"/>
  <c r="D75" i="64"/>
  <c r="C259" i="64"/>
  <c r="L83" i="64"/>
  <c r="O230" i="64"/>
  <c r="O194" i="64" s="1"/>
  <c r="I270" i="64"/>
  <c r="I269" i="64" s="1"/>
  <c r="C269" i="64" s="1"/>
  <c r="K75" i="64"/>
  <c r="C205" i="64"/>
  <c r="F204" i="64"/>
  <c r="F195" i="64" s="1"/>
  <c r="C251" i="64"/>
  <c r="C252" i="64"/>
  <c r="C196" i="64"/>
  <c r="L195" i="64"/>
  <c r="L194" i="64" s="1"/>
  <c r="C67" i="64"/>
  <c r="F130" i="64"/>
  <c r="C69" i="64"/>
  <c r="L53" i="64"/>
  <c r="C27" i="64"/>
  <c r="L26" i="64"/>
  <c r="C292" i="64"/>
  <c r="F291" i="64"/>
  <c r="C291" i="64" s="1"/>
  <c r="C270" i="64"/>
  <c r="C55" i="64"/>
  <c r="F54" i="64"/>
  <c r="C80" i="64"/>
  <c r="I76" i="64"/>
  <c r="C77" i="64"/>
  <c r="C89" i="64"/>
  <c r="F83" i="64"/>
  <c r="C84" i="64"/>
  <c r="I231" i="64"/>
  <c r="I230" i="64" s="1"/>
  <c r="C235" i="64"/>
  <c r="F230" i="64"/>
  <c r="C260" i="64"/>
  <c r="L75" i="64"/>
  <c r="C58" i="64"/>
  <c r="N52" i="64" l="1"/>
  <c r="N51" i="64" s="1"/>
  <c r="J289" i="64"/>
  <c r="F173" i="64"/>
  <c r="C173" i="64" s="1"/>
  <c r="G50" i="64"/>
  <c r="I194" i="64"/>
  <c r="E52" i="64"/>
  <c r="E51" i="64" s="1"/>
  <c r="C130" i="64"/>
  <c r="O50" i="64"/>
  <c r="O290" i="64"/>
  <c r="N50" i="64"/>
  <c r="N290" i="64"/>
  <c r="M289" i="64"/>
  <c r="M52" i="64"/>
  <c r="M51" i="64" s="1"/>
  <c r="D52" i="64"/>
  <c r="D51" i="64" s="1"/>
  <c r="D289" i="64"/>
  <c r="C204" i="64"/>
  <c r="K52" i="64"/>
  <c r="K51" i="64" s="1"/>
  <c r="K289" i="64"/>
  <c r="O289" i="64"/>
  <c r="J50" i="64"/>
  <c r="J290" i="64"/>
  <c r="C230" i="64"/>
  <c r="I24" i="64"/>
  <c r="I20" i="64" s="1"/>
  <c r="G20" i="64"/>
  <c r="C26" i="64"/>
  <c r="L20" i="64"/>
  <c r="C76" i="64"/>
  <c r="I75" i="64"/>
  <c r="I52" i="64" s="1"/>
  <c r="I51" i="64" s="1"/>
  <c r="C231" i="64"/>
  <c r="L52" i="64"/>
  <c r="L51" i="64" s="1"/>
  <c r="L50" i="64" s="1"/>
  <c r="F75" i="64"/>
  <c r="C83" i="64"/>
  <c r="C54" i="64"/>
  <c r="F53" i="64"/>
  <c r="F194" i="64"/>
  <c r="C194" i="64" s="1"/>
  <c r="C195" i="64"/>
  <c r="L289" i="64"/>
  <c r="C75" i="64" l="1"/>
  <c r="E290" i="64"/>
  <c r="E50" i="64"/>
  <c r="D24" i="64"/>
  <c r="D50" i="64"/>
  <c r="K50" i="64"/>
  <c r="K290" i="64"/>
  <c r="M50" i="64"/>
  <c r="M290" i="64"/>
  <c r="F52" i="64"/>
  <c r="C53" i="64"/>
  <c r="I290" i="64"/>
  <c r="I50" i="64"/>
  <c r="L290" i="64"/>
  <c r="I289" i="64"/>
  <c r="F289" i="64"/>
  <c r="D290" i="64" l="1"/>
  <c r="D20" i="64"/>
  <c r="F24" i="64"/>
  <c r="F51" i="64"/>
  <c r="C52" i="64"/>
  <c r="C289" i="64"/>
  <c r="C24" i="64" l="1"/>
  <c r="F20" i="64"/>
  <c r="C20" i="64" s="1"/>
  <c r="F290" i="64"/>
  <c r="C290" i="64" s="1"/>
  <c r="F50" i="64"/>
  <c r="C50" i="64" s="1"/>
  <c r="C51" i="64"/>
  <c r="O301" i="63" l="1"/>
  <c r="L301" i="63"/>
  <c r="I301" i="63"/>
  <c r="F301" i="63"/>
  <c r="O300" i="63"/>
  <c r="L300" i="63"/>
  <c r="I300" i="63"/>
  <c r="F300" i="63"/>
  <c r="O299" i="63"/>
  <c r="L299" i="63"/>
  <c r="I299" i="63"/>
  <c r="F299" i="63"/>
  <c r="C299" i="63" s="1"/>
  <c r="O298" i="63"/>
  <c r="L298" i="63"/>
  <c r="I298" i="63"/>
  <c r="F298" i="63"/>
  <c r="C298" i="63" s="1"/>
  <c r="O297" i="63"/>
  <c r="L297" i="63"/>
  <c r="I297" i="63"/>
  <c r="F297" i="63"/>
  <c r="O296" i="63"/>
  <c r="L296" i="63"/>
  <c r="I296" i="63"/>
  <c r="F296" i="63"/>
  <c r="O295" i="63"/>
  <c r="L295" i="63"/>
  <c r="I295" i="63"/>
  <c r="F295" i="63"/>
  <c r="O294" i="63"/>
  <c r="L294" i="63"/>
  <c r="I294" i="63"/>
  <c r="I293" i="63" s="1"/>
  <c r="F294" i="63"/>
  <c r="N293" i="63"/>
  <c r="M293" i="63"/>
  <c r="K293" i="63"/>
  <c r="J293" i="63"/>
  <c r="H293" i="63"/>
  <c r="G293" i="63"/>
  <c r="E293" i="63"/>
  <c r="D293" i="63"/>
  <c r="O288" i="63"/>
  <c r="L288" i="63"/>
  <c r="I288" i="63"/>
  <c r="F288" i="63"/>
  <c r="O287" i="63"/>
  <c r="L287" i="63"/>
  <c r="L286" i="63" s="1"/>
  <c r="I287" i="63"/>
  <c r="F287" i="63"/>
  <c r="F286" i="63" s="1"/>
  <c r="O286" i="63"/>
  <c r="N286" i="63"/>
  <c r="M286" i="63"/>
  <c r="K286" i="63"/>
  <c r="J286" i="63"/>
  <c r="H286" i="63"/>
  <c r="G286" i="63"/>
  <c r="E286" i="63"/>
  <c r="D286" i="63"/>
  <c r="O285" i="63"/>
  <c r="L285" i="63"/>
  <c r="L284" i="63" s="1"/>
  <c r="L283" i="63" s="1"/>
  <c r="I285" i="63"/>
  <c r="I284" i="63" s="1"/>
  <c r="I283" i="63" s="1"/>
  <c r="F285" i="63"/>
  <c r="O284" i="63"/>
  <c r="O283" i="63" s="1"/>
  <c r="N284" i="63"/>
  <c r="M284" i="63"/>
  <c r="M283" i="63" s="1"/>
  <c r="K284" i="63"/>
  <c r="K283" i="63" s="1"/>
  <c r="J284" i="63"/>
  <c r="J283" i="63" s="1"/>
  <c r="H284" i="63"/>
  <c r="H283" i="63" s="1"/>
  <c r="G284" i="63"/>
  <c r="G283" i="63" s="1"/>
  <c r="E284" i="63"/>
  <c r="E283" i="63" s="1"/>
  <c r="D284" i="63"/>
  <c r="D283" i="63" s="1"/>
  <c r="N283" i="63"/>
  <c r="O282" i="63"/>
  <c r="O281" i="63" s="1"/>
  <c r="L282" i="63"/>
  <c r="I282" i="63"/>
  <c r="I281" i="63" s="1"/>
  <c r="F282" i="63"/>
  <c r="N281" i="63"/>
  <c r="M281" i="63"/>
  <c r="L281" i="63"/>
  <c r="K281" i="63"/>
  <c r="J281" i="63"/>
  <c r="H281" i="63"/>
  <c r="G281" i="63"/>
  <c r="F281" i="63"/>
  <c r="E281" i="63"/>
  <c r="D281" i="63"/>
  <c r="O280" i="63"/>
  <c r="L280" i="63"/>
  <c r="I280" i="63"/>
  <c r="F280" i="63"/>
  <c r="O279" i="63"/>
  <c r="L279" i="63"/>
  <c r="I279" i="63"/>
  <c r="F279" i="63"/>
  <c r="O278" i="63"/>
  <c r="L278" i="63"/>
  <c r="I278" i="63"/>
  <c r="F278" i="63"/>
  <c r="O277" i="63"/>
  <c r="L277" i="63"/>
  <c r="I277" i="63"/>
  <c r="I276" i="63" s="1"/>
  <c r="F277" i="63"/>
  <c r="N276" i="63"/>
  <c r="M276" i="63"/>
  <c r="K276" i="63"/>
  <c r="J276" i="63"/>
  <c r="H276" i="63"/>
  <c r="G276" i="63"/>
  <c r="E276" i="63"/>
  <c r="D276" i="63"/>
  <c r="O275" i="63"/>
  <c r="L275" i="63"/>
  <c r="I275" i="63"/>
  <c r="F275" i="63"/>
  <c r="O274" i="63"/>
  <c r="L274" i="63"/>
  <c r="I274" i="63"/>
  <c r="F274" i="63"/>
  <c r="O273" i="63"/>
  <c r="L273" i="63"/>
  <c r="L272" i="63" s="1"/>
  <c r="I273" i="63"/>
  <c r="I272" i="63" s="1"/>
  <c r="F273" i="63"/>
  <c r="N272" i="63"/>
  <c r="M272" i="63"/>
  <c r="M270" i="63" s="1"/>
  <c r="K272" i="63"/>
  <c r="J272" i="63"/>
  <c r="H272" i="63"/>
  <c r="H270" i="63" s="1"/>
  <c r="G272" i="63"/>
  <c r="E272" i="63"/>
  <c r="E270" i="63" s="1"/>
  <c r="D272" i="63"/>
  <c r="O271" i="63"/>
  <c r="L271" i="63"/>
  <c r="I271" i="63"/>
  <c r="F271" i="63"/>
  <c r="J270" i="63"/>
  <c r="J269" i="63" s="1"/>
  <c r="O268" i="63"/>
  <c r="L268" i="63"/>
  <c r="I268" i="63"/>
  <c r="F268" i="63"/>
  <c r="O267" i="63"/>
  <c r="L267" i="63"/>
  <c r="I267" i="63"/>
  <c r="F267" i="63"/>
  <c r="O266" i="63"/>
  <c r="L266" i="63"/>
  <c r="I266" i="63"/>
  <c r="F266" i="63"/>
  <c r="O265" i="63"/>
  <c r="L265" i="63"/>
  <c r="I265" i="63"/>
  <c r="I264" i="63" s="1"/>
  <c r="F265" i="63"/>
  <c r="N264" i="63"/>
  <c r="M264" i="63"/>
  <c r="K264" i="63"/>
  <c r="J264" i="63"/>
  <c r="H264" i="63"/>
  <c r="G264" i="63"/>
  <c r="E264" i="63"/>
  <c r="D264" i="63"/>
  <c r="O263" i="63"/>
  <c r="L263" i="63"/>
  <c r="I263" i="63"/>
  <c r="F263" i="63"/>
  <c r="O262" i="63"/>
  <c r="L262" i="63"/>
  <c r="I262" i="63"/>
  <c r="F262" i="63"/>
  <c r="O261" i="63"/>
  <c r="L261" i="63"/>
  <c r="I261" i="63"/>
  <c r="F261" i="63"/>
  <c r="N260" i="63"/>
  <c r="M260" i="63"/>
  <c r="K260" i="63"/>
  <c r="K259" i="63" s="1"/>
  <c r="J260" i="63"/>
  <c r="H260" i="63"/>
  <c r="H259" i="63" s="1"/>
  <c r="G260" i="63"/>
  <c r="E260" i="63"/>
  <c r="D260" i="63"/>
  <c r="N259" i="63"/>
  <c r="G259" i="63"/>
  <c r="D259" i="63"/>
  <c r="O258" i="63"/>
  <c r="L258" i="63"/>
  <c r="I258" i="63"/>
  <c r="F258" i="63"/>
  <c r="O257" i="63"/>
  <c r="L257" i="63"/>
  <c r="I257" i="63"/>
  <c r="F257" i="63"/>
  <c r="O256" i="63"/>
  <c r="L256" i="63"/>
  <c r="I256" i="63"/>
  <c r="F256" i="63"/>
  <c r="O255" i="63"/>
  <c r="L255" i="63"/>
  <c r="I255" i="63"/>
  <c r="F255" i="63"/>
  <c r="O254" i="63"/>
  <c r="L254" i="63"/>
  <c r="I254" i="63"/>
  <c r="F254" i="63"/>
  <c r="O253" i="63"/>
  <c r="L253" i="63"/>
  <c r="I253" i="63"/>
  <c r="I252" i="63" s="1"/>
  <c r="I251" i="63" s="1"/>
  <c r="F253" i="63"/>
  <c r="N252" i="63"/>
  <c r="N251" i="63" s="1"/>
  <c r="M252" i="63"/>
  <c r="M251" i="63" s="1"/>
  <c r="K252" i="63"/>
  <c r="K251" i="63" s="1"/>
  <c r="J252" i="63"/>
  <c r="J251" i="63" s="1"/>
  <c r="H252" i="63"/>
  <c r="G252" i="63"/>
  <c r="E252" i="63"/>
  <c r="E251" i="63" s="1"/>
  <c r="D252" i="63"/>
  <c r="D251" i="63" s="1"/>
  <c r="H251" i="63"/>
  <c r="G251" i="63"/>
  <c r="O250" i="63"/>
  <c r="L250" i="63"/>
  <c r="I250" i="63"/>
  <c r="F250" i="63"/>
  <c r="O249" i="63"/>
  <c r="L249" i="63"/>
  <c r="I249" i="63"/>
  <c r="F249" i="63"/>
  <c r="O248" i="63"/>
  <c r="L248" i="63"/>
  <c r="I248" i="63"/>
  <c r="F248" i="63"/>
  <c r="O247" i="63"/>
  <c r="L247" i="63"/>
  <c r="L246" i="63" s="1"/>
  <c r="I247" i="63"/>
  <c r="F247" i="63"/>
  <c r="N246" i="63"/>
  <c r="M246" i="63"/>
  <c r="K246" i="63"/>
  <c r="J246" i="63"/>
  <c r="H246" i="63"/>
  <c r="G246" i="63"/>
  <c r="E246" i="63"/>
  <c r="D246" i="63"/>
  <c r="O245" i="63"/>
  <c r="L245" i="63"/>
  <c r="I245" i="63"/>
  <c r="F245" i="63"/>
  <c r="O244" i="63"/>
  <c r="L244" i="63"/>
  <c r="I244" i="63"/>
  <c r="F244" i="63"/>
  <c r="O243" i="63"/>
  <c r="L243" i="63"/>
  <c r="I243" i="63"/>
  <c r="F243" i="63"/>
  <c r="O242" i="63"/>
  <c r="L242" i="63"/>
  <c r="I242" i="63"/>
  <c r="F242" i="63"/>
  <c r="O241" i="63"/>
  <c r="L241" i="63"/>
  <c r="I241" i="63"/>
  <c r="F241" i="63"/>
  <c r="O240" i="63"/>
  <c r="L240" i="63"/>
  <c r="I240" i="63"/>
  <c r="F240" i="63"/>
  <c r="O239" i="63"/>
  <c r="L239" i="63"/>
  <c r="I239" i="63"/>
  <c r="F239" i="63"/>
  <c r="O238" i="63"/>
  <c r="N238" i="63"/>
  <c r="M238" i="63"/>
  <c r="K238" i="63"/>
  <c r="J238" i="63"/>
  <c r="H238" i="63"/>
  <c r="G238" i="63"/>
  <c r="E238" i="63"/>
  <c r="D238" i="63"/>
  <c r="O237" i="63"/>
  <c r="L237" i="63"/>
  <c r="I237" i="63"/>
  <c r="F237" i="63"/>
  <c r="O236" i="63"/>
  <c r="L236" i="63"/>
  <c r="L235" i="63" s="1"/>
  <c r="I236" i="63"/>
  <c r="F236" i="63"/>
  <c r="O235" i="63"/>
  <c r="N235" i="63"/>
  <c r="M235" i="63"/>
  <c r="K235" i="63"/>
  <c r="J235" i="63"/>
  <c r="H235" i="63"/>
  <c r="G235" i="63"/>
  <c r="E235" i="63"/>
  <c r="D235" i="63"/>
  <c r="O234" i="63"/>
  <c r="O233" i="63" s="1"/>
  <c r="L234" i="63"/>
  <c r="L233" i="63" s="1"/>
  <c r="I234" i="63"/>
  <c r="I233" i="63" s="1"/>
  <c r="F234" i="63"/>
  <c r="N233" i="63"/>
  <c r="M233" i="63"/>
  <c r="K233" i="63"/>
  <c r="J233" i="63"/>
  <c r="H233" i="63"/>
  <c r="G233" i="63"/>
  <c r="F233" i="63"/>
  <c r="E233" i="63"/>
  <c r="D233" i="63"/>
  <c r="O232" i="63"/>
  <c r="L232" i="63"/>
  <c r="I232" i="63"/>
  <c r="F232" i="63"/>
  <c r="O229" i="63"/>
  <c r="L229" i="63"/>
  <c r="I229" i="63"/>
  <c r="F229" i="63"/>
  <c r="O228" i="63"/>
  <c r="O227" i="63" s="1"/>
  <c r="L228" i="63"/>
  <c r="I228" i="63"/>
  <c r="I227" i="63" s="1"/>
  <c r="F228" i="63"/>
  <c r="N227" i="63"/>
  <c r="N204" i="63" s="1"/>
  <c r="M227" i="63"/>
  <c r="L227" i="63"/>
  <c r="K227" i="63"/>
  <c r="J227" i="63"/>
  <c r="H227" i="63"/>
  <c r="G227" i="63"/>
  <c r="F227" i="63"/>
  <c r="E227" i="63"/>
  <c r="D227" i="63"/>
  <c r="O226" i="63"/>
  <c r="L226" i="63"/>
  <c r="I226" i="63"/>
  <c r="C226" i="63" s="1"/>
  <c r="F226" i="63"/>
  <c r="O225" i="63"/>
  <c r="L225" i="63"/>
  <c r="I225" i="63"/>
  <c r="F225" i="63"/>
  <c r="O224" i="63"/>
  <c r="L224" i="63"/>
  <c r="I224" i="63"/>
  <c r="F224" i="63"/>
  <c r="O223" i="63"/>
  <c r="L223" i="63"/>
  <c r="I223" i="63"/>
  <c r="F223" i="63"/>
  <c r="O222" i="63"/>
  <c r="L222" i="63"/>
  <c r="I222" i="63"/>
  <c r="F222" i="63"/>
  <c r="O221" i="63"/>
  <c r="L221" i="63"/>
  <c r="I221" i="63"/>
  <c r="F221" i="63"/>
  <c r="O220" i="63"/>
  <c r="L220" i="63"/>
  <c r="I220" i="63"/>
  <c r="F220" i="63"/>
  <c r="O219" i="63"/>
  <c r="L219" i="63"/>
  <c r="I219" i="63"/>
  <c r="F219" i="63"/>
  <c r="O218" i="63"/>
  <c r="L218" i="63"/>
  <c r="I218" i="63"/>
  <c r="F218" i="63"/>
  <c r="O217" i="63"/>
  <c r="L217" i="63"/>
  <c r="I217" i="63"/>
  <c r="F217" i="63"/>
  <c r="N216" i="63"/>
  <c r="M216" i="63"/>
  <c r="K216" i="63"/>
  <c r="J216" i="63"/>
  <c r="H216" i="63"/>
  <c r="G216" i="63"/>
  <c r="E216" i="63"/>
  <c r="D216" i="63"/>
  <c r="O215" i="63"/>
  <c r="L215" i="63"/>
  <c r="I215" i="63"/>
  <c r="F215" i="63"/>
  <c r="O214" i="63"/>
  <c r="L214" i="63"/>
  <c r="I214" i="63"/>
  <c r="F214" i="63"/>
  <c r="O213" i="63"/>
  <c r="L213" i="63"/>
  <c r="I213" i="63"/>
  <c r="F213" i="63"/>
  <c r="O212" i="63"/>
  <c r="L212" i="63"/>
  <c r="I212" i="63"/>
  <c r="F212" i="63"/>
  <c r="O211" i="63"/>
  <c r="L211" i="63"/>
  <c r="I211" i="63"/>
  <c r="F211" i="63"/>
  <c r="O210" i="63"/>
  <c r="L210" i="63"/>
  <c r="I210" i="63"/>
  <c r="F210" i="63"/>
  <c r="O209" i="63"/>
  <c r="L209" i="63"/>
  <c r="I209" i="63"/>
  <c r="F209" i="63"/>
  <c r="O208" i="63"/>
  <c r="L208" i="63"/>
  <c r="I208" i="63"/>
  <c r="F208" i="63"/>
  <c r="O207" i="63"/>
  <c r="L207" i="63"/>
  <c r="I207" i="63"/>
  <c r="F207" i="63"/>
  <c r="O206" i="63"/>
  <c r="L206" i="63"/>
  <c r="L205" i="63" s="1"/>
  <c r="I206" i="63"/>
  <c r="F206" i="63"/>
  <c r="N205" i="63"/>
  <c r="M205" i="63"/>
  <c r="M204" i="63" s="1"/>
  <c r="K205" i="63"/>
  <c r="J205" i="63"/>
  <c r="H205" i="63"/>
  <c r="H204" i="63" s="1"/>
  <c r="G205" i="63"/>
  <c r="E205" i="63"/>
  <c r="D205" i="63"/>
  <c r="O203" i="63"/>
  <c r="L203" i="63"/>
  <c r="I203" i="63"/>
  <c r="F203" i="63"/>
  <c r="O202" i="63"/>
  <c r="L202" i="63"/>
  <c r="I202" i="63"/>
  <c r="F202" i="63"/>
  <c r="O201" i="63"/>
  <c r="L201" i="63"/>
  <c r="I201" i="63"/>
  <c r="F201" i="63"/>
  <c r="O200" i="63"/>
  <c r="L200" i="63"/>
  <c r="I200" i="63"/>
  <c r="F200" i="63"/>
  <c r="O199" i="63"/>
  <c r="L199" i="63"/>
  <c r="L198" i="63" s="1"/>
  <c r="I199" i="63"/>
  <c r="F199" i="63"/>
  <c r="F198" i="63" s="1"/>
  <c r="O198" i="63"/>
  <c r="N198" i="63"/>
  <c r="M198" i="63"/>
  <c r="K198" i="63"/>
  <c r="K196" i="63" s="1"/>
  <c r="J198" i="63"/>
  <c r="J196" i="63" s="1"/>
  <c r="H198" i="63"/>
  <c r="H196" i="63" s="1"/>
  <c r="G198" i="63"/>
  <c r="G196" i="63" s="1"/>
  <c r="E198" i="63"/>
  <c r="E196" i="63" s="1"/>
  <c r="D198" i="63"/>
  <c r="D196" i="63" s="1"/>
  <c r="O197" i="63"/>
  <c r="L197" i="63"/>
  <c r="I197" i="63"/>
  <c r="F197" i="63"/>
  <c r="N196" i="63"/>
  <c r="M196" i="63"/>
  <c r="O193" i="63"/>
  <c r="L193" i="63"/>
  <c r="L192" i="63" s="1"/>
  <c r="L191" i="63" s="1"/>
  <c r="I193" i="63"/>
  <c r="I192" i="63" s="1"/>
  <c r="I191" i="63" s="1"/>
  <c r="F193" i="63"/>
  <c r="O192" i="63"/>
  <c r="O191" i="63" s="1"/>
  <c r="N192" i="63"/>
  <c r="N191" i="63" s="1"/>
  <c r="M192" i="63"/>
  <c r="M191" i="63" s="1"/>
  <c r="K192" i="63"/>
  <c r="K191" i="63" s="1"/>
  <c r="J192" i="63"/>
  <c r="J191" i="63" s="1"/>
  <c r="H192" i="63"/>
  <c r="G192" i="63"/>
  <c r="E192" i="63"/>
  <c r="E191" i="63" s="1"/>
  <c r="D192" i="63"/>
  <c r="D191" i="63" s="1"/>
  <c r="H191" i="63"/>
  <c r="G191" i="63"/>
  <c r="O190" i="63"/>
  <c r="L190" i="63"/>
  <c r="I190" i="63"/>
  <c r="F190" i="63"/>
  <c r="O189" i="63"/>
  <c r="L189" i="63"/>
  <c r="L188" i="63" s="1"/>
  <c r="I189" i="63"/>
  <c r="I188" i="63" s="1"/>
  <c r="F189" i="63"/>
  <c r="O188" i="63"/>
  <c r="O187" i="63" s="1"/>
  <c r="N188" i="63"/>
  <c r="M188" i="63"/>
  <c r="K188" i="63"/>
  <c r="K187" i="63" s="1"/>
  <c r="J188" i="63"/>
  <c r="H188" i="63"/>
  <c r="G188" i="63"/>
  <c r="F188" i="63"/>
  <c r="E188" i="63"/>
  <c r="E187" i="63" s="1"/>
  <c r="D188" i="63"/>
  <c r="O186" i="63"/>
  <c r="L186" i="63"/>
  <c r="I186" i="63"/>
  <c r="F186" i="63"/>
  <c r="O185" i="63"/>
  <c r="O184" i="63" s="1"/>
  <c r="L185" i="63"/>
  <c r="L184" i="63" s="1"/>
  <c r="I185" i="63"/>
  <c r="I184" i="63" s="1"/>
  <c r="F185" i="63"/>
  <c r="F184" i="63" s="1"/>
  <c r="N184" i="63"/>
  <c r="M184" i="63"/>
  <c r="K184" i="63"/>
  <c r="J184" i="63"/>
  <c r="H184" i="63"/>
  <c r="G184" i="63"/>
  <c r="E184" i="63"/>
  <c r="D184" i="63"/>
  <c r="O183" i="63"/>
  <c r="L183" i="63"/>
  <c r="I183" i="63"/>
  <c r="F183" i="63"/>
  <c r="O182" i="63"/>
  <c r="L182" i="63"/>
  <c r="I182" i="63"/>
  <c r="F182" i="63"/>
  <c r="O181" i="63"/>
  <c r="L181" i="63"/>
  <c r="I181" i="63"/>
  <c r="F181" i="63"/>
  <c r="O180" i="63"/>
  <c r="L180" i="63"/>
  <c r="I180" i="63"/>
  <c r="F180" i="63"/>
  <c r="N179" i="63"/>
  <c r="M179" i="63"/>
  <c r="K179" i="63"/>
  <c r="J179" i="63"/>
  <c r="J174" i="63" s="1"/>
  <c r="J173" i="63" s="1"/>
  <c r="H179" i="63"/>
  <c r="G179" i="63"/>
  <c r="E179" i="63"/>
  <c r="D179" i="63"/>
  <c r="O178" i="63"/>
  <c r="L178" i="63"/>
  <c r="I178" i="63"/>
  <c r="F178" i="63"/>
  <c r="C178" i="63" s="1"/>
  <c r="O177" i="63"/>
  <c r="L177" i="63"/>
  <c r="I177" i="63"/>
  <c r="F177" i="63"/>
  <c r="C177" i="63" s="1"/>
  <c r="O176" i="63"/>
  <c r="O175" i="63" s="1"/>
  <c r="L176" i="63"/>
  <c r="I176" i="63"/>
  <c r="F176" i="63"/>
  <c r="C176" i="63" s="1"/>
  <c r="N175" i="63"/>
  <c r="M175" i="63"/>
  <c r="L175" i="63"/>
  <c r="K175" i="63"/>
  <c r="K174" i="63" s="1"/>
  <c r="K173" i="63" s="1"/>
  <c r="J175" i="63"/>
  <c r="H175" i="63"/>
  <c r="G175" i="63"/>
  <c r="G174" i="63" s="1"/>
  <c r="G173" i="63" s="1"/>
  <c r="E175" i="63"/>
  <c r="E174" i="63" s="1"/>
  <c r="E173" i="63" s="1"/>
  <c r="D175" i="63"/>
  <c r="N174" i="63"/>
  <c r="M174" i="63"/>
  <c r="M173" i="63" s="1"/>
  <c r="N173" i="63"/>
  <c r="O172" i="63"/>
  <c r="L172" i="63"/>
  <c r="I172" i="63"/>
  <c r="F172" i="63"/>
  <c r="C172" i="63" s="1"/>
  <c r="O171" i="63"/>
  <c r="L171" i="63"/>
  <c r="I171" i="63"/>
  <c r="F171" i="63"/>
  <c r="O170" i="63"/>
  <c r="L170" i="63"/>
  <c r="I170" i="63"/>
  <c r="F170" i="63"/>
  <c r="O169" i="63"/>
  <c r="L169" i="63"/>
  <c r="I169" i="63"/>
  <c r="F169" i="63"/>
  <c r="O168" i="63"/>
  <c r="L168" i="63"/>
  <c r="I168" i="63"/>
  <c r="F168" i="63"/>
  <c r="C168" i="63" s="1"/>
  <c r="O167" i="63"/>
  <c r="L167" i="63"/>
  <c r="I167" i="63"/>
  <c r="F167" i="63"/>
  <c r="N166" i="63"/>
  <c r="M166" i="63"/>
  <c r="M165" i="63" s="1"/>
  <c r="K166" i="63"/>
  <c r="K165" i="63" s="1"/>
  <c r="J166" i="63"/>
  <c r="J165" i="63" s="1"/>
  <c r="H166" i="63"/>
  <c r="H165" i="63" s="1"/>
  <c r="G166" i="63"/>
  <c r="G165" i="63" s="1"/>
  <c r="E166" i="63"/>
  <c r="E165" i="63" s="1"/>
  <c r="D166" i="63"/>
  <c r="D165" i="63" s="1"/>
  <c r="N165" i="63"/>
  <c r="O164" i="63"/>
  <c r="L164" i="63"/>
  <c r="I164" i="63"/>
  <c r="F164" i="63"/>
  <c r="O163" i="63"/>
  <c r="L163" i="63"/>
  <c r="I163" i="63"/>
  <c r="F163" i="63"/>
  <c r="O162" i="63"/>
  <c r="L162" i="63"/>
  <c r="I162" i="63"/>
  <c r="F162" i="63"/>
  <c r="O161" i="63"/>
  <c r="O160" i="63" s="1"/>
  <c r="L161" i="63"/>
  <c r="L160" i="63" s="1"/>
  <c r="I161" i="63"/>
  <c r="I160" i="63" s="1"/>
  <c r="F161" i="63"/>
  <c r="F160" i="63" s="1"/>
  <c r="N160" i="63"/>
  <c r="M160" i="63"/>
  <c r="K160" i="63"/>
  <c r="J160" i="63"/>
  <c r="H160" i="63"/>
  <c r="G160" i="63"/>
  <c r="E160" i="63"/>
  <c r="D160" i="63"/>
  <c r="O159" i="63"/>
  <c r="L159" i="63"/>
  <c r="I159" i="63"/>
  <c r="F159" i="63"/>
  <c r="O158" i="63"/>
  <c r="L158" i="63"/>
  <c r="I158" i="63"/>
  <c r="F158" i="63"/>
  <c r="O157" i="63"/>
  <c r="L157" i="63"/>
  <c r="I157" i="63"/>
  <c r="F157" i="63"/>
  <c r="O156" i="63"/>
  <c r="L156" i="63"/>
  <c r="I156" i="63"/>
  <c r="F156" i="63"/>
  <c r="O155" i="63"/>
  <c r="L155" i="63"/>
  <c r="I155" i="63"/>
  <c r="F155" i="63"/>
  <c r="O154" i="63"/>
  <c r="L154" i="63"/>
  <c r="I154" i="63"/>
  <c r="F154" i="63"/>
  <c r="O153" i="63"/>
  <c r="L153" i="63"/>
  <c r="I153" i="63"/>
  <c r="F153" i="63"/>
  <c r="O152" i="63"/>
  <c r="O151" i="63" s="1"/>
  <c r="L152" i="63"/>
  <c r="I152" i="63"/>
  <c r="F152" i="63"/>
  <c r="N151" i="63"/>
  <c r="M151" i="63"/>
  <c r="K151" i="63"/>
  <c r="J151" i="63"/>
  <c r="H151" i="63"/>
  <c r="G151" i="63"/>
  <c r="E151" i="63"/>
  <c r="D151" i="63"/>
  <c r="O150" i="63"/>
  <c r="L150" i="63"/>
  <c r="I150" i="63"/>
  <c r="F150" i="63"/>
  <c r="O149" i="63"/>
  <c r="L149" i="63"/>
  <c r="I149" i="63"/>
  <c r="F149" i="63"/>
  <c r="O148" i="63"/>
  <c r="L148" i="63"/>
  <c r="I148" i="63"/>
  <c r="F148" i="63"/>
  <c r="O147" i="63"/>
  <c r="L147" i="63"/>
  <c r="I147" i="63"/>
  <c r="F147" i="63"/>
  <c r="O146" i="63"/>
  <c r="L146" i="63"/>
  <c r="I146" i="63"/>
  <c r="F146" i="63"/>
  <c r="O145" i="63"/>
  <c r="L145" i="63"/>
  <c r="L144" i="63" s="1"/>
  <c r="I145" i="63"/>
  <c r="F145" i="63"/>
  <c r="N144" i="63"/>
  <c r="M144" i="63"/>
  <c r="K144" i="63"/>
  <c r="J144" i="63"/>
  <c r="H144" i="63"/>
  <c r="G144" i="63"/>
  <c r="E144" i="63"/>
  <c r="D144" i="63"/>
  <c r="O143" i="63"/>
  <c r="L143" i="63"/>
  <c r="I143" i="63"/>
  <c r="F143" i="63"/>
  <c r="O142" i="63"/>
  <c r="L142" i="63"/>
  <c r="I142" i="63"/>
  <c r="I141" i="63" s="1"/>
  <c r="F142" i="63"/>
  <c r="N141" i="63"/>
  <c r="M141" i="63"/>
  <c r="M130" i="63" s="1"/>
  <c r="L141" i="63"/>
  <c r="K141" i="63"/>
  <c r="J141" i="63"/>
  <c r="H141" i="63"/>
  <c r="G141" i="63"/>
  <c r="F141" i="63"/>
  <c r="E141" i="63"/>
  <c r="D141" i="63"/>
  <c r="O140" i="63"/>
  <c r="L140" i="63"/>
  <c r="I140" i="63"/>
  <c r="F140" i="63"/>
  <c r="O139" i="63"/>
  <c r="L139" i="63"/>
  <c r="I139" i="63"/>
  <c r="F139" i="63"/>
  <c r="O138" i="63"/>
  <c r="L138" i="63"/>
  <c r="I138" i="63"/>
  <c r="F138" i="63"/>
  <c r="O137" i="63"/>
  <c r="L137" i="63"/>
  <c r="L136" i="63" s="1"/>
  <c r="I137" i="63"/>
  <c r="I136" i="63" s="1"/>
  <c r="F137" i="63"/>
  <c r="O136" i="63"/>
  <c r="N136" i="63"/>
  <c r="M136" i="63"/>
  <c r="K136" i="63"/>
  <c r="J136" i="63"/>
  <c r="H136" i="63"/>
  <c r="G136" i="63"/>
  <c r="E136" i="63"/>
  <c r="D136" i="63"/>
  <c r="O135" i="63"/>
  <c r="L135" i="63"/>
  <c r="I135" i="63"/>
  <c r="F135" i="63"/>
  <c r="O134" i="63"/>
  <c r="L134" i="63"/>
  <c r="I134" i="63"/>
  <c r="F134" i="63"/>
  <c r="O133" i="63"/>
  <c r="L133" i="63"/>
  <c r="I133" i="63"/>
  <c r="F133" i="63"/>
  <c r="O132" i="63"/>
  <c r="O131" i="63" s="1"/>
  <c r="L132" i="63"/>
  <c r="I132" i="63"/>
  <c r="F132" i="63"/>
  <c r="N131" i="63"/>
  <c r="M131" i="63"/>
  <c r="L131" i="63"/>
  <c r="K131" i="63"/>
  <c r="J131" i="63"/>
  <c r="H131" i="63"/>
  <c r="G131" i="63"/>
  <c r="E131" i="63"/>
  <c r="E130" i="63" s="1"/>
  <c r="D131" i="63"/>
  <c r="O129" i="63"/>
  <c r="L129" i="63"/>
  <c r="L128" i="63" s="1"/>
  <c r="I129" i="63"/>
  <c r="F129" i="63"/>
  <c r="F128" i="63" s="1"/>
  <c r="O128" i="63"/>
  <c r="N128" i="63"/>
  <c r="M128" i="63"/>
  <c r="K128" i="63"/>
  <c r="J128" i="63"/>
  <c r="I128" i="63"/>
  <c r="H128" i="63"/>
  <c r="G128" i="63"/>
  <c r="E128" i="63"/>
  <c r="D128" i="63"/>
  <c r="O127" i="63"/>
  <c r="L127" i="63"/>
  <c r="I127" i="63"/>
  <c r="F127" i="63"/>
  <c r="O126" i="63"/>
  <c r="L126" i="63"/>
  <c r="I126" i="63"/>
  <c r="F126" i="63"/>
  <c r="O125" i="63"/>
  <c r="L125" i="63"/>
  <c r="I125" i="63"/>
  <c r="F125" i="63"/>
  <c r="O124" i="63"/>
  <c r="L124" i="63"/>
  <c r="I124" i="63"/>
  <c r="F124" i="63"/>
  <c r="C124" i="63" s="1"/>
  <c r="O123" i="63"/>
  <c r="L123" i="63"/>
  <c r="I123" i="63"/>
  <c r="I122" i="63" s="1"/>
  <c r="F123" i="63"/>
  <c r="N122" i="63"/>
  <c r="M122" i="63"/>
  <c r="K122" i="63"/>
  <c r="J122" i="63"/>
  <c r="H122" i="63"/>
  <c r="G122" i="63"/>
  <c r="E122" i="63"/>
  <c r="D122" i="63"/>
  <c r="O121" i="63"/>
  <c r="L121" i="63"/>
  <c r="I121" i="63"/>
  <c r="F121" i="63"/>
  <c r="O120" i="63"/>
  <c r="L120" i="63"/>
  <c r="I120" i="63"/>
  <c r="F120" i="63"/>
  <c r="O119" i="63"/>
  <c r="L119" i="63"/>
  <c r="I119" i="63"/>
  <c r="F119" i="63"/>
  <c r="O118" i="63"/>
  <c r="L118" i="63"/>
  <c r="I118" i="63"/>
  <c r="F118" i="63"/>
  <c r="O117" i="63"/>
  <c r="L117" i="63"/>
  <c r="I117" i="63"/>
  <c r="F117" i="63"/>
  <c r="N116" i="63"/>
  <c r="M116" i="63"/>
  <c r="K116" i="63"/>
  <c r="J116" i="63"/>
  <c r="H116" i="63"/>
  <c r="G116" i="63"/>
  <c r="E116" i="63"/>
  <c r="D116" i="63"/>
  <c r="O115" i="63"/>
  <c r="L115" i="63"/>
  <c r="I115" i="63"/>
  <c r="F115" i="63"/>
  <c r="O114" i="63"/>
  <c r="L114" i="63"/>
  <c r="I114" i="63"/>
  <c r="F114" i="63"/>
  <c r="O113" i="63"/>
  <c r="L113" i="63"/>
  <c r="L112" i="63" s="1"/>
  <c r="I113" i="63"/>
  <c r="F113" i="63"/>
  <c r="O112" i="63"/>
  <c r="N112" i="63"/>
  <c r="M112" i="63"/>
  <c r="K112" i="63"/>
  <c r="J112" i="63"/>
  <c r="H112" i="63"/>
  <c r="G112" i="63"/>
  <c r="E112" i="63"/>
  <c r="D112" i="63"/>
  <c r="O111" i="63"/>
  <c r="L111" i="63"/>
  <c r="I111" i="63"/>
  <c r="F111" i="63"/>
  <c r="O110" i="63"/>
  <c r="L110" i="63"/>
  <c r="I110" i="63"/>
  <c r="F110" i="63"/>
  <c r="O109" i="63"/>
  <c r="L109" i="63"/>
  <c r="I109" i="63"/>
  <c r="F109" i="63"/>
  <c r="O108" i="63"/>
  <c r="L108" i="63"/>
  <c r="I108" i="63"/>
  <c r="F108" i="63"/>
  <c r="O107" i="63"/>
  <c r="L107" i="63"/>
  <c r="I107" i="63"/>
  <c r="F107" i="63"/>
  <c r="O106" i="63"/>
  <c r="L106" i="63"/>
  <c r="I106" i="63"/>
  <c r="F106" i="63"/>
  <c r="O105" i="63"/>
  <c r="L105" i="63"/>
  <c r="I105" i="63"/>
  <c r="F105" i="63"/>
  <c r="O104" i="63"/>
  <c r="L104" i="63"/>
  <c r="I104" i="63"/>
  <c r="F104" i="63"/>
  <c r="N103" i="63"/>
  <c r="M103" i="63"/>
  <c r="K103" i="63"/>
  <c r="J103" i="63"/>
  <c r="H103" i="63"/>
  <c r="G103" i="63"/>
  <c r="E103" i="63"/>
  <c r="D103" i="63"/>
  <c r="O102" i="63"/>
  <c r="L102" i="63"/>
  <c r="I102" i="63"/>
  <c r="F102" i="63"/>
  <c r="O101" i="63"/>
  <c r="L101" i="63"/>
  <c r="I101" i="63"/>
  <c r="F101" i="63"/>
  <c r="O100" i="63"/>
  <c r="L100" i="63"/>
  <c r="I100" i="63"/>
  <c r="F100" i="63"/>
  <c r="O99" i="63"/>
  <c r="L99" i="63"/>
  <c r="I99" i="63"/>
  <c r="F99" i="63"/>
  <c r="O98" i="63"/>
  <c r="L98" i="63"/>
  <c r="I98" i="63"/>
  <c r="F98" i="63"/>
  <c r="O97" i="63"/>
  <c r="L97" i="63"/>
  <c r="I97" i="63"/>
  <c r="F97" i="63"/>
  <c r="O96" i="63"/>
  <c r="O95" i="63" s="1"/>
  <c r="L96" i="63"/>
  <c r="I96" i="63"/>
  <c r="C96" i="63" s="1"/>
  <c r="F96" i="63"/>
  <c r="N95" i="63"/>
  <c r="M95" i="63"/>
  <c r="K95" i="63"/>
  <c r="J95" i="63"/>
  <c r="H95" i="63"/>
  <c r="G95" i="63"/>
  <c r="E95" i="63"/>
  <c r="D95" i="63"/>
  <c r="O94" i="63"/>
  <c r="L94" i="63"/>
  <c r="I94" i="63"/>
  <c r="F94" i="63"/>
  <c r="O93" i="63"/>
  <c r="L93" i="63"/>
  <c r="I93" i="63"/>
  <c r="F93" i="63"/>
  <c r="O92" i="63"/>
  <c r="L92" i="63"/>
  <c r="I92" i="63"/>
  <c r="F92" i="63"/>
  <c r="O91" i="63"/>
  <c r="L91" i="63"/>
  <c r="I91" i="63"/>
  <c r="F91" i="63"/>
  <c r="O90" i="63"/>
  <c r="L90" i="63"/>
  <c r="I90" i="63"/>
  <c r="F90" i="63"/>
  <c r="N89" i="63"/>
  <c r="M89" i="63"/>
  <c r="K89" i="63"/>
  <c r="J89" i="63"/>
  <c r="H89" i="63"/>
  <c r="G89" i="63"/>
  <c r="E89" i="63"/>
  <c r="D89" i="63"/>
  <c r="O88" i="63"/>
  <c r="L88" i="63"/>
  <c r="I88" i="63"/>
  <c r="F88" i="63"/>
  <c r="O87" i="63"/>
  <c r="L87" i="63"/>
  <c r="I87" i="63"/>
  <c r="F87" i="63"/>
  <c r="O86" i="63"/>
  <c r="L86" i="63"/>
  <c r="I86" i="63"/>
  <c r="F86" i="63"/>
  <c r="O85" i="63"/>
  <c r="L85" i="63"/>
  <c r="L84" i="63" s="1"/>
  <c r="I85" i="63"/>
  <c r="F85" i="63"/>
  <c r="N84" i="63"/>
  <c r="M84" i="63"/>
  <c r="K84" i="63"/>
  <c r="J84" i="63"/>
  <c r="H84" i="63"/>
  <c r="G84" i="63"/>
  <c r="E84" i="63"/>
  <c r="D84" i="63"/>
  <c r="O82" i="63"/>
  <c r="L82" i="63"/>
  <c r="I82" i="63"/>
  <c r="F82" i="63"/>
  <c r="O81" i="63"/>
  <c r="O80" i="63" s="1"/>
  <c r="L81" i="63"/>
  <c r="L80" i="63" s="1"/>
  <c r="I81" i="63"/>
  <c r="I80" i="63" s="1"/>
  <c r="F81" i="63"/>
  <c r="F80" i="63" s="1"/>
  <c r="N80" i="63"/>
  <c r="M80" i="63"/>
  <c r="K80" i="63"/>
  <c r="J80" i="63"/>
  <c r="H80" i="63"/>
  <c r="G80" i="63"/>
  <c r="E80" i="63"/>
  <c r="D80" i="63"/>
  <c r="O79" i="63"/>
  <c r="L79" i="63"/>
  <c r="I79" i="63"/>
  <c r="F79" i="63"/>
  <c r="O78" i="63"/>
  <c r="L78" i="63"/>
  <c r="L77" i="63" s="1"/>
  <c r="I78" i="63"/>
  <c r="I77" i="63" s="1"/>
  <c r="F78" i="63"/>
  <c r="N77" i="63"/>
  <c r="M77" i="63"/>
  <c r="K77" i="63"/>
  <c r="J77" i="63"/>
  <c r="J76" i="63" s="1"/>
  <c r="H77" i="63"/>
  <c r="G77" i="63"/>
  <c r="E77" i="63"/>
  <c r="E76" i="63" s="1"/>
  <c r="D77" i="63"/>
  <c r="N76" i="63"/>
  <c r="O74" i="63"/>
  <c r="L74" i="63"/>
  <c r="I74" i="63"/>
  <c r="F74" i="63"/>
  <c r="O73" i="63"/>
  <c r="L73" i="63"/>
  <c r="I73" i="63"/>
  <c r="F73" i="63"/>
  <c r="O72" i="63"/>
  <c r="L72" i="63"/>
  <c r="I72" i="63"/>
  <c r="F72" i="63"/>
  <c r="O71" i="63"/>
  <c r="L71" i="63"/>
  <c r="I71" i="63"/>
  <c r="F71" i="63"/>
  <c r="O70" i="63"/>
  <c r="L70" i="63"/>
  <c r="I70" i="63"/>
  <c r="I69" i="63" s="1"/>
  <c r="F70" i="63"/>
  <c r="N69" i="63"/>
  <c r="N67" i="63" s="1"/>
  <c r="M69" i="63"/>
  <c r="M67" i="63" s="1"/>
  <c r="K69" i="63"/>
  <c r="K67" i="63" s="1"/>
  <c r="J69" i="63"/>
  <c r="J67" i="63" s="1"/>
  <c r="H69" i="63"/>
  <c r="H67" i="63" s="1"/>
  <c r="G69" i="63"/>
  <c r="G67" i="63" s="1"/>
  <c r="E69" i="63"/>
  <c r="E67" i="63" s="1"/>
  <c r="D69" i="63"/>
  <c r="O68" i="63"/>
  <c r="L68" i="63"/>
  <c r="I68" i="63"/>
  <c r="F68" i="63"/>
  <c r="D67" i="63"/>
  <c r="O66" i="63"/>
  <c r="L66" i="63"/>
  <c r="I66" i="63"/>
  <c r="F66" i="63"/>
  <c r="O65" i="63"/>
  <c r="L65" i="63"/>
  <c r="I65" i="63"/>
  <c r="F65" i="63"/>
  <c r="O64" i="63"/>
  <c r="L64" i="63"/>
  <c r="I64" i="63"/>
  <c r="F64" i="63"/>
  <c r="O63" i="63"/>
  <c r="L63" i="63"/>
  <c r="I63" i="63"/>
  <c r="F63" i="63"/>
  <c r="O62" i="63"/>
  <c r="L62" i="63"/>
  <c r="I62" i="63"/>
  <c r="F62" i="63"/>
  <c r="O61" i="63"/>
  <c r="L61" i="63"/>
  <c r="I61" i="63"/>
  <c r="F61" i="63"/>
  <c r="O60" i="63"/>
  <c r="L60" i="63"/>
  <c r="I60" i="63"/>
  <c r="F60" i="63"/>
  <c r="O59" i="63"/>
  <c r="O58" i="63" s="1"/>
  <c r="L59" i="63"/>
  <c r="I59" i="63"/>
  <c r="F59" i="63"/>
  <c r="N58" i="63"/>
  <c r="N54" i="63" s="1"/>
  <c r="M58" i="63"/>
  <c r="L58" i="63"/>
  <c r="K58" i="63"/>
  <c r="J58" i="63"/>
  <c r="H58" i="63"/>
  <c r="G58" i="63"/>
  <c r="E58" i="63"/>
  <c r="D58" i="63"/>
  <c r="O57" i="63"/>
  <c r="L57" i="63"/>
  <c r="I57" i="63"/>
  <c r="F57" i="63"/>
  <c r="O56" i="63"/>
  <c r="L56" i="63"/>
  <c r="I56" i="63"/>
  <c r="F56" i="63"/>
  <c r="F55" i="63" s="1"/>
  <c r="O55" i="63"/>
  <c r="N55" i="63"/>
  <c r="M55" i="63"/>
  <c r="K55" i="63"/>
  <c r="J55" i="63"/>
  <c r="H55" i="63"/>
  <c r="G55" i="63"/>
  <c r="G54" i="63" s="1"/>
  <c r="E55" i="63"/>
  <c r="D55" i="63"/>
  <c r="H54" i="63"/>
  <c r="O47" i="63"/>
  <c r="C47" i="63" s="1"/>
  <c r="O46" i="63"/>
  <c r="C46" i="63" s="1"/>
  <c r="N45" i="63"/>
  <c r="M45" i="63"/>
  <c r="L44" i="63"/>
  <c r="L43" i="63" s="1"/>
  <c r="I44" i="63"/>
  <c r="I43" i="63" s="1"/>
  <c r="F44" i="63"/>
  <c r="K43" i="63"/>
  <c r="J43" i="63"/>
  <c r="H43" i="63"/>
  <c r="G43" i="63"/>
  <c r="F43" i="63"/>
  <c r="E43" i="63"/>
  <c r="D43" i="63"/>
  <c r="F42" i="63"/>
  <c r="C42" i="63" s="1"/>
  <c r="E41" i="63"/>
  <c r="D41" i="63"/>
  <c r="L40" i="63"/>
  <c r="C40" i="63" s="1"/>
  <c r="L39" i="63"/>
  <c r="C39" i="63" s="1"/>
  <c r="L38" i="63"/>
  <c r="C38" i="63" s="1"/>
  <c r="L37" i="63"/>
  <c r="C37" i="63" s="1"/>
  <c r="K36" i="63"/>
  <c r="J36" i="63"/>
  <c r="L35" i="63"/>
  <c r="C35" i="63" s="1"/>
  <c r="L34" i="63"/>
  <c r="C34" i="63" s="1"/>
  <c r="K33" i="63"/>
  <c r="J33" i="63"/>
  <c r="L32" i="63"/>
  <c r="C32" i="63" s="1"/>
  <c r="K31" i="63"/>
  <c r="J31" i="63"/>
  <c r="L30" i="63"/>
  <c r="C30" i="63" s="1"/>
  <c r="L29" i="63"/>
  <c r="C29" i="63" s="1"/>
  <c r="L28" i="63"/>
  <c r="C28" i="63" s="1"/>
  <c r="K27" i="63"/>
  <c r="K26" i="63" s="1"/>
  <c r="J27" i="63"/>
  <c r="F25" i="63"/>
  <c r="C25" i="63" s="1"/>
  <c r="I24" i="63"/>
  <c r="F24" i="63"/>
  <c r="O23" i="63"/>
  <c r="L23" i="63"/>
  <c r="I23" i="63"/>
  <c r="F23" i="63"/>
  <c r="O22" i="63"/>
  <c r="O21" i="63" s="1"/>
  <c r="L22" i="63"/>
  <c r="L21" i="63" s="1"/>
  <c r="L292" i="63" s="1"/>
  <c r="I22" i="63"/>
  <c r="F22" i="63"/>
  <c r="F21" i="63" s="1"/>
  <c r="N21" i="63"/>
  <c r="N292" i="63" s="1"/>
  <c r="N291" i="63" s="1"/>
  <c r="M21" i="63"/>
  <c r="K21" i="63"/>
  <c r="J21" i="63"/>
  <c r="J292" i="63" s="1"/>
  <c r="I21" i="63"/>
  <c r="H21" i="63"/>
  <c r="H292" i="63" s="1"/>
  <c r="G21" i="63"/>
  <c r="E21" i="63"/>
  <c r="D21" i="63"/>
  <c r="D292" i="63" s="1"/>
  <c r="D291" i="63" s="1"/>
  <c r="I67" i="63" l="1"/>
  <c r="O77" i="63"/>
  <c r="O76" i="63" s="1"/>
  <c r="J26" i="63"/>
  <c r="G53" i="63"/>
  <c r="E54" i="63"/>
  <c r="C63" i="63"/>
  <c r="C66" i="63"/>
  <c r="H187" i="63"/>
  <c r="D187" i="63"/>
  <c r="C202" i="63"/>
  <c r="E204" i="63"/>
  <c r="N195" i="63"/>
  <c r="N194" i="63" s="1"/>
  <c r="K292" i="63"/>
  <c r="K291" i="63" s="1"/>
  <c r="C22" i="63"/>
  <c r="C92" i="63"/>
  <c r="G204" i="63"/>
  <c r="G195" i="63" s="1"/>
  <c r="K204" i="63"/>
  <c r="M231" i="63"/>
  <c r="C242" i="63"/>
  <c r="M292" i="63"/>
  <c r="M291" i="63" s="1"/>
  <c r="D54" i="63"/>
  <c r="J54" i="63"/>
  <c r="O54" i="63"/>
  <c r="G76" i="63"/>
  <c r="K83" i="63"/>
  <c r="O122" i="63"/>
  <c r="C142" i="63"/>
  <c r="C143" i="63"/>
  <c r="C146" i="63"/>
  <c r="E231" i="63"/>
  <c r="N231" i="63"/>
  <c r="N230" i="63" s="1"/>
  <c r="E269" i="63"/>
  <c r="K270" i="63"/>
  <c r="C274" i="63"/>
  <c r="D270" i="63"/>
  <c r="N270" i="63"/>
  <c r="N269" i="63" s="1"/>
  <c r="C218" i="63"/>
  <c r="O264" i="63"/>
  <c r="G270" i="63"/>
  <c r="G269" i="63" s="1"/>
  <c r="L187" i="63"/>
  <c r="I270" i="63"/>
  <c r="C278" i="63"/>
  <c r="C296" i="63"/>
  <c r="H195" i="63"/>
  <c r="J291" i="63"/>
  <c r="C59" i="63"/>
  <c r="C71" i="63"/>
  <c r="E83" i="63"/>
  <c r="E75" i="63" s="1"/>
  <c r="E52" i="63" s="1"/>
  <c r="C100" i="63"/>
  <c r="C108" i="63"/>
  <c r="C111" i="63"/>
  <c r="N83" i="63"/>
  <c r="C132" i="63"/>
  <c r="C156" i="63"/>
  <c r="C164" i="63"/>
  <c r="J187" i="63"/>
  <c r="C258" i="63"/>
  <c r="L31" i="63"/>
  <c r="C31" i="63" s="1"/>
  <c r="E20" i="63"/>
  <c r="D53" i="63"/>
  <c r="M54" i="63"/>
  <c r="C72" i="63"/>
  <c r="C79" i="63"/>
  <c r="D76" i="63"/>
  <c r="H76" i="63"/>
  <c r="G83" i="63"/>
  <c r="C104" i="63"/>
  <c r="C190" i="63"/>
  <c r="L196" i="63"/>
  <c r="C206" i="63"/>
  <c r="C210" i="63"/>
  <c r="C211" i="63"/>
  <c r="C213" i="63"/>
  <c r="I260" i="63"/>
  <c r="J259" i="63"/>
  <c r="M269" i="63"/>
  <c r="L293" i="63"/>
  <c r="C160" i="63"/>
  <c r="C61" i="63"/>
  <c r="C88" i="63"/>
  <c r="C109" i="63"/>
  <c r="O116" i="63"/>
  <c r="C133" i="63"/>
  <c r="C152" i="63"/>
  <c r="K195" i="63"/>
  <c r="C201" i="63"/>
  <c r="C222" i="63"/>
  <c r="J231" i="63"/>
  <c r="C262" i="63"/>
  <c r="M20" i="63"/>
  <c r="G292" i="63"/>
  <c r="G291" i="63" s="1"/>
  <c r="N20" i="63"/>
  <c r="K54" i="63"/>
  <c r="K53" i="63" s="1"/>
  <c r="N53" i="63"/>
  <c r="K76" i="63"/>
  <c r="L95" i="63"/>
  <c r="C120" i="63"/>
  <c r="C140" i="63"/>
  <c r="O144" i="63"/>
  <c r="C180" i="63"/>
  <c r="G187" i="63"/>
  <c r="H231" i="63"/>
  <c r="H230" i="63" s="1"/>
  <c r="C237" i="63"/>
  <c r="C254" i="63"/>
  <c r="L252" i="63"/>
  <c r="L251" i="63" s="1"/>
  <c r="L276" i="63"/>
  <c r="L270" i="63" s="1"/>
  <c r="L269" i="63" s="1"/>
  <c r="C148" i="63"/>
  <c r="H291" i="63"/>
  <c r="L291" i="63"/>
  <c r="G20" i="63"/>
  <c r="C60" i="63"/>
  <c r="C65" i="63"/>
  <c r="E53" i="63"/>
  <c r="J53" i="63"/>
  <c r="C70" i="63"/>
  <c r="O69" i="63"/>
  <c r="O67" i="63" s="1"/>
  <c r="M76" i="63"/>
  <c r="L76" i="63"/>
  <c r="C97" i="63"/>
  <c r="L103" i="63"/>
  <c r="C110" i="63"/>
  <c r="C126" i="63"/>
  <c r="C127" i="63"/>
  <c r="H130" i="63"/>
  <c r="C149" i="63"/>
  <c r="C163" i="63"/>
  <c r="L166" i="63"/>
  <c r="L165" i="63" s="1"/>
  <c r="I175" i="63"/>
  <c r="C182" i="63"/>
  <c r="C183" i="63"/>
  <c r="I187" i="63"/>
  <c r="C203" i="63"/>
  <c r="D204" i="63"/>
  <c r="D195" i="63" s="1"/>
  <c r="C212" i="63"/>
  <c r="C219" i="63"/>
  <c r="C221" i="63"/>
  <c r="C229" i="63"/>
  <c r="C234" i="63"/>
  <c r="O246" i="63"/>
  <c r="O231" i="63" s="1"/>
  <c r="O252" i="63"/>
  <c r="O251" i="63" s="1"/>
  <c r="L260" i="63"/>
  <c r="C271" i="63"/>
  <c r="O276" i="63"/>
  <c r="C43" i="63"/>
  <c r="O179" i="63"/>
  <c r="O174" i="63" s="1"/>
  <c r="O173" i="63" s="1"/>
  <c r="C24" i="63"/>
  <c r="C44" i="63"/>
  <c r="C57" i="63"/>
  <c r="C64" i="63"/>
  <c r="C68" i="63"/>
  <c r="C74" i="63"/>
  <c r="C82" i="63"/>
  <c r="O84" i="63"/>
  <c r="L89" i="63"/>
  <c r="C101" i="63"/>
  <c r="D83" i="63"/>
  <c r="C117" i="63"/>
  <c r="M83" i="63"/>
  <c r="C128" i="63"/>
  <c r="G130" i="63"/>
  <c r="C155" i="63"/>
  <c r="C184" i="63"/>
  <c r="N187" i="63"/>
  <c r="C188" i="63"/>
  <c r="I216" i="63"/>
  <c r="C223" i="63"/>
  <c r="C224" i="63"/>
  <c r="C225" i="63"/>
  <c r="C232" i="63"/>
  <c r="D231" i="63"/>
  <c r="D230" i="63" s="1"/>
  <c r="G231" i="63"/>
  <c r="G230" i="63" s="1"/>
  <c r="C245" i="63"/>
  <c r="C247" i="63"/>
  <c r="C257" i="63"/>
  <c r="E259" i="63"/>
  <c r="E230" i="63" s="1"/>
  <c r="O260" i="63"/>
  <c r="C268" i="63"/>
  <c r="C279" i="63"/>
  <c r="D269" i="63"/>
  <c r="H269" i="63"/>
  <c r="C294" i="63"/>
  <c r="H53" i="63"/>
  <c r="L151" i="63"/>
  <c r="L130" i="63" s="1"/>
  <c r="I166" i="63"/>
  <c r="I165" i="63" s="1"/>
  <c r="J204" i="63"/>
  <c r="J195" i="63" s="1"/>
  <c r="C266" i="63"/>
  <c r="C282" i="63"/>
  <c r="E292" i="63"/>
  <c r="E291" i="63" s="1"/>
  <c r="C23" i="63"/>
  <c r="I20" i="63"/>
  <c r="C56" i="63"/>
  <c r="F58" i="63"/>
  <c r="C62" i="63"/>
  <c r="M53" i="63"/>
  <c r="L69" i="63"/>
  <c r="L67" i="63" s="1"/>
  <c r="C73" i="63"/>
  <c r="C78" i="63"/>
  <c r="J83" i="63"/>
  <c r="C90" i="63"/>
  <c r="C91" i="63"/>
  <c r="H83" i="63"/>
  <c r="H75" i="63" s="1"/>
  <c r="C102" i="63"/>
  <c r="C121" i="63"/>
  <c r="J130" i="63"/>
  <c r="N130" i="63"/>
  <c r="O141" i="63"/>
  <c r="C141" i="63" s="1"/>
  <c r="I151" i="63"/>
  <c r="C158" i="63"/>
  <c r="C159" i="63"/>
  <c r="C171" i="63"/>
  <c r="L179" i="63"/>
  <c r="M187" i="63"/>
  <c r="C207" i="63"/>
  <c r="C214" i="63"/>
  <c r="C244" i="63"/>
  <c r="C256" i="63"/>
  <c r="C263" i="63"/>
  <c r="L264" i="63"/>
  <c r="K269" i="63"/>
  <c r="O272" i="63"/>
  <c r="C280" i="63"/>
  <c r="C295" i="63"/>
  <c r="F292" i="63"/>
  <c r="C21" i="63"/>
  <c r="I76" i="63"/>
  <c r="C80" i="63"/>
  <c r="O292" i="63"/>
  <c r="F77" i="63"/>
  <c r="F89" i="63"/>
  <c r="I89" i="63"/>
  <c r="C93" i="63"/>
  <c r="C94" i="63"/>
  <c r="O103" i="63"/>
  <c r="C113" i="63"/>
  <c r="C115" i="63"/>
  <c r="F112" i="63"/>
  <c r="L116" i="63"/>
  <c r="C123" i="63"/>
  <c r="F122" i="63"/>
  <c r="D130" i="63"/>
  <c r="K130" i="63"/>
  <c r="K75" i="63" s="1"/>
  <c r="K52" i="63" s="1"/>
  <c r="C137" i="63"/>
  <c r="C138" i="63"/>
  <c r="C139" i="63"/>
  <c r="F136" i="63"/>
  <c r="C136" i="63" s="1"/>
  <c r="C153" i="63"/>
  <c r="C154" i="63"/>
  <c r="C161" i="63"/>
  <c r="C162" i="63"/>
  <c r="C169" i="63"/>
  <c r="C170" i="63"/>
  <c r="H174" i="63"/>
  <c r="H173" i="63" s="1"/>
  <c r="C186" i="63"/>
  <c r="C200" i="63"/>
  <c r="I198" i="63"/>
  <c r="I196" i="63" s="1"/>
  <c r="C198" i="63"/>
  <c r="C233" i="63"/>
  <c r="C249" i="63"/>
  <c r="F246" i="63"/>
  <c r="C250" i="63"/>
  <c r="I58" i="63"/>
  <c r="K20" i="63"/>
  <c r="L27" i="63"/>
  <c r="L33" i="63"/>
  <c r="C33" i="63" s="1"/>
  <c r="L36" i="63"/>
  <c r="C36" i="63" s="1"/>
  <c r="F41" i="63"/>
  <c r="C41" i="63" s="1"/>
  <c r="O45" i="63"/>
  <c r="I55" i="63"/>
  <c r="C81" i="63"/>
  <c r="C85" i="63"/>
  <c r="C87" i="63"/>
  <c r="F84" i="63"/>
  <c r="C105" i="63"/>
  <c r="C107" i="63"/>
  <c r="F103" i="63"/>
  <c r="C114" i="63"/>
  <c r="I112" i="63"/>
  <c r="C125" i="63"/>
  <c r="C145" i="63"/>
  <c r="C147" i="63"/>
  <c r="F144" i="63"/>
  <c r="C157" i="63"/>
  <c r="D174" i="63"/>
  <c r="D173" i="63" s="1"/>
  <c r="C98" i="63"/>
  <c r="I95" i="63"/>
  <c r="C118" i="63"/>
  <c r="I116" i="63"/>
  <c r="I131" i="63"/>
  <c r="C167" i="63"/>
  <c r="F166" i="63"/>
  <c r="L174" i="63"/>
  <c r="L173" i="63" s="1"/>
  <c r="C208" i="63"/>
  <c r="I205" i="63"/>
  <c r="C301" i="63"/>
  <c r="J20" i="63"/>
  <c r="L55" i="63"/>
  <c r="L54" i="63" s="1"/>
  <c r="F69" i="63"/>
  <c r="D20" i="63"/>
  <c r="H20" i="63"/>
  <c r="C86" i="63"/>
  <c r="I84" i="63"/>
  <c r="O89" i="63"/>
  <c r="C99" i="63"/>
  <c r="F95" i="63"/>
  <c r="C106" i="63"/>
  <c r="I103" i="63"/>
  <c r="C119" i="63"/>
  <c r="F116" i="63"/>
  <c r="L122" i="63"/>
  <c r="C129" i="63"/>
  <c r="C134" i="63"/>
  <c r="C135" i="63"/>
  <c r="F131" i="63"/>
  <c r="I144" i="63"/>
  <c r="C150" i="63"/>
  <c r="O166" i="63"/>
  <c r="O165" i="63" s="1"/>
  <c r="C181" i="63"/>
  <c r="I235" i="63"/>
  <c r="C236" i="63"/>
  <c r="I179" i="63"/>
  <c r="I174" i="63" s="1"/>
  <c r="I173" i="63" s="1"/>
  <c r="C185" i="63"/>
  <c r="C189" i="63"/>
  <c r="C197" i="63"/>
  <c r="F196" i="63"/>
  <c r="C215" i="63"/>
  <c r="L216" i="63"/>
  <c r="L204" i="63" s="1"/>
  <c r="L195" i="63" s="1"/>
  <c r="J230" i="63"/>
  <c r="K231" i="63"/>
  <c r="K230" i="63" s="1"/>
  <c r="C239" i="63"/>
  <c r="C241" i="63"/>
  <c r="F238" i="63"/>
  <c r="C248" i="63"/>
  <c r="I246" i="63"/>
  <c r="C253" i="63"/>
  <c r="F252" i="63"/>
  <c r="M259" i="63"/>
  <c r="M230" i="63" s="1"/>
  <c r="C265" i="63"/>
  <c r="F264" i="63"/>
  <c r="C273" i="63"/>
  <c r="F272" i="63"/>
  <c r="C288" i="63"/>
  <c r="I286" i="63"/>
  <c r="C286" i="63" s="1"/>
  <c r="C300" i="63"/>
  <c r="F151" i="63"/>
  <c r="F175" i="63"/>
  <c r="F179" i="63"/>
  <c r="O196" i="63"/>
  <c r="O205" i="63"/>
  <c r="C217" i="63"/>
  <c r="F216" i="63"/>
  <c r="O216" i="63"/>
  <c r="F235" i="63"/>
  <c r="C240" i="63"/>
  <c r="I238" i="63"/>
  <c r="C243" i="63"/>
  <c r="C255" i="63"/>
  <c r="I259" i="63"/>
  <c r="C267" i="63"/>
  <c r="C275" i="63"/>
  <c r="C281" i="63"/>
  <c r="C285" i="63"/>
  <c r="F284" i="63"/>
  <c r="O293" i="63"/>
  <c r="C193" i="63"/>
  <c r="F192" i="63"/>
  <c r="E195" i="63"/>
  <c r="M195" i="63"/>
  <c r="C209" i="63"/>
  <c r="F205" i="63"/>
  <c r="C220" i="63"/>
  <c r="C227" i="63"/>
  <c r="C228" i="63"/>
  <c r="L238" i="63"/>
  <c r="L231" i="63" s="1"/>
  <c r="C261" i="63"/>
  <c r="F260" i="63"/>
  <c r="I269" i="63"/>
  <c r="C277" i="63"/>
  <c r="F276" i="63"/>
  <c r="C297" i="63"/>
  <c r="F293" i="63"/>
  <c r="C199" i="63"/>
  <c r="C287" i="63"/>
  <c r="G194" i="63" l="1"/>
  <c r="I54" i="63"/>
  <c r="I53" i="63" s="1"/>
  <c r="N75" i="63"/>
  <c r="N52" i="63" s="1"/>
  <c r="H194" i="63"/>
  <c r="O83" i="63"/>
  <c r="O75" i="63" s="1"/>
  <c r="O130" i="63"/>
  <c r="L259" i="63"/>
  <c r="L230" i="63" s="1"/>
  <c r="M75" i="63"/>
  <c r="M289" i="63" s="1"/>
  <c r="C276" i="63"/>
  <c r="O259" i="63"/>
  <c r="G75" i="63"/>
  <c r="G52" i="63" s="1"/>
  <c r="G51" i="63" s="1"/>
  <c r="G290" i="63" s="1"/>
  <c r="O53" i="63"/>
  <c r="O52" i="63" s="1"/>
  <c r="C69" i="63"/>
  <c r="D194" i="63"/>
  <c r="C95" i="63"/>
  <c r="J75" i="63"/>
  <c r="I204" i="63"/>
  <c r="C293" i="63"/>
  <c r="O230" i="63"/>
  <c r="L83" i="63"/>
  <c r="L75" i="63" s="1"/>
  <c r="C58" i="63"/>
  <c r="J52" i="63"/>
  <c r="J194" i="63"/>
  <c r="J51" i="63" s="1"/>
  <c r="J289" i="63"/>
  <c r="H289" i="63"/>
  <c r="N289" i="63"/>
  <c r="N51" i="63"/>
  <c r="N50" i="63" s="1"/>
  <c r="I231" i="63"/>
  <c r="I230" i="63" s="1"/>
  <c r="H52" i="63"/>
  <c r="D75" i="63"/>
  <c r="D52" i="63" s="1"/>
  <c r="D51" i="63" s="1"/>
  <c r="F54" i="63"/>
  <c r="C54" i="63" s="1"/>
  <c r="C89" i="63"/>
  <c r="E194" i="63"/>
  <c r="E51" i="63" s="1"/>
  <c r="O204" i="63"/>
  <c r="O195" i="63" s="1"/>
  <c r="O194" i="63" s="1"/>
  <c r="C151" i="63"/>
  <c r="C264" i="63"/>
  <c r="C116" i="63"/>
  <c r="L53" i="63"/>
  <c r="I130" i="63"/>
  <c r="C144" i="63"/>
  <c r="M52" i="63"/>
  <c r="O270" i="63"/>
  <c r="O269" i="63" s="1"/>
  <c r="O291" i="63"/>
  <c r="K289" i="63"/>
  <c r="C192" i="63"/>
  <c r="F191" i="63"/>
  <c r="C252" i="63"/>
  <c r="F251" i="63"/>
  <c r="C251" i="63" s="1"/>
  <c r="L52" i="63"/>
  <c r="C246" i="63"/>
  <c r="E289" i="63"/>
  <c r="C112" i="63"/>
  <c r="F76" i="63"/>
  <c r="C77" i="63"/>
  <c r="F67" i="63"/>
  <c r="C67" i="63" s="1"/>
  <c r="F20" i="63"/>
  <c r="C216" i="63"/>
  <c r="C179" i="63"/>
  <c r="C238" i="63"/>
  <c r="C131" i="63"/>
  <c r="F130" i="63"/>
  <c r="C130" i="63" s="1"/>
  <c r="C166" i="63"/>
  <c r="F165" i="63"/>
  <c r="C165" i="63" s="1"/>
  <c r="F83" i="63"/>
  <c r="C84" i="63"/>
  <c r="K194" i="63"/>
  <c r="K51" i="63" s="1"/>
  <c r="I195" i="63"/>
  <c r="I194" i="63" s="1"/>
  <c r="C122" i="63"/>
  <c r="G50" i="63"/>
  <c r="C55" i="63"/>
  <c r="C284" i="63"/>
  <c r="F283" i="63"/>
  <c r="C283" i="63" s="1"/>
  <c r="F291" i="63"/>
  <c r="C260" i="63"/>
  <c r="F259" i="63"/>
  <c r="C259" i="63" s="1"/>
  <c r="C205" i="63"/>
  <c r="F204" i="63"/>
  <c r="M194" i="63"/>
  <c r="C175" i="63"/>
  <c r="F174" i="63"/>
  <c r="F270" i="63"/>
  <c r="C272" i="63"/>
  <c r="C196" i="63"/>
  <c r="I83" i="63"/>
  <c r="I75" i="63" s="1"/>
  <c r="I292" i="63"/>
  <c r="I291" i="63" s="1"/>
  <c r="C103" i="63"/>
  <c r="C45" i="63"/>
  <c r="C27" i="63"/>
  <c r="L26" i="63"/>
  <c r="O20" i="63"/>
  <c r="C235" i="63"/>
  <c r="F231" i="63"/>
  <c r="O51" i="63" l="1"/>
  <c r="L194" i="63"/>
  <c r="L289" i="63"/>
  <c r="G289" i="63"/>
  <c r="H51" i="63"/>
  <c r="F53" i="63"/>
  <c r="L51" i="63"/>
  <c r="L50" i="63" s="1"/>
  <c r="M51" i="63"/>
  <c r="M290" i="63" s="1"/>
  <c r="O289" i="63"/>
  <c r="C204" i="63"/>
  <c r="N290" i="63"/>
  <c r="O50" i="63"/>
  <c r="O290" i="63"/>
  <c r="C291" i="63"/>
  <c r="D289" i="63"/>
  <c r="F195" i="63"/>
  <c r="F194" i="63" s="1"/>
  <c r="C194" i="63" s="1"/>
  <c r="I52" i="63"/>
  <c r="I51" i="63" s="1"/>
  <c r="I289" i="63"/>
  <c r="K50" i="63"/>
  <c r="K290" i="63"/>
  <c r="F269" i="63"/>
  <c r="C270" i="63"/>
  <c r="C83" i="63"/>
  <c r="J50" i="63"/>
  <c r="J290" i="63"/>
  <c r="C292" i="63"/>
  <c r="L290" i="63"/>
  <c r="C26" i="63"/>
  <c r="L20" i="63"/>
  <c r="C20" i="63" s="1"/>
  <c r="C174" i="63"/>
  <c r="F173" i="63"/>
  <c r="C173" i="63" s="1"/>
  <c r="E290" i="63"/>
  <c r="E50" i="63"/>
  <c r="F230" i="63"/>
  <c r="C230" i="63" s="1"/>
  <c r="C231" i="63"/>
  <c r="M50" i="63"/>
  <c r="F75" i="63"/>
  <c r="C75" i="63" s="1"/>
  <c r="C76" i="63"/>
  <c r="C53" i="63"/>
  <c r="D290" i="63"/>
  <c r="D50" i="63"/>
  <c r="C191" i="63"/>
  <c r="F187" i="63"/>
  <c r="C187" i="63" s="1"/>
  <c r="H290" i="63" l="1"/>
  <c r="H50" i="63"/>
  <c r="C195" i="63"/>
  <c r="F52" i="63"/>
  <c r="C269" i="63"/>
  <c r="F289" i="63"/>
  <c r="C289" i="63" s="1"/>
  <c r="I290" i="63"/>
  <c r="I50" i="63"/>
  <c r="F51" i="63" l="1"/>
  <c r="C52" i="63"/>
  <c r="F290" i="63" l="1"/>
  <c r="C290" i="63" s="1"/>
  <c r="F50" i="63"/>
  <c r="C50" i="63" s="1"/>
  <c r="C51" i="63"/>
  <c r="O301" i="62" l="1"/>
  <c r="L301" i="62"/>
  <c r="I301" i="62"/>
  <c r="F301" i="62"/>
  <c r="O300" i="62"/>
  <c r="L300" i="62"/>
  <c r="I300" i="62"/>
  <c r="F300" i="62"/>
  <c r="O299" i="62"/>
  <c r="L299" i="62"/>
  <c r="I299" i="62"/>
  <c r="F299" i="62"/>
  <c r="C299" i="62" s="1"/>
  <c r="O298" i="62"/>
  <c r="L298" i="62"/>
  <c r="I298" i="62"/>
  <c r="F298" i="62"/>
  <c r="C298" i="62" s="1"/>
  <c r="O297" i="62"/>
  <c r="L297" i="62"/>
  <c r="I297" i="62"/>
  <c r="F297" i="62"/>
  <c r="O296" i="62"/>
  <c r="L296" i="62"/>
  <c r="I296" i="62"/>
  <c r="F296" i="62"/>
  <c r="C296" i="62" s="1"/>
  <c r="O295" i="62"/>
  <c r="L295" i="62"/>
  <c r="I295" i="62"/>
  <c r="F295" i="62"/>
  <c r="O294" i="62"/>
  <c r="L294" i="62"/>
  <c r="I294" i="62"/>
  <c r="I293" i="62" s="1"/>
  <c r="F294" i="62"/>
  <c r="N293" i="62"/>
  <c r="M293" i="62"/>
  <c r="K293" i="62"/>
  <c r="J293" i="62"/>
  <c r="H293" i="62"/>
  <c r="G293" i="62"/>
  <c r="E293" i="62"/>
  <c r="D293" i="62"/>
  <c r="O288" i="62"/>
  <c r="L288" i="62"/>
  <c r="I288" i="62"/>
  <c r="O287" i="62"/>
  <c r="L287" i="62"/>
  <c r="I287" i="62"/>
  <c r="F287" i="62"/>
  <c r="O286" i="62"/>
  <c r="N286" i="62"/>
  <c r="M286" i="62"/>
  <c r="K286" i="62"/>
  <c r="J286" i="62"/>
  <c r="H286" i="62"/>
  <c r="G286" i="62"/>
  <c r="O285" i="62"/>
  <c r="L285" i="62"/>
  <c r="I285" i="62"/>
  <c r="F285" i="62"/>
  <c r="F284" i="62" s="1"/>
  <c r="O284" i="62"/>
  <c r="O283" i="62" s="1"/>
  <c r="N284" i="62"/>
  <c r="N283" i="62" s="1"/>
  <c r="M284" i="62"/>
  <c r="K284" i="62"/>
  <c r="K283" i="62" s="1"/>
  <c r="J284" i="62"/>
  <c r="J283" i="62" s="1"/>
  <c r="I284" i="62"/>
  <c r="I283" i="62" s="1"/>
  <c r="H284" i="62"/>
  <c r="G284" i="62"/>
  <c r="G283" i="62" s="1"/>
  <c r="E284" i="62"/>
  <c r="E283" i="62" s="1"/>
  <c r="D284" i="62"/>
  <c r="D283" i="62" s="1"/>
  <c r="M283" i="62"/>
  <c r="H283" i="62"/>
  <c r="F283" i="62"/>
  <c r="O282" i="62"/>
  <c r="O281" i="62" s="1"/>
  <c r="L282" i="62"/>
  <c r="L281" i="62" s="1"/>
  <c r="I282" i="62"/>
  <c r="I281" i="62" s="1"/>
  <c r="F282" i="62"/>
  <c r="N281" i="62"/>
  <c r="M281" i="62"/>
  <c r="K281" i="62"/>
  <c r="J281" i="62"/>
  <c r="H281" i="62"/>
  <c r="G281" i="62"/>
  <c r="E281" i="62"/>
  <c r="D281" i="62"/>
  <c r="O280" i="62"/>
  <c r="L280" i="62"/>
  <c r="I280" i="62"/>
  <c r="F280" i="62"/>
  <c r="O279" i="62"/>
  <c r="L279" i="62"/>
  <c r="I279" i="62"/>
  <c r="F279" i="62"/>
  <c r="O278" i="62"/>
  <c r="L278" i="62"/>
  <c r="I278" i="62"/>
  <c r="F278" i="62"/>
  <c r="O277" i="62"/>
  <c r="O276" i="62" s="1"/>
  <c r="L277" i="62"/>
  <c r="I277" i="62"/>
  <c r="F277" i="62"/>
  <c r="F276" i="62" s="1"/>
  <c r="N276" i="62"/>
  <c r="M276" i="62"/>
  <c r="L276" i="62"/>
  <c r="K276" i="62"/>
  <c r="J276" i="62"/>
  <c r="H276" i="62"/>
  <c r="G276" i="62"/>
  <c r="E276" i="62"/>
  <c r="D276" i="62"/>
  <c r="O275" i="62"/>
  <c r="L275" i="62"/>
  <c r="I275" i="62"/>
  <c r="F275" i="62"/>
  <c r="O274" i="62"/>
  <c r="L274" i="62"/>
  <c r="I274" i="62"/>
  <c r="F274" i="62"/>
  <c r="C274" i="62" s="1"/>
  <c r="O273" i="62"/>
  <c r="L273" i="62"/>
  <c r="I273" i="62"/>
  <c r="I272" i="62" s="1"/>
  <c r="F273" i="62"/>
  <c r="N272" i="62"/>
  <c r="M272" i="62"/>
  <c r="M270" i="62" s="1"/>
  <c r="K272" i="62"/>
  <c r="J272" i="62"/>
  <c r="J270" i="62" s="1"/>
  <c r="J269" i="62" s="1"/>
  <c r="H272" i="62"/>
  <c r="G272" i="62"/>
  <c r="E272" i="62"/>
  <c r="D272" i="62"/>
  <c r="O271" i="62"/>
  <c r="L271" i="62"/>
  <c r="I271" i="62"/>
  <c r="F271" i="62"/>
  <c r="O268" i="62"/>
  <c r="L268" i="62"/>
  <c r="I268" i="62"/>
  <c r="F268" i="62"/>
  <c r="O267" i="62"/>
  <c r="L267" i="62"/>
  <c r="I267" i="62"/>
  <c r="F267" i="62"/>
  <c r="O266" i="62"/>
  <c r="L266" i="62"/>
  <c r="I266" i="62"/>
  <c r="F266" i="62"/>
  <c r="O265" i="62"/>
  <c r="O264" i="62" s="1"/>
  <c r="L265" i="62"/>
  <c r="I265" i="62"/>
  <c r="F265" i="62"/>
  <c r="F264" i="62" s="1"/>
  <c r="N264" i="62"/>
  <c r="M264" i="62"/>
  <c r="K264" i="62"/>
  <c r="J264" i="62"/>
  <c r="J259" i="62" s="1"/>
  <c r="H264" i="62"/>
  <c r="G264" i="62"/>
  <c r="E264" i="62"/>
  <c r="D264" i="62"/>
  <c r="O263" i="62"/>
  <c r="L263" i="62"/>
  <c r="I263" i="62"/>
  <c r="F263" i="62"/>
  <c r="O262" i="62"/>
  <c r="L262" i="62"/>
  <c r="I262" i="62"/>
  <c r="F262" i="62"/>
  <c r="O261" i="62"/>
  <c r="L261" i="62"/>
  <c r="L260" i="62" s="1"/>
  <c r="I261" i="62"/>
  <c r="F261" i="62"/>
  <c r="O260" i="62"/>
  <c r="O259" i="62" s="1"/>
  <c r="N260" i="62"/>
  <c r="M260" i="62"/>
  <c r="K260" i="62"/>
  <c r="J260" i="62"/>
  <c r="H260" i="62"/>
  <c r="G260" i="62"/>
  <c r="G259" i="62" s="1"/>
  <c r="E260" i="62"/>
  <c r="D260" i="62"/>
  <c r="H259" i="62"/>
  <c r="O258" i="62"/>
  <c r="L258" i="62"/>
  <c r="I258" i="62"/>
  <c r="F258" i="62"/>
  <c r="O257" i="62"/>
  <c r="L257" i="62"/>
  <c r="I257" i="62"/>
  <c r="F257" i="62"/>
  <c r="O256" i="62"/>
  <c r="L256" i="62"/>
  <c r="I256" i="62"/>
  <c r="F256" i="62"/>
  <c r="O255" i="62"/>
  <c r="L255" i="62"/>
  <c r="I255" i="62"/>
  <c r="F255" i="62"/>
  <c r="O254" i="62"/>
  <c r="L254" i="62"/>
  <c r="I254" i="62"/>
  <c r="F254" i="62"/>
  <c r="O253" i="62"/>
  <c r="O252" i="62" s="1"/>
  <c r="O251" i="62" s="1"/>
  <c r="L253" i="62"/>
  <c r="I253" i="62"/>
  <c r="F253" i="62"/>
  <c r="F252" i="62" s="1"/>
  <c r="F251" i="62" s="1"/>
  <c r="N252" i="62"/>
  <c r="M252" i="62"/>
  <c r="M251" i="62" s="1"/>
  <c r="K252" i="62"/>
  <c r="K251" i="62" s="1"/>
  <c r="J252" i="62"/>
  <c r="J251" i="62" s="1"/>
  <c r="H252" i="62"/>
  <c r="H251" i="62" s="1"/>
  <c r="G252" i="62"/>
  <c r="G251" i="62" s="1"/>
  <c r="E252" i="62"/>
  <c r="D252" i="62"/>
  <c r="D251" i="62" s="1"/>
  <c r="N251" i="62"/>
  <c r="E251" i="62"/>
  <c r="O250" i="62"/>
  <c r="L250" i="62"/>
  <c r="I250" i="62"/>
  <c r="F250" i="62"/>
  <c r="O249" i="62"/>
  <c r="L249" i="62"/>
  <c r="I249" i="62"/>
  <c r="F249" i="62"/>
  <c r="C249" i="62" s="1"/>
  <c r="O248" i="62"/>
  <c r="L248" i="62"/>
  <c r="I248" i="62"/>
  <c r="F248" i="62"/>
  <c r="O247" i="62"/>
  <c r="L247" i="62"/>
  <c r="I247" i="62"/>
  <c r="I246" i="62" s="1"/>
  <c r="F247" i="62"/>
  <c r="N246" i="62"/>
  <c r="M246" i="62"/>
  <c r="K246" i="62"/>
  <c r="J246" i="62"/>
  <c r="H246" i="62"/>
  <c r="G246" i="62"/>
  <c r="E246" i="62"/>
  <c r="D246" i="62"/>
  <c r="O245" i="62"/>
  <c r="L245" i="62"/>
  <c r="I245" i="62"/>
  <c r="F245" i="62"/>
  <c r="O244" i="62"/>
  <c r="L244" i="62"/>
  <c r="I244" i="62"/>
  <c r="F244" i="62"/>
  <c r="O243" i="62"/>
  <c r="L243" i="62"/>
  <c r="I243" i="62"/>
  <c r="F243" i="62"/>
  <c r="O242" i="62"/>
  <c r="L242" i="62"/>
  <c r="I242" i="62"/>
  <c r="F242" i="62"/>
  <c r="O241" i="62"/>
  <c r="L241" i="62"/>
  <c r="I241" i="62"/>
  <c r="F241" i="62"/>
  <c r="C241" i="62" s="1"/>
  <c r="O240" i="62"/>
  <c r="L240" i="62"/>
  <c r="I240" i="62"/>
  <c r="F240" i="62"/>
  <c r="O239" i="62"/>
  <c r="L239" i="62"/>
  <c r="I239" i="62"/>
  <c r="F239" i="62"/>
  <c r="N238" i="62"/>
  <c r="M238" i="62"/>
  <c r="K238" i="62"/>
  <c r="J238" i="62"/>
  <c r="H238" i="62"/>
  <c r="G238" i="62"/>
  <c r="E238" i="62"/>
  <c r="D238" i="62"/>
  <c r="O237" i="62"/>
  <c r="L237" i="62"/>
  <c r="I237" i="62"/>
  <c r="F237" i="62"/>
  <c r="O236" i="62"/>
  <c r="O235" i="62" s="1"/>
  <c r="L236" i="62"/>
  <c r="I236" i="62"/>
  <c r="F236" i="62"/>
  <c r="F235" i="62" s="1"/>
  <c r="N235" i="62"/>
  <c r="M235" i="62"/>
  <c r="K235" i="62"/>
  <c r="J235" i="62"/>
  <c r="H235" i="62"/>
  <c r="G235" i="62"/>
  <c r="E235" i="62"/>
  <c r="D235" i="62"/>
  <c r="O234" i="62"/>
  <c r="L234" i="62"/>
  <c r="I234" i="62"/>
  <c r="I233" i="62" s="1"/>
  <c r="F234" i="62"/>
  <c r="O233" i="62"/>
  <c r="N233" i="62"/>
  <c r="M233" i="62"/>
  <c r="K233" i="62"/>
  <c r="J233" i="62"/>
  <c r="H233" i="62"/>
  <c r="G233" i="62"/>
  <c r="F233" i="62"/>
  <c r="E233" i="62"/>
  <c r="D233" i="62"/>
  <c r="O232" i="62"/>
  <c r="L232" i="62"/>
  <c r="I232" i="62"/>
  <c r="F232" i="62"/>
  <c r="O229" i="62"/>
  <c r="L229" i="62"/>
  <c r="I229" i="62"/>
  <c r="F229" i="62"/>
  <c r="O228" i="62"/>
  <c r="O227" i="62" s="1"/>
  <c r="L228" i="62"/>
  <c r="L227" i="62" s="1"/>
  <c r="I228" i="62"/>
  <c r="I227" i="62" s="1"/>
  <c r="F228" i="62"/>
  <c r="N227" i="62"/>
  <c r="M227" i="62"/>
  <c r="K227" i="62"/>
  <c r="J227" i="62"/>
  <c r="H227" i="62"/>
  <c r="G227" i="62"/>
  <c r="E227" i="62"/>
  <c r="D227" i="62"/>
  <c r="O226" i="62"/>
  <c r="L226" i="62"/>
  <c r="I226" i="62"/>
  <c r="F226" i="62"/>
  <c r="O225" i="62"/>
  <c r="L225" i="62"/>
  <c r="I225" i="62"/>
  <c r="F225" i="62"/>
  <c r="O224" i="62"/>
  <c r="L224" i="62"/>
  <c r="I224" i="62"/>
  <c r="F224" i="62"/>
  <c r="O223" i="62"/>
  <c r="L223" i="62"/>
  <c r="I223" i="62"/>
  <c r="F223" i="62"/>
  <c r="O222" i="62"/>
  <c r="L222" i="62"/>
  <c r="I222" i="62"/>
  <c r="F222" i="62"/>
  <c r="O221" i="62"/>
  <c r="L221" i="62"/>
  <c r="I221" i="62"/>
  <c r="F221" i="62"/>
  <c r="O220" i="62"/>
  <c r="L220" i="62"/>
  <c r="I220" i="62"/>
  <c r="F220" i="62"/>
  <c r="O219" i="62"/>
  <c r="L219" i="62"/>
  <c r="I219" i="62"/>
  <c r="F219" i="62"/>
  <c r="O218" i="62"/>
  <c r="L218" i="62"/>
  <c r="I218" i="62"/>
  <c r="F218" i="62"/>
  <c r="O217" i="62"/>
  <c r="L217" i="62"/>
  <c r="I217" i="62"/>
  <c r="F217" i="62"/>
  <c r="F216" i="62" s="1"/>
  <c r="N216" i="62"/>
  <c r="M216" i="62"/>
  <c r="K216" i="62"/>
  <c r="J216" i="62"/>
  <c r="H216" i="62"/>
  <c r="G216" i="62"/>
  <c r="E216" i="62"/>
  <c r="D216" i="62"/>
  <c r="O215" i="62"/>
  <c r="L215" i="62"/>
  <c r="I215" i="62"/>
  <c r="F215" i="62"/>
  <c r="O214" i="62"/>
  <c r="L214" i="62"/>
  <c r="I214" i="62"/>
  <c r="F214" i="62"/>
  <c r="O213" i="62"/>
  <c r="L213" i="62"/>
  <c r="I213" i="62"/>
  <c r="F213" i="62"/>
  <c r="O212" i="62"/>
  <c r="L212" i="62"/>
  <c r="I212" i="62"/>
  <c r="F212" i="62"/>
  <c r="O211" i="62"/>
  <c r="L211" i="62"/>
  <c r="I211" i="62"/>
  <c r="F211" i="62"/>
  <c r="O210" i="62"/>
  <c r="C210" i="62" s="1"/>
  <c r="L210" i="62"/>
  <c r="I210" i="62"/>
  <c r="F210" i="62"/>
  <c r="O209" i="62"/>
  <c r="L209" i="62"/>
  <c r="I209" i="62"/>
  <c r="F209" i="62"/>
  <c r="O208" i="62"/>
  <c r="L208" i="62"/>
  <c r="I208" i="62"/>
  <c r="F208" i="62"/>
  <c r="O207" i="62"/>
  <c r="L207" i="62"/>
  <c r="I207" i="62"/>
  <c r="F207" i="62"/>
  <c r="O206" i="62"/>
  <c r="L206" i="62"/>
  <c r="I206" i="62"/>
  <c r="F206" i="62"/>
  <c r="N205" i="62"/>
  <c r="N204" i="62" s="1"/>
  <c r="M205" i="62"/>
  <c r="K205" i="62"/>
  <c r="J205" i="62"/>
  <c r="J204" i="62" s="1"/>
  <c r="H205" i="62"/>
  <c r="G205" i="62"/>
  <c r="E205" i="62"/>
  <c r="D205" i="62"/>
  <c r="O203" i="62"/>
  <c r="L203" i="62"/>
  <c r="I203" i="62"/>
  <c r="F203" i="62"/>
  <c r="O202" i="62"/>
  <c r="L202" i="62"/>
  <c r="I202" i="62"/>
  <c r="F202" i="62"/>
  <c r="O201" i="62"/>
  <c r="L201" i="62"/>
  <c r="I201" i="62"/>
  <c r="F201" i="62"/>
  <c r="O200" i="62"/>
  <c r="L200" i="62"/>
  <c r="I200" i="62"/>
  <c r="F200" i="62"/>
  <c r="O199" i="62"/>
  <c r="L199" i="62"/>
  <c r="L198" i="62" s="1"/>
  <c r="I199" i="62"/>
  <c r="I198" i="62" s="1"/>
  <c r="F199" i="62"/>
  <c r="N198" i="62"/>
  <c r="N196" i="62" s="1"/>
  <c r="N195" i="62" s="1"/>
  <c r="M198" i="62"/>
  <c r="M196" i="62" s="1"/>
  <c r="K198" i="62"/>
  <c r="K196" i="62" s="1"/>
  <c r="J198" i="62"/>
  <c r="J196" i="62" s="1"/>
  <c r="H198" i="62"/>
  <c r="H196" i="62" s="1"/>
  <c r="G198" i="62"/>
  <c r="G196" i="62" s="1"/>
  <c r="E198" i="62"/>
  <c r="E196" i="62" s="1"/>
  <c r="D198" i="62"/>
  <c r="D196" i="62" s="1"/>
  <c r="O197" i="62"/>
  <c r="L197" i="62"/>
  <c r="I197" i="62"/>
  <c r="F197" i="62"/>
  <c r="L196" i="62"/>
  <c r="O193" i="62"/>
  <c r="O192" i="62" s="1"/>
  <c r="O191" i="62" s="1"/>
  <c r="L193" i="62"/>
  <c r="L192" i="62" s="1"/>
  <c r="I193" i="62"/>
  <c r="I192" i="62" s="1"/>
  <c r="I191" i="62" s="1"/>
  <c r="F193" i="62"/>
  <c r="F192" i="62" s="1"/>
  <c r="N192" i="62"/>
  <c r="N191" i="62" s="1"/>
  <c r="M192" i="62"/>
  <c r="K192" i="62"/>
  <c r="K191" i="62" s="1"/>
  <c r="J192" i="62"/>
  <c r="J191" i="62" s="1"/>
  <c r="H192" i="62"/>
  <c r="H191" i="62" s="1"/>
  <c r="G192" i="62"/>
  <c r="G191" i="62" s="1"/>
  <c r="E192" i="62"/>
  <c r="E191" i="62" s="1"/>
  <c r="D192" i="62"/>
  <c r="D191" i="62" s="1"/>
  <c r="M191" i="62"/>
  <c r="L191" i="62"/>
  <c r="O190" i="62"/>
  <c r="L190" i="62"/>
  <c r="I190" i="62"/>
  <c r="F190" i="62"/>
  <c r="O189" i="62"/>
  <c r="O188" i="62" s="1"/>
  <c r="L189" i="62"/>
  <c r="L188" i="62" s="1"/>
  <c r="I189" i="62"/>
  <c r="I188" i="62" s="1"/>
  <c r="F189" i="62"/>
  <c r="F188" i="62" s="1"/>
  <c r="N188" i="62"/>
  <c r="M188" i="62"/>
  <c r="K188" i="62"/>
  <c r="J188" i="62"/>
  <c r="H188" i="62"/>
  <c r="G188" i="62"/>
  <c r="E188" i="62"/>
  <c r="D188" i="62"/>
  <c r="M187" i="62"/>
  <c r="O186" i="62"/>
  <c r="L186" i="62"/>
  <c r="I186" i="62"/>
  <c r="F186" i="62"/>
  <c r="O185" i="62"/>
  <c r="L185" i="62"/>
  <c r="L184" i="62" s="1"/>
  <c r="I185" i="62"/>
  <c r="I184" i="62" s="1"/>
  <c r="F185" i="62"/>
  <c r="O184" i="62"/>
  <c r="N184" i="62"/>
  <c r="M184" i="62"/>
  <c r="K184" i="62"/>
  <c r="J184" i="62"/>
  <c r="H184" i="62"/>
  <c r="G184" i="62"/>
  <c r="F184" i="62"/>
  <c r="E184" i="62"/>
  <c r="D184" i="62"/>
  <c r="O183" i="62"/>
  <c r="L183" i="62"/>
  <c r="I183" i="62"/>
  <c r="F183" i="62"/>
  <c r="O182" i="62"/>
  <c r="L182" i="62"/>
  <c r="I182" i="62"/>
  <c r="F182" i="62"/>
  <c r="O181" i="62"/>
  <c r="L181" i="62"/>
  <c r="I181" i="62"/>
  <c r="F181" i="62"/>
  <c r="O180" i="62"/>
  <c r="L180" i="62"/>
  <c r="I180" i="62"/>
  <c r="F180" i="62"/>
  <c r="N179" i="62"/>
  <c r="N174" i="62" s="1"/>
  <c r="M179" i="62"/>
  <c r="K179" i="62"/>
  <c r="J179" i="62"/>
  <c r="H179" i="62"/>
  <c r="G179" i="62"/>
  <c r="E179" i="62"/>
  <c r="D179" i="62"/>
  <c r="O178" i="62"/>
  <c r="L178" i="62"/>
  <c r="I178" i="62"/>
  <c r="F178" i="62"/>
  <c r="O177" i="62"/>
  <c r="L177" i="62"/>
  <c r="I177" i="62"/>
  <c r="F177" i="62"/>
  <c r="O176" i="62"/>
  <c r="L176" i="62"/>
  <c r="I176" i="62"/>
  <c r="F176" i="62"/>
  <c r="O175" i="62"/>
  <c r="N175" i="62"/>
  <c r="M175" i="62"/>
  <c r="K175" i="62"/>
  <c r="J175" i="62"/>
  <c r="J174" i="62" s="1"/>
  <c r="J173" i="62" s="1"/>
  <c r="H175" i="62"/>
  <c r="G175" i="62"/>
  <c r="E175" i="62"/>
  <c r="E174" i="62" s="1"/>
  <c r="E173" i="62" s="1"/>
  <c r="D175" i="62"/>
  <c r="D174" i="62" s="1"/>
  <c r="O172" i="62"/>
  <c r="L172" i="62"/>
  <c r="I172" i="62"/>
  <c r="F172" i="62"/>
  <c r="O171" i="62"/>
  <c r="L171" i="62"/>
  <c r="I171" i="62"/>
  <c r="F171" i="62"/>
  <c r="O170" i="62"/>
  <c r="L170" i="62"/>
  <c r="I170" i="62"/>
  <c r="F170" i="62"/>
  <c r="O169" i="62"/>
  <c r="L169" i="62"/>
  <c r="I169" i="62"/>
  <c r="F169" i="62"/>
  <c r="O168" i="62"/>
  <c r="L168" i="62"/>
  <c r="I168" i="62"/>
  <c r="F168" i="62"/>
  <c r="O167" i="62"/>
  <c r="L167" i="62"/>
  <c r="L166" i="62" s="1"/>
  <c r="I167" i="62"/>
  <c r="F167" i="62"/>
  <c r="N166" i="62"/>
  <c r="N165" i="62" s="1"/>
  <c r="M166" i="62"/>
  <c r="M165" i="62" s="1"/>
  <c r="K166" i="62"/>
  <c r="K165" i="62" s="1"/>
  <c r="J166" i="62"/>
  <c r="J165" i="62" s="1"/>
  <c r="H166" i="62"/>
  <c r="G166" i="62"/>
  <c r="G165" i="62" s="1"/>
  <c r="E166" i="62"/>
  <c r="E165" i="62" s="1"/>
  <c r="D166" i="62"/>
  <c r="D165" i="62" s="1"/>
  <c r="H165" i="62"/>
  <c r="O164" i="62"/>
  <c r="L164" i="62"/>
  <c r="I164" i="62"/>
  <c r="F164" i="62"/>
  <c r="O163" i="62"/>
  <c r="L163" i="62"/>
  <c r="I163" i="62"/>
  <c r="F163" i="62"/>
  <c r="O162" i="62"/>
  <c r="L162" i="62"/>
  <c r="I162" i="62"/>
  <c r="F162" i="62"/>
  <c r="O161" i="62"/>
  <c r="O160" i="62" s="1"/>
  <c r="L161" i="62"/>
  <c r="L160" i="62" s="1"/>
  <c r="I161" i="62"/>
  <c r="F161" i="62"/>
  <c r="F160" i="62" s="1"/>
  <c r="N160" i="62"/>
  <c r="M160" i="62"/>
  <c r="K160" i="62"/>
  <c r="J160" i="62"/>
  <c r="I160" i="62"/>
  <c r="H160" i="62"/>
  <c r="G160" i="62"/>
  <c r="E160" i="62"/>
  <c r="D160" i="62"/>
  <c r="O159" i="62"/>
  <c r="L159" i="62"/>
  <c r="I159" i="62"/>
  <c r="F159" i="62"/>
  <c r="O158" i="62"/>
  <c r="L158" i="62"/>
  <c r="I158" i="62"/>
  <c r="F158" i="62"/>
  <c r="O157" i="62"/>
  <c r="L157" i="62"/>
  <c r="I157" i="62"/>
  <c r="F157" i="62"/>
  <c r="O156" i="62"/>
  <c r="L156" i="62"/>
  <c r="I156" i="62"/>
  <c r="F156" i="62"/>
  <c r="O155" i="62"/>
  <c r="L155" i="62"/>
  <c r="I155" i="62"/>
  <c r="F155" i="62"/>
  <c r="O154" i="62"/>
  <c r="L154" i="62"/>
  <c r="I154" i="62"/>
  <c r="F154" i="62"/>
  <c r="O153" i="62"/>
  <c r="L153" i="62"/>
  <c r="I153" i="62"/>
  <c r="F153" i="62"/>
  <c r="O152" i="62"/>
  <c r="L152" i="62"/>
  <c r="I152" i="62"/>
  <c r="F152" i="62"/>
  <c r="N151" i="62"/>
  <c r="M151" i="62"/>
  <c r="K151" i="62"/>
  <c r="J151" i="62"/>
  <c r="H151" i="62"/>
  <c r="G151" i="62"/>
  <c r="E151" i="62"/>
  <c r="D151" i="62"/>
  <c r="O150" i="62"/>
  <c r="L150" i="62"/>
  <c r="I150" i="62"/>
  <c r="F150" i="62"/>
  <c r="C150" i="62"/>
  <c r="O149" i="62"/>
  <c r="L149" i="62"/>
  <c r="I149" i="62"/>
  <c r="F149" i="62"/>
  <c r="C149" i="62" s="1"/>
  <c r="O148" i="62"/>
  <c r="L148" i="62"/>
  <c r="I148" i="62"/>
  <c r="F148" i="62"/>
  <c r="O147" i="62"/>
  <c r="L147" i="62"/>
  <c r="I147" i="62"/>
  <c r="F147" i="62"/>
  <c r="O146" i="62"/>
  <c r="L146" i="62"/>
  <c r="I146" i="62"/>
  <c r="F146" i="62"/>
  <c r="O145" i="62"/>
  <c r="L145" i="62"/>
  <c r="I145" i="62"/>
  <c r="F145" i="62"/>
  <c r="C145" i="62" s="1"/>
  <c r="N144" i="62"/>
  <c r="M144" i="62"/>
  <c r="K144" i="62"/>
  <c r="J144" i="62"/>
  <c r="H144" i="62"/>
  <c r="G144" i="62"/>
  <c r="E144" i="62"/>
  <c r="D144" i="62"/>
  <c r="O143" i="62"/>
  <c r="L143" i="62"/>
  <c r="I143" i="62"/>
  <c r="F143" i="62"/>
  <c r="O142" i="62"/>
  <c r="L142" i="62"/>
  <c r="I142" i="62"/>
  <c r="F142" i="62"/>
  <c r="F141" i="62" s="1"/>
  <c r="O141" i="62"/>
  <c r="N141" i="62"/>
  <c r="M141" i="62"/>
  <c r="K141" i="62"/>
  <c r="J141" i="62"/>
  <c r="H141" i="62"/>
  <c r="G141" i="62"/>
  <c r="E141" i="62"/>
  <c r="D141" i="62"/>
  <c r="O140" i="62"/>
  <c r="L140" i="62"/>
  <c r="I140" i="62"/>
  <c r="F140" i="62"/>
  <c r="O139" i="62"/>
  <c r="L139" i="62"/>
  <c r="I139" i="62"/>
  <c r="F139" i="62"/>
  <c r="O138" i="62"/>
  <c r="L138" i="62"/>
  <c r="I138" i="62"/>
  <c r="F138" i="62"/>
  <c r="O137" i="62"/>
  <c r="O136" i="62" s="1"/>
  <c r="L137" i="62"/>
  <c r="I137" i="62"/>
  <c r="F137" i="62"/>
  <c r="F136" i="62" s="1"/>
  <c r="N136" i="62"/>
  <c r="M136" i="62"/>
  <c r="K136" i="62"/>
  <c r="J136" i="62"/>
  <c r="H136" i="62"/>
  <c r="G136" i="62"/>
  <c r="E136" i="62"/>
  <c r="D136" i="62"/>
  <c r="O135" i="62"/>
  <c r="L135" i="62"/>
  <c r="I135" i="62"/>
  <c r="F135" i="62"/>
  <c r="O134" i="62"/>
  <c r="L134" i="62"/>
  <c r="I134" i="62"/>
  <c r="F134" i="62"/>
  <c r="O133" i="62"/>
  <c r="L133" i="62"/>
  <c r="I133" i="62"/>
  <c r="F133" i="62"/>
  <c r="O132" i="62"/>
  <c r="L132" i="62"/>
  <c r="I132" i="62"/>
  <c r="I131" i="62" s="1"/>
  <c r="F132" i="62"/>
  <c r="N131" i="62"/>
  <c r="M131" i="62"/>
  <c r="K131" i="62"/>
  <c r="J131" i="62"/>
  <c r="H131" i="62"/>
  <c r="G131" i="62"/>
  <c r="F131" i="62"/>
  <c r="E131" i="62"/>
  <c r="D131" i="62"/>
  <c r="G130" i="62"/>
  <c r="O129" i="62"/>
  <c r="O128" i="62" s="1"/>
  <c r="L129" i="62"/>
  <c r="I129" i="62"/>
  <c r="I128" i="62" s="1"/>
  <c r="F129" i="62"/>
  <c r="F128" i="62" s="1"/>
  <c r="N128" i="62"/>
  <c r="M128" i="62"/>
  <c r="L128" i="62"/>
  <c r="K128" i="62"/>
  <c r="J128" i="62"/>
  <c r="H128" i="62"/>
  <c r="G128" i="62"/>
  <c r="E128" i="62"/>
  <c r="D128" i="62"/>
  <c r="O127" i="62"/>
  <c r="L127" i="62"/>
  <c r="I127" i="62"/>
  <c r="F127" i="62"/>
  <c r="O126" i="62"/>
  <c r="L126" i="62"/>
  <c r="I126" i="62"/>
  <c r="F126" i="62"/>
  <c r="O125" i="62"/>
  <c r="L125" i="62"/>
  <c r="I125" i="62"/>
  <c r="F125" i="62"/>
  <c r="O124" i="62"/>
  <c r="L124" i="62"/>
  <c r="I124" i="62"/>
  <c r="F124" i="62"/>
  <c r="O123" i="62"/>
  <c r="L123" i="62"/>
  <c r="L122" i="62" s="1"/>
  <c r="I123" i="62"/>
  <c r="F123" i="62"/>
  <c r="N122" i="62"/>
  <c r="M122" i="62"/>
  <c r="K122" i="62"/>
  <c r="J122" i="62"/>
  <c r="H122" i="62"/>
  <c r="G122" i="62"/>
  <c r="E122" i="62"/>
  <c r="D122" i="62"/>
  <c r="O121" i="62"/>
  <c r="L121" i="62"/>
  <c r="I121" i="62"/>
  <c r="F121" i="62"/>
  <c r="O120" i="62"/>
  <c r="L120" i="62"/>
  <c r="I120" i="62"/>
  <c r="F120" i="62"/>
  <c r="O119" i="62"/>
  <c r="L119" i="62"/>
  <c r="I119" i="62"/>
  <c r="F119" i="62"/>
  <c r="O118" i="62"/>
  <c r="L118" i="62"/>
  <c r="I118" i="62"/>
  <c r="F118" i="62"/>
  <c r="O117" i="62"/>
  <c r="O116" i="62" s="1"/>
  <c r="L117" i="62"/>
  <c r="I117" i="62"/>
  <c r="F117" i="62"/>
  <c r="N116" i="62"/>
  <c r="M116" i="62"/>
  <c r="K116" i="62"/>
  <c r="J116" i="62"/>
  <c r="H116" i="62"/>
  <c r="G116" i="62"/>
  <c r="E116" i="62"/>
  <c r="D116" i="62"/>
  <c r="O115" i="62"/>
  <c r="L115" i="62"/>
  <c r="I115" i="62"/>
  <c r="F115" i="62"/>
  <c r="O114" i="62"/>
  <c r="L114" i="62"/>
  <c r="I114" i="62"/>
  <c r="F114" i="62"/>
  <c r="O113" i="62"/>
  <c r="O112" i="62" s="1"/>
  <c r="L113" i="62"/>
  <c r="I113" i="62"/>
  <c r="F113" i="62"/>
  <c r="F112" i="62" s="1"/>
  <c r="N112" i="62"/>
  <c r="M112" i="62"/>
  <c r="K112" i="62"/>
  <c r="J112" i="62"/>
  <c r="H112" i="62"/>
  <c r="G112" i="62"/>
  <c r="E112" i="62"/>
  <c r="D112" i="62"/>
  <c r="O111" i="62"/>
  <c r="L111" i="62"/>
  <c r="I111" i="62"/>
  <c r="F111" i="62"/>
  <c r="O110" i="62"/>
  <c r="L110" i="62"/>
  <c r="I110" i="62"/>
  <c r="F110" i="62"/>
  <c r="O109" i="62"/>
  <c r="L109" i="62"/>
  <c r="I109" i="62"/>
  <c r="F109" i="62"/>
  <c r="O108" i="62"/>
  <c r="L108" i="62"/>
  <c r="I108" i="62"/>
  <c r="F108" i="62"/>
  <c r="O107" i="62"/>
  <c r="L107" i="62"/>
  <c r="I107" i="62"/>
  <c r="F107" i="62"/>
  <c r="O106" i="62"/>
  <c r="L106" i="62"/>
  <c r="I106" i="62"/>
  <c r="F106" i="62"/>
  <c r="O105" i="62"/>
  <c r="L105" i="62"/>
  <c r="I105" i="62"/>
  <c r="F105" i="62"/>
  <c r="O104" i="62"/>
  <c r="L104" i="62"/>
  <c r="I104" i="62"/>
  <c r="F104" i="62"/>
  <c r="N103" i="62"/>
  <c r="M103" i="62"/>
  <c r="K103" i="62"/>
  <c r="J103" i="62"/>
  <c r="H103" i="62"/>
  <c r="G103" i="62"/>
  <c r="E103" i="62"/>
  <c r="D103" i="62"/>
  <c r="O102" i="62"/>
  <c r="L102" i="62"/>
  <c r="I102" i="62"/>
  <c r="F102" i="62"/>
  <c r="O101" i="62"/>
  <c r="L101" i="62"/>
  <c r="I101" i="62"/>
  <c r="F101" i="62"/>
  <c r="O100" i="62"/>
  <c r="L100" i="62"/>
  <c r="I100" i="62"/>
  <c r="F100" i="62"/>
  <c r="O99" i="62"/>
  <c r="L99" i="62"/>
  <c r="I99" i="62"/>
  <c r="F99" i="62"/>
  <c r="O98" i="62"/>
  <c r="L98" i="62"/>
  <c r="I98" i="62"/>
  <c r="F98" i="62"/>
  <c r="O97" i="62"/>
  <c r="L97" i="62"/>
  <c r="I97" i="62"/>
  <c r="F97" i="62"/>
  <c r="O96" i="62"/>
  <c r="L96" i="62"/>
  <c r="I96" i="62"/>
  <c r="I95" i="62" s="1"/>
  <c r="F96" i="62"/>
  <c r="N95" i="62"/>
  <c r="M95" i="62"/>
  <c r="K95" i="62"/>
  <c r="J95" i="62"/>
  <c r="H95" i="62"/>
  <c r="G95" i="62"/>
  <c r="E95" i="62"/>
  <c r="D95" i="62"/>
  <c r="O94" i="62"/>
  <c r="L94" i="62"/>
  <c r="I94" i="62"/>
  <c r="F94" i="62"/>
  <c r="O93" i="62"/>
  <c r="L93" i="62"/>
  <c r="I93" i="62"/>
  <c r="F93" i="62"/>
  <c r="O92" i="62"/>
  <c r="L92" i="62"/>
  <c r="I92" i="62"/>
  <c r="F92" i="62"/>
  <c r="O91" i="62"/>
  <c r="L91" i="62"/>
  <c r="I91" i="62"/>
  <c r="F91" i="62"/>
  <c r="O90" i="62"/>
  <c r="O89" i="62" s="1"/>
  <c r="L90" i="62"/>
  <c r="I90" i="62"/>
  <c r="F90" i="62"/>
  <c r="N89" i="62"/>
  <c r="M89" i="62"/>
  <c r="L89" i="62"/>
  <c r="K89" i="62"/>
  <c r="J89" i="62"/>
  <c r="H89" i="62"/>
  <c r="G89" i="62"/>
  <c r="E89" i="62"/>
  <c r="D89" i="62"/>
  <c r="O88" i="62"/>
  <c r="L88" i="62"/>
  <c r="I88" i="62"/>
  <c r="F88" i="62"/>
  <c r="O87" i="62"/>
  <c r="L87" i="62"/>
  <c r="I87" i="62"/>
  <c r="F87" i="62"/>
  <c r="O86" i="62"/>
  <c r="L86" i="62"/>
  <c r="I86" i="62"/>
  <c r="F86" i="62"/>
  <c r="O85" i="62"/>
  <c r="L85" i="62"/>
  <c r="L84" i="62" s="1"/>
  <c r="I85" i="62"/>
  <c r="I84" i="62" s="1"/>
  <c r="F85" i="62"/>
  <c r="F84" i="62" s="1"/>
  <c r="N84" i="62"/>
  <c r="M84" i="62"/>
  <c r="K84" i="62"/>
  <c r="J84" i="62"/>
  <c r="H84" i="62"/>
  <c r="G84" i="62"/>
  <c r="E84" i="62"/>
  <c r="D84" i="62"/>
  <c r="O82" i="62"/>
  <c r="L82" i="62"/>
  <c r="I82" i="62"/>
  <c r="E82" i="62"/>
  <c r="O81" i="62"/>
  <c r="L81" i="62"/>
  <c r="I81" i="62"/>
  <c r="I80" i="62" s="1"/>
  <c r="E81" i="62"/>
  <c r="F81" i="62" s="1"/>
  <c r="O80" i="62"/>
  <c r="N80" i="62"/>
  <c r="M80" i="62"/>
  <c r="K80" i="62"/>
  <c r="K76" i="62" s="1"/>
  <c r="J80" i="62"/>
  <c r="J76" i="62" s="1"/>
  <c r="H80" i="62"/>
  <c r="G80" i="62"/>
  <c r="D80" i="62"/>
  <c r="O79" i="62"/>
  <c r="L79" i="62"/>
  <c r="C79" i="62" s="1"/>
  <c r="I79" i="62"/>
  <c r="F79" i="62"/>
  <c r="O78" i="62"/>
  <c r="L78" i="62"/>
  <c r="I78" i="62"/>
  <c r="F78" i="62"/>
  <c r="N77" i="62"/>
  <c r="M77" i="62"/>
  <c r="M76" i="62" s="1"/>
  <c r="K77" i="62"/>
  <c r="J77" i="62"/>
  <c r="I77" i="62"/>
  <c r="H77" i="62"/>
  <c r="H76" i="62" s="1"/>
  <c r="G77" i="62"/>
  <c r="F77" i="62"/>
  <c r="E77" i="62"/>
  <c r="D77" i="62"/>
  <c r="D76" i="62" s="1"/>
  <c r="G76" i="62"/>
  <c r="O74" i="62"/>
  <c r="L74" i="62"/>
  <c r="I74" i="62"/>
  <c r="F74" i="62"/>
  <c r="O73" i="62"/>
  <c r="L73" i="62"/>
  <c r="I73" i="62"/>
  <c r="F73" i="62"/>
  <c r="O72" i="62"/>
  <c r="L72" i="62"/>
  <c r="I72" i="62"/>
  <c r="F72" i="62"/>
  <c r="O71" i="62"/>
  <c r="L71" i="62"/>
  <c r="I71" i="62"/>
  <c r="F71" i="62"/>
  <c r="O70" i="62"/>
  <c r="L70" i="62"/>
  <c r="I70" i="62"/>
  <c r="F70" i="62"/>
  <c r="N69" i="62"/>
  <c r="N67" i="62" s="1"/>
  <c r="M69" i="62"/>
  <c r="M67" i="62" s="1"/>
  <c r="K69" i="62"/>
  <c r="J69" i="62"/>
  <c r="J67" i="62" s="1"/>
  <c r="H69" i="62"/>
  <c r="H67" i="62" s="1"/>
  <c r="G69" i="62"/>
  <c r="E69" i="62"/>
  <c r="E67" i="62" s="1"/>
  <c r="D69" i="62"/>
  <c r="D67" i="62" s="1"/>
  <c r="O68" i="62"/>
  <c r="L68" i="62"/>
  <c r="I68" i="62"/>
  <c r="F68" i="62"/>
  <c r="K67" i="62"/>
  <c r="G67" i="62"/>
  <c r="O66" i="62"/>
  <c r="L66" i="62"/>
  <c r="I66" i="62"/>
  <c r="F66" i="62"/>
  <c r="O65" i="62"/>
  <c r="L65" i="62"/>
  <c r="I65" i="62"/>
  <c r="F65" i="62"/>
  <c r="O64" i="62"/>
  <c r="L64" i="62"/>
  <c r="I64" i="62"/>
  <c r="F64" i="62"/>
  <c r="O63" i="62"/>
  <c r="L63" i="62"/>
  <c r="I63" i="62"/>
  <c r="F63" i="62"/>
  <c r="O62" i="62"/>
  <c r="L62" i="62"/>
  <c r="I62" i="62"/>
  <c r="F62" i="62"/>
  <c r="O61" i="62"/>
  <c r="L61" i="62"/>
  <c r="I61" i="62"/>
  <c r="F61" i="62"/>
  <c r="O60" i="62"/>
  <c r="L60" i="62"/>
  <c r="I60" i="62"/>
  <c r="F60" i="62"/>
  <c r="O59" i="62"/>
  <c r="L59" i="62"/>
  <c r="I59" i="62"/>
  <c r="F59" i="62"/>
  <c r="F58" i="62" s="1"/>
  <c r="N58" i="62"/>
  <c r="M58" i="62"/>
  <c r="K58" i="62"/>
  <c r="J58" i="62"/>
  <c r="H58" i="62"/>
  <c r="G58" i="62"/>
  <c r="E58" i="62"/>
  <c r="D58" i="62"/>
  <c r="O57" i="62"/>
  <c r="L57" i="62"/>
  <c r="I57" i="62"/>
  <c r="F57" i="62"/>
  <c r="O56" i="62"/>
  <c r="L56" i="62"/>
  <c r="I56" i="62"/>
  <c r="F56" i="62"/>
  <c r="O55" i="62"/>
  <c r="N55" i="62"/>
  <c r="M55" i="62"/>
  <c r="K55" i="62"/>
  <c r="J55" i="62"/>
  <c r="J54" i="62" s="1"/>
  <c r="H55" i="62"/>
  <c r="G55" i="62"/>
  <c r="G54" i="62" s="1"/>
  <c r="G53" i="62" s="1"/>
  <c r="F55" i="62"/>
  <c r="E55" i="62"/>
  <c r="D55" i="62"/>
  <c r="D54" i="62"/>
  <c r="O47" i="62"/>
  <c r="C47" i="62"/>
  <c r="O46" i="62"/>
  <c r="N45" i="62"/>
  <c r="M45" i="62"/>
  <c r="L44" i="62"/>
  <c r="L43" i="62" s="1"/>
  <c r="I44" i="62"/>
  <c r="I43" i="62" s="1"/>
  <c r="F44" i="62"/>
  <c r="F43" i="62" s="1"/>
  <c r="K43" i="62"/>
  <c r="J43" i="62"/>
  <c r="H43" i="62"/>
  <c r="H20" i="62" s="1"/>
  <c r="G43" i="62"/>
  <c r="E43" i="62"/>
  <c r="D43" i="62"/>
  <c r="F42" i="62"/>
  <c r="E41" i="62"/>
  <c r="D41" i="62"/>
  <c r="L40" i="62"/>
  <c r="C40" i="62" s="1"/>
  <c r="L39" i="62"/>
  <c r="C39" i="62" s="1"/>
  <c r="L38" i="62"/>
  <c r="C38" i="62" s="1"/>
  <c r="L37" i="62"/>
  <c r="K36" i="62"/>
  <c r="J36" i="62"/>
  <c r="L35" i="62"/>
  <c r="C35" i="62" s="1"/>
  <c r="L34" i="62"/>
  <c r="K33" i="62"/>
  <c r="J33" i="62"/>
  <c r="L32" i="62"/>
  <c r="C32" i="62"/>
  <c r="L31" i="62"/>
  <c r="C31" i="62" s="1"/>
  <c r="K31" i="62"/>
  <c r="J31" i="62"/>
  <c r="L30" i="62"/>
  <c r="C30" i="62" s="1"/>
  <c r="L29" i="62"/>
  <c r="C29" i="62" s="1"/>
  <c r="L28" i="62"/>
  <c r="K27" i="62"/>
  <c r="J27" i="62"/>
  <c r="E25" i="62"/>
  <c r="F25" i="62" s="1"/>
  <c r="C25" i="62" s="1"/>
  <c r="I24" i="62"/>
  <c r="F24" i="62"/>
  <c r="O23" i="62"/>
  <c r="L23" i="62"/>
  <c r="I23" i="62"/>
  <c r="F23" i="62"/>
  <c r="O22" i="62"/>
  <c r="L22" i="62"/>
  <c r="L21" i="62" s="1"/>
  <c r="I22" i="62"/>
  <c r="I21" i="62" s="1"/>
  <c r="F22" i="62"/>
  <c r="N21" i="62"/>
  <c r="N292" i="62" s="1"/>
  <c r="N291" i="62" s="1"/>
  <c r="M21" i="62"/>
  <c r="K21" i="62"/>
  <c r="K292" i="62" s="1"/>
  <c r="K291" i="62" s="1"/>
  <c r="J21" i="62"/>
  <c r="H21" i="62"/>
  <c r="H292" i="62" s="1"/>
  <c r="G21" i="62"/>
  <c r="G292" i="62" s="1"/>
  <c r="G291" i="62" s="1"/>
  <c r="E21" i="62"/>
  <c r="D21" i="62"/>
  <c r="D187" i="62" l="1"/>
  <c r="D53" i="62"/>
  <c r="K26" i="62"/>
  <c r="J26" i="62"/>
  <c r="J20" i="62" s="1"/>
  <c r="C63" i="62"/>
  <c r="C117" i="62"/>
  <c r="J187" i="62"/>
  <c r="N54" i="62"/>
  <c r="N53" i="62" s="1"/>
  <c r="C93" i="62"/>
  <c r="C118" i="62"/>
  <c r="C24" i="62"/>
  <c r="I69" i="62"/>
  <c r="E187" i="62"/>
  <c r="K187" i="62"/>
  <c r="I187" i="62"/>
  <c r="J231" i="62"/>
  <c r="J230" i="62" s="1"/>
  <c r="J194" i="62" s="1"/>
  <c r="C258" i="62"/>
  <c r="C162" i="62"/>
  <c r="M174" i="62"/>
  <c r="M173" i="62" s="1"/>
  <c r="H187" i="62"/>
  <c r="O187" i="62"/>
  <c r="C222" i="62"/>
  <c r="D259" i="62"/>
  <c r="C201" i="62"/>
  <c r="J195" i="62"/>
  <c r="C209" i="62"/>
  <c r="C220" i="62"/>
  <c r="C221" i="62"/>
  <c r="C236" i="62"/>
  <c r="C265" i="62"/>
  <c r="K270" i="62"/>
  <c r="K269" i="62" s="1"/>
  <c r="C280" i="62"/>
  <c r="C62" i="62"/>
  <c r="N76" i="62"/>
  <c r="K83" i="62"/>
  <c r="K75" i="62" s="1"/>
  <c r="N83" i="62"/>
  <c r="C138" i="62"/>
  <c r="K130" i="62"/>
  <c r="C153" i="62"/>
  <c r="C172" i="62"/>
  <c r="E54" i="62"/>
  <c r="E53" i="62" s="1"/>
  <c r="J53" i="62"/>
  <c r="C70" i="62"/>
  <c r="C71" i="62"/>
  <c r="O69" i="62"/>
  <c r="O67" i="62" s="1"/>
  <c r="M83" i="62"/>
  <c r="C106" i="62"/>
  <c r="C109" i="62"/>
  <c r="O131" i="62"/>
  <c r="C157" i="62"/>
  <c r="C159" i="62"/>
  <c r="O166" i="62"/>
  <c r="O165" i="62" s="1"/>
  <c r="C183" i="62"/>
  <c r="N173" i="62"/>
  <c r="L187" i="62"/>
  <c r="C202" i="62"/>
  <c r="K204" i="62"/>
  <c r="C224" i="62"/>
  <c r="C229" i="62"/>
  <c r="D231" i="62"/>
  <c r="H231" i="62"/>
  <c r="M259" i="62"/>
  <c r="C266" i="62"/>
  <c r="M269" i="62"/>
  <c r="G270" i="62"/>
  <c r="G269" i="62" s="1"/>
  <c r="C282" i="62"/>
  <c r="C128" i="62"/>
  <c r="I76" i="62"/>
  <c r="C86" i="62"/>
  <c r="I141" i="62"/>
  <c r="C171" i="62"/>
  <c r="J292" i="62"/>
  <c r="J291" i="62" s="1"/>
  <c r="C23" i="62"/>
  <c r="H54" i="62"/>
  <c r="H53" i="62" s="1"/>
  <c r="D83" i="62"/>
  <c r="C107" i="62"/>
  <c r="J130" i="62"/>
  <c r="C132" i="62"/>
  <c r="C168" i="62"/>
  <c r="G174" i="62"/>
  <c r="G173" i="62" s="1"/>
  <c r="I175" i="62"/>
  <c r="I179" i="62"/>
  <c r="N187" i="62"/>
  <c r="C212" i="62"/>
  <c r="I216" i="62"/>
  <c r="C232" i="62"/>
  <c r="I235" i="62"/>
  <c r="N231" i="62"/>
  <c r="N230" i="62" s="1"/>
  <c r="N194" i="62" s="1"/>
  <c r="C253" i="62"/>
  <c r="E259" i="62"/>
  <c r="K259" i="62"/>
  <c r="I264" i="62"/>
  <c r="N259" i="62"/>
  <c r="D270" i="62"/>
  <c r="D269" i="62" s="1"/>
  <c r="N270" i="62"/>
  <c r="N269" i="62" s="1"/>
  <c r="C43" i="62"/>
  <c r="C90" i="62"/>
  <c r="C113" i="62"/>
  <c r="L235" i="62"/>
  <c r="H291" i="62"/>
  <c r="C56" i="62"/>
  <c r="M54" i="62"/>
  <c r="M53" i="62" s="1"/>
  <c r="C66" i="62"/>
  <c r="C68" i="62"/>
  <c r="C74" i="62"/>
  <c r="C78" i="62"/>
  <c r="O77" i="62"/>
  <c r="O76" i="62" s="1"/>
  <c r="L80" i="62"/>
  <c r="E83" i="62"/>
  <c r="G83" i="62"/>
  <c r="G75" i="62" s="1"/>
  <c r="C91" i="62"/>
  <c r="C97" i="62"/>
  <c r="C102" i="62"/>
  <c r="C111" i="62"/>
  <c r="C126" i="62"/>
  <c r="C137" i="62"/>
  <c r="C142" i="62"/>
  <c r="C147" i="62"/>
  <c r="C158" i="62"/>
  <c r="C161" i="62"/>
  <c r="C170" i="62"/>
  <c r="D173" i="62"/>
  <c r="C176" i="62"/>
  <c r="C180" i="62"/>
  <c r="C189" i="62"/>
  <c r="C190" i="62"/>
  <c r="C193" i="62"/>
  <c r="O198" i="62"/>
  <c r="O205" i="62"/>
  <c r="H204" i="62"/>
  <c r="H195" i="62" s="1"/>
  <c r="C223" i="62"/>
  <c r="C234" i="62"/>
  <c r="C242" i="62"/>
  <c r="C250" i="62"/>
  <c r="C257" i="62"/>
  <c r="E270" i="62"/>
  <c r="E269" i="62" s="1"/>
  <c r="O272" i="62"/>
  <c r="O270" i="62" s="1"/>
  <c r="O269" i="62" s="1"/>
  <c r="L286" i="62"/>
  <c r="L292" i="62" s="1"/>
  <c r="L95" i="62"/>
  <c r="C133" i="62"/>
  <c r="C169" i="62"/>
  <c r="G20" i="62"/>
  <c r="C60" i="62"/>
  <c r="C65" i="62"/>
  <c r="C73" i="62"/>
  <c r="I89" i="62"/>
  <c r="J83" i="62"/>
  <c r="C96" i="62"/>
  <c r="C101" i="62"/>
  <c r="C105" i="62"/>
  <c r="C110" i="62"/>
  <c r="I112" i="62"/>
  <c r="C121" i="62"/>
  <c r="C125" i="62"/>
  <c r="C135" i="62"/>
  <c r="C146" i="62"/>
  <c r="I151" i="62"/>
  <c r="C156" i="62"/>
  <c r="C160" i="62"/>
  <c r="C164" i="62"/>
  <c r="L165" i="62"/>
  <c r="C184" i="62"/>
  <c r="C185" i="62"/>
  <c r="C186" i="62"/>
  <c r="C200" i="62"/>
  <c r="G204" i="62"/>
  <c r="G195" i="62" s="1"/>
  <c r="C206" i="62"/>
  <c r="C213" i="62"/>
  <c r="C215" i="62"/>
  <c r="C225" i="62"/>
  <c r="D204" i="62"/>
  <c r="D195" i="62" s="1"/>
  <c r="F238" i="62"/>
  <c r="C240" i="62"/>
  <c r="I252" i="62"/>
  <c r="I251" i="62" s="1"/>
  <c r="C268" i="62"/>
  <c r="C275" i="62"/>
  <c r="F281" i="62"/>
  <c r="C281" i="62" s="1"/>
  <c r="F293" i="62"/>
  <c r="C295" i="62"/>
  <c r="L293" i="62"/>
  <c r="F21" i="62"/>
  <c r="C22" i="62"/>
  <c r="O21" i="62"/>
  <c r="O292" i="62" s="1"/>
  <c r="D20" i="62"/>
  <c r="K54" i="62"/>
  <c r="K53" i="62" s="1"/>
  <c r="C59" i="62"/>
  <c r="O58" i="62"/>
  <c r="O54" i="62" s="1"/>
  <c r="O53" i="62" s="1"/>
  <c r="C64" i="62"/>
  <c r="I67" i="62"/>
  <c r="L69" i="62"/>
  <c r="L67" i="62" s="1"/>
  <c r="L77" i="62"/>
  <c r="L76" i="62" s="1"/>
  <c r="C81" i="62"/>
  <c r="H83" i="62"/>
  <c r="C87" i="62"/>
  <c r="C88" i="62"/>
  <c r="C94" i="62"/>
  <c r="I103" i="62"/>
  <c r="C108" i="62"/>
  <c r="C114" i="62"/>
  <c r="C119" i="62"/>
  <c r="C127" i="62"/>
  <c r="E130" i="62"/>
  <c r="N130" i="62"/>
  <c r="L131" i="62"/>
  <c r="C139" i="62"/>
  <c r="C155" i="62"/>
  <c r="C163" i="62"/>
  <c r="K174" i="62"/>
  <c r="K173" i="62" s="1"/>
  <c r="C177" i="62"/>
  <c r="C181" i="62"/>
  <c r="O179" i="62"/>
  <c r="O174" i="62" s="1"/>
  <c r="O173" i="62" s="1"/>
  <c r="K195" i="62"/>
  <c r="I196" i="62"/>
  <c r="C214" i="62"/>
  <c r="C217" i="62"/>
  <c r="O216" i="62"/>
  <c r="C226" i="62"/>
  <c r="E204" i="62"/>
  <c r="E195" i="62" s="1"/>
  <c r="E231" i="62"/>
  <c r="E230" i="62" s="1"/>
  <c r="I238" i="62"/>
  <c r="C245" i="62"/>
  <c r="C248" i="62"/>
  <c r="C254" i="62"/>
  <c r="L272" i="62"/>
  <c r="C277" i="62"/>
  <c r="I286" i="62"/>
  <c r="I292" i="62" s="1"/>
  <c r="I291" i="62" s="1"/>
  <c r="C294" i="62"/>
  <c r="C297" i="62"/>
  <c r="K20" i="62"/>
  <c r="C28" i="62"/>
  <c r="L27" i="62"/>
  <c r="C34" i="62"/>
  <c r="L33" i="62"/>
  <c r="C33" i="62" s="1"/>
  <c r="C46" i="62"/>
  <c r="O45" i="62"/>
  <c r="F54" i="62"/>
  <c r="C92" i="62"/>
  <c r="F89" i="62"/>
  <c r="O144" i="62"/>
  <c r="C301" i="62"/>
  <c r="M20" i="62"/>
  <c r="M292" i="62"/>
  <c r="M291" i="62" s="1"/>
  <c r="I122" i="62"/>
  <c r="C123" i="62"/>
  <c r="E20" i="62"/>
  <c r="I20" i="62"/>
  <c r="C42" i="62"/>
  <c r="F41" i="62"/>
  <c r="L55" i="62"/>
  <c r="L58" i="62"/>
  <c r="O95" i="62"/>
  <c r="C131" i="62"/>
  <c r="F272" i="62"/>
  <c r="C273" i="62"/>
  <c r="I58" i="62"/>
  <c r="F69" i="62"/>
  <c r="C98" i="62"/>
  <c r="L112" i="62"/>
  <c r="L116" i="62"/>
  <c r="F116" i="62"/>
  <c r="O122" i="62"/>
  <c r="C134" i="62"/>
  <c r="H130" i="62"/>
  <c r="L136" i="62"/>
  <c r="L141" i="62"/>
  <c r="L144" i="62"/>
  <c r="F144" i="62"/>
  <c r="L151" i="62"/>
  <c r="C154" i="62"/>
  <c r="F166" i="62"/>
  <c r="I166" i="62"/>
  <c r="I165" i="62" s="1"/>
  <c r="C167" i="62"/>
  <c r="C182" i="62"/>
  <c r="F179" i="62"/>
  <c r="F187" i="62"/>
  <c r="C188" i="62"/>
  <c r="C211" i="62"/>
  <c r="F205" i="62"/>
  <c r="C285" i="62"/>
  <c r="L284" i="62"/>
  <c r="J75" i="62"/>
  <c r="C37" i="62"/>
  <c r="L36" i="62"/>
  <c r="C36" i="62" s="1"/>
  <c r="E76" i="62"/>
  <c r="F95" i="62"/>
  <c r="C178" i="62"/>
  <c r="F175" i="62"/>
  <c r="N20" i="62"/>
  <c r="C44" i="62"/>
  <c r="C57" i="62"/>
  <c r="I55" i="62"/>
  <c r="C61" i="62"/>
  <c r="C72" i="62"/>
  <c r="E80" i="62"/>
  <c r="F82" i="62"/>
  <c r="C85" i="62"/>
  <c r="O84" i="62"/>
  <c r="C84" i="62" s="1"/>
  <c r="C99" i="62"/>
  <c r="C100" i="62"/>
  <c r="F103" i="62"/>
  <c r="C104" i="62"/>
  <c r="O103" i="62"/>
  <c r="L103" i="62"/>
  <c r="C115" i="62"/>
  <c r="I116" i="62"/>
  <c r="C120" i="62"/>
  <c r="F122" i="62"/>
  <c r="C124" i="62"/>
  <c r="C129" i="62"/>
  <c r="M130" i="62"/>
  <c r="D130" i="62"/>
  <c r="I136" i="62"/>
  <c r="C136" i="62" s="1"/>
  <c r="C140" i="62"/>
  <c r="C143" i="62"/>
  <c r="I144" i="62"/>
  <c r="C148" i="62"/>
  <c r="F151" i="62"/>
  <c r="C152" i="62"/>
  <c r="O151" i="62"/>
  <c r="H174" i="62"/>
  <c r="H173" i="62" s="1"/>
  <c r="G187" i="62"/>
  <c r="F191" i="62"/>
  <c r="C191" i="62" s="1"/>
  <c r="C192" i="62"/>
  <c r="C218" i="62"/>
  <c r="L216" i="62"/>
  <c r="C262" i="62"/>
  <c r="I260" i="62"/>
  <c r="I259" i="62" s="1"/>
  <c r="O196" i="62"/>
  <c r="L270" i="62"/>
  <c r="L269" i="62" s="1"/>
  <c r="C300" i="62"/>
  <c r="C197" i="62"/>
  <c r="L205" i="62"/>
  <c r="M204" i="62"/>
  <c r="M195" i="62" s="1"/>
  <c r="C228" i="62"/>
  <c r="F227" i="62"/>
  <c r="C227" i="62" s="1"/>
  <c r="K231" i="62"/>
  <c r="M231" i="62"/>
  <c r="M230" i="62" s="1"/>
  <c r="L238" i="62"/>
  <c r="C244" i="62"/>
  <c r="L252" i="62"/>
  <c r="L251" i="62" s="1"/>
  <c r="C278" i="62"/>
  <c r="I276" i="62"/>
  <c r="C276" i="62" s="1"/>
  <c r="L175" i="62"/>
  <c r="L179" i="62"/>
  <c r="C199" i="62"/>
  <c r="F198" i="62"/>
  <c r="C198" i="62" s="1"/>
  <c r="C208" i="62"/>
  <c r="G231" i="62"/>
  <c r="G230" i="62" s="1"/>
  <c r="L233" i="62"/>
  <c r="C233" i="62" s="1"/>
  <c r="C237" i="62"/>
  <c r="O238" i="62"/>
  <c r="O231" i="62" s="1"/>
  <c r="O230" i="62" s="1"/>
  <c r="C247" i="62"/>
  <c r="F246" i="62"/>
  <c r="O246" i="62"/>
  <c r="C256" i="62"/>
  <c r="C261" i="62"/>
  <c r="C263" i="62"/>
  <c r="L264" i="62"/>
  <c r="C264" i="62" s="1"/>
  <c r="C207" i="62"/>
  <c r="C219" i="62"/>
  <c r="H230" i="62"/>
  <c r="C243" i="62"/>
  <c r="L246" i="62"/>
  <c r="C255" i="62"/>
  <c r="C267" i="62"/>
  <c r="C287" i="62"/>
  <c r="O293" i="62"/>
  <c r="C203" i="62"/>
  <c r="I205" i="62"/>
  <c r="I204" i="62" s="1"/>
  <c r="D230" i="62"/>
  <c r="C239" i="62"/>
  <c r="F260" i="62"/>
  <c r="C271" i="62"/>
  <c r="H270" i="62"/>
  <c r="H269" i="62" s="1"/>
  <c r="C279" i="62"/>
  <c r="C235" i="62" l="1"/>
  <c r="C58" i="62"/>
  <c r="H75" i="62"/>
  <c r="H52" i="62" s="1"/>
  <c r="I195" i="62"/>
  <c r="F231" i="62"/>
  <c r="C112" i="62"/>
  <c r="O204" i="62"/>
  <c r="I83" i="62"/>
  <c r="G194" i="62"/>
  <c r="C187" i="62"/>
  <c r="C251" i="62"/>
  <c r="M75" i="62"/>
  <c r="M52" i="62" s="1"/>
  <c r="E194" i="62"/>
  <c r="N75" i="62"/>
  <c r="C293" i="62"/>
  <c r="I174" i="62"/>
  <c r="I173" i="62" s="1"/>
  <c r="D75" i="62"/>
  <c r="D52" i="62" s="1"/>
  <c r="D194" i="62"/>
  <c r="K230" i="62"/>
  <c r="K194" i="62" s="1"/>
  <c r="C216" i="62"/>
  <c r="G52" i="62"/>
  <c r="J52" i="62"/>
  <c r="J51" i="62" s="1"/>
  <c r="J50" i="62" s="1"/>
  <c r="C141" i="62"/>
  <c r="I231" i="62"/>
  <c r="I230" i="62" s="1"/>
  <c r="N289" i="62"/>
  <c r="N52" i="62"/>
  <c r="N51" i="62" s="1"/>
  <c r="O291" i="62"/>
  <c r="C103" i="62"/>
  <c r="O20" i="62"/>
  <c r="C95" i="62"/>
  <c r="L130" i="62"/>
  <c r="C116" i="62"/>
  <c r="C21" i="62"/>
  <c r="C77" i="62"/>
  <c r="O130" i="62"/>
  <c r="K52" i="62"/>
  <c r="K51" i="62" s="1"/>
  <c r="K50" i="62" s="1"/>
  <c r="H194" i="62"/>
  <c r="O195" i="62"/>
  <c r="C238" i="62"/>
  <c r="L204" i="62"/>
  <c r="L195" i="62" s="1"/>
  <c r="D51" i="62"/>
  <c r="D288" i="62" s="1"/>
  <c r="C122" i="62"/>
  <c r="L83" i="62"/>
  <c r="E75" i="62"/>
  <c r="E52" i="62" s="1"/>
  <c r="M289" i="62"/>
  <c r="L259" i="62"/>
  <c r="J289" i="62"/>
  <c r="L54" i="62"/>
  <c r="L53" i="62" s="1"/>
  <c r="L291" i="62"/>
  <c r="I270" i="62"/>
  <c r="I269" i="62" s="1"/>
  <c r="J290" i="62"/>
  <c r="F204" i="62"/>
  <c r="C204" i="62" s="1"/>
  <c r="C205" i="62"/>
  <c r="C272" i="62"/>
  <c r="F270" i="62"/>
  <c r="L174" i="62"/>
  <c r="L173" i="62" s="1"/>
  <c r="O194" i="62"/>
  <c r="C55" i="62"/>
  <c r="I54" i="62"/>
  <c r="I53" i="62" s="1"/>
  <c r="L283" i="62"/>
  <c r="C283" i="62" s="1"/>
  <c r="C284" i="62"/>
  <c r="F165" i="62"/>
  <c r="C165" i="62" s="1"/>
  <c r="C166" i="62"/>
  <c r="F196" i="62"/>
  <c r="M194" i="62"/>
  <c r="M51" i="62" s="1"/>
  <c r="F174" i="62"/>
  <c r="C175" i="62"/>
  <c r="F67" i="62"/>
  <c r="C67" i="62" s="1"/>
  <c r="C69" i="62"/>
  <c r="C41" i="62"/>
  <c r="F20" i="62"/>
  <c r="C252" i="62"/>
  <c r="C45" i="62"/>
  <c r="C27" i="62"/>
  <c r="L26" i="62"/>
  <c r="C144" i="62"/>
  <c r="F130" i="62"/>
  <c r="I130" i="62"/>
  <c r="I75" i="62" s="1"/>
  <c r="G51" i="62"/>
  <c r="F259" i="62"/>
  <c r="C259" i="62" s="1"/>
  <c r="C260" i="62"/>
  <c r="G289" i="62"/>
  <c r="C82" i="62"/>
  <c r="F80" i="62"/>
  <c r="C179" i="62"/>
  <c r="H289" i="62"/>
  <c r="C246" i="62"/>
  <c r="L231" i="62"/>
  <c r="L230" i="62" s="1"/>
  <c r="C151" i="62"/>
  <c r="O83" i="62"/>
  <c r="C89" i="62"/>
  <c r="F83" i="62"/>
  <c r="N290" i="62" l="1"/>
  <c r="N50" i="62"/>
  <c r="C54" i="62"/>
  <c r="I194" i="62"/>
  <c r="D290" i="62"/>
  <c r="E51" i="62"/>
  <c r="H51" i="62"/>
  <c r="H290" i="62" s="1"/>
  <c r="L194" i="62"/>
  <c r="K290" i="62"/>
  <c r="F53" i="62"/>
  <c r="C53" i="62" s="1"/>
  <c r="L75" i="62"/>
  <c r="L52" i="62" s="1"/>
  <c r="K289" i="62"/>
  <c r="O75" i="62"/>
  <c r="O52" i="62" s="1"/>
  <c r="O51" i="62" s="1"/>
  <c r="O50" i="62" s="1"/>
  <c r="I289" i="62"/>
  <c r="C231" i="62"/>
  <c r="M50" i="62"/>
  <c r="M290" i="62"/>
  <c r="C83" i="62"/>
  <c r="C80" i="62"/>
  <c r="F76" i="62"/>
  <c r="C130" i="62"/>
  <c r="F195" i="62"/>
  <c r="C196" i="62"/>
  <c r="F230" i="62"/>
  <c r="C230" i="62" s="1"/>
  <c r="G50" i="62"/>
  <c r="G290" i="62"/>
  <c r="O290" i="62"/>
  <c r="I52" i="62"/>
  <c r="I51" i="62" s="1"/>
  <c r="C270" i="62"/>
  <c r="F269" i="62"/>
  <c r="C269" i="62" s="1"/>
  <c r="C26" i="62"/>
  <c r="L20" i="62"/>
  <c r="C20" i="62" s="1"/>
  <c r="C174" i="62"/>
  <c r="F173" i="62"/>
  <c r="C173" i="62" s="1"/>
  <c r="D286" i="62"/>
  <c r="H50" i="62" l="1"/>
  <c r="E288" i="62"/>
  <c r="E290" i="62"/>
  <c r="L51" i="62"/>
  <c r="L289" i="62"/>
  <c r="O289" i="62"/>
  <c r="F194" i="62"/>
  <c r="C194" i="62" s="1"/>
  <c r="C195" i="62"/>
  <c r="F75" i="62"/>
  <c r="C76" i="62"/>
  <c r="D289" i="62"/>
  <c r="D292" i="62"/>
  <c r="D291" i="62" s="1"/>
  <c r="D50" i="62"/>
  <c r="I290" i="62"/>
  <c r="I50" i="62"/>
  <c r="E286" i="62" l="1"/>
  <c r="F288" i="62"/>
  <c r="L50" i="62"/>
  <c r="L290" i="62"/>
  <c r="C75" i="62"/>
  <c r="F52" i="62"/>
  <c r="C288" i="62" l="1"/>
  <c r="F286" i="62"/>
  <c r="E292" i="62"/>
  <c r="E291" i="62" s="1"/>
  <c r="E289" i="62"/>
  <c r="E50" i="62"/>
  <c r="F51" i="62"/>
  <c r="C52" i="62"/>
  <c r="C286" i="62" l="1"/>
  <c r="F289" i="62"/>
  <c r="C289" i="62" s="1"/>
  <c r="F292" i="62"/>
  <c r="F290" i="62"/>
  <c r="C290" i="62" s="1"/>
  <c r="F50" i="62"/>
  <c r="C50" i="62" s="1"/>
  <c r="C51" i="62"/>
  <c r="C292" i="62" l="1"/>
  <c r="F291" i="62"/>
  <c r="C291" i="62" s="1"/>
  <c r="O301" i="61"/>
  <c r="L301" i="61"/>
  <c r="I301" i="61"/>
  <c r="F301" i="61"/>
  <c r="O300" i="61"/>
  <c r="L300" i="61"/>
  <c r="I300" i="61"/>
  <c r="F300" i="61"/>
  <c r="O299" i="61"/>
  <c r="L299" i="61"/>
  <c r="I299" i="61"/>
  <c r="F299" i="61"/>
  <c r="O298" i="61"/>
  <c r="L298" i="61"/>
  <c r="I298" i="61"/>
  <c r="F298" i="61"/>
  <c r="O297" i="61"/>
  <c r="L297" i="61"/>
  <c r="I297" i="61"/>
  <c r="F297" i="61"/>
  <c r="O296" i="61"/>
  <c r="L296" i="61"/>
  <c r="I296" i="61"/>
  <c r="F296" i="61"/>
  <c r="O295" i="61"/>
  <c r="L295" i="61"/>
  <c r="I295" i="61"/>
  <c r="F295" i="61"/>
  <c r="O294" i="61"/>
  <c r="O293" i="61" s="1"/>
  <c r="L294" i="61"/>
  <c r="I294" i="61"/>
  <c r="F294" i="61"/>
  <c r="N293" i="61"/>
  <c r="M293" i="61"/>
  <c r="K293" i="61"/>
  <c r="J293" i="61"/>
  <c r="H293" i="61"/>
  <c r="G293" i="61"/>
  <c r="E293" i="61"/>
  <c r="D293" i="61"/>
  <c r="O288" i="61"/>
  <c r="L288" i="61"/>
  <c r="I288" i="61"/>
  <c r="F288" i="61"/>
  <c r="O287" i="61"/>
  <c r="O286" i="61" s="1"/>
  <c r="L287" i="61"/>
  <c r="I287" i="61"/>
  <c r="F287" i="61"/>
  <c r="F286" i="61" s="1"/>
  <c r="N286" i="61"/>
  <c r="M286" i="61"/>
  <c r="K286" i="61"/>
  <c r="J286" i="61"/>
  <c r="H286" i="61"/>
  <c r="G286" i="61"/>
  <c r="E286" i="61"/>
  <c r="D286" i="61"/>
  <c r="O285" i="61"/>
  <c r="L285" i="61"/>
  <c r="L284" i="61" s="1"/>
  <c r="L283" i="61" s="1"/>
  <c r="I285" i="61"/>
  <c r="I284" i="61" s="1"/>
  <c r="I283" i="61" s="1"/>
  <c r="F285" i="61"/>
  <c r="O284" i="61"/>
  <c r="N284" i="61"/>
  <c r="N283" i="61" s="1"/>
  <c r="M284" i="61"/>
  <c r="M283" i="61" s="1"/>
  <c r="K284" i="61"/>
  <c r="K283" i="61" s="1"/>
  <c r="J284" i="61"/>
  <c r="J283" i="61" s="1"/>
  <c r="H284" i="61"/>
  <c r="H283" i="61" s="1"/>
  <c r="G284" i="61"/>
  <c r="F284" i="61"/>
  <c r="E284" i="61"/>
  <c r="E283" i="61" s="1"/>
  <c r="D284" i="61"/>
  <c r="D283" i="61" s="1"/>
  <c r="O283" i="61"/>
  <c r="G283" i="61"/>
  <c r="O282" i="61"/>
  <c r="O281" i="61" s="1"/>
  <c r="L282" i="61"/>
  <c r="L281" i="61" s="1"/>
  <c r="I282" i="61"/>
  <c r="I281" i="61" s="1"/>
  <c r="F282" i="61"/>
  <c r="F281" i="61" s="1"/>
  <c r="N281" i="61"/>
  <c r="M281" i="61"/>
  <c r="K281" i="61"/>
  <c r="J281" i="61"/>
  <c r="H281" i="61"/>
  <c r="G281" i="61"/>
  <c r="E281" i="61"/>
  <c r="D281" i="61"/>
  <c r="O280" i="61"/>
  <c r="L280" i="61"/>
  <c r="I280" i="61"/>
  <c r="F280" i="61"/>
  <c r="O279" i="61"/>
  <c r="L279" i="61"/>
  <c r="I279" i="61"/>
  <c r="F279" i="61"/>
  <c r="O278" i="61"/>
  <c r="L278" i="61"/>
  <c r="I278" i="61"/>
  <c r="F278" i="61"/>
  <c r="O277" i="61"/>
  <c r="L277" i="61"/>
  <c r="I277" i="61"/>
  <c r="I276" i="61" s="1"/>
  <c r="F277" i="61"/>
  <c r="N276" i="61"/>
  <c r="M276" i="61"/>
  <c r="K276" i="61"/>
  <c r="J276" i="61"/>
  <c r="H276" i="61"/>
  <c r="G276" i="61"/>
  <c r="E276" i="61"/>
  <c r="D276" i="61"/>
  <c r="O275" i="61"/>
  <c r="L275" i="61"/>
  <c r="I275" i="61"/>
  <c r="F275" i="61"/>
  <c r="O274" i="61"/>
  <c r="L274" i="61"/>
  <c r="I274" i="61"/>
  <c r="F274" i="61"/>
  <c r="O273" i="61"/>
  <c r="L273" i="61"/>
  <c r="L272" i="61" s="1"/>
  <c r="I273" i="61"/>
  <c r="I272" i="61" s="1"/>
  <c r="F273" i="61"/>
  <c r="N272" i="61"/>
  <c r="N270" i="61" s="1"/>
  <c r="N269" i="61" s="1"/>
  <c r="M272" i="61"/>
  <c r="M270" i="61" s="1"/>
  <c r="K272" i="61"/>
  <c r="J272" i="61"/>
  <c r="H272" i="61"/>
  <c r="H270" i="61" s="1"/>
  <c r="H269" i="61" s="1"/>
  <c r="G272" i="61"/>
  <c r="E272" i="61"/>
  <c r="D272" i="61"/>
  <c r="O271" i="61"/>
  <c r="L271" i="61"/>
  <c r="I271" i="61"/>
  <c r="F271" i="61"/>
  <c r="G270" i="61"/>
  <c r="G269" i="61" s="1"/>
  <c r="D270" i="61"/>
  <c r="O268" i="61"/>
  <c r="L268" i="61"/>
  <c r="I268" i="61"/>
  <c r="F268" i="61"/>
  <c r="O267" i="61"/>
  <c r="L267" i="61"/>
  <c r="I267" i="61"/>
  <c r="F267" i="61"/>
  <c r="O266" i="61"/>
  <c r="L266" i="61"/>
  <c r="I266" i="61"/>
  <c r="F266" i="61"/>
  <c r="O265" i="61"/>
  <c r="L265" i="61"/>
  <c r="I265" i="61"/>
  <c r="F265" i="61"/>
  <c r="N264" i="61"/>
  <c r="M264" i="61"/>
  <c r="K264" i="61"/>
  <c r="J264" i="61"/>
  <c r="H264" i="61"/>
  <c r="G264" i="61"/>
  <c r="E264" i="61"/>
  <c r="D264" i="61"/>
  <c r="O263" i="61"/>
  <c r="L263" i="61"/>
  <c r="I263" i="61"/>
  <c r="F263" i="61"/>
  <c r="O262" i="61"/>
  <c r="L262" i="61"/>
  <c r="I262" i="61"/>
  <c r="F262" i="61"/>
  <c r="O261" i="61"/>
  <c r="L261" i="61"/>
  <c r="I261" i="61"/>
  <c r="I260" i="61" s="1"/>
  <c r="F261" i="61"/>
  <c r="N260" i="61"/>
  <c r="M260" i="61"/>
  <c r="M259" i="61" s="1"/>
  <c r="K260" i="61"/>
  <c r="K259" i="61" s="1"/>
  <c r="J260" i="61"/>
  <c r="J259" i="61" s="1"/>
  <c r="H260" i="61"/>
  <c r="G260" i="61"/>
  <c r="G259" i="61" s="1"/>
  <c r="F260" i="61"/>
  <c r="E260" i="61"/>
  <c r="D260" i="61"/>
  <c r="O258" i="61"/>
  <c r="L258" i="61"/>
  <c r="C258" i="61" s="1"/>
  <c r="I258" i="61"/>
  <c r="F258" i="61"/>
  <c r="O257" i="61"/>
  <c r="L257" i="61"/>
  <c r="I257" i="61"/>
  <c r="F257" i="61"/>
  <c r="C257" i="61" s="1"/>
  <c r="O256" i="61"/>
  <c r="L256" i="61"/>
  <c r="I256" i="61"/>
  <c r="F256" i="61"/>
  <c r="C256" i="61" s="1"/>
  <c r="O255" i="61"/>
  <c r="L255" i="61"/>
  <c r="I255" i="61"/>
  <c r="F255" i="61"/>
  <c r="C255" i="61" s="1"/>
  <c r="O254" i="61"/>
  <c r="L254" i="61"/>
  <c r="I254" i="61"/>
  <c r="F254" i="61"/>
  <c r="O253" i="61"/>
  <c r="L253" i="61"/>
  <c r="I253" i="61"/>
  <c r="I252" i="61" s="1"/>
  <c r="I251" i="61" s="1"/>
  <c r="F253" i="61"/>
  <c r="N252" i="61"/>
  <c r="M252" i="61"/>
  <c r="M251" i="61" s="1"/>
  <c r="K252" i="61"/>
  <c r="K251" i="61" s="1"/>
  <c r="J252" i="61"/>
  <c r="J251" i="61" s="1"/>
  <c r="H252" i="61"/>
  <c r="G252" i="61"/>
  <c r="G251" i="61" s="1"/>
  <c r="E252" i="61"/>
  <c r="E251" i="61" s="1"/>
  <c r="D252" i="61"/>
  <c r="D251" i="61" s="1"/>
  <c r="N251" i="61"/>
  <c r="H251" i="61"/>
  <c r="O250" i="61"/>
  <c r="L250" i="61"/>
  <c r="I250" i="61"/>
  <c r="F250" i="61"/>
  <c r="O249" i="61"/>
  <c r="L249" i="61"/>
  <c r="I249" i="61"/>
  <c r="F249" i="61"/>
  <c r="O248" i="61"/>
  <c r="L248" i="61"/>
  <c r="I248" i="61"/>
  <c r="F248" i="61"/>
  <c r="O247" i="61"/>
  <c r="L247" i="61"/>
  <c r="I247" i="61"/>
  <c r="F247" i="61"/>
  <c r="O246" i="61"/>
  <c r="N246" i="61"/>
  <c r="M246" i="61"/>
  <c r="K246" i="61"/>
  <c r="J246" i="61"/>
  <c r="H246" i="61"/>
  <c r="G246" i="61"/>
  <c r="E246" i="61"/>
  <c r="D246" i="61"/>
  <c r="O245" i="61"/>
  <c r="L245" i="61"/>
  <c r="I245" i="61"/>
  <c r="F245" i="61"/>
  <c r="O244" i="61"/>
  <c r="L244" i="61"/>
  <c r="I244" i="61"/>
  <c r="F244" i="61"/>
  <c r="O243" i="61"/>
  <c r="L243" i="61"/>
  <c r="I243" i="61"/>
  <c r="F243" i="61"/>
  <c r="O242" i="61"/>
  <c r="L242" i="61"/>
  <c r="I242" i="61"/>
  <c r="F242" i="61"/>
  <c r="O241" i="61"/>
  <c r="L241" i="61"/>
  <c r="I241" i="61"/>
  <c r="F241" i="61"/>
  <c r="O240" i="61"/>
  <c r="L240" i="61"/>
  <c r="I240" i="61"/>
  <c r="F240" i="61"/>
  <c r="O239" i="61"/>
  <c r="L239" i="61"/>
  <c r="L238" i="61" s="1"/>
  <c r="I239" i="61"/>
  <c r="F239" i="61"/>
  <c r="N238" i="61"/>
  <c r="M238" i="61"/>
  <c r="K238" i="61"/>
  <c r="J238" i="61"/>
  <c r="H238" i="61"/>
  <c r="G238" i="61"/>
  <c r="E238" i="61"/>
  <c r="D238" i="61"/>
  <c r="O237" i="61"/>
  <c r="L237" i="61"/>
  <c r="I237" i="61"/>
  <c r="F237" i="61"/>
  <c r="O236" i="61"/>
  <c r="L236" i="61"/>
  <c r="L235" i="61" s="1"/>
  <c r="I236" i="61"/>
  <c r="I235" i="61" s="1"/>
  <c r="F236" i="61"/>
  <c r="O235" i="61"/>
  <c r="N235" i="61"/>
  <c r="M235" i="61"/>
  <c r="K235" i="61"/>
  <c r="J235" i="61"/>
  <c r="H235" i="61"/>
  <c r="G235" i="61"/>
  <c r="F235" i="61"/>
  <c r="E235" i="61"/>
  <c r="D235" i="61"/>
  <c r="O234" i="61"/>
  <c r="O233" i="61" s="1"/>
  <c r="L234" i="61"/>
  <c r="L233" i="61" s="1"/>
  <c r="I234" i="61"/>
  <c r="I233" i="61" s="1"/>
  <c r="F234" i="61"/>
  <c r="F233" i="61" s="1"/>
  <c r="N233" i="61"/>
  <c r="M233" i="61"/>
  <c r="K233" i="61"/>
  <c r="J233" i="61"/>
  <c r="H233" i="61"/>
  <c r="G233" i="61"/>
  <c r="E233" i="61"/>
  <c r="D233" i="61"/>
  <c r="O232" i="61"/>
  <c r="L232" i="61"/>
  <c r="I232" i="61"/>
  <c r="F232" i="61"/>
  <c r="O229" i="61"/>
  <c r="L229" i="61"/>
  <c r="I229" i="61"/>
  <c r="F229" i="61"/>
  <c r="O228" i="61"/>
  <c r="L228" i="61"/>
  <c r="L227" i="61" s="1"/>
  <c r="I228" i="61"/>
  <c r="F228" i="61"/>
  <c r="O227" i="61"/>
  <c r="N227" i="61"/>
  <c r="M227" i="61"/>
  <c r="K227" i="61"/>
  <c r="J227" i="61"/>
  <c r="H227" i="61"/>
  <c r="G227" i="61"/>
  <c r="F227" i="61"/>
  <c r="E227" i="61"/>
  <c r="D227" i="61"/>
  <c r="O226" i="61"/>
  <c r="L226" i="61"/>
  <c r="I226" i="61"/>
  <c r="F226" i="61"/>
  <c r="O225" i="61"/>
  <c r="L225" i="61"/>
  <c r="I225" i="61"/>
  <c r="F225" i="61"/>
  <c r="O224" i="61"/>
  <c r="L224" i="61"/>
  <c r="I224" i="61"/>
  <c r="F224" i="61"/>
  <c r="O223" i="61"/>
  <c r="L223" i="61"/>
  <c r="I223" i="61"/>
  <c r="F223" i="61"/>
  <c r="O222" i="61"/>
  <c r="L222" i="61"/>
  <c r="I222" i="61"/>
  <c r="F222" i="61"/>
  <c r="O221" i="61"/>
  <c r="L221" i="61"/>
  <c r="I221" i="61"/>
  <c r="F221" i="61"/>
  <c r="O220" i="61"/>
  <c r="L220" i="61"/>
  <c r="I220" i="61"/>
  <c r="F220" i="61"/>
  <c r="O219" i="61"/>
  <c r="L219" i="61"/>
  <c r="I219" i="61"/>
  <c r="F219" i="61"/>
  <c r="O218" i="61"/>
  <c r="L218" i="61"/>
  <c r="I218" i="61"/>
  <c r="F218" i="61"/>
  <c r="O217" i="61"/>
  <c r="L217" i="61"/>
  <c r="I217" i="61"/>
  <c r="I216" i="61" s="1"/>
  <c r="F217" i="61"/>
  <c r="N216" i="61"/>
  <c r="M216" i="61"/>
  <c r="K216" i="61"/>
  <c r="J216" i="61"/>
  <c r="H216" i="61"/>
  <c r="G216" i="61"/>
  <c r="E216" i="61"/>
  <c r="D216" i="61"/>
  <c r="O215" i="61"/>
  <c r="L215" i="61"/>
  <c r="I215" i="61"/>
  <c r="F215" i="61"/>
  <c r="O214" i="61"/>
  <c r="L214" i="61"/>
  <c r="I214" i="61"/>
  <c r="F214" i="61"/>
  <c r="O213" i="61"/>
  <c r="L213" i="61"/>
  <c r="I213" i="61"/>
  <c r="F213" i="61"/>
  <c r="O212" i="61"/>
  <c r="L212" i="61"/>
  <c r="I212" i="61"/>
  <c r="F212" i="61"/>
  <c r="O211" i="61"/>
  <c r="L211" i="61"/>
  <c r="I211" i="61"/>
  <c r="F211" i="61"/>
  <c r="O210" i="61"/>
  <c r="L210" i="61"/>
  <c r="I210" i="61"/>
  <c r="F210" i="61"/>
  <c r="O209" i="61"/>
  <c r="L209" i="61"/>
  <c r="I209" i="61"/>
  <c r="F209" i="61"/>
  <c r="O208" i="61"/>
  <c r="L208" i="61"/>
  <c r="I208" i="61"/>
  <c r="F208" i="61"/>
  <c r="O207" i="61"/>
  <c r="L207" i="61"/>
  <c r="I207" i="61"/>
  <c r="F207" i="61"/>
  <c r="O206" i="61"/>
  <c r="L206" i="61"/>
  <c r="I206" i="61"/>
  <c r="F206" i="61"/>
  <c r="N205" i="61"/>
  <c r="M205" i="61"/>
  <c r="M204" i="61" s="1"/>
  <c r="K205" i="61"/>
  <c r="J205" i="61"/>
  <c r="H205" i="61"/>
  <c r="G205" i="61"/>
  <c r="E205" i="61"/>
  <c r="E204" i="61" s="1"/>
  <c r="D205" i="61"/>
  <c r="O203" i="61"/>
  <c r="L203" i="61"/>
  <c r="I203" i="61"/>
  <c r="C203" i="61" s="1"/>
  <c r="F203" i="61"/>
  <c r="O202" i="61"/>
  <c r="L202" i="61"/>
  <c r="I202" i="61"/>
  <c r="F202" i="61"/>
  <c r="O201" i="61"/>
  <c r="L201" i="61"/>
  <c r="I201" i="61"/>
  <c r="F201" i="61"/>
  <c r="O200" i="61"/>
  <c r="L200" i="61"/>
  <c r="I200" i="61"/>
  <c r="F200" i="61"/>
  <c r="O199" i="61"/>
  <c r="L199" i="61"/>
  <c r="I199" i="61"/>
  <c r="F199" i="61"/>
  <c r="O198" i="61"/>
  <c r="N198" i="61"/>
  <c r="N196" i="61" s="1"/>
  <c r="M198" i="61"/>
  <c r="K198" i="61"/>
  <c r="K196" i="61" s="1"/>
  <c r="J198" i="61"/>
  <c r="H198" i="61"/>
  <c r="H196" i="61" s="1"/>
  <c r="G198" i="61"/>
  <c r="G196" i="61" s="1"/>
  <c r="F198" i="61"/>
  <c r="E198" i="61"/>
  <c r="D198" i="61"/>
  <c r="D196" i="61" s="1"/>
  <c r="O197" i="61"/>
  <c r="L197" i="61"/>
  <c r="I197" i="61"/>
  <c r="F197" i="61"/>
  <c r="M196" i="61"/>
  <c r="M195" i="61" s="1"/>
  <c r="J196" i="61"/>
  <c r="E196" i="61"/>
  <c r="O193" i="61"/>
  <c r="O192" i="61" s="1"/>
  <c r="O191" i="61" s="1"/>
  <c r="L193" i="61"/>
  <c r="I193" i="61"/>
  <c r="I192" i="61" s="1"/>
  <c r="I191" i="61" s="1"/>
  <c r="F193" i="61"/>
  <c r="N192" i="61"/>
  <c r="M192" i="61"/>
  <c r="M191" i="61" s="1"/>
  <c r="L192" i="61"/>
  <c r="L191" i="61" s="1"/>
  <c r="K192" i="61"/>
  <c r="K191" i="61" s="1"/>
  <c r="J192" i="61"/>
  <c r="H192" i="61"/>
  <c r="H191" i="61" s="1"/>
  <c r="G192" i="61"/>
  <c r="G191" i="61" s="1"/>
  <c r="E192" i="61"/>
  <c r="D192" i="61"/>
  <c r="D191" i="61" s="1"/>
  <c r="N191" i="61"/>
  <c r="J191" i="61"/>
  <c r="E191" i="61"/>
  <c r="O190" i="61"/>
  <c r="L190" i="61"/>
  <c r="I190" i="61"/>
  <c r="F190" i="61"/>
  <c r="O189" i="61"/>
  <c r="O188" i="61" s="1"/>
  <c r="O187" i="61" s="1"/>
  <c r="L189" i="61"/>
  <c r="I189" i="61"/>
  <c r="I188" i="61" s="1"/>
  <c r="F189" i="61"/>
  <c r="N188" i="61"/>
  <c r="M188" i="61"/>
  <c r="K188" i="61"/>
  <c r="J188" i="61"/>
  <c r="H188" i="61"/>
  <c r="G188" i="61"/>
  <c r="E188" i="61"/>
  <c r="D188" i="61"/>
  <c r="O186" i="61"/>
  <c r="L186" i="61"/>
  <c r="I186" i="61"/>
  <c r="F186" i="61"/>
  <c r="O185" i="61"/>
  <c r="L185" i="61"/>
  <c r="L184" i="61" s="1"/>
  <c r="I185" i="61"/>
  <c r="F185" i="61"/>
  <c r="N184" i="61"/>
  <c r="M184" i="61"/>
  <c r="K184" i="61"/>
  <c r="J184" i="61"/>
  <c r="H184" i="61"/>
  <c r="G184" i="61"/>
  <c r="E184" i="61"/>
  <c r="D184" i="61"/>
  <c r="O183" i="61"/>
  <c r="L183" i="61"/>
  <c r="I183" i="61"/>
  <c r="F183" i="61"/>
  <c r="O182" i="61"/>
  <c r="L182" i="61"/>
  <c r="I182" i="61"/>
  <c r="F182" i="61"/>
  <c r="O181" i="61"/>
  <c r="L181" i="61"/>
  <c r="I181" i="61"/>
  <c r="F181" i="61"/>
  <c r="O180" i="61"/>
  <c r="O179" i="61" s="1"/>
  <c r="L180" i="61"/>
  <c r="I180" i="61"/>
  <c r="F180" i="61"/>
  <c r="N179" i="61"/>
  <c r="M179" i="61"/>
  <c r="K179" i="61"/>
  <c r="J179" i="61"/>
  <c r="H179" i="61"/>
  <c r="G179" i="61"/>
  <c r="E179" i="61"/>
  <c r="D179" i="61"/>
  <c r="O178" i="61"/>
  <c r="L178" i="61"/>
  <c r="I178" i="61"/>
  <c r="F178" i="61"/>
  <c r="O177" i="61"/>
  <c r="L177" i="61"/>
  <c r="I177" i="61"/>
  <c r="F177" i="61"/>
  <c r="O176" i="61"/>
  <c r="L176" i="61"/>
  <c r="L175" i="61" s="1"/>
  <c r="I176" i="61"/>
  <c r="F176" i="61"/>
  <c r="N175" i="61"/>
  <c r="M175" i="61"/>
  <c r="M174" i="61" s="1"/>
  <c r="M173" i="61" s="1"/>
  <c r="K175" i="61"/>
  <c r="J175" i="61"/>
  <c r="J174" i="61" s="1"/>
  <c r="H175" i="61"/>
  <c r="G175" i="61"/>
  <c r="E175" i="61"/>
  <c r="D175" i="61"/>
  <c r="N174" i="61"/>
  <c r="N173" i="61" s="1"/>
  <c r="G174" i="61"/>
  <c r="G173" i="61" s="1"/>
  <c r="O172" i="61"/>
  <c r="L172" i="61"/>
  <c r="I172" i="61"/>
  <c r="F172" i="61"/>
  <c r="O171" i="61"/>
  <c r="L171" i="61"/>
  <c r="I171" i="61"/>
  <c r="F171" i="61"/>
  <c r="O170" i="61"/>
  <c r="L170" i="61"/>
  <c r="I170" i="61"/>
  <c r="F170" i="61"/>
  <c r="O169" i="61"/>
  <c r="L169" i="61"/>
  <c r="I169" i="61"/>
  <c r="F169" i="61"/>
  <c r="O168" i="61"/>
  <c r="L168" i="61"/>
  <c r="I168" i="61"/>
  <c r="F168" i="61"/>
  <c r="O167" i="61"/>
  <c r="L167" i="61"/>
  <c r="I167" i="61"/>
  <c r="F167" i="61"/>
  <c r="F166" i="61" s="1"/>
  <c r="N166" i="61"/>
  <c r="M166" i="61"/>
  <c r="M165" i="61" s="1"/>
  <c r="K166" i="61"/>
  <c r="K165" i="61" s="1"/>
  <c r="J166" i="61"/>
  <c r="J165" i="61" s="1"/>
  <c r="H166" i="61"/>
  <c r="H165" i="61" s="1"/>
  <c r="G166" i="61"/>
  <c r="G165" i="61" s="1"/>
  <c r="E166" i="61"/>
  <c r="E165" i="61" s="1"/>
  <c r="D166" i="61"/>
  <c r="D165" i="61" s="1"/>
  <c r="N165" i="61"/>
  <c r="O164" i="61"/>
  <c r="L164" i="61"/>
  <c r="I164" i="61"/>
  <c r="F164" i="61"/>
  <c r="O163" i="61"/>
  <c r="L163" i="61"/>
  <c r="I163" i="61"/>
  <c r="F163" i="61"/>
  <c r="O162" i="61"/>
  <c r="L162" i="61"/>
  <c r="I162" i="61"/>
  <c r="F162" i="61"/>
  <c r="O161" i="61"/>
  <c r="L161" i="61"/>
  <c r="L160" i="61" s="1"/>
  <c r="I161" i="61"/>
  <c r="F161" i="61"/>
  <c r="F160" i="61" s="1"/>
  <c r="O160" i="61"/>
  <c r="N160" i="61"/>
  <c r="M160" i="61"/>
  <c r="K160" i="61"/>
  <c r="J160" i="61"/>
  <c r="H160" i="61"/>
  <c r="G160" i="61"/>
  <c r="E160" i="61"/>
  <c r="D160" i="61"/>
  <c r="O159" i="61"/>
  <c r="L159" i="61"/>
  <c r="I159" i="61"/>
  <c r="F159" i="61"/>
  <c r="O158" i="61"/>
  <c r="L158" i="61"/>
  <c r="I158" i="61"/>
  <c r="F158" i="61"/>
  <c r="O157" i="61"/>
  <c r="L157" i="61"/>
  <c r="I157" i="61"/>
  <c r="F157" i="61"/>
  <c r="C157" i="61" s="1"/>
  <c r="O156" i="61"/>
  <c r="L156" i="61"/>
  <c r="I156" i="61"/>
  <c r="F156" i="61"/>
  <c r="O155" i="61"/>
  <c r="L155" i="61"/>
  <c r="I155" i="61"/>
  <c r="F155" i="61"/>
  <c r="O154" i="61"/>
  <c r="L154" i="61"/>
  <c r="I154" i="61"/>
  <c r="F154" i="61"/>
  <c r="O153" i="61"/>
  <c r="L153" i="61"/>
  <c r="I153" i="61"/>
  <c r="F153" i="61"/>
  <c r="O152" i="61"/>
  <c r="L152" i="61"/>
  <c r="I152" i="61"/>
  <c r="F152" i="61"/>
  <c r="N151" i="61"/>
  <c r="M151" i="61"/>
  <c r="K151" i="61"/>
  <c r="J151" i="61"/>
  <c r="H151" i="61"/>
  <c r="G151" i="61"/>
  <c r="E151" i="61"/>
  <c r="D151" i="61"/>
  <c r="O150" i="61"/>
  <c r="L150" i="61"/>
  <c r="I150" i="61"/>
  <c r="F150" i="61"/>
  <c r="O149" i="61"/>
  <c r="L149" i="61"/>
  <c r="I149" i="61"/>
  <c r="F149" i="61"/>
  <c r="O148" i="61"/>
  <c r="L148" i="61"/>
  <c r="I148" i="61"/>
  <c r="F148" i="61"/>
  <c r="O147" i="61"/>
  <c r="L147" i="61"/>
  <c r="I147" i="61"/>
  <c r="F147" i="61"/>
  <c r="O146" i="61"/>
  <c r="L146" i="61"/>
  <c r="I146" i="61"/>
  <c r="F146" i="61"/>
  <c r="O145" i="61"/>
  <c r="L145" i="61"/>
  <c r="I145" i="61"/>
  <c r="F145" i="61"/>
  <c r="N144" i="61"/>
  <c r="M144" i="61"/>
  <c r="L144" i="61"/>
  <c r="K144" i="61"/>
  <c r="J144" i="61"/>
  <c r="H144" i="61"/>
  <c r="G144" i="61"/>
  <c r="E144" i="61"/>
  <c r="D144" i="61"/>
  <c r="O143" i="61"/>
  <c r="L143" i="61"/>
  <c r="I143" i="61"/>
  <c r="F143" i="61"/>
  <c r="O142" i="61"/>
  <c r="L142" i="61"/>
  <c r="I142" i="61"/>
  <c r="I141" i="61" s="1"/>
  <c r="F142" i="61"/>
  <c r="O141" i="61"/>
  <c r="N141" i="61"/>
  <c r="M141" i="61"/>
  <c r="K141" i="61"/>
  <c r="J141" i="61"/>
  <c r="H141" i="61"/>
  <c r="G141" i="61"/>
  <c r="F141" i="61"/>
  <c r="E141" i="61"/>
  <c r="D141" i="61"/>
  <c r="O140" i="61"/>
  <c r="L140" i="61"/>
  <c r="I140" i="61"/>
  <c r="F140" i="61"/>
  <c r="O139" i="61"/>
  <c r="L139" i="61"/>
  <c r="I139" i="61"/>
  <c r="F139" i="61"/>
  <c r="O138" i="61"/>
  <c r="L138" i="61"/>
  <c r="I138" i="61"/>
  <c r="F138" i="61"/>
  <c r="O137" i="61"/>
  <c r="O136" i="61" s="1"/>
  <c r="L137" i="61"/>
  <c r="I137" i="61"/>
  <c r="F137" i="61"/>
  <c r="N136" i="61"/>
  <c r="M136" i="61"/>
  <c r="K136" i="61"/>
  <c r="J136" i="61"/>
  <c r="H136" i="61"/>
  <c r="G136" i="61"/>
  <c r="E136" i="61"/>
  <c r="D136" i="61"/>
  <c r="O135" i="61"/>
  <c r="L135" i="61"/>
  <c r="I135" i="61"/>
  <c r="F135" i="61"/>
  <c r="O134" i="61"/>
  <c r="L134" i="61"/>
  <c r="I134" i="61"/>
  <c r="F134" i="61"/>
  <c r="O133" i="61"/>
  <c r="L133" i="61"/>
  <c r="I133" i="61"/>
  <c r="F133" i="61"/>
  <c r="O132" i="61"/>
  <c r="L132" i="61"/>
  <c r="I132" i="61"/>
  <c r="I131" i="61" s="1"/>
  <c r="F132" i="61"/>
  <c r="N131" i="61"/>
  <c r="M131" i="61"/>
  <c r="K131" i="61"/>
  <c r="J131" i="61"/>
  <c r="H131" i="61"/>
  <c r="G131" i="61"/>
  <c r="E131" i="61"/>
  <c r="D131" i="61"/>
  <c r="O129" i="61"/>
  <c r="O128" i="61" s="1"/>
  <c r="L129" i="61"/>
  <c r="I129" i="61"/>
  <c r="F129" i="61"/>
  <c r="N128" i="61"/>
  <c r="M128" i="61"/>
  <c r="L128" i="61"/>
  <c r="K128" i="61"/>
  <c r="J128" i="61"/>
  <c r="I128" i="61"/>
  <c r="H128" i="61"/>
  <c r="G128" i="61"/>
  <c r="E128" i="61"/>
  <c r="D128" i="61"/>
  <c r="O127" i="61"/>
  <c r="L127" i="61"/>
  <c r="I127" i="61"/>
  <c r="F127" i="61"/>
  <c r="O126" i="61"/>
  <c r="L126" i="61"/>
  <c r="I126" i="61"/>
  <c r="F126" i="61"/>
  <c r="O125" i="61"/>
  <c r="L125" i="61"/>
  <c r="I125" i="61"/>
  <c r="F125" i="61"/>
  <c r="O124" i="61"/>
  <c r="L124" i="61"/>
  <c r="I124" i="61"/>
  <c r="F124" i="61"/>
  <c r="O123" i="61"/>
  <c r="L123" i="61"/>
  <c r="I123" i="61"/>
  <c r="I122" i="61" s="1"/>
  <c r="F123" i="61"/>
  <c r="N122" i="61"/>
  <c r="M122" i="61"/>
  <c r="K122" i="61"/>
  <c r="J122" i="61"/>
  <c r="H122" i="61"/>
  <c r="G122" i="61"/>
  <c r="E122" i="61"/>
  <c r="D122" i="61"/>
  <c r="O121" i="61"/>
  <c r="L121" i="61"/>
  <c r="I121" i="61"/>
  <c r="F121" i="61"/>
  <c r="O120" i="61"/>
  <c r="L120" i="61"/>
  <c r="I120" i="61"/>
  <c r="F120" i="61"/>
  <c r="O119" i="61"/>
  <c r="L119" i="61"/>
  <c r="I119" i="61"/>
  <c r="F119" i="61"/>
  <c r="O118" i="61"/>
  <c r="L118" i="61"/>
  <c r="I118" i="61"/>
  <c r="F118" i="61"/>
  <c r="O117" i="61"/>
  <c r="O116" i="61" s="1"/>
  <c r="L117" i="61"/>
  <c r="I117" i="61"/>
  <c r="F117" i="61"/>
  <c r="N116" i="61"/>
  <c r="M116" i="61"/>
  <c r="K116" i="61"/>
  <c r="J116" i="61"/>
  <c r="H116" i="61"/>
  <c r="G116" i="61"/>
  <c r="E116" i="61"/>
  <c r="D116" i="61"/>
  <c r="O115" i="61"/>
  <c r="L115" i="61"/>
  <c r="I115" i="61"/>
  <c r="F115" i="61"/>
  <c r="O114" i="61"/>
  <c r="L114" i="61"/>
  <c r="I114" i="61"/>
  <c r="F114" i="61"/>
  <c r="O113" i="61"/>
  <c r="O112" i="61" s="1"/>
  <c r="L113" i="61"/>
  <c r="L112" i="61" s="1"/>
  <c r="I113" i="61"/>
  <c r="F113" i="61"/>
  <c r="F112" i="61" s="1"/>
  <c r="N112" i="61"/>
  <c r="M112" i="61"/>
  <c r="K112" i="61"/>
  <c r="J112" i="61"/>
  <c r="H112" i="61"/>
  <c r="G112" i="61"/>
  <c r="E112" i="61"/>
  <c r="D112" i="61"/>
  <c r="O111" i="61"/>
  <c r="L111" i="61"/>
  <c r="I111" i="61"/>
  <c r="F111" i="61"/>
  <c r="O110" i="61"/>
  <c r="L110" i="61"/>
  <c r="I110" i="61"/>
  <c r="F110" i="61"/>
  <c r="O109" i="61"/>
  <c r="L109" i="61"/>
  <c r="I109" i="61"/>
  <c r="F109" i="61"/>
  <c r="O108" i="61"/>
  <c r="L108" i="61"/>
  <c r="I108" i="61"/>
  <c r="F108" i="61"/>
  <c r="O107" i="61"/>
  <c r="L107" i="61"/>
  <c r="I107" i="61"/>
  <c r="F107" i="61"/>
  <c r="O106" i="61"/>
  <c r="L106" i="61"/>
  <c r="I106" i="61"/>
  <c r="F106" i="61"/>
  <c r="O105" i="61"/>
  <c r="L105" i="61"/>
  <c r="I105" i="61"/>
  <c r="F105" i="61"/>
  <c r="O104" i="61"/>
  <c r="L104" i="61"/>
  <c r="I104" i="61"/>
  <c r="I103" i="61" s="1"/>
  <c r="F104" i="61"/>
  <c r="N103" i="61"/>
  <c r="M103" i="61"/>
  <c r="K103" i="61"/>
  <c r="J103" i="61"/>
  <c r="H103" i="61"/>
  <c r="G103" i="61"/>
  <c r="E103" i="61"/>
  <c r="D103" i="61"/>
  <c r="O102" i="61"/>
  <c r="L102" i="61"/>
  <c r="I102" i="61"/>
  <c r="F102" i="61"/>
  <c r="O101" i="61"/>
  <c r="L101" i="61"/>
  <c r="I101" i="61"/>
  <c r="F101" i="61"/>
  <c r="O100" i="61"/>
  <c r="L100" i="61"/>
  <c r="I100" i="61"/>
  <c r="F100" i="61"/>
  <c r="O99" i="61"/>
  <c r="L99" i="61"/>
  <c r="I99" i="61"/>
  <c r="F99" i="61"/>
  <c r="O98" i="61"/>
  <c r="L98" i="61"/>
  <c r="I98" i="61"/>
  <c r="F98" i="61"/>
  <c r="O97" i="61"/>
  <c r="L97" i="61"/>
  <c r="I97" i="61"/>
  <c r="F97" i="61"/>
  <c r="O96" i="61"/>
  <c r="L96" i="61"/>
  <c r="I96" i="61"/>
  <c r="F96" i="61"/>
  <c r="N95" i="61"/>
  <c r="M95" i="61"/>
  <c r="K95" i="61"/>
  <c r="J95" i="61"/>
  <c r="H95" i="61"/>
  <c r="G95" i="61"/>
  <c r="E95" i="61"/>
  <c r="D95" i="61"/>
  <c r="O94" i="61"/>
  <c r="L94" i="61"/>
  <c r="I94" i="61"/>
  <c r="F94" i="61"/>
  <c r="O93" i="61"/>
  <c r="L93" i="61"/>
  <c r="I93" i="61"/>
  <c r="F93" i="61"/>
  <c r="O92" i="61"/>
  <c r="L92" i="61"/>
  <c r="I92" i="61"/>
  <c r="F92" i="61"/>
  <c r="O91" i="61"/>
  <c r="L91" i="61"/>
  <c r="I91" i="61"/>
  <c r="F91" i="61"/>
  <c r="O90" i="61"/>
  <c r="L90" i="61"/>
  <c r="I90" i="61"/>
  <c r="F90" i="61"/>
  <c r="N89" i="61"/>
  <c r="M89" i="61"/>
  <c r="K89" i="61"/>
  <c r="J89" i="61"/>
  <c r="H89" i="61"/>
  <c r="G89" i="61"/>
  <c r="E89" i="61"/>
  <c r="D89" i="61"/>
  <c r="O88" i="61"/>
  <c r="L88" i="61"/>
  <c r="I88" i="61"/>
  <c r="F88" i="61"/>
  <c r="O87" i="61"/>
  <c r="L87" i="61"/>
  <c r="I87" i="61"/>
  <c r="F87" i="61"/>
  <c r="O86" i="61"/>
  <c r="L86" i="61"/>
  <c r="I86" i="61"/>
  <c r="F86" i="61"/>
  <c r="O85" i="61"/>
  <c r="O84" i="61" s="1"/>
  <c r="L85" i="61"/>
  <c r="I85" i="61"/>
  <c r="F85" i="61"/>
  <c r="F84" i="61" s="1"/>
  <c r="N84" i="61"/>
  <c r="M84" i="61"/>
  <c r="K84" i="61"/>
  <c r="J84" i="61"/>
  <c r="H84" i="61"/>
  <c r="G84" i="61"/>
  <c r="E84" i="61"/>
  <c r="D84" i="61"/>
  <c r="O82" i="61"/>
  <c r="L82" i="61"/>
  <c r="I82" i="61"/>
  <c r="F82" i="61"/>
  <c r="O81" i="61"/>
  <c r="O80" i="61" s="1"/>
  <c r="L81" i="61"/>
  <c r="L80" i="61" s="1"/>
  <c r="I81" i="61"/>
  <c r="F81" i="61"/>
  <c r="F80" i="61" s="1"/>
  <c r="N80" i="61"/>
  <c r="M80" i="61"/>
  <c r="K80" i="61"/>
  <c r="J80" i="61"/>
  <c r="H80" i="61"/>
  <c r="G80" i="61"/>
  <c r="E80" i="61"/>
  <c r="D80" i="61"/>
  <c r="O79" i="61"/>
  <c r="L79" i="61"/>
  <c r="I79" i="61"/>
  <c r="F79" i="61"/>
  <c r="O78" i="61"/>
  <c r="O77" i="61" s="1"/>
  <c r="O76" i="61" s="1"/>
  <c r="L78" i="61"/>
  <c r="I78" i="61"/>
  <c r="I77" i="61" s="1"/>
  <c r="F78" i="61"/>
  <c r="N77" i="61"/>
  <c r="M77" i="61"/>
  <c r="K77" i="61"/>
  <c r="K76" i="61" s="1"/>
  <c r="J77" i="61"/>
  <c r="H77" i="61"/>
  <c r="G77" i="61"/>
  <c r="G76" i="61" s="1"/>
  <c r="F77" i="61"/>
  <c r="E77" i="61"/>
  <c r="D77" i="61"/>
  <c r="M76" i="61"/>
  <c r="O74" i="61"/>
  <c r="L74" i="61"/>
  <c r="I74" i="61"/>
  <c r="F74" i="61"/>
  <c r="O73" i="61"/>
  <c r="L73" i="61"/>
  <c r="I73" i="61"/>
  <c r="F73" i="61"/>
  <c r="O72" i="61"/>
  <c r="L72" i="61"/>
  <c r="I72" i="61"/>
  <c r="F72" i="61"/>
  <c r="O71" i="61"/>
  <c r="L71" i="61"/>
  <c r="I71" i="61"/>
  <c r="F71" i="61"/>
  <c r="O70" i="61"/>
  <c r="O69" i="61" s="1"/>
  <c r="L70" i="61"/>
  <c r="I70" i="61"/>
  <c r="I69" i="61" s="1"/>
  <c r="F70" i="61"/>
  <c r="N69" i="61"/>
  <c r="N67" i="61" s="1"/>
  <c r="M69" i="61"/>
  <c r="M67" i="61" s="1"/>
  <c r="K69" i="61"/>
  <c r="K67" i="61" s="1"/>
  <c r="J69" i="61"/>
  <c r="H69" i="61"/>
  <c r="H67" i="61" s="1"/>
  <c r="G69" i="61"/>
  <c r="G67" i="61" s="1"/>
  <c r="E69" i="61"/>
  <c r="E67" i="61" s="1"/>
  <c r="D69" i="61"/>
  <c r="D67" i="61" s="1"/>
  <c r="O68" i="61"/>
  <c r="L68" i="61"/>
  <c r="I68" i="61"/>
  <c r="I67" i="61" s="1"/>
  <c r="F68" i="61"/>
  <c r="J67" i="61"/>
  <c r="O66" i="61"/>
  <c r="L66" i="61"/>
  <c r="I66" i="61"/>
  <c r="F66" i="61"/>
  <c r="O65" i="61"/>
  <c r="L65" i="61"/>
  <c r="I65" i="61"/>
  <c r="F65" i="61"/>
  <c r="O64" i="61"/>
  <c r="L64" i="61"/>
  <c r="I64" i="61"/>
  <c r="F64" i="61"/>
  <c r="O63" i="61"/>
  <c r="L63" i="61"/>
  <c r="I63" i="61"/>
  <c r="F63" i="61"/>
  <c r="O62" i="61"/>
  <c r="L62" i="61"/>
  <c r="I62" i="61"/>
  <c r="F62" i="61"/>
  <c r="O61" i="61"/>
  <c r="L61" i="61"/>
  <c r="I61" i="61"/>
  <c r="F61" i="61"/>
  <c r="O60" i="61"/>
  <c r="L60" i="61"/>
  <c r="I60" i="61"/>
  <c r="F60" i="61"/>
  <c r="O59" i="61"/>
  <c r="L59" i="61"/>
  <c r="L58" i="61" s="1"/>
  <c r="I59" i="61"/>
  <c r="F59" i="61"/>
  <c r="N58" i="61"/>
  <c r="M58" i="61"/>
  <c r="K58" i="61"/>
  <c r="J58" i="61"/>
  <c r="H58" i="61"/>
  <c r="G58" i="61"/>
  <c r="E58" i="61"/>
  <c r="D58" i="61"/>
  <c r="O57" i="61"/>
  <c r="L57" i="61"/>
  <c r="I57" i="61"/>
  <c r="F57" i="61"/>
  <c r="O56" i="61"/>
  <c r="L56" i="61"/>
  <c r="L55" i="61" s="1"/>
  <c r="L54" i="61" s="1"/>
  <c r="I56" i="61"/>
  <c r="I55" i="61" s="1"/>
  <c r="F56" i="61"/>
  <c r="F55" i="61" s="1"/>
  <c r="N55" i="61"/>
  <c r="M55" i="61"/>
  <c r="M54" i="61" s="1"/>
  <c r="K55" i="61"/>
  <c r="K54" i="61" s="1"/>
  <c r="K53" i="61" s="1"/>
  <c r="J55" i="61"/>
  <c r="J54" i="61" s="1"/>
  <c r="H55" i="61"/>
  <c r="H54" i="61" s="1"/>
  <c r="H53" i="61" s="1"/>
  <c r="G55" i="61"/>
  <c r="E55" i="61"/>
  <c r="E54" i="61" s="1"/>
  <c r="D55" i="61"/>
  <c r="D54" i="61" s="1"/>
  <c r="D53" i="61" s="1"/>
  <c r="O47" i="61"/>
  <c r="C47" i="61" s="1"/>
  <c r="O46" i="61"/>
  <c r="O45" i="61" s="1"/>
  <c r="C45" i="61" s="1"/>
  <c r="N45" i="61"/>
  <c r="M45" i="61"/>
  <c r="L44" i="61"/>
  <c r="L43" i="61" s="1"/>
  <c r="I44" i="61"/>
  <c r="F44" i="61"/>
  <c r="K43" i="61"/>
  <c r="J43" i="61"/>
  <c r="I43" i="61"/>
  <c r="H43" i="61"/>
  <c r="G43" i="61"/>
  <c r="E43" i="61"/>
  <c r="D43" i="61"/>
  <c r="F42" i="61"/>
  <c r="C42" i="61" s="1"/>
  <c r="F41" i="61"/>
  <c r="C41" i="61" s="1"/>
  <c r="E41" i="61"/>
  <c r="D41" i="61"/>
  <c r="L40" i="61"/>
  <c r="C40" i="61" s="1"/>
  <c r="L39" i="61"/>
  <c r="C39" i="61" s="1"/>
  <c r="L38" i="61"/>
  <c r="C38" i="61" s="1"/>
  <c r="L37" i="61"/>
  <c r="C37" i="61"/>
  <c r="K36" i="61"/>
  <c r="J36" i="61"/>
  <c r="L35" i="61"/>
  <c r="C35" i="61" s="1"/>
  <c r="L34" i="61"/>
  <c r="K33" i="61"/>
  <c r="J33" i="61"/>
  <c r="L32" i="61"/>
  <c r="K31" i="61"/>
  <c r="J31" i="61"/>
  <c r="L30" i="61"/>
  <c r="C30" i="61" s="1"/>
  <c r="L29" i="61"/>
  <c r="C29" i="61" s="1"/>
  <c r="L28" i="61"/>
  <c r="K27" i="61"/>
  <c r="J27" i="61"/>
  <c r="F25" i="61"/>
  <c r="C25" i="61" s="1"/>
  <c r="I24" i="61"/>
  <c r="F24" i="61"/>
  <c r="O23" i="61"/>
  <c r="L23" i="61"/>
  <c r="I23" i="61"/>
  <c r="F23" i="61"/>
  <c r="O22" i="61"/>
  <c r="L22" i="61"/>
  <c r="L21" i="61" s="1"/>
  <c r="I22" i="61"/>
  <c r="I21" i="61" s="1"/>
  <c r="F22" i="61"/>
  <c r="O21" i="61"/>
  <c r="N21" i="61"/>
  <c r="M21" i="61"/>
  <c r="M292" i="61" s="1"/>
  <c r="K21" i="61"/>
  <c r="K292" i="61" s="1"/>
  <c r="K291" i="61" s="1"/>
  <c r="J21" i="61"/>
  <c r="H21" i="61"/>
  <c r="G21" i="61"/>
  <c r="G292" i="61" s="1"/>
  <c r="F21" i="61"/>
  <c r="E21" i="61"/>
  <c r="D21" i="61"/>
  <c r="D292" i="61" s="1"/>
  <c r="D291" i="61" s="1"/>
  <c r="O301" i="60"/>
  <c r="L301" i="60"/>
  <c r="I301" i="60"/>
  <c r="F301" i="60"/>
  <c r="O300" i="60"/>
  <c r="L300" i="60"/>
  <c r="I300" i="60"/>
  <c r="F300" i="60"/>
  <c r="O299" i="60"/>
  <c r="L299" i="60"/>
  <c r="I299" i="60"/>
  <c r="F299" i="60"/>
  <c r="O298" i="60"/>
  <c r="L298" i="60"/>
  <c r="I298" i="60"/>
  <c r="F298" i="60"/>
  <c r="O297" i="60"/>
  <c r="L297" i="60"/>
  <c r="I297" i="60"/>
  <c r="F297" i="60"/>
  <c r="O296" i="60"/>
  <c r="L296" i="60"/>
  <c r="I296" i="60"/>
  <c r="F296" i="60"/>
  <c r="O295" i="60"/>
  <c r="L295" i="60"/>
  <c r="I295" i="60"/>
  <c r="F295" i="60"/>
  <c r="O294" i="60"/>
  <c r="O293" i="60" s="1"/>
  <c r="L294" i="60"/>
  <c r="I294" i="60"/>
  <c r="F294" i="60"/>
  <c r="N293" i="60"/>
  <c r="M293" i="60"/>
  <c r="K293" i="60"/>
  <c r="J293" i="60"/>
  <c r="H293" i="60"/>
  <c r="G293" i="60"/>
  <c r="F293" i="60"/>
  <c r="E293" i="60"/>
  <c r="D293" i="60"/>
  <c r="O288" i="60"/>
  <c r="L288" i="60"/>
  <c r="I288" i="60"/>
  <c r="F288" i="60"/>
  <c r="O287" i="60"/>
  <c r="L287" i="60"/>
  <c r="I287" i="60"/>
  <c r="I286" i="60" s="1"/>
  <c r="F287" i="60"/>
  <c r="N286" i="60"/>
  <c r="M286" i="60"/>
  <c r="K286" i="60"/>
  <c r="J286" i="60"/>
  <c r="H286" i="60"/>
  <c r="G286" i="60"/>
  <c r="E286" i="60"/>
  <c r="D286" i="60"/>
  <c r="O285" i="60"/>
  <c r="L285" i="60"/>
  <c r="L284" i="60" s="1"/>
  <c r="I285" i="60"/>
  <c r="I284" i="60" s="1"/>
  <c r="I283" i="60" s="1"/>
  <c r="F285" i="60"/>
  <c r="O284" i="60"/>
  <c r="O283" i="60" s="1"/>
  <c r="N284" i="60"/>
  <c r="M284" i="60"/>
  <c r="M283" i="60" s="1"/>
  <c r="K284" i="60"/>
  <c r="K283" i="60" s="1"/>
  <c r="J284" i="60"/>
  <c r="H284" i="60"/>
  <c r="H283" i="60" s="1"/>
  <c r="G284" i="60"/>
  <c r="G283" i="60" s="1"/>
  <c r="E284" i="60"/>
  <c r="E283" i="60" s="1"/>
  <c r="D284" i="60"/>
  <c r="D283" i="60" s="1"/>
  <c r="N283" i="60"/>
  <c r="L283" i="60"/>
  <c r="J283" i="60"/>
  <c r="O282" i="60"/>
  <c r="O281" i="60" s="1"/>
  <c r="L282" i="60"/>
  <c r="L281" i="60" s="1"/>
  <c r="I282" i="60"/>
  <c r="I281" i="60" s="1"/>
  <c r="F282" i="60"/>
  <c r="F281" i="60" s="1"/>
  <c r="N281" i="60"/>
  <c r="M281" i="60"/>
  <c r="K281" i="60"/>
  <c r="J281" i="60"/>
  <c r="H281" i="60"/>
  <c r="G281" i="60"/>
  <c r="E281" i="60"/>
  <c r="D281" i="60"/>
  <c r="O280" i="60"/>
  <c r="L280" i="60"/>
  <c r="I280" i="60"/>
  <c r="F280" i="60"/>
  <c r="O279" i="60"/>
  <c r="L279" i="60"/>
  <c r="I279" i="60"/>
  <c r="F279" i="60"/>
  <c r="O278" i="60"/>
  <c r="L278" i="60"/>
  <c r="I278" i="60"/>
  <c r="F278" i="60"/>
  <c r="O277" i="60"/>
  <c r="L277" i="60"/>
  <c r="L276" i="60" s="1"/>
  <c r="I277" i="60"/>
  <c r="I276" i="60" s="1"/>
  <c r="F277" i="60"/>
  <c r="N276" i="60"/>
  <c r="M276" i="60"/>
  <c r="K276" i="60"/>
  <c r="J276" i="60"/>
  <c r="H276" i="60"/>
  <c r="G276" i="60"/>
  <c r="E276" i="60"/>
  <c r="D276" i="60"/>
  <c r="O275" i="60"/>
  <c r="L275" i="60"/>
  <c r="I275" i="60"/>
  <c r="F275" i="60"/>
  <c r="O274" i="60"/>
  <c r="L274" i="60"/>
  <c r="I274" i="60"/>
  <c r="F274" i="60"/>
  <c r="C274" i="60"/>
  <c r="O273" i="60"/>
  <c r="L273" i="60"/>
  <c r="I273" i="60"/>
  <c r="F273" i="60"/>
  <c r="N272" i="60"/>
  <c r="M272" i="60"/>
  <c r="K272" i="60"/>
  <c r="J272" i="60"/>
  <c r="J270" i="60" s="1"/>
  <c r="J269" i="60" s="1"/>
  <c r="I272" i="60"/>
  <c r="H272" i="60"/>
  <c r="G272" i="60"/>
  <c r="E272" i="60"/>
  <c r="E270" i="60" s="1"/>
  <c r="D272" i="60"/>
  <c r="D270" i="60" s="1"/>
  <c r="D269" i="60" s="1"/>
  <c r="O271" i="60"/>
  <c r="L271" i="60"/>
  <c r="I271" i="60"/>
  <c r="F271" i="60"/>
  <c r="O268" i="60"/>
  <c r="L268" i="60"/>
  <c r="I268" i="60"/>
  <c r="F268" i="60"/>
  <c r="O267" i="60"/>
  <c r="L267" i="60"/>
  <c r="I267" i="60"/>
  <c r="F267" i="60"/>
  <c r="O266" i="60"/>
  <c r="L266" i="60"/>
  <c r="I266" i="60"/>
  <c r="F266" i="60"/>
  <c r="O265" i="60"/>
  <c r="L265" i="60"/>
  <c r="I265" i="60"/>
  <c r="F265" i="60"/>
  <c r="O264" i="60"/>
  <c r="N264" i="60"/>
  <c r="M264" i="60"/>
  <c r="K264" i="60"/>
  <c r="J264" i="60"/>
  <c r="H264" i="60"/>
  <c r="G264" i="60"/>
  <c r="E264" i="60"/>
  <c r="D264" i="60"/>
  <c r="O263" i="60"/>
  <c r="L263" i="60"/>
  <c r="I263" i="60"/>
  <c r="F263" i="60"/>
  <c r="O262" i="60"/>
  <c r="L262" i="60"/>
  <c r="I262" i="60"/>
  <c r="F262" i="60"/>
  <c r="O261" i="60"/>
  <c r="L261" i="60"/>
  <c r="I261" i="60"/>
  <c r="I260" i="60" s="1"/>
  <c r="F261" i="60"/>
  <c r="O260" i="60"/>
  <c r="N260" i="60"/>
  <c r="M260" i="60"/>
  <c r="M259" i="60" s="1"/>
  <c r="K260" i="60"/>
  <c r="J260" i="60"/>
  <c r="H260" i="60"/>
  <c r="H259" i="60" s="1"/>
  <c r="G260" i="60"/>
  <c r="G259" i="60" s="1"/>
  <c r="E260" i="60"/>
  <c r="D260" i="60"/>
  <c r="N259" i="60"/>
  <c r="O258" i="60"/>
  <c r="L258" i="60"/>
  <c r="I258" i="60"/>
  <c r="F258" i="60"/>
  <c r="C258" i="60" s="1"/>
  <c r="O257" i="60"/>
  <c r="L257" i="60"/>
  <c r="I257" i="60"/>
  <c r="F257" i="60"/>
  <c r="O256" i="60"/>
  <c r="L256" i="60"/>
  <c r="I256" i="60"/>
  <c r="F256" i="60"/>
  <c r="O255" i="60"/>
  <c r="L255" i="60"/>
  <c r="I255" i="60"/>
  <c r="F255" i="60"/>
  <c r="O254" i="60"/>
  <c r="L254" i="60"/>
  <c r="I254" i="60"/>
  <c r="F254" i="60"/>
  <c r="O253" i="60"/>
  <c r="L253" i="60"/>
  <c r="I253" i="60"/>
  <c r="F253" i="60"/>
  <c r="O252" i="60"/>
  <c r="N252" i="60"/>
  <c r="M252" i="60"/>
  <c r="M251" i="60" s="1"/>
  <c r="K252" i="60"/>
  <c r="K251" i="60" s="1"/>
  <c r="J252" i="60"/>
  <c r="J251" i="60" s="1"/>
  <c r="H252" i="60"/>
  <c r="G252" i="60"/>
  <c r="G251" i="60" s="1"/>
  <c r="E252" i="60"/>
  <c r="E251" i="60" s="1"/>
  <c r="D252" i="60"/>
  <c r="N251" i="60"/>
  <c r="H251" i="60"/>
  <c r="D251" i="60"/>
  <c r="O250" i="60"/>
  <c r="L250" i="60"/>
  <c r="I250" i="60"/>
  <c r="F250" i="60"/>
  <c r="C250" i="60" s="1"/>
  <c r="O249" i="60"/>
  <c r="L249" i="60"/>
  <c r="I249" i="60"/>
  <c r="F249" i="60"/>
  <c r="O248" i="60"/>
  <c r="L248" i="60"/>
  <c r="I248" i="60"/>
  <c r="F248" i="60"/>
  <c r="O247" i="60"/>
  <c r="L247" i="60"/>
  <c r="L246" i="60" s="1"/>
  <c r="I247" i="60"/>
  <c r="F247" i="60"/>
  <c r="N246" i="60"/>
  <c r="M246" i="60"/>
  <c r="K246" i="60"/>
  <c r="J246" i="60"/>
  <c r="H246" i="60"/>
  <c r="G246" i="60"/>
  <c r="E246" i="60"/>
  <c r="D246" i="60"/>
  <c r="O245" i="60"/>
  <c r="L245" i="60"/>
  <c r="I245" i="60"/>
  <c r="F245" i="60"/>
  <c r="O244" i="60"/>
  <c r="L244" i="60"/>
  <c r="I244" i="60"/>
  <c r="F244" i="60"/>
  <c r="O243" i="60"/>
  <c r="L243" i="60"/>
  <c r="I243" i="60"/>
  <c r="F243" i="60"/>
  <c r="O242" i="60"/>
  <c r="L242" i="60"/>
  <c r="I242" i="60"/>
  <c r="F242" i="60"/>
  <c r="O241" i="60"/>
  <c r="L241" i="60"/>
  <c r="I241" i="60"/>
  <c r="F241" i="60"/>
  <c r="O240" i="60"/>
  <c r="L240" i="60"/>
  <c r="I240" i="60"/>
  <c r="F240" i="60"/>
  <c r="O239" i="60"/>
  <c r="L239" i="60"/>
  <c r="I239" i="60"/>
  <c r="F239" i="60"/>
  <c r="N238" i="60"/>
  <c r="M238" i="60"/>
  <c r="K238" i="60"/>
  <c r="J238" i="60"/>
  <c r="H238" i="60"/>
  <c r="G238" i="60"/>
  <c r="E238" i="60"/>
  <c r="D238" i="60"/>
  <c r="O237" i="60"/>
  <c r="L237" i="60"/>
  <c r="I237" i="60"/>
  <c r="F237" i="60"/>
  <c r="O236" i="60"/>
  <c r="O235" i="60" s="1"/>
  <c r="L236" i="60"/>
  <c r="I236" i="60"/>
  <c r="I235" i="60" s="1"/>
  <c r="F236" i="60"/>
  <c r="C236" i="60" s="1"/>
  <c r="N235" i="60"/>
  <c r="M235" i="60"/>
  <c r="K235" i="60"/>
  <c r="J235" i="60"/>
  <c r="H235" i="60"/>
  <c r="G235" i="60"/>
  <c r="F235" i="60"/>
  <c r="E235" i="60"/>
  <c r="D235" i="60"/>
  <c r="O234" i="60"/>
  <c r="O233" i="60" s="1"/>
  <c r="L234" i="60"/>
  <c r="L233" i="60" s="1"/>
  <c r="I234" i="60"/>
  <c r="I233" i="60" s="1"/>
  <c r="F234" i="60"/>
  <c r="N233" i="60"/>
  <c r="M233" i="60"/>
  <c r="K233" i="60"/>
  <c r="J233" i="60"/>
  <c r="H233" i="60"/>
  <c r="G233" i="60"/>
  <c r="F233" i="60"/>
  <c r="E233" i="60"/>
  <c r="D233" i="60"/>
  <c r="D231" i="60" s="1"/>
  <c r="O232" i="60"/>
  <c r="L232" i="60"/>
  <c r="I232" i="60"/>
  <c r="F232" i="60"/>
  <c r="O229" i="60"/>
  <c r="L229" i="60"/>
  <c r="I229" i="60"/>
  <c r="F229" i="60"/>
  <c r="O228" i="60"/>
  <c r="O227" i="60" s="1"/>
  <c r="L228" i="60"/>
  <c r="L227" i="60" s="1"/>
  <c r="I228" i="60"/>
  <c r="I227" i="60" s="1"/>
  <c r="F228" i="60"/>
  <c r="N227" i="60"/>
  <c r="M227" i="60"/>
  <c r="K227" i="60"/>
  <c r="J227" i="60"/>
  <c r="H227" i="60"/>
  <c r="G227" i="60"/>
  <c r="F227" i="60"/>
  <c r="C227" i="60" s="1"/>
  <c r="E227" i="60"/>
  <c r="D227" i="60"/>
  <c r="O226" i="60"/>
  <c r="L226" i="60"/>
  <c r="I226" i="60"/>
  <c r="F226" i="60"/>
  <c r="O225" i="60"/>
  <c r="L225" i="60"/>
  <c r="I225" i="60"/>
  <c r="F225" i="60"/>
  <c r="O224" i="60"/>
  <c r="L224" i="60"/>
  <c r="I224" i="60"/>
  <c r="F224" i="60"/>
  <c r="O223" i="60"/>
  <c r="L223" i="60"/>
  <c r="I223" i="60"/>
  <c r="F223" i="60"/>
  <c r="O222" i="60"/>
  <c r="L222" i="60"/>
  <c r="C222" i="60" s="1"/>
  <c r="I222" i="60"/>
  <c r="F222" i="60"/>
  <c r="O221" i="60"/>
  <c r="L221" i="60"/>
  <c r="I221" i="60"/>
  <c r="F221" i="60"/>
  <c r="O220" i="60"/>
  <c r="L220" i="60"/>
  <c r="I220" i="60"/>
  <c r="F220" i="60"/>
  <c r="O219" i="60"/>
  <c r="L219" i="60"/>
  <c r="I219" i="60"/>
  <c r="F219" i="60"/>
  <c r="O218" i="60"/>
  <c r="L218" i="60"/>
  <c r="I218" i="60"/>
  <c r="F218" i="60"/>
  <c r="O217" i="60"/>
  <c r="L217" i="60"/>
  <c r="I217" i="60"/>
  <c r="F217" i="60"/>
  <c r="N216" i="60"/>
  <c r="M216" i="60"/>
  <c r="K216" i="60"/>
  <c r="J216" i="60"/>
  <c r="H216" i="60"/>
  <c r="G216" i="60"/>
  <c r="E216" i="60"/>
  <c r="D216" i="60"/>
  <c r="O215" i="60"/>
  <c r="L215" i="60"/>
  <c r="I215" i="60"/>
  <c r="F215" i="60"/>
  <c r="O214" i="60"/>
  <c r="L214" i="60"/>
  <c r="I214" i="60"/>
  <c r="F214" i="60"/>
  <c r="O213" i="60"/>
  <c r="L213" i="60"/>
  <c r="I213" i="60"/>
  <c r="F213" i="60"/>
  <c r="O212" i="60"/>
  <c r="L212" i="60"/>
  <c r="I212" i="60"/>
  <c r="F212" i="60"/>
  <c r="O211" i="60"/>
  <c r="L211" i="60"/>
  <c r="I211" i="60"/>
  <c r="F211" i="60"/>
  <c r="O210" i="60"/>
  <c r="L210" i="60"/>
  <c r="I210" i="60"/>
  <c r="F210" i="60"/>
  <c r="O209" i="60"/>
  <c r="L209" i="60"/>
  <c r="I209" i="60"/>
  <c r="F209" i="60"/>
  <c r="O208" i="60"/>
  <c r="L208" i="60"/>
  <c r="I208" i="60"/>
  <c r="F208" i="60"/>
  <c r="O207" i="60"/>
  <c r="L207" i="60"/>
  <c r="I207" i="60"/>
  <c r="F207" i="60"/>
  <c r="O206" i="60"/>
  <c r="L206" i="60"/>
  <c r="I206" i="60"/>
  <c r="F206" i="60"/>
  <c r="N205" i="60"/>
  <c r="N204" i="60" s="1"/>
  <c r="M205" i="60"/>
  <c r="K205" i="60"/>
  <c r="J205" i="60"/>
  <c r="J204" i="60" s="1"/>
  <c r="H205" i="60"/>
  <c r="H204" i="60" s="1"/>
  <c r="G205" i="60"/>
  <c r="E205" i="60"/>
  <c r="D205" i="60"/>
  <c r="D204" i="60" s="1"/>
  <c r="M204" i="60"/>
  <c r="O203" i="60"/>
  <c r="L203" i="60"/>
  <c r="I203" i="60"/>
  <c r="F203" i="60"/>
  <c r="O202" i="60"/>
  <c r="L202" i="60"/>
  <c r="I202" i="60"/>
  <c r="F202" i="60"/>
  <c r="C202" i="60" s="1"/>
  <c r="O201" i="60"/>
  <c r="L201" i="60"/>
  <c r="I201" i="60"/>
  <c r="F201" i="60"/>
  <c r="O200" i="60"/>
  <c r="L200" i="60"/>
  <c r="I200" i="60"/>
  <c r="F200" i="60"/>
  <c r="O199" i="60"/>
  <c r="L199" i="60"/>
  <c r="L198" i="60" s="1"/>
  <c r="I199" i="60"/>
  <c r="F199" i="60"/>
  <c r="O198" i="60"/>
  <c r="N198" i="60"/>
  <c r="N196" i="60" s="1"/>
  <c r="M198" i="60"/>
  <c r="K198" i="60"/>
  <c r="J198" i="60"/>
  <c r="I198" i="60"/>
  <c r="H198" i="60"/>
  <c r="G198" i="60"/>
  <c r="G196" i="60" s="1"/>
  <c r="E198" i="60"/>
  <c r="E196" i="60" s="1"/>
  <c r="D198" i="60"/>
  <c r="D196" i="60" s="1"/>
  <c r="O197" i="60"/>
  <c r="L197" i="60"/>
  <c r="I197" i="60"/>
  <c r="F197" i="60"/>
  <c r="M196" i="60"/>
  <c r="K196" i="60"/>
  <c r="J196" i="60"/>
  <c r="H196" i="60"/>
  <c r="H195" i="60" s="1"/>
  <c r="O193" i="60"/>
  <c r="L193" i="60"/>
  <c r="L192" i="60" s="1"/>
  <c r="I193" i="60"/>
  <c r="I192" i="60" s="1"/>
  <c r="I191" i="60" s="1"/>
  <c r="F193" i="60"/>
  <c r="F192" i="60" s="1"/>
  <c r="O192" i="60"/>
  <c r="N192" i="60"/>
  <c r="M192" i="60"/>
  <c r="M191" i="60" s="1"/>
  <c r="K192" i="60"/>
  <c r="K191" i="60" s="1"/>
  <c r="J192" i="60"/>
  <c r="H192" i="60"/>
  <c r="G192" i="60"/>
  <c r="E192" i="60"/>
  <c r="E191" i="60" s="1"/>
  <c r="D192" i="60"/>
  <c r="O191" i="60"/>
  <c r="N191" i="60"/>
  <c r="L191" i="60"/>
  <c r="J191" i="60"/>
  <c r="H191" i="60"/>
  <c r="G191" i="60"/>
  <c r="D191" i="60"/>
  <c r="O190" i="60"/>
  <c r="L190" i="60"/>
  <c r="I190" i="60"/>
  <c r="F190" i="60"/>
  <c r="O189" i="60"/>
  <c r="L189" i="60"/>
  <c r="L188" i="60" s="1"/>
  <c r="I189" i="60"/>
  <c r="F189" i="60"/>
  <c r="N188" i="60"/>
  <c r="M188" i="60"/>
  <c r="K188" i="60"/>
  <c r="J188" i="60"/>
  <c r="J187" i="60" s="1"/>
  <c r="H188" i="60"/>
  <c r="H187" i="60" s="1"/>
  <c r="G188" i="60"/>
  <c r="E188" i="60"/>
  <c r="D188" i="60"/>
  <c r="D187" i="60" s="1"/>
  <c r="N187" i="60"/>
  <c r="O186" i="60"/>
  <c r="L186" i="60"/>
  <c r="I186" i="60"/>
  <c r="F186" i="60"/>
  <c r="O185" i="60"/>
  <c r="L185" i="60"/>
  <c r="L184" i="60" s="1"/>
  <c r="I185" i="60"/>
  <c r="F185" i="60"/>
  <c r="F184" i="60" s="1"/>
  <c r="O184" i="60"/>
  <c r="N184" i="60"/>
  <c r="M184" i="60"/>
  <c r="K184" i="60"/>
  <c r="J184" i="60"/>
  <c r="I184" i="60"/>
  <c r="H184" i="60"/>
  <c r="G184" i="60"/>
  <c r="E184" i="60"/>
  <c r="D184" i="60"/>
  <c r="O183" i="60"/>
  <c r="L183" i="60"/>
  <c r="I183" i="60"/>
  <c r="F183" i="60"/>
  <c r="C183" i="60" s="1"/>
  <c r="O182" i="60"/>
  <c r="L182" i="60"/>
  <c r="I182" i="60"/>
  <c r="F182" i="60"/>
  <c r="O181" i="60"/>
  <c r="L181" i="60"/>
  <c r="I181" i="60"/>
  <c r="F181" i="60"/>
  <c r="O180" i="60"/>
  <c r="L180" i="60"/>
  <c r="I180" i="60"/>
  <c r="F180" i="60"/>
  <c r="N179" i="60"/>
  <c r="M179" i="60"/>
  <c r="K179" i="60"/>
  <c r="J179" i="60"/>
  <c r="H179" i="60"/>
  <c r="G179" i="60"/>
  <c r="E179" i="60"/>
  <c r="D179" i="60"/>
  <c r="O178" i="60"/>
  <c r="L178" i="60"/>
  <c r="I178" i="60"/>
  <c r="F178" i="60"/>
  <c r="O177" i="60"/>
  <c r="L177" i="60"/>
  <c r="I177" i="60"/>
  <c r="F177" i="60"/>
  <c r="O176" i="60"/>
  <c r="O175" i="60" s="1"/>
  <c r="L176" i="60"/>
  <c r="L175" i="60" s="1"/>
  <c r="I176" i="60"/>
  <c r="F176" i="60"/>
  <c r="N175" i="60"/>
  <c r="M175" i="60"/>
  <c r="K175" i="60"/>
  <c r="J175" i="60"/>
  <c r="H175" i="60"/>
  <c r="G175" i="60"/>
  <c r="E175" i="60"/>
  <c r="D175" i="60"/>
  <c r="M174" i="60"/>
  <c r="M173" i="60" s="1"/>
  <c r="K174" i="60"/>
  <c r="E174" i="60"/>
  <c r="O172" i="60"/>
  <c r="L172" i="60"/>
  <c r="I172" i="60"/>
  <c r="F172" i="60"/>
  <c r="O171" i="60"/>
  <c r="L171" i="60"/>
  <c r="I171" i="60"/>
  <c r="F171" i="60"/>
  <c r="O170" i="60"/>
  <c r="L170" i="60"/>
  <c r="I170" i="60"/>
  <c r="F170" i="60"/>
  <c r="O169" i="60"/>
  <c r="L169" i="60"/>
  <c r="I169" i="60"/>
  <c r="F169" i="60"/>
  <c r="O168" i="60"/>
  <c r="L168" i="60"/>
  <c r="I168" i="60"/>
  <c r="F168" i="60"/>
  <c r="O167" i="60"/>
  <c r="O166" i="60" s="1"/>
  <c r="O165" i="60" s="1"/>
  <c r="L167" i="60"/>
  <c r="I167" i="60"/>
  <c r="F167" i="60"/>
  <c r="N166" i="60"/>
  <c r="M166" i="60"/>
  <c r="K166" i="60"/>
  <c r="K165" i="60" s="1"/>
  <c r="J166" i="60"/>
  <c r="H166" i="60"/>
  <c r="H165" i="60" s="1"/>
  <c r="G166" i="60"/>
  <c r="G165" i="60" s="1"/>
  <c r="E166" i="60"/>
  <c r="E165" i="60" s="1"/>
  <c r="D166" i="60"/>
  <c r="N165" i="60"/>
  <c r="M165" i="60"/>
  <c r="J165" i="60"/>
  <c r="D165" i="60"/>
  <c r="O164" i="60"/>
  <c r="L164" i="60"/>
  <c r="I164" i="60"/>
  <c r="F164" i="60"/>
  <c r="O163" i="60"/>
  <c r="L163" i="60"/>
  <c r="I163" i="60"/>
  <c r="F163" i="60"/>
  <c r="O162" i="60"/>
  <c r="O160" i="60" s="1"/>
  <c r="L162" i="60"/>
  <c r="I162" i="60"/>
  <c r="F162" i="60"/>
  <c r="C162" i="60"/>
  <c r="O161" i="60"/>
  <c r="L161" i="60"/>
  <c r="L160" i="60" s="1"/>
  <c r="I161" i="60"/>
  <c r="F161" i="60"/>
  <c r="N160" i="60"/>
  <c r="M160" i="60"/>
  <c r="K160" i="60"/>
  <c r="J160" i="60"/>
  <c r="I160" i="60"/>
  <c r="H160" i="60"/>
  <c r="G160" i="60"/>
  <c r="E160" i="60"/>
  <c r="D160" i="60"/>
  <c r="O159" i="60"/>
  <c r="L159" i="60"/>
  <c r="I159" i="60"/>
  <c r="F159" i="60"/>
  <c r="O158" i="60"/>
  <c r="L158" i="60"/>
  <c r="I158" i="60"/>
  <c r="F158" i="60"/>
  <c r="O157" i="60"/>
  <c r="L157" i="60"/>
  <c r="I157" i="60"/>
  <c r="F157" i="60"/>
  <c r="O156" i="60"/>
  <c r="L156" i="60"/>
  <c r="I156" i="60"/>
  <c r="F156" i="60"/>
  <c r="O155" i="60"/>
  <c r="L155" i="60"/>
  <c r="I155" i="60"/>
  <c r="F155" i="60"/>
  <c r="O154" i="60"/>
  <c r="L154" i="60"/>
  <c r="I154" i="60"/>
  <c r="F154" i="60"/>
  <c r="O153" i="60"/>
  <c r="L153" i="60"/>
  <c r="I153" i="60"/>
  <c r="F153" i="60"/>
  <c r="O152" i="60"/>
  <c r="O151" i="60" s="1"/>
  <c r="L152" i="60"/>
  <c r="I152" i="60"/>
  <c r="F152" i="60"/>
  <c r="N151" i="60"/>
  <c r="M151" i="60"/>
  <c r="K151" i="60"/>
  <c r="J151" i="60"/>
  <c r="H151" i="60"/>
  <c r="G151" i="60"/>
  <c r="E151" i="60"/>
  <c r="D151" i="60"/>
  <c r="O150" i="60"/>
  <c r="L150" i="60"/>
  <c r="I150" i="60"/>
  <c r="F150" i="60"/>
  <c r="O149" i="60"/>
  <c r="L149" i="60"/>
  <c r="I149" i="60"/>
  <c r="F149" i="60"/>
  <c r="O148" i="60"/>
  <c r="L148" i="60"/>
  <c r="I148" i="60"/>
  <c r="F148" i="60"/>
  <c r="O147" i="60"/>
  <c r="L147" i="60"/>
  <c r="I147" i="60"/>
  <c r="F147" i="60"/>
  <c r="O146" i="60"/>
  <c r="L146" i="60"/>
  <c r="I146" i="60"/>
  <c r="F146" i="60"/>
  <c r="O145" i="60"/>
  <c r="L145" i="60"/>
  <c r="I145" i="60"/>
  <c r="I144" i="60" s="1"/>
  <c r="F145" i="60"/>
  <c r="O144" i="60"/>
  <c r="N144" i="60"/>
  <c r="M144" i="60"/>
  <c r="K144" i="60"/>
  <c r="J144" i="60"/>
  <c r="H144" i="60"/>
  <c r="G144" i="60"/>
  <c r="E144" i="60"/>
  <c r="D144" i="60"/>
  <c r="O143" i="60"/>
  <c r="L143" i="60"/>
  <c r="I143" i="60"/>
  <c r="F143" i="60"/>
  <c r="O142" i="60"/>
  <c r="O141" i="60" s="1"/>
  <c r="L142" i="60"/>
  <c r="L141" i="60" s="1"/>
  <c r="I142" i="60"/>
  <c r="I141" i="60" s="1"/>
  <c r="F142" i="60"/>
  <c r="N141" i="60"/>
  <c r="M141" i="60"/>
  <c r="K141" i="60"/>
  <c r="J141" i="60"/>
  <c r="H141" i="60"/>
  <c r="G141" i="60"/>
  <c r="F141" i="60"/>
  <c r="E141" i="60"/>
  <c r="D141" i="60"/>
  <c r="O140" i="60"/>
  <c r="L140" i="60"/>
  <c r="I140" i="60"/>
  <c r="F140" i="60"/>
  <c r="C140" i="60" s="1"/>
  <c r="O139" i="60"/>
  <c r="L139" i="60"/>
  <c r="I139" i="60"/>
  <c r="F139" i="60"/>
  <c r="O138" i="60"/>
  <c r="L138" i="60"/>
  <c r="I138" i="60"/>
  <c r="F138" i="60"/>
  <c r="O137" i="60"/>
  <c r="L137" i="60"/>
  <c r="L136" i="60" s="1"/>
  <c r="I137" i="60"/>
  <c r="I136" i="60" s="1"/>
  <c r="F137" i="60"/>
  <c r="O136" i="60"/>
  <c r="N136" i="60"/>
  <c r="M136" i="60"/>
  <c r="K136" i="60"/>
  <c r="J136" i="60"/>
  <c r="H136" i="60"/>
  <c r="G136" i="60"/>
  <c r="E136" i="60"/>
  <c r="D136" i="60"/>
  <c r="O135" i="60"/>
  <c r="L135" i="60"/>
  <c r="I135" i="60"/>
  <c r="F135" i="60"/>
  <c r="O134" i="60"/>
  <c r="L134" i="60"/>
  <c r="I134" i="60"/>
  <c r="F134" i="60"/>
  <c r="O133" i="60"/>
  <c r="L133" i="60"/>
  <c r="I133" i="60"/>
  <c r="F133" i="60"/>
  <c r="O132" i="60"/>
  <c r="O131" i="60" s="1"/>
  <c r="L132" i="60"/>
  <c r="I132" i="60"/>
  <c r="I131" i="60" s="1"/>
  <c r="F132" i="60"/>
  <c r="N131" i="60"/>
  <c r="N130" i="60" s="1"/>
  <c r="M131" i="60"/>
  <c r="K131" i="60"/>
  <c r="J131" i="60"/>
  <c r="H131" i="60"/>
  <c r="G131" i="60"/>
  <c r="E131" i="60"/>
  <c r="D131" i="60"/>
  <c r="O129" i="60"/>
  <c r="L129" i="60"/>
  <c r="L128" i="60" s="1"/>
  <c r="I129" i="60"/>
  <c r="I128" i="60" s="1"/>
  <c r="F129" i="60"/>
  <c r="O128" i="60"/>
  <c r="N128" i="60"/>
  <c r="M128" i="60"/>
  <c r="K128" i="60"/>
  <c r="J128" i="60"/>
  <c r="H128" i="60"/>
  <c r="G128" i="60"/>
  <c r="F128" i="60"/>
  <c r="E128" i="60"/>
  <c r="D128" i="60"/>
  <c r="O127" i="60"/>
  <c r="L127" i="60"/>
  <c r="I127" i="60"/>
  <c r="F127" i="60"/>
  <c r="O126" i="60"/>
  <c r="L126" i="60"/>
  <c r="I126" i="60"/>
  <c r="F126" i="60"/>
  <c r="O125" i="60"/>
  <c r="L125" i="60"/>
  <c r="I125" i="60"/>
  <c r="F125" i="60"/>
  <c r="O124" i="60"/>
  <c r="L124" i="60"/>
  <c r="I124" i="60"/>
  <c r="F124" i="60"/>
  <c r="O123" i="60"/>
  <c r="O122" i="60" s="1"/>
  <c r="L123" i="60"/>
  <c r="I123" i="60"/>
  <c r="F123" i="60"/>
  <c r="N122" i="60"/>
  <c r="M122" i="60"/>
  <c r="K122" i="60"/>
  <c r="J122" i="60"/>
  <c r="H122" i="60"/>
  <c r="G122" i="60"/>
  <c r="E122" i="60"/>
  <c r="D122" i="60"/>
  <c r="O121" i="60"/>
  <c r="L121" i="60"/>
  <c r="I121" i="60"/>
  <c r="F121" i="60"/>
  <c r="O120" i="60"/>
  <c r="L120" i="60"/>
  <c r="I120" i="60"/>
  <c r="C120" i="60" s="1"/>
  <c r="F120" i="60"/>
  <c r="O119" i="60"/>
  <c r="L119" i="60"/>
  <c r="I119" i="60"/>
  <c r="F119" i="60"/>
  <c r="O118" i="60"/>
  <c r="L118" i="60"/>
  <c r="I118" i="60"/>
  <c r="F118" i="60"/>
  <c r="O117" i="60"/>
  <c r="L117" i="60"/>
  <c r="I117" i="60"/>
  <c r="I116" i="60" s="1"/>
  <c r="F117" i="60"/>
  <c r="N116" i="60"/>
  <c r="M116" i="60"/>
  <c r="K116" i="60"/>
  <c r="J116" i="60"/>
  <c r="H116" i="60"/>
  <c r="G116" i="60"/>
  <c r="E116" i="60"/>
  <c r="D116" i="60"/>
  <c r="O115" i="60"/>
  <c r="L115" i="60"/>
  <c r="I115" i="60"/>
  <c r="F115" i="60"/>
  <c r="O114" i="60"/>
  <c r="L114" i="60"/>
  <c r="I114" i="60"/>
  <c r="F114" i="60"/>
  <c r="O113" i="60"/>
  <c r="L113" i="60"/>
  <c r="I113" i="60"/>
  <c r="I112" i="60" s="1"/>
  <c r="F113" i="60"/>
  <c r="O112" i="60"/>
  <c r="N112" i="60"/>
  <c r="M112" i="60"/>
  <c r="K112" i="60"/>
  <c r="J112" i="60"/>
  <c r="H112" i="60"/>
  <c r="G112" i="60"/>
  <c r="E112" i="60"/>
  <c r="D112" i="60"/>
  <c r="O111" i="60"/>
  <c r="L111" i="60"/>
  <c r="I111" i="60"/>
  <c r="F111" i="60"/>
  <c r="O110" i="60"/>
  <c r="L110" i="60"/>
  <c r="I110" i="60"/>
  <c r="F110" i="60"/>
  <c r="O109" i="60"/>
  <c r="L109" i="60"/>
  <c r="I109" i="60"/>
  <c r="F109" i="60"/>
  <c r="O108" i="60"/>
  <c r="L108" i="60"/>
  <c r="I108" i="60"/>
  <c r="F108" i="60"/>
  <c r="O107" i="60"/>
  <c r="L107" i="60"/>
  <c r="I107" i="60"/>
  <c r="F107" i="60"/>
  <c r="O106" i="60"/>
  <c r="L106" i="60"/>
  <c r="I106" i="60"/>
  <c r="F106" i="60"/>
  <c r="O105" i="60"/>
  <c r="L105" i="60"/>
  <c r="I105" i="60"/>
  <c r="F105" i="60"/>
  <c r="O104" i="60"/>
  <c r="L104" i="60"/>
  <c r="I104" i="60"/>
  <c r="F104" i="60"/>
  <c r="F103" i="60" s="1"/>
  <c r="N103" i="60"/>
  <c r="M103" i="60"/>
  <c r="K103" i="60"/>
  <c r="J103" i="60"/>
  <c r="H103" i="60"/>
  <c r="G103" i="60"/>
  <c r="E103" i="60"/>
  <c r="D103" i="60"/>
  <c r="O102" i="60"/>
  <c r="L102" i="60"/>
  <c r="I102" i="60"/>
  <c r="F102" i="60"/>
  <c r="O101" i="60"/>
  <c r="L101" i="60"/>
  <c r="I101" i="60"/>
  <c r="F101" i="60"/>
  <c r="O100" i="60"/>
  <c r="L100" i="60"/>
  <c r="I100" i="60"/>
  <c r="F100" i="60"/>
  <c r="O99" i="60"/>
  <c r="L99" i="60"/>
  <c r="I99" i="60"/>
  <c r="F99" i="60"/>
  <c r="O98" i="60"/>
  <c r="L98" i="60"/>
  <c r="I98" i="60"/>
  <c r="F98" i="60"/>
  <c r="O97" i="60"/>
  <c r="L97" i="60"/>
  <c r="C97" i="60" s="1"/>
  <c r="I97" i="60"/>
  <c r="F97" i="60"/>
  <c r="O96" i="60"/>
  <c r="L96" i="60"/>
  <c r="I96" i="60"/>
  <c r="F96" i="60"/>
  <c r="N95" i="60"/>
  <c r="M95" i="60"/>
  <c r="K95" i="60"/>
  <c r="J95" i="60"/>
  <c r="H95" i="60"/>
  <c r="G95" i="60"/>
  <c r="E95" i="60"/>
  <c r="D95" i="60"/>
  <c r="O94" i="60"/>
  <c r="L94" i="60"/>
  <c r="I94" i="60"/>
  <c r="F94" i="60"/>
  <c r="O93" i="60"/>
  <c r="L93" i="60"/>
  <c r="I93" i="60"/>
  <c r="F93" i="60"/>
  <c r="O92" i="60"/>
  <c r="L92" i="60"/>
  <c r="C92" i="60" s="1"/>
  <c r="I92" i="60"/>
  <c r="F92" i="60"/>
  <c r="O91" i="60"/>
  <c r="L91" i="60"/>
  <c r="I91" i="60"/>
  <c r="F91" i="60"/>
  <c r="O90" i="60"/>
  <c r="L90" i="60"/>
  <c r="I90" i="60"/>
  <c r="F90" i="60"/>
  <c r="N89" i="60"/>
  <c r="M89" i="60"/>
  <c r="K89" i="60"/>
  <c r="J89" i="60"/>
  <c r="H89" i="60"/>
  <c r="G89" i="60"/>
  <c r="E89" i="60"/>
  <c r="D89" i="60"/>
  <c r="O88" i="60"/>
  <c r="L88" i="60"/>
  <c r="I88" i="60"/>
  <c r="F88" i="60"/>
  <c r="O87" i="60"/>
  <c r="L87" i="60"/>
  <c r="I87" i="60"/>
  <c r="F87" i="60"/>
  <c r="O86" i="60"/>
  <c r="L86" i="60"/>
  <c r="I86" i="60"/>
  <c r="F86" i="60"/>
  <c r="O85" i="60"/>
  <c r="O84" i="60" s="1"/>
  <c r="L85" i="60"/>
  <c r="C85" i="60" s="1"/>
  <c r="I85" i="60"/>
  <c r="F85" i="60"/>
  <c r="N84" i="60"/>
  <c r="M84" i="60"/>
  <c r="K84" i="60"/>
  <c r="J84" i="60"/>
  <c r="H84" i="60"/>
  <c r="G84" i="60"/>
  <c r="E84" i="60"/>
  <c r="D84" i="60"/>
  <c r="O82" i="60"/>
  <c r="L82" i="60"/>
  <c r="I82" i="60"/>
  <c r="F82" i="60"/>
  <c r="O81" i="60"/>
  <c r="L81" i="60"/>
  <c r="I81" i="60"/>
  <c r="F81" i="60"/>
  <c r="O80" i="60"/>
  <c r="N80" i="60"/>
  <c r="M80" i="60"/>
  <c r="K80" i="60"/>
  <c r="J80" i="60"/>
  <c r="H80" i="60"/>
  <c r="G80" i="60"/>
  <c r="F80" i="60"/>
  <c r="E80" i="60"/>
  <c r="D80" i="60"/>
  <c r="O79" i="60"/>
  <c r="L79" i="60"/>
  <c r="I79" i="60"/>
  <c r="F79" i="60"/>
  <c r="O78" i="60"/>
  <c r="L78" i="60"/>
  <c r="L77" i="60" s="1"/>
  <c r="I78" i="60"/>
  <c r="I77" i="60" s="1"/>
  <c r="F78" i="60"/>
  <c r="O77" i="60"/>
  <c r="N77" i="60"/>
  <c r="N76" i="60" s="1"/>
  <c r="M77" i="60"/>
  <c r="K77" i="60"/>
  <c r="J77" i="60"/>
  <c r="H77" i="60"/>
  <c r="G77" i="60"/>
  <c r="G76" i="60" s="1"/>
  <c r="F77" i="60"/>
  <c r="E77" i="60"/>
  <c r="D77" i="60"/>
  <c r="D76" i="60" s="1"/>
  <c r="M76" i="60"/>
  <c r="O74" i="60"/>
  <c r="L74" i="60"/>
  <c r="I74" i="60"/>
  <c r="F74" i="60"/>
  <c r="O73" i="60"/>
  <c r="L73" i="60"/>
  <c r="I73" i="60"/>
  <c r="F73" i="60"/>
  <c r="O72" i="60"/>
  <c r="L72" i="60"/>
  <c r="I72" i="60"/>
  <c r="F72" i="60"/>
  <c r="O71" i="60"/>
  <c r="L71" i="60"/>
  <c r="I71" i="60"/>
  <c r="F71" i="60"/>
  <c r="O70" i="60"/>
  <c r="L70" i="60"/>
  <c r="I70" i="60"/>
  <c r="F70" i="60"/>
  <c r="N69" i="60"/>
  <c r="N67" i="60" s="1"/>
  <c r="M69" i="60"/>
  <c r="K69" i="60"/>
  <c r="K67" i="60" s="1"/>
  <c r="J69" i="60"/>
  <c r="J67" i="60" s="1"/>
  <c r="H69" i="60"/>
  <c r="H67" i="60" s="1"/>
  <c r="G69" i="60"/>
  <c r="G67" i="60" s="1"/>
  <c r="E69" i="60"/>
  <c r="E67" i="60" s="1"/>
  <c r="D69" i="60"/>
  <c r="D67" i="60" s="1"/>
  <c r="O68" i="60"/>
  <c r="L68" i="60"/>
  <c r="I68" i="60"/>
  <c r="F68" i="60"/>
  <c r="M67" i="60"/>
  <c r="O66" i="60"/>
  <c r="L66" i="60"/>
  <c r="I66" i="60"/>
  <c r="F66" i="60"/>
  <c r="O65" i="60"/>
  <c r="L65" i="60"/>
  <c r="I65" i="60"/>
  <c r="F65" i="60"/>
  <c r="O64" i="60"/>
  <c r="L64" i="60"/>
  <c r="I64" i="60"/>
  <c r="F64" i="60"/>
  <c r="O63" i="60"/>
  <c r="L63" i="60"/>
  <c r="I63" i="60"/>
  <c r="F63" i="60"/>
  <c r="O62" i="60"/>
  <c r="L62" i="60"/>
  <c r="I62" i="60"/>
  <c r="F62" i="60"/>
  <c r="O61" i="60"/>
  <c r="L61" i="60"/>
  <c r="I61" i="60"/>
  <c r="F61" i="60"/>
  <c r="O60" i="60"/>
  <c r="L60" i="60"/>
  <c r="I60" i="60"/>
  <c r="F60" i="60"/>
  <c r="C60" i="60"/>
  <c r="O59" i="60"/>
  <c r="L59" i="60"/>
  <c r="I59" i="60"/>
  <c r="F59" i="60"/>
  <c r="N58" i="60"/>
  <c r="M58" i="60"/>
  <c r="K58" i="60"/>
  <c r="J58" i="60"/>
  <c r="H58" i="60"/>
  <c r="G58" i="60"/>
  <c r="E58" i="60"/>
  <c r="D58" i="60"/>
  <c r="O57" i="60"/>
  <c r="L57" i="60"/>
  <c r="I57" i="60"/>
  <c r="F57" i="60"/>
  <c r="O56" i="60"/>
  <c r="O55" i="60" s="1"/>
  <c r="L56" i="60"/>
  <c r="I56" i="60"/>
  <c r="I55" i="60" s="1"/>
  <c r="F56" i="60"/>
  <c r="F55" i="60" s="1"/>
  <c r="N55" i="60"/>
  <c r="M55" i="60"/>
  <c r="M54" i="60" s="1"/>
  <c r="K55" i="60"/>
  <c r="K54" i="60" s="1"/>
  <c r="J55" i="60"/>
  <c r="H55" i="60"/>
  <c r="H54" i="60" s="1"/>
  <c r="G55" i="60"/>
  <c r="G54" i="60" s="1"/>
  <c r="G53" i="60" s="1"/>
  <c r="E55" i="60"/>
  <c r="D55" i="60"/>
  <c r="D54" i="60" s="1"/>
  <c r="O47" i="60"/>
  <c r="C47" i="60" s="1"/>
  <c r="O46" i="60"/>
  <c r="C46" i="60" s="1"/>
  <c r="N45" i="60"/>
  <c r="M45" i="60"/>
  <c r="L44" i="60"/>
  <c r="I44" i="60"/>
  <c r="I43" i="60" s="1"/>
  <c r="I20" i="60" s="1"/>
  <c r="F44" i="60"/>
  <c r="L43" i="60"/>
  <c r="K43" i="60"/>
  <c r="J43" i="60"/>
  <c r="H43" i="60"/>
  <c r="G43" i="60"/>
  <c r="F43" i="60"/>
  <c r="E43" i="60"/>
  <c r="D43" i="60"/>
  <c r="F42" i="60"/>
  <c r="C42" i="60" s="1"/>
  <c r="E41" i="60"/>
  <c r="D41" i="60"/>
  <c r="L40" i="60"/>
  <c r="C40" i="60" s="1"/>
  <c r="L39" i="60"/>
  <c r="C39" i="60" s="1"/>
  <c r="L38" i="60"/>
  <c r="C38" i="60" s="1"/>
  <c r="L37" i="60"/>
  <c r="C37" i="60" s="1"/>
  <c r="K36" i="60"/>
  <c r="J36" i="60"/>
  <c r="L35" i="60"/>
  <c r="C35" i="60" s="1"/>
  <c r="L34" i="60"/>
  <c r="C34" i="60" s="1"/>
  <c r="K33" i="60"/>
  <c r="J33" i="60"/>
  <c r="L32" i="60"/>
  <c r="C32" i="60" s="1"/>
  <c r="L31" i="60"/>
  <c r="C31" i="60" s="1"/>
  <c r="K31" i="60"/>
  <c r="J31" i="60"/>
  <c r="L30" i="60"/>
  <c r="C30" i="60" s="1"/>
  <c r="L29" i="60"/>
  <c r="C29" i="60" s="1"/>
  <c r="L28" i="60"/>
  <c r="C28" i="60" s="1"/>
  <c r="K27" i="60"/>
  <c r="J27" i="60"/>
  <c r="J26" i="60" s="1"/>
  <c r="F25" i="60"/>
  <c r="C25" i="60" s="1"/>
  <c r="I24" i="60"/>
  <c r="F24" i="60"/>
  <c r="C24" i="60" s="1"/>
  <c r="O23" i="60"/>
  <c r="L23" i="60"/>
  <c r="I23" i="60"/>
  <c r="F23" i="60"/>
  <c r="O22" i="60"/>
  <c r="O21" i="60" s="1"/>
  <c r="L22" i="60"/>
  <c r="L21" i="60" s="1"/>
  <c r="I22" i="60"/>
  <c r="F22" i="60"/>
  <c r="F21" i="60" s="1"/>
  <c r="N21" i="60"/>
  <c r="M21" i="60"/>
  <c r="M292" i="60" s="1"/>
  <c r="K21" i="60"/>
  <c r="J21" i="60"/>
  <c r="J292" i="60" s="1"/>
  <c r="J291" i="60" s="1"/>
  <c r="I21" i="60"/>
  <c r="H21" i="60"/>
  <c r="H292" i="60" s="1"/>
  <c r="H291" i="60" s="1"/>
  <c r="G21" i="60"/>
  <c r="G292" i="60" s="1"/>
  <c r="E21" i="60"/>
  <c r="E292" i="60" s="1"/>
  <c r="E291" i="60" s="1"/>
  <c r="D21" i="60"/>
  <c r="M20" i="60"/>
  <c r="O301" i="59"/>
  <c r="L301" i="59"/>
  <c r="I301" i="59"/>
  <c r="F301" i="59"/>
  <c r="O300" i="59"/>
  <c r="L300" i="59"/>
  <c r="I300" i="59"/>
  <c r="F300" i="59"/>
  <c r="O299" i="59"/>
  <c r="L299" i="59"/>
  <c r="I299" i="59"/>
  <c r="F299" i="59"/>
  <c r="O298" i="59"/>
  <c r="L298" i="59"/>
  <c r="I298" i="59"/>
  <c r="F298" i="59"/>
  <c r="O297" i="59"/>
  <c r="L297" i="59"/>
  <c r="I297" i="59"/>
  <c r="F297" i="59"/>
  <c r="O296" i="59"/>
  <c r="L296" i="59"/>
  <c r="I296" i="59"/>
  <c r="F296" i="59"/>
  <c r="O295" i="59"/>
  <c r="L295" i="59"/>
  <c r="I295" i="59"/>
  <c r="F295" i="59"/>
  <c r="O294" i="59"/>
  <c r="O293" i="59" s="1"/>
  <c r="L294" i="59"/>
  <c r="I294" i="59"/>
  <c r="F294" i="59"/>
  <c r="N293" i="59"/>
  <c r="M293" i="59"/>
  <c r="K293" i="59"/>
  <c r="J293" i="59"/>
  <c r="H293" i="59"/>
  <c r="G293" i="59"/>
  <c r="E293" i="59"/>
  <c r="D293" i="59"/>
  <c r="O288" i="59"/>
  <c r="L288" i="59"/>
  <c r="I288" i="59"/>
  <c r="F288" i="59"/>
  <c r="O287" i="59"/>
  <c r="L287" i="59"/>
  <c r="L286" i="59" s="1"/>
  <c r="I287" i="59"/>
  <c r="F287" i="59"/>
  <c r="O286" i="59"/>
  <c r="N286" i="59"/>
  <c r="M286" i="59"/>
  <c r="K286" i="59"/>
  <c r="J286" i="59"/>
  <c r="H286" i="59"/>
  <c r="G286" i="59"/>
  <c r="F286" i="59"/>
  <c r="E286" i="59"/>
  <c r="D286" i="59"/>
  <c r="O285" i="59"/>
  <c r="L285" i="59"/>
  <c r="L284" i="59" s="1"/>
  <c r="L283" i="59" s="1"/>
  <c r="I285" i="59"/>
  <c r="F285" i="59"/>
  <c r="O284" i="59"/>
  <c r="N284" i="59"/>
  <c r="N283" i="59" s="1"/>
  <c r="M284" i="59"/>
  <c r="M283" i="59" s="1"/>
  <c r="K284" i="59"/>
  <c r="J284" i="59"/>
  <c r="J283" i="59" s="1"/>
  <c r="I284" i="59"/>
  <c r="I283" i="59" s="1"/>
  <c r="H284" i="59"/>
  <c r="H283" i="59" s="1"/>
  <c r="G284" i="59"/>
  <c r="E284" i="59"/>
  <c r="E283" i="59" s="1"/>
  <c r="D284" i="59"/>
  <c r="D283" i="59" s="1"/>
  <c r="O283" i="59"/>
  <c r="K283" i="59"/>
  <c r="G283" i="59"/>
  <c r="O282" i="59"/>
  <c r="O281" i="59" s="1"/>
  <c r="L282" i="59"/>
  <c r="L281" i="59" s="1"/>
  <c r="I282" i="59"/>
  <c r="F282" i="59"/>
  <c r="N281" i="59"/>
  <c r="M281" i="59"/>
  <c r="K281" i="59"/>
  <c r="J281" i="59"/>
  <c r="H281" i="59"/>
  <c r="G281" i="59"/>
  <c r="F281" i="59"/>
  <c r="E281" i="59"/>
  <c r="D281" i="59"/>
  <c r="O280" i="59"/>
  <c r="L280" i="59"/>
  <c r="I280" i="59"/>
  <c r="F280" i="59"/>
  <c r="O279" i="59"/>
  <c r="L279" i="59"/>
  <c r="I279" i="59"/>
  <c r="F279" i="59"/>
  <c r="O278" i="59"/>
  <c r="L278" i="59"/>
  <c r="I278" i="59"/>
  <c r="F278" i="59"/>
  <c r="C278" i="59" s="1"/>
  <c r="O277" i="59"/>
  <c r="L277" i="59"/>
  <c r="I277" i="59"/>
  <c r="F277" i="59"/>
  <c r="N276" i="59"/>
  <c r="M276" i="59"/>
  <c r="K276" i="59"/>
  <c r="J276" i="59"/>
  <c r="H276" i="59"/>
  <c r="G276" i="59"/>
  <c r="E276" i="59"/>
  <c r="D276" i="59"/>
  <c r="O275" i="59"/>
  <c r="L275" i="59"/>
  <c r="I275" i="59"/>
  <c r="F275" i="59"/>
  <c r="O274" i="59"/>
  <c r="L274" i="59"/>
  <c r="I274" i="59"/>
  <c r="F274" i="59"/>
  <c r="O273" i="59"/>
  <c r="L273" i="59"/>
  <c r="L272" i="59" s="1"/>
  <c r="I273" i="59"/>
  <c r="F273" i="59"/>
  <c r="N272" i="59"/>
  <c r="M272" i="59"/>
  <c r="M270" i="59" s="1"/>
  <c r="K272" i="59"/>
  <c r="J272" i="59"/>
  <c r="H272" i="59"/>
  <c r="G272" i="59"/>
  <c r="G270" i="59" s="1"/>
  <c r="E272" i="59"/>
  <c r="D272" i="59"/>
  <c r="D270" i="59" s="1"/>
  <c r="O271" i="59"/>
  <c r="L271" i="59"/>
  <c r="I271" i="59"/>
  <c r="F271" i="59"/>
  <c r="N270" i="59"/>
  <c r="K270" i="59"/>
  <c r="H270" i="59"/>
  <c r="N269" i="59"/>
  <c r="O268" i="59"/>
  <c r="L268" i="59"/>
  <c r="I268" i="59"/>
  <c r="F268" i="59"/>
  <c r="O267" i="59"/>
  <c r="L267" i="59"/>
  <c r="I267" i="59"/>
  <c r="F267" i="59"/>
  <c r="O266" i="59"/>
  <c r="L266" i="59"/>
  <c r="I266" i="59"/>
  <c r="F266" i="59"/>
  <c r="O265" i="59"/>
  <c r="L265" i="59"/>
  <c r="I265" i="59"/>
  <c r="I264" i="59" s="1"/>
  <c r="F265" i="59"/>
  <c r="N264" i="59"/>
  <c r="M264" i="59"/>
  <c r="K264" i="59"/>
  <c r="J264" i="59"/>
  <c r="H264" i="59"/>
  <c r="G264" i="59"/>
  <c r="E264" i="59"/>
  <c r="D264" i="59"/>
  <c r="O263" i="59"/>
  <c r="L263" i="59"/>
  <c r="I263" i="59"/>
  <c r="F263" i="59"/>
  <c r="O262" i="59"/>
  <c r="L262" i="59"/>
  <c r="I262" i="59"/>
  <c r="F262" i="59"/>
  <c r="O261" i="59"/>
  <c r="L261" i="59"/>
  <c r="I261" i="59"/>
  <c r="F261" i="59"/>
  <c r="N260" i="59"/>
  <c r="N259" i="59" s="1"/>
  <c r="M260" i="59"/>
  <c r="K260" i="59"/>
  <c r="J260" i="59"/>
  <c r="J259" i="59" s="1"/>
  <c r="I260" i="59"/>
  <c r="H260" i="59"/>
  <c r="G260" i="59"/>
  <c r="E260" i="59"/>
  <c r="E259" i="59" s="1"/>
  <c r="D260" i="59"/>
  <c r="O258" i="59"/>
  <c r="L258" i="59"/>
  <c r="C258" i="59" s="1"/>
  <c r="I258" i="59"/>
  <c r="F258" i="59"/>
  <c r="O257" i="59"/>
  <c r="L257" i="59"/>
  <c r="I257" i="59"/>
  <c r="F257" i="59"/>
  <c r="O256" i="59"/>
  <c r="L256" i="59"/>
  <c r="I256" i="59"/>
  <c r="F256" i="59"/>
  <c r="O255" i="59"/>
  <c r="L255" i="59"/>
  <c r="I255" i="59"/>
  <c r="F255" i="59"/>
  <c r="O254" i="59"/>
  <c r="L254" i="59"/>
  <c r="C254" i="59" s="1"/>
  <c r="I254" i="59"/>
  <c r="F254" i="59"/>
  <c r="O253" i="59"/>
  <c r="L253" i="59"/>
  <c r="I253" i="59"/>
  <c r="F253" i="59"/>
  <c r="N252" i="59"/>
  <c r="N251" i="59" s="1"/>
  <c r="M252" i="59"/>
  <c r="M251" i="59" s="1"/>
  <c r="K252" i="59"/>
  <c r="J252" i="59"/>
  <c r="I252" i="59"/>
  <c r="I251" i="59" s="1"/>
  <c r="H252" i="59"/>
  <c r="H251" i="59" s="1"/>
  <c r="G252" i="59"/>
  <c r="E252" i="59"/>
  <c r="E251" i="59" s="1"/>
  <c r="D252" i="59"/>
  <c r="D251" i="59" s="1"/>
  <c r="K251" i="59"/>
  <c r="J251" i="59"/>
  <c r="G251" i="59"/>
  <c r="O250" i="59"/>
  <c r="L250" i="59"/>
  <c r="I250" i="59"/>
  <c r="F250" i="59"/>
  <c r="O249" i="59"/>
  <c r="L249" i="59"/>
  <c r="I249" i="59"/>
  <c r="F249" i="59"/>
  <c r="O248" i="59"/>
  <c r="L248" i="59"/>
  <c r="I248" i="59"/>
  <c r="F248" i="59"/>
  <c r="O247" i="59"/>
  <c r="L247" i="59"/>
  <c r="L246" i="59" s="1"/>
  <c r="I247" i="59"/>
  <c r="F247" i="59"/>
  <c r="N246" i="59"/>
  <c r="M246" i="59"/>
  <c r="K246" i="59"/>
  <c r="J246" i="59"/>
  <c r="H246" i="59"/>
  <c r="G246" i="59"/>
  <c r="E246" i="59"/>
  <c r="D246" i="59"/>
  <c r="O245" i="59"/>
  <c r="L245" i="59"/>
  <c r="I245" i="59"/>
  <c r="F245" i="59"/>
  <c r="O244" i="59"/>
  <c r="L244" i="59"/>
  <c r="I244" i="59"/>
  <c r="F244" i="59"/>
  <c r="O243" i="59"/>
  <c r="L243" i="59"/>
  <c r="I243" i="59"/>
  <c r="F243" i="59"/>
  <c r="O242" i="59"/>
  <c r="L242" i="59"/>
  <c r="I242" i="59"/>
  <c r="F242" i="59"/>
  <c r="O241" i="59"/>
  <c r="L241" i="59"/>
  <c r="I241" i="59"/>
  <c r="F241" i="59"/>
  <c r="O240" i="59"/>
  <c r="L240" i="59"/>
  <c r="I240" i="59"/>
  <c r="F240" i="59"/>
  <c r="O239" i="59"/>
  <c r="L239" i="59"/>
  <c r="I239" i="59"/>
  <c r="F239" i="59"/>
  <c r="N238" i="59"/>
  <c r="M238" i="59"/>
  <c r="K238" i="59"/>
  <c r="J238" i="59"/>
  <c r="H238" i="59"/>
  <c r="G238" i="59"/>
  <c r="E238" i="59"/>
  <c r="D238" i="59"/>
  <c r="O237" i="59"/>
  <c r="L237" i="59"/>
  <c r="I237" i="59"/>
  <c r="F237" i="59"/>
  <c r="O236" i="59"/>
  <c r="L236" i="59"/>
  <c r="I236" i="59"/>
  <c r="I235" i="59" s="1"/>
  <c r="F236" i="59"/>
  <c r="O235" i="59"/>
  <c r="N235" i="59"/>
  <c r="M235" i="59"/>
  <c r="L235" i="59"/>
  <c r="K235" i="59"/>
  <c r="J235" i="59"/>
  <c r="H235" i="59"/>
  <c r="G235" i="59"/>
  <c r="E235" i="59"/>
  <c r="D235" i="59"/>
  <c r="O234" i="59"/>
  <c r="O233" i="59" s="1"/>
  <c r="L234" i="59"/>
  <c r="I234" i="59"/>
  <c r="C234" i="59" s="1"/>
  <c r="F234" i="59"/>
  <c r="N233" i="59"/>
  <c r="M233" i="59"/>
  <c r="L233" i="59"/>
  <c r="K233" i="59"/>
  <c r="J233" i="59"/>
  <c r="H233" i="59"/>
  <c r="G233" i="59"/>
  <c r="F233" i="59"/>
  <c r="E233" i="59"/>
  <c r="D233" i="59"/>
  <c r="D231" i="59" s="1"/>
  <c r="O232" i="59"/>
  <c r="L232" i="59"/>
  <c r="I232" i="59"/>
  <c r="F232" i="59"/>
  <c r="J231" i="59"/>
  <c r="O229" i="59"/>
  <c r="L229" i="59"/>
  <c r="I229" i="59"/>
  <c r="F229" i="59"/>
  <c r="O228" i="59"/>
  <c r="L228" i="59"/>
  <c r="L227" i="59" s="1"/>
  <c r="I228" i="59"/>
  <c r="I227" i="59" s="1"/>
  <c r="F228" i="59"/>
  <c r="O227" i="59"/>
  <c r="N227" i="59"/>
  <c r="M227" i="59"/>
  <c r="K227" i="59"/>
  <c r="K204" i="59" s="1"/>
  <c r="J227" i="59"/>
  <c r="H227" i="59"/>
  <c r="G227" i="59"/>
  <c r="F227" i="59"/>
  <c r="E227" i="59"/>
  <c r="D227" i="59"/>
  <c r="O226" i="59"/>
  <c r="L226" i="59"/>
  <c r="I226" i="59"/>
  <c r="F226" i="59"/>
  <c r="O225" i="59"/>
  <c r="L225" i="59"/>
  <c r="I225" i="59"/>
  <c r="F225" i="59"/>
  <c r="O224" i="59"/>
  <c r="L224" i="59"/>
  <c r="I224" i="59"/>
  <c r="F224" i="59"/>
  <c r="O223" i="59"/>
  <c r="L223" i="59"/>
  <c r="I223" i="59"/>
  <c r="F223" i="59"/>
  <c r="O222" i="59"/>
  <c r="L222" i="59"/>
  <c r="I222" i="59"/>
  <c r="F222" i="59"/>
  <c r="O221" i="59"/>
  <c r="L221" i="59"/>
  <c r="I221" i="59"/>
  <c r="F221" i="59"/>
  <c r="O220" i="59"/>
  <c r="L220" i="59"/>
  <c r="I220" i="59"/>
  <c r="F220" i="59"/>
  <c r="O219" i="59"/>
  <c r="L219" i="59"/>
  <c r="I219" i="59"/>
  <c r="F219" i="59"/>
  <c r="O218" i="59"/>
  <c r="L218" i="59"/>
  <c r="I218" i="59"/>
  <c r="F218" i="59"/>
  <c r="O217" i="59"/>
  <c r="L217" i="59"/>
  <c r="I217" i="59"/>
  <c r="F217" i="59"/>
  <c r="N216" i="59"/>
  <c r="M216" i="59"/>
  <c r="K216" i="59"/>
  <c r="J216" i="59"/>
  <c r="H216" i="59"/>
  <c r="G216" i="59"/>
  <c r="E216" i="59"/>
  <c r="D216" i="59"/>
  <c r="O215" i="59"/>
  <c r="L215" i="59"/>
  <c r="I215" i="59"/>
  <c r="F215" i="59"/>
  <c r="O214" i="59"/>
  <c r="L214" i="59"/>
  <c r="I214" i="59"/>
  <c r="F214" i="59"/>
  <c r="O213" i="59"/>
  <c r="L213" i="59"/>
  <c r="I213" i="59"/>
  <c r="F213" i="59"/>
  <c r="O212" i="59"/>
  <c r="L212" i="59"/>
  <c r="I212" i="59"/>
  <c r="F212" i="59"/>
  <c r="O211" i="59"/>
  <c r="L211" i="59"/>
  <c r="I211" i="59"/>
  <c r="F211" i="59"/>
  <c r="O210" i="59"/>
  <c r="L210" i="59"/>
  <c r="I210" i="59"/>
  <c r="F210" i="59"/>
  <c r="O209" i="59"/>
  <c r="L209" i="59"/>
  <c r="I209" i="59"/>
  <c r="F209" i="59"/>
  <c r="O208" i="59"/>
  <c r="L208" i="59"/>
  <c r="I208" i="59"/>
  <c r="F208" i="59"/>
  <c r="O207" i="59"/>
  <c r="L207" i="59"/>
  <c r="I207" i="59"/>
  <c r="F207" i="59"/>
  <c r="O206" i="59"/>
  <c r="L206" i="59"/>
  <c r="I206" i="59"/>
  <c r="F206" i="59"/>
  <c r="N205" i="59"/>
  <c r="M205" i="59"/>
  <c r="K205" i="59"/>
  <c r="J205" i="59"/>
  <c r="H205" i="59"/>
  <c r="H204" i="59" s="1"/>
  <c r="G205" i="59"/>
  <c r="E205" i="59"/>
  <c r="D205" i="59"/>
  <c r="G204" i="59"/>
  <c r="O203" i="59"/>
  <c r="L203" i="59"/>
  <c r="I203" i="59"/>
  <c r="F203" i="59"/>
  <c r="O202" i="59"/>
  <c r="L202" i="59"/>
  <c r="I202" i="59"/>
  <c r="F202" i="59"/>
  <c r="O201" i="59"/>
  <c r="L201" i="59"/>
  <c r="I201" i="59"/>
  <c r="F201" i="59"/>
  <c r="O200" i="59"/>
  <c r="L200" i="59"/>
  <c r="I200" i="59"/>
  <c r="F200" i="59"/>
  <c r="O199" i="59"/>
  <c r="L199" i="59"/>
  <c r="L198" i="59" s="1"/>
  <c r="I199" i="59"/>
  <c r="F199" i="59"/>
  <c r="F198" i="59" s="1"/>
  <c r="O198" i="59"/>
  <c r="N198" i="59"/>
  <c r="M198" i="59"/>
  <c r="K198" i="59"/>
  <c r="K196" i="59" s="1"/>
  <c r="J198" i="59"/>
  <c r="J196" i="59" s="1"/>
  <c r="H198" i="59"/>
  <c r="G198" i="59"/>
  <c r="G196" i="59" s="1"/>
  <c r="E198" i="59"/>
  <c r="E196" i="59" s="1"/>
  <c r="D198" i="59"/>
  <c r="D196" i="59" s="1"/>
  <c r="O197" i="59"/>
  <c r="L197" i="59"/>
  <c r="I197" i="59"/>
  <c r="F197" i="59"/>
  <c r="N196" i="59"/>
  <c r="M196" i="59"/>
  <c r="H196" i="59"/>
  <c r="O193" i="59"/>
  <c r="L193" i="59"/>
  <c r="L192" i="59" s="1"/>
  <c r="L191" i="59" s="1"/>
  <c r="I193" i="59"/>
  <c r="I192" i="59" s="1"/>
  <c r="I191" i="59" s="1"/>
  <c r="F193" i="59"/>
  <c r="O192" i="59"/>
  <c r="N192" i="59"/>
  <c r="N191" i="59" s="1"/>
  <c r="M192" i="59"/>
  <c r="M191" i="59" s="1"/>
  <c r="K192" i="59"/>
  <c r="K191" i="59" s="1"/>
  <c r="J192" i="59"/>
  <c r="H192" i="59"/>
  <c r="H191" i="59" s="1"/>
  <c r="G192" i="59"/>
  <c r="G191" i="59" s="1"/>
  <c r="E192" i="59"/>
  <c r="E191" i="59" s="1"/>
  <c r="D192" i="59"/>
  <c r="D191" i="59" s="1"/>
  <c r="O191" i="59"/>
  <c r="J191" i="59"/>
  <c r="O190" i="59"/>
  <c r="L190" i="59"/>
  <c r="I190" i="59"/>
  <c r="F190" i="59"/>
  <c r="O189" i="59"/>
  <c r="L189" i="59"/>
  <c r="L188" i="59" s="1"/>
  <c r="I189" i="59"/>
  <c r="F189" i="59"/>
  <c r="N188" i="59"/>
  <c r="M188" i="59"/>
  <c r="M187" i="59" s="1"/>
  <c r="K188" i="59"/>
  <c r="J188" i="59"/>
  <c r="H188" i="59"/>
  <c r="G188" i="59"/>
  <c r="F188" i="59"/>
  <c r="E188" i="59"/>
  <c r="E187" i="59" s="1"/>
  <c r="D188" i="59"/>
  <c r="J187" i="59"/>
  <c r="O186" i="59"/>
  <c r="L186" i="59"/>
  <c r="I186" i="59"/>
  <c r="F186" i="59"/>
  <c r="O185" i="59"/>
  <c r="L185" i="59"/>
  <c r="L184" i="59" s="1"/>
  <c r="I185" i="59"/>
  <c r="I184" i="59" s="1"/>
  <c r="F185" i="59"/>
  <c r="N184" i="59"/>
  <c r="M184" i="59"/>
  <c r="K184" i="59"/>
  <c r="J184" i="59"/>
  <c r="H184" i="59"/>
  <c r="G184" i="59"/>
  <c r="E184" i="59"/>
  <c r="D184" i="59"/>
  <c r="O183" i="59"/>
  <c r="L183" i="59"/>
  <c r="I183" i="59"/>
  <c r="F183" i="59"/>
  <c r="O182" i="59"/>
  <c r="L182" i="59"/>
  <c r="I182" i="59"/>
  <c r="F182" i="59"/>
  <c r="O181" i="59"/>
  <c r="L181" i="59"/>
  <c r="I181" i="59"/>
  <c r="F181" i="59"/>
  <c r="O180" i="59"/>
  <c r="L180" i="59"/>
  <c r="L179" i="59" s="1"/>
  <c r="I180" i="59"/>
  <c r="F180" i="59"/>
  <c r="N179" i="59"/>
  <c r="M179" i="59"/>
  <c r="K179" i="59"/>
  <c r="J179" i="59"/>
  <c r="H179" i="59"/>
  <c r="G179" i="59"/>
  <c r="E179" i="59"/>
  <c r="D179" i="59"/>
  <c r="O178" i="59"/>
  <c r="L178" i="59"/>
  <c r="I178" i="59"/>
  <c r="F178" i="59"/>
  <c r="O177" i="59"/>
  <c r="L177" i="59"/>
  <c r="I177" i="59"/>
  <c r="F177" i="59"/>
  <c r="O176" i="59"/>
  <c r="L176" i="59"/>
  <c r="L175" i="59" s="1"/>
  <c r="L174" i="59" s="1"/>
  <c r="L173" i="59" s="1"/>
  <c r="I176" i="59"/>
  <c r="F176" i="59"/>
  <c r="O175" i="59"/>
  <c r="N175" i="59"/>
  <c r="M175" i="59"/>
  <c r="M174" i="59" s="1"/>
  <c r="K175" i="59"/>
  <c r="K174" i="59" s="1"/>
  <c r="K173" i="59" s="1"/>
  <c r="J175" i="59"/>
  <c r="H175" i="59"/>
  <c r="G175" i="59"/>
  <c r="E175" i="59"/>
  <c r="D175" i="59"/>
  <c r="O172" i="59"/>
  <c r="L172" i="59"/>
  <c r="I172" i="59"/>
  <c r="F172" i="59"/>
  <c r="O171" i="59"/>
  <c r="L171" i="59"/>
  <c r="I171" i="59"/>
  <c r="F171" i="59"/>
  <c r="O170" i="59"/>
  <c r="L170" i="59"/>
  <c r="I170" i="59"/>
  <c r="F170" i="59"/>
  <c r="O169" i="59"/>
  <c r="L169" i="59"/>
  <c r="I169" i="59"/>
  <c r="F169" i="59"/>
  <c r="O168" i="59"/>
  <c r="L168" i="59"/>
  <c r="I168" i="59"/>
  <c r="F168" i="59"/>
  <c r="O167" i="59"/>
  <c r="L167" i="59"/>
  <c r="I167" i="59"/>
  <c r="F167" i="59"/>
  <c r="O166" i="59"/>
  <c r="N166" i="59"/>
  <c r="M166" i="59"/>
  <c r="K166" i="59"/>
  <c r="K165" i="59" s="1"/>
  <c r="J166" i="59"/>
  <c r="J165" i="59" s="1"/>
  <c r="H166" i="59"/>
  <c r="H165" i="59" s="1"/>
  <c r="G166" i="59"/>
  <c r="G165" i="59" s="1"/>
  <c r="E166" i="59"/>
  <c r="D166" i="59"/>
  <c r="D165" i="59" s="1"/>
  <c r="N165" i="59"/>
  <c r="M165" i="59"/>
  <c r="E165" i="59"/>
  <c r="O164" i="59"/>
  <c r="L164" i="59"/>
  <c r="I164" i="59"/>
  <c r="F164" i="59"/>
  <c r="O163" i="59"/>
  <c r="L163" i="59"/>
  <c r="I163" i="59"/>
  <c r="F163" i="59"/>
  <c r="O162" i="59"/>
  <c r="L162" i="59"/>
  <c r="I162" i="59"/>
  <c r="F162" i="59"/>
  <c r="O161" i="59"/>
  <c r="L161" i="59"/>
  <c r="L160" i="59" s="1"/>
  <c r="I161" i="59"/>
  <c r="F161" i="59"/>
  <c r="F160" i="59" s="1"/>
  <c r="N160" i="59"/>
  <c r="M160" i="59"/>
  <c r="K160" i="59"/>
  <c r="J160" i="59"/>
  <c r="H160" i="59"/>
  <c r="G160" i="59"/>
  <c r="E160" i="59"/>
  <c r="D160" i="59"/>
  <c r="O159" i="59"/>
  <c r="L159" i="59"/>
  <c r="I159" i="59"/>
  <c r="F159" i="59"/>
  <c r="O158" i="59"/>
  <c r="L158" i="59"/>
  <c r="I158" i="59"/>
  <c r="F158" i="59"/>
  <c r="O157" i="59"/>
  <c r="L157" i="59"/>
  <c r="I157" i="59"/>
  <c r="F157" i="59"/>
  <c r="O156" i="59"/>
  <c r="L156" i="59"/>
  <c r="I156" i="59"/>
  <c r="F156" i="59"/>
  <c r="O155" i="59"/>
  <c r="L155" i="59"/>
  <c r="I155" i="59"/>
  <c r="F155" i="59"/>
  <c r="O154" i="59"/>
  <c r="L154" i="59"/>
  <c r="I154" i="59"/>
  <c r="F154" i="59"/>
  <c r="O153" i="59"/>
  <c r="L153" i="59"/>
  <c r="I153" i="59"/>
  <c r="F153" i="59"/>
  <c r="O152" i="59"/>
  <c r="L152" i="59"/>
  <c r="L151" i="59" s="1"/>
  <c r="I152" i="59"/>
  <c r="F152" i="59"/>
  <c r="N151" i="59"/>
  <c r="M151" i="59"/>
  <c r="K151" i="59"/>
  <c r="J151" i="59"/>
  <c r="H151" i="59"/>
  <c r="G151" i="59"/>
  <c r="E151" i="59"/>
  <c r="D151" i="59"/>
  <c r="O150" i="59"/>
  <c r="L150" i="59"/>
  <c r="I150" i="59"/>
  <c r="F150" i="59"/>
  <c r="O149" i="59"/>
  <c r="L149" i="59"/>
  <c r="I149" i="59"/>
  <c r="F149" i="59"/>
  <c r="O148" i="59"/>
  <c r="L148" i="59"/>
  <c r="I148" i="59"/>
  <c r="F148" i="59"/>
  <c r="O147" i="59"/>
  <c r="L147" i="59"/>
  <c r="I147" i="59"/>
  <c r="F147" i="59"/>
  <c r="O146" i="59"/>
  <c r="L146" i="59"/>
  <c r="I146" i="59"/>
  <c r="F146" i="59"/>
  <c r="O145" i="59"/>
  <c r="L145" i="59"/>
  <c r="I145" i="59"/>
  <c r="F145" i="59"/>
  <c r="N144" i="59"/>
  <c r="M144" i="59"/>
  <c r="K144" i="59"/>
  <c r="J144" i="59"/>
  <c r="H144" i="59"/>
  <c r="G144" i="59"/>
  <c r="F144" i="59"/>
  <c r="E144" i="59"/>
  <c r="D144" i="59"/>
  <c r="O143" i="59"/>
  <c r="L143" i="59"/>
  <c r="I143" i="59"/>
  <c r="F143" i="59"/>
  <c r="O142" i="59"/>
  <c r="O141" i="59" s="1"/>
  <c r="L142" i="59"/>
  <c r="I142" i="59"/>
  <c r="F142" i="59"/>
  <c r="N141" i="59"/>
  <c r="M141" i="59"/>
  <c r="K141" i="59"/>
  <c r="J141" i="59"/>
  <c r="I141" i="59"/>
  <c r="H141" i="59"/>
  <c r="G141" i="59"/>
  <c r="E141" i="59"/>
  <c r="D141" i="59"/>
  <c r="O140" i="59"/>
  <c r="L140" i="59"/>
  <c r="I140" i="59"/>
  <c r="F140" i="59"/>
  <c r="O139" i="59"/>
  <c r="L139" i="59"/>
  <c r="I139" i="59"/>
  <c r="F139" i="59"/>
  <c r="O138" i="59"/>
  <c r="L138" i="59"/>
  <c r="I138" i="59"/>
  <c r="F138" i="59"/>
  <c r="O137" i="59"/>
  <c r="L137" i="59"/>
  <c r="I137" i="59"/>
  <c r="I136" i="59" s="1"/>
  <c r="F137" i="59"/>
  <c r="N136" i="59"/>
  <c r="M136" i="59"/>
  <c r="K136" i="59"/>
  <c r="J136" i="59"/>
  <c r="H136" i="59"/>
  <c r="G136" i="59"/>
  <c r="F136" i="59"/>
  <c r="E136" i="59"/>
  <c r="D136" i="59"/>
  <c r="O135" i="59"/>
  <c r="L135" i="59"/>
  <c r="I135" i="59"/>
  <c r="F135" i="59"/>
  <c r="O134" i="59"/>
  <c r="L134" i="59"/>
  <c r="I134" i="59"/>
  <c r="F134" i="59"/>
  <c r="O133" i="59"/>
  <c r="L133" i="59"/>
  <c r="I133" i="59"/>
  <c r="F133" i="59"/>
  <c r="O132" i="59"/>
  <c r="O131" i="59" s="1"/>
  <c r="L132" i="59"/>
  <c r="I132" i="59"/>
  <c r="F132" i="59"/>
  <c r="N131" i="59"/>
  <c r="M131" i="59"/>
  <c r="K131" i="59"/>
  <c r="J131" i="59"/>
  <c r="H131" i="59"/>
  <c r="G131" i="59"/>
  <c r="E131" i="59"/>
  <c r="D131" i="59"/>
  <c r="O129" i="59"/>
  <c r="L129" i="59"/>
  <c r="L128" i="59" s="1"/>
  <c r="I129" i="59"/>
  <c r="I128" i="59" s="1"/>
  <c r="F129" i="59"/>
  <c r="F128" i="59" s="1"/>
  <c r="O128" i="59"/>
  <c r="N128" i="59"/>
  <c r="M128" i="59"/>
  <c r="K128" i="59"/>
  <c r="J128" i="59"/>
  <c r="H128" i="59"/>
  <c r="G128" i="59"/>
  <c r="E128" i="59"/>
  <c r="D128" i="59"/>
  <c r="O127" i="59"/>
  <c r="L127" i="59"/>
  <c r="I127" i="59"/>
  <c r="F127" i="59"/>
  <c r="O126" i="59"/>
  <c r="L126" i="59"/>
  <c r="I126" i="59"/>
  <c r="F126" i="59"/>
  <c r="C126" i="59" s="1"/>
  <c r="O125" i="59"/>
  <c r="L125" i="59"/>
  <c r="I125" i="59"/>
  <c r="F125" i="59"/>
  <c r="O124" i="59"/>
  <c r="L124" i="59"/>
  <c r="I124" i="59"/>
  <c r="F124" i="59"/>
  <c r="O123" i="59"/>
  <c r="L123" i="59"/>
  <c r="I123" i="59"/>
  <c r="F123" i="59"/>
  <c r="N122" i="59"/>
  <c r="M122" i="59"/>
  <c r="K122" i="59"/>
  <c r="J122" i="59"/>
  <c r="H122" i="59"/>
  <c r="G122" i="59"/>
  <c r="E122" i="59"/>
  <c r="D122" i="59"/>
  <c r="O121" i="59"/>
  <c r="L121" i="59"/>
  <c r="I121" i="59"/>
  <c r="F121" i="59"/>
  <c r="O120" i="59"/>
  <c r="L120" i="59"/>
  <c r="I120" i="59"/>
  <c r="F120" i="59"/>
  <c r="O119" i="59"/>
  <c r="L119" i="59"/>
  <c r="I119" i="59"/>
  <c r="F119" i="59"/>
  <c r="O118" i="59"/>
  <c r="L118" i="59"/>
  <c r="I118" i="59"/>
  <c r="F118" i="59"/>
  <c r="O117" i="59"/>
  <c r="L117" i="59"/>
  <c r="L116" i="59" s="1"/>
  <c r="I117" i="59"/>
  <c r="F117" i="59"/>
  <c r="N116" i="59"/>
  <c r="M116" i="59"/>
  <c r="K116" i="59"/>
  <c r="J116" i="59"/>
  <c r="H116" i="59"/>
  <c r="G116" i="59"/>
  <c r="E116" i="59"/>
  <c r="D116" i="59"/>
  <c r="O115" i="59"/>
  <c r="L115" i="59"/>
  <c r="I115" i="59"/>
  <c r="F115" i="59"/>
  <c r="O114" i="59"/>
  <c r="L114" i="59"/>
  <c r="I114" i="59"/>
  <c r="F114" i="59"/>
  <c r="O113" i="59"/>
  <c r="L113" i="59"/>
  <c r="I113" i="59"/>
  <c r="I112" i="59" s="1"/>
  <c r="F113" i="59"/>
  <c r="F112" i="59" s="1"/>
  <c r="N112" i="59"/>
  <c r="M112" i="59"/>
  <c r="K112" i="59"/>
  <c r="J112" i="59"/>
  <c r="H112" i="59"/>
  <c r="G112" i="59"/>
  <c r="E112" i="59"/>
  <c r="D112" i="59"/>
  <c r="O111" i="59"/>
  <c r="L111" i="59"/>
  <c r="I111" i="59"/>
  <c r="F111" i="59"/>
  <c r="O110" i="59"/>
  <c r="L110" i="59"/>
  <c r="I110" i="59"/>
  <c r="F110" i="59"/>
  <c r="O109" i="59"/>
  <c r="L109" i="59"/>
  <c r="I109" i="59"/>
  <c r="F109" i="59"/>
  <c r="O108" i="59"/>
  <c r="L108" i="59"/>
  <c r="I108" i="59"/>
  <c r="C108" i="59" s="1"/>
  <c r="F108" i="59"/>
  <c r="O107" i="59"/>
  <c r="L107" i="59"/>
  <c r="I107" i="59"/>
  <c r="F107" i="59"/>
  <c r="O106" i="59"/>
  <c r="L106" i="59"/>
  <c r="I106" i="59"/>
  <c r="C106" i="59" s="1"/>
  <c r="F106" i="59"/>
  <c r="O105" i="59"/>
  <c r="L105" i="59"/>
  <c r="I105" i="59"/>
  <c r="F105" i="59"/>
  <c r="O104" i="59"/>
  <c r="L104" i="59"/>
  <c r="L103" i="59" s="1"/>
  <c r="I104" i="59"/>
  <c r="F104" i="59"/>
  <c r="N103" i="59"/>
  <c r="M103" i="59"/>
  <c r="K103" i="59"/>
  <c r="J103" i="59"/>
  <c r="H103" i="59"/>
  <c r="G103" i="59"/>
  <c r="E103" i="59"/>
  <c r="D103" i="59"/>
  <c r="O102" i="59"/>
  <c r="L102" i="59"/>
  <c r="I102" i="59"/>
  <c r="F102" i="59"/>
  <c r="O101" i="59"/>
  <c r="L101" i="59"/>
  <c r="I101" i="59"/>
  <c r="F101" i="59"/>
  <c r="O100" i="59"/>
  <c r="L100" i="59"/>
  <c r="I100" i="59"/>
  <c r="F100" i="59"/>
  <c r="O99" i="59"/>
  <c r="L99" i="59"/>
  <c r="I99" i="59"/>
  <c r="F99" i="59"/>
  <c r="O98" i="59"/>
  <c r="L98" i="59"/>
  <c r="I98" i="59"/>
  <c r="F98" i="59"/>
  <c r="O97" i="59"/>
  <c r="L97" i="59"/>
  <c r="I97" i="59"/>
  <c r="F97" i="59"/>
  <c r="O96" i="59"/>
  <c r="L96" i="59"/>
  <c r="I96" i="59"/>
  <c r="F96" i="59"/>
  <c r="N95" i="59"/>
  <c r="M95" i="59"/>
  <c r="K95" i="59"/>
  <c r="J95" i="59"/>
  <c r="H95" i="59"/>
  <c r="G95" i="59"/>
  <c r="F95" i="59"/>
  <c r="E95" i="59"/>
  <c r="D95" i="59"/>
  <c r="O94" i="59"/>
  <c r="L94" i="59"/>
  <c r="I94" i="59"/>
  <c r="F94" i="59"/>
  <c r="O93" i="59"/>
  <c r="L93" i="59"/>
  <c r="I93" i="59"/>
  <c r="F93" i="59"/>
  <c r="O92" i="59"/>
  <c r="L92" i="59"/>
  <c r="I92" i="59"/>
  <c r="F92" i="59"/>
  <c r="O91" i="59"/>
  <c r="L91" i="59"/>
  <c r="I91" i="59"/>
  <c r="F91" i="59"/>
  <c r="O90" i="59"/>
  <c r="L90" i="59"/>
  <c r="L89" i="59" s="1"/>
  <c r="I90" i="59"/>
  <c r="F90" i="59"/>
  <c r="N89" i="59"/>
  <c r="M89" i="59"/>
  <c r="K89" i="59"/>
  <c r="J89" i="59"/>
  <c r="H89" i="59"/>
  <c r="G89" i="59"/>
  <c r="E89" i="59"/>
  <c r="D89" i="59"/>
  <c r="O88" i="59"/>
  <c r="L88" i="59"/>
  <c r="I88" i="59"/>
  <c r="F88" i="59"/>
  <c r="O87" i="59"/>
  <c r="L87" i="59"/>
  <c r="I87" i="59"/>
  <c r="F87" i="59"/>
  <c r="O86" i="59"/>
  <c r="L86" i="59"/>
  <c r="I86" i="59"/>
  <c r="F86" i="59"/>
  <c r="O85" i="59"/>
  <c r="L85" i="59"/>
  <c r="I85" i="59"/>
  <c r="F85" i="59"/>
  <c r="N84" i="59"/>
  <c r="M84" i="59"/>
  <c r="K84" i="59"/>
  <c r="J84" i="59"/>
  <c r="H84" i="59"/>
  <c r="G84" i="59"/>
  <c r="E84" i="59"/>
  <c r="D84" i="59"/>
  <c r="O82" i="59"/>
  <c r="L82" i="59"/>
  <c r="I82" i="59"/>
  <c r="F82" i="59"/>
  <c r="O81" i="59"/>
  <c r="L81" i="59"/>
  <c r="L80" i="59" s="1"/>
  <c r="I81" i="59"/>
  <c r="F81" i="59"/>
  <c r="O80" i="59"/>
  <c r="N80" i="59"/>
  <c r="N76" i="59" s="1"/>
  <c r="M80" i="59"/>
  <c r="K80" i="59"/>
  <c r="J80" i="59"/>
  <c r="I80" i="59"/>
  <c r="H80" i="59"/>
  <c r="G80" i="59"/>
  <c r="F80" i="59"/>
  <c r="E80" i="59"/>
  <c r="D80" i="59"/>
  <c r="O79" i="59"/>
  <c r="L79" i="59"/>
  <c r="I79" i="59"/>
  <c r="F79" i="59"/>
  <c r="O78" i="59"/>
  <c r="L78" i="59"/>
  <c r="L77" i="59" s="1"/>
  <c r="I78" i="59"/>
  <c r="F78" i="59"/>
  <c r="N77" i="59"/>
  <c r="M77" i="59"/>
  <c r="M76" i="59" s="1"/>
  <c r="K77" i="59"/>
  <c r="J77" i="59"/>
  <c r="H77" i="59"/>
  <c r="H76" i="59" s="1"/>
  <c r="G77" i="59"/>
  <c r="E77" i="59"/>
  <c r="D77" i="59"/>
  <c r="D76" i="59" s="1"/>
  <c r="O74" i="59"/>
  <c r="L74" i="59"/>
  <c r="I74" i="59"/>
  <c r="F74" i="59"/>
  <c r="O73" i="59"/>
  <c r="L73" i="59"/>
  <c r="I73" i="59"/>
  <c r="F73" i="59"/>
  <c r="O72" i="59"/>
  <c r="L72" i="59"/>
  <c r="I72" i="59"/>
  <c r="F72" i="59"/>
  <c r="O71" i="59"/>
  <c r="L71" i="59"/>
  <c r="I71" i="59"/>
  <c r="F71" i="59"/>
  <c r="O70" i="59"/>
  <c r="O69" i="59" s="1"/>
  <c r="L70" i="59"/>
  <c r="C70" i="59" s="1"/>
  <c r="I70" i="59"/>
  <c r="F70" i="59"/>
  <c r="F69" i="59" s="1"/>
  <c r="N69" i="59"/>
  <c r="M69" i="59"/>
  <c r="M67" i="59" s="1"/>
  <c r="K69" i="59"/>
  <c r="J69" i="59"/>
  <c r="J67" i="59" s="1"/>
  <c r="H69" i="59"/>
  <c r="H67" i="59" s="1"/>
  <c r="G69" i="59"/>
  <c r="E69" i="59"/>
  <c r="E67" i="59" s="1"/>
  <c r="D69" i="59"/>
  <c r="D67" i="59" s="1"/>
  <c r="O68" i="59"/>
  <c r="L68" i="59"/>
  <c r="I68" i="59"/>
  <c r="F68" i="59"/>
  <c r="N67" i="59"/>
  <c r="K67" i="59"/>
  <c r="G67" i="59"/>
  <c r="O66" i="59"/>
  <c r="L66" i="59"/>
  <c r="I66" i="59"/>
  <c r="F66" i="59"/>
  <c r="O65" i="59"/>
  <c r="L65" i="59"/>
  <c r="I65" i="59"/>
  <c r="F65" i="59"/>
  <c r="O64" i="59"/>
  <c r="L64" i="59"/>
  <c r="C64" i="59" s="1"/>
  <c r="I64" i="59"/>
  <c r="F64" i="59"/>
  <c r="O63" i="59"/>
  <c r="L63" i="59"/>
  <c r="I63" i="59"/>
  <c r="F63" i="59"/>
  <c r="O62" i="59"/>
  <c r="L62" i="59"/>
  <c r="I62" i="59"/>
  <c r="F62" i="59"/>
  <c r="O61" i="59"/>
  <c r="L61" i="59"/>
  <c r="I61" i="59"/>
  <c r="F61" i="59"/>
  <c r="O60" i="59"/>
  <c r="L60" i="59"/>
  <c r="I60" i="59"/>
  <c r="F60" i="59"/>
  <c r="O59" i="59"/>
  <c r="L59" i="59"/>
  <c r="I59" i="59"/>
  <c r="F59" i="59"/>
  <c r="N58" i="59"/>
  <c r="M58" i="59"/>
  <c r="K58" i="59"/>
  <c r="J58" i="59"/>
  <c r="H58" i="59"/>
  <c r="G58" i="59"/>
  <c r="E58" i="59"/>
  <c r="D58" i="59"/>
  <c r="O57" i="59"/>
  <c r="L57" i="59"/>
  <c r="I57" i="59"/>
  <c r="F57" i="59"/>
  <c r="O56" i="59"/>
  <c r="O55" i="59" s="1"/>
  <c r="L56" i="59"/>
  <c r="I56" i="59"/>
  <c r="F56" i="59"/>
  <c r="N55" i="59"/>
  <c r="N54" i="59" s="1"/>
  <c r="N53" i="59" s="1"/>
  <c r="M55" i="59"/>
  <c r="L55" i="59"/>
  <c r="K55" i="59"/>
  <c r="K54" i="59" s="1"/>
  <c r="J55" i="59"/>
  <c r="H55" i="59"/>
  <c r="G55" i="59"/>
  <c r="E55" i="59"/>
  <c r="E54" i="59" s="1"/>
  <c r="E53" i="59" s="1"/>
  <c r="D55" i="59"/>
  <c r="M54" i="59"/>
  <c r="M53" i="59" s="1"/>
  <c r="G54" i="59"/>
  <c r="G53" i="59" s="1"/>
  <c r="O47" i="59"/>
  <c r="C47" i="59" s="1"/>
  <c r="O46" i="59"/>
  <c r="N45" i="59"/>
  <c r="M45" i="59"/>
  <c r="L44" i="59"/>
  <c r="I44" i="59"/>
  <c r="I43" i="59" s="1"/>
  <c r="F44" i="59"/>
  <c r="F43" i="59" s="1"/>
  <c r="L43" i="59"/>
  <c r="K43" i="59"/>
  <c r="J43" i="59"/>
  <c r="H43" i="59"/>
  <c r="H20" i="59" s="1"/>
  <c r="G43" i="59"/>
  <c r="E43" i="59"/>
  <c r="D43" i="59"/>
  <c r="F42" i="59"/>
  <c r="E41" i="59"/>
  <c r="D41" i="59"/>
  <c r="L40" i="59"/>
  <c r="C40" i="59" s="1"/>
  <c r="L39" i="59"/>
  <c r="C39" i="59" s="1"/>
  <c r="L38" i="59"/>
  <c r="C38" i="59" s="1"/>
  <c r="L37" i="59"/>
  <c r="C37" i="59" s="1"/>
  <c r="K36" i="59"/>
  <c r="J36" i="59"/>
  <c r="L35" i="59"/>
  <c r="C35" i="59" s="1"/>
  <c r="L34" i="59"/>
  <c r="C34" i="59" s="1"/>
  <c r="K33" i="59"/>
  <c r="J33" i="59"/>
  <c r="L32" i="59"/>
  <c r="L31" i="59" s="1"/>
  <c r="K31" i="59"/>
  <c r="J31" i="59"/>
  <c r="C31" i="59"/>
  <c r="L30" i="59"/>
  <c r="C30" i="59" s="1"/>
  <c r="L29" i="59"/>
  <c r="C29" i="59" s="1"/>
  <c r="L28" i="59"/>
  <c r="K27" i="59"/>
  <c r="J27" i="59"/>
  <c r="F25" i="59"/>
  <c r="C25" i="59" s="1"/>
  <c r="I24" i="59"/>
  <c r="F24" i="59"/>
  <c r="O23" i="59"/>
  <c r="L23" i="59"/>
  <c r="I23" i="59"/>
  <c r="F23" i="59"/>
  <c r="O22" i="59"/>
  <c r="L22" i="59"/>
  <c r="I22" i="59"/>
  <c r="F22" i="59"/>
  <c r="F21" i="59" s="1"/>
  <c r="F292" i="59" s="1"/>
  <c r="O21" i="59"/>
  <c r="N21" i="59"/>
  <c r="M21" i="59"/>
  <c r="K21" i="59"/>
  <c r="J21" i="59"/>
  <c r="J292" i="59" s="1"/>
  <c r="J291" i="59" s="1"/>
  <c r="H21" i="59"/>
  <c r="G21" i="59"/>
  <c r="E21" i="59"/>
  <c r="E292" i="59" s="1"/>
  <c r="D21" i="59"/>
  <c r="O301" i="58"/>
  <c r="L301" i="58"/>
  <c r="I301" i="58"/>
  <c r="F301" i="58"/>
  <c r="O300" i="58"/>
  <c r="L300" i="58"/>
  <c r="I300" i="58"/>
  <c r="F300" i="58"/>
  <c r="O299" i="58"/>
  <c r="L299" i="58"/>
  <c r="I299" i="58"/>
  <c r="F299" i="58"/>
  <c r="O298" i="58"/>
  <c r="L298" i="58"/>
  <c r="I298" i="58"/>
  <c r="F298" i="58"/>
  <c r="O297" i="58"/>
  <c r="L297" i="58"/>
  <c r="I297" i="58"/>
  <c r="F297" i="58"/>
  <c r="O296" i="58"/>
  <c r="L296" i="58"/>
  <c r="I296" i="58"/>
  <c r="F296" i="58"/>
  <c r="O295" i="58"/>
  <c r="L295" i="58"/>
  <c r="I295" i="58"/>
  <c r="F295" i="58"/>
  <c r="O294" i="58"/>
  <c r="L294" i="58"/>
  <c r="L293" i="58" s="1"/>
  <c r="I294" i="58"/>
  <c r="F294" i="58"/>
  <c r="N293" i="58"/>
  <c r="M293" i="58"/>
  <c r="K293" i="58"/>
  <c r="J293" i="58"/>
  <c r="H293" i="58"/>
  <c r="G293" i="58"/>
  <c r="E293" i="58"/>
  <c r="D293" i="58"/>
  <c r="O288" i="58"/>
  <c r="L288" i="58"/>
  <c r="I288" i="58"/>
  <c r="F288" i="58"/>
  <c r="O287" i="58"/>
  <c r="L287" i="58"/>
  <c r="L286" i="58" s="1"/>
  <c r="I287" i="58"/>
  <c r="F287" i="58"/>
  <c r="F286" i="58" s="1"/>
  <c r="O286" i="58"/>
  <c r="N286" i="58"/>
  <c r="M286" i="58"/>
  <c r="K286" i="58"/>
  <c r="J286" i="58"/>
  <c r="H286" i="58"/>
  <c r="G286" i="58"/>
  <c r="E286" i="58"/>
  <c r="D286" i="58"/>
  <c r="O285" i="58"/>
  <c r="L285" i="58"/>
  <c r="L284" i="58" s="1"/>
  <c r="L283" i="58" s="1"/>
  <c r="I285" i="58"/>
  <c r="I284" i="58" s="1"/>
  <c r="I283" i="58" s="1"/>
  <c r="F285" i="58"/>
  <c r="O284" i="58"/>
  <c r="O283" i="58" s="1"/>
  <c r="N284" i="58"/>
  <c r="N283" i="58" s="1"/>
  <c r="M284" i="58"/>
  <c r="M283" i="58" s="1"/>
  <c r="K284" i="58"/>
  <c r="K283" i="58" s="1"/>
  <c r="J284" i="58"/>
  <c r="J283" i="58" s="1"/>
  <c r="H284" i="58"/>
  <c r="H283" i="58" s="1"/>
  <c r="G284" i="58"/>
  <c r="G283" i="58" s="1"/>
  <c r="E284" i="58"/>
  <c r="E283" i="58" s="1"/>
  <c r="D284" i="58"/>
  <c r="D283" i="58" s="1"/>
  <c r="O282" i="58"/>
  <c r="O281" i="58" s="1"/>
  <c r="L282" i="58"/>
  <c r="L281" i="58" s="1"/>
  <c r="I282" i="58"/>
  <c r="I281" i="58" s="1"/>
  <c r="F282" i="58"/>
  <c r="N281" i="58"/>
  <c r="M281" i="58"/>
  <c r="K281" i="58"/>
  <c r="J281" i="58"/>
  <c r="H281" i="58"/>
  <c r="G281" i="58"/>
  <c r="E281" i="58"/>
  <c r="D281" i="58"/>
  <c r="O280" i="58"/>
  <c r="L280" i="58"/>
  <c r="I280" i="58"/>
  <c r="F280" i="58"/>
  <c r="O279" i="58"/>
  <c r="L279" i="58"/>
  <c r="I279" i="58"/>
  <c r="F279" i="58"/>
  <c r="O278" i="58"/>
  <c r="L278" i="58"/>
  <c r="C278" i="58" s="1"/>
  <c r="I278" i="58"/>
  <c r="F278" i="58"/>
  <c r="O277" i="58"/>
  <c r="L277" i="58"/>
  <c r="I277" i="58"/>
  <c r="I276" i="58" s="1"/>
  <c r="F277" i="58"/>
  <c r="N276" i="58"/>
  <c r="M276" i="58"/>
  <c r="K276" i="58"/>
  <c r="J276" i="58"/>
  <c r="H276" i="58"/>
  <c r="G276" i="58"/>
  <c r="E276" i="58"/>
  <c r="D276" i="58"/>
  <c r="O275" i="58"/>
  <c r="L275" i="58"/>
  <c r="I275" i="58"/>
  <c r="F275" i="58"/>
  <c r="O274" i="58"/>
  <c r="L274" i="58"/>
  <c r="I274" i="58"/>
  <c r="F274" i="58"/>
  <c r="O273" i="58"/>
  <c r="L273" i="58"/>
  <c r="L272" i="58" s="1"/>
  <c r="I273" i="58"/>
  <c r="F273" i="58"/>
  <c r="N272" i="58"/>
  <c r="M272" i="58"/>
  <c r="M270" i="58" s="1"/>
  <c r="K272" i="58"/>
  <c r="J272" i="58"/>
  <c r="H272" i="58"/>
  <c r="H270" i="58" s="1"/>
  <c r="G272" i="58"/>
  <c r="G270" i="58" s="1"/>
  <c r="E272" i="58"/>
  <c r="D272" i="58"/>
  <c r="D270" i="58" s="1"/>
  <c r="O271" i="58"/>
  <c r="L271" i="58"/>
  <c r="I271" i="58"/>
  <c r="F271" i="58"/>
  <c r="N270" i="58"/>
  <c r="N269" i="58" s="1"/>
  <c r="K270" i="58"/>
  <c r="K269" i="58" s="1"/>
  <c r="O268" i="58"/>
  <c r="L268" i="58"/>
  <c r="I268" i="58"/>
  <c r="F268" i="58"/>
  <c r="O267" i="58"/>
  <c r="L267" i="58"/>
  <c r="I267" i="58"/>
  <c r="F267" i="58"/>
  <c r="O266" i="58"/>
  <c r="L266" i="58"/>
  <c r="I266" i="58"/>
  <c r="F266" i="58"/>
  <c r="O265" i="58"/>
  <c r="L265" i="58"/>
  <c r="L264" i="58" s="1"/>
  <c r="I265" i="58"/>
  <c r="F265" i="58"/>
  <c r="N264" i="58"/>
  <c r="M264" i="58"/>
  <c r="K264" i="58"/>
  <c r="J264" i="58"/>
  <c r="H264" i="58"/>
  <c r="G264" i="58"/>
  <c r="E264" i="58"/>
  <c r="D264" i="58"/>
  <c r="O263" i="58"/>
  <c r="L263" i="58"/>
  <c r="I263" i="58"/>
  <c r="F263" i="58"/>
  <c r="O262" i="58"/>
  <c r="L262" i="58"/>
  <c r="C262" i="58" s="1"/>
  <c r="I262" i="58"/>
  <c r="F262" i="58"/>
  <c r="O261" i="58"/>
  <c r="L261" i="58"/>
  <c r="I261" i="58"/>
  <c r="F261" i="58"/>
  <c r="N260" i="58"/>
  <c r="N259" i="58" s="1"/>
  <c r="M260" i="58"/>
  <c r="K260" i="58"/>
  <c r="K259" i="58" s="1"/>
  <c r="J260" i="58"/>
  <c r="J259" i="58" s="1"/>
  <c r="I260" i="58"/>
  <c r="H260" i="58"/>
  <c r="G260" i="58"/>
  <c r="E260" i="58"/>
  <c r="E259" i="58" s="1"/>
  <c r="D260" i="58"/>
  <c r="H259" i="58"/>
  <c r="D259" i="58"/>
  <c r="O258" i="58"/>
  <c r="L258" i="58"/>
  <c r="I258" i="58"/>
  <c r="F258" i="58"/>
  <c r="O257" i="58"/>
  <c r="L257" i="58"/>
  <c r="I257" i="58"/>
  <c r="F257" i="58"/>
  <c r="O256" i="58"/>
  <c r="L256" i="58"/>
  <c r="I256" i="58"/>
  <c r="C256" i="58" s="1"/>
  <c r="F256" i="58"/>
  <c r="O255" i="58"/>
  <c r="L255" i="58"/>
  <c r="I255" i="58"/>
  <c r="F255" i="58"/>
  <c r="O254" i="58"/>
  <c r="L254" i="58"/>
  <c r="I254" i="58"/>
  <c r="F254" i="58"/>
  <c r="O253" i="58"/>
  <c r="L253" i="58"/>
  <c r="I253" i="58"/>
  <c r="F253" i="58"/>
  <c r="N252" i="58"/>
  <c r="M252" i="58"/>
  <c r="M251" i="58" s="1"/>
  <c r="K252" i="58"/>
  <c r="K251" i="58" s="1"/>
  <c r="J252" i="58"/>
  <c r="H252" i="58"/>
  <c r="H251" i="58" s="1"/>
  <c r="G252" i="58"/>
  <c r="G251" i="58" s="1"/>
  <c r="E252" i="58"/>
  <c r="E251" i="58" s="1"/>
  <c r="D252" i="58"/>
  <c r="N251" i="58"/>
  <c r="J251" i="58"/>
  <c r="D251" i="58"/>
  <c r="O250" i="58"/>
  <c r="L250" i="58"/>
  <c r="I250" i="58"/>
  <c r="F250" i="58"/>
  <c r="C250" i="58" s="1"/>
  <c r="O249" i="58"/>
  <c r="L249" i="58"/>
  <c r="I249" i="58"/>
  <c r="F249" i="58"/>
  <c r="O248" i="58"/>
  <c r="L248" i="58"/>
  <c r="I248" i="58"/>
  <c r="F248" i="58"/>
  <c r="O247" i="58"/>
  <c r="L247" i="58"/>
  <c r="L246" i="58" s="1"/>
  <c r="I247" i="58"/>
  <c r="F247" i="58"/>
  <c r="N246" i="58"/>
  <c r="M246" i="58"/>
  <c r="K246" i="58"/>
  <c r="J246" i="58"/>
  <c r="H246" i="58"/>
  <c r="G246" i="58"/>
  <c r="E246" i="58"/>
  <c r="D246" i="58"/>
  <c r="O245" i="58"/>
  <c r="L245" i="58"/>
  <c r="I245" i="58"/>
  <c r="F245" i="58"/>
  <c r="O244" i="58"/>
  <c r="L244" i="58"/>
  <c r="I244" i="58"/>
  <c r="F244" i="58"/>
  <c r="O243" i="58"/>
  <c r="L243" i="58"/>
  <c r="I243" i="58"/>
  <c r="F243" i="58"/>
  <c r="O242" i="58"/>
  <c r="L242" i="58"/>
  <c r="I242" i="58"/>
  <c r="F242" i="58"/>
  <c r="O241" i="58"/>
  <c r="L241" i="58"/>
  <c r="I241" i="58"/>
  <c r="F241" i="58"/>
  <c r="O240" i="58"/>
  <c r="L240" i="58"/>
  <c r="I240" i="58"/>
  <c r="F240" i="58"/>
  <c r="O239" i="58"/>
  <c r="L239" i="58"/>
  <c r="L238" i="58" s="1"/>
  <c r="I239" i="58"/>
  <c r="F239" i="58"/>
  <c r="F238" i="58" s="1"/>
  <c r="N238" i="58"/>
  <c r="M238" i="58"/>
  <c r="K238" i="58"/>
  <c r="J238" i="58"/>
  <c r="H238" i="58"/>
  <c r="G238" i="58"/>
  <c r="E238" i="58"/>
  <c r="D238" i="58"/>
  <c r="O237" i="58"/>
  <c r="L237" i="58"/>
  <c r="I237" i="58"/>
  <c r="F237" i="58"/>
  <c r="O236" i="58"/>
  <c r="O235" i="58" s="1"/>
  <c r="L236" i="58"/>
  <c r="L235" i="58" s="1"/>
  <c r="I236" i="58"/>
  <c r="F236" i="58"/>
  <c r="F235" i="58" s="1"/>
  <c r="N235" i="58"/>
  <c r="M235" i="58"/>
  <c r="K235" i="58"/>
  <c r="J235" i="58"/>
  <c r="H235" i="58"/>
  <c r="G235" i="58"/>
  <c r="E235" i="58"/>
  <c r="D235" i="58"/>
  <c r="O234" i="58"/>
  <c r="O233" i="58" s="1"/>
  <c r="L234" i="58"/>
  <c r="L233" i="58" s="1"/>
  <c r="I234" i="58"/>
  <c r="I233" i="58" s="1"/>
  <c r="F234" i="58"/>
  <c r="N233" i="58"/>
  <c r="M233" i="58"/>
  <c r="M231" i="58" s="1"/>
  <c r="K233" i="58"/>
  <c r="J233" i="58"/>
  <c r="H233" i="58"/>
  <c r="G233" i="58"/>
  <c r="E233" i="58"/>
  <c r="D233" i="58"/>
  <c r="O232" i="58"/>
  <c r="L232" i="58"/>
  <c r="I232" i="58"/>
  <c r="F232" i="58"/>
  <c r="O229" i="58"/>
  <c r="L229" i="58"/>
  <c r="I229" i="58"/>
  <c r="F229" i="58"/>
  <c r="O228" i="58"/>
  <c r="O227" i="58" s="1"/>
  <c r="L228" i="58"/>
  <c r="I228" i="58"/>
  <c r="I227" i="58" s="1"/>
  <c r="F228" i="58"/>
  <c r="N227" i="58"/>
  <c r="M227" i="58"/>
  <c r="L227" i="58"/>
  <c r="K227" i="58"/>
  <c r="J227" i="58"/>
  <c r="H227" i="58"/>
  <c r="G227" i="58"/>
  <c r="F227" i="58"/>
  <c r="E227" i="58"/>
  <c r="D227" i="58"/>
  <c r="O226" i="58"/>
  <c r="L226" i="58"/>
  <c r="I226" i="58"/>
  <c r="F226" i="58"/>
  <c r="O225" i="58"/>
  <c r="L225" i="58"/>
  <c r="I225" i="58"/>
  <c r="F225" i="58"/>
  <c r="O224" i="58"/>
  <c r="L224" i="58"/>
  <c r="I224" i="58"/>
  <c r="F224" i="58"/>
  <c r="O223" i="58"/>
  <c r="L223" i="58"/>
  <c r="I223" i="58"/>
  <c r="F223" i="58"/>
  <c r="O222" i="58"/>
  <c r="L222" i="58"/>
  <c r="I222" i="58"/>
  <c r="F222" i="58"/>
  <c r="O221" i="58"/>
  <c r="L221" i="58"/>
  <c r="I221" i="58"/>
  <c r="F221" i="58"/>
  <c r="O220" i="58"/>
  <c r="L220" i="58"/>
  <c r="I220" i="58"/>
  <c r="F220" i="58"/>
  <c r="O219" i="58"/>
  <c r="L219" i="58"/>
  <c r="I219" i="58"/>
  <c r="F219" i="58"/>
  <c r="O218" i="58"/>
  <c r="L218" i="58"/>
  <c r="I218" i="58"/>
  <c r="F218" i="58"/>
  <c r="O217" i="58"/>
  <c r="L217" i="58"/>
  <c r="I217" i="58"/>
  <c r="I216" i="58" s="1"/>
  <c r="F217" i="58"/>
  <c r="N216" i="58"/>
  <c r="M216" i="58"/>
  <c r="K216" i="58"/>
  <c r="J216" i="58"/>
  <c r="H216" i="58"/>
  <c r="G216" i="58"/>
  <c r="E216" i="58"/>
  <c r="D216" i="58"/>
  <c r="O215" i="58"/>
  <c r="L215" i="58"/>
  <c r="I215" i="58"/>
  <c r="F215" i="58"/>
  <c r="O214" i="58"/>
  <c r="L214" i="58"/>
  <c r="I214" i="58"/>
  <c r="F214" i="58"/>
  <c r="O213" i="58"/>
  <c r="L213" i="58"/>
  <c r="I213" i="58"/>
  <c r="F213" i="58"/>
  <c r="O212" i="58"/>
  <c r="L212" i="58"/>
  <c r="I212" i="58"/>
  <c r="F212" i="58"/>
  <c r="O211" i="58"/>
  <c r="L211" i="58"/>
  <c r="I211" i="58"/>
  <c r="F211" i="58"/>
  <c r="O210" i="58"/>
  <c r="L210" i="58"/>
  <c r="I210" i="58"/>
  <c r="F210" i="58"/>
  <c r="C210" i="58"/>
  <c r="O209" i="58"/>
  <c r="L209" i="58"/>
  <c r="I209" i="58"/>
  <c r="F209" i="58"/>
  <c r="O208" i="58"/>
  <c r="L208" i="58"/>
  <c r="I208" i="58"/>
  <c r="F208" i="58"/>
  <c r="O207" i="58"/>
  <c r="L207" i="58"/>
  <c r="I207" i="58"/>
  <c r="F207" i="58"/>
  <c r="O206" i="58"/>
  <c r="L206" i="58"/>
  <c r="I206" i="58"/>
  <c r="F206" i="58"/>
  <c r="C206" i="58" s="1"/>
  <c r="N205" i="58"/>
  <c r="M205" i="58"/>
  <c r="M204" i="58" s="1"/>
  <c r="K205" i="58"/>
  <c r="J205" i="58"/>
  <c r="H205" i="58"/>
  <c r="G205" i="58"/>
  <c r="G204" i="58" s="1"/>
  <c r="E205" i="58"/>
  <c r="E204" i="58" s="1"/>
  <c r="D205" i="58"/>
  <c r="D204" i="58" s="1"/>
  <c r="O203" i="58"/>
  <c r="L203" i="58"/>
  <c r="I203" i="58"/>
  <c r="F203" i="58"/>
  <c r="O202" i="58"/>
  <c r="L202" i="58"/>
  <c r="I202" i="58"/>
  <c r="F202" i="58"/>
  <c r="O201" i="58"/>
  <c r="L201" i="58"/>
  <c r="I201" i="58"/>
  <c r="F201" i="58"/>
  <c r="O200" i="58"/>
  <c r="L200" i="58"/>
  <c r="I200" i="58"/>
  <c r="F200" i="58"/>
  <c r="O199" i="58"/>
  <c r="L199" i="58"/>
  <c r="L198" i="58" s="1"/>
  <c r="I199" i="58"/>
  <c r="F199" i="58"/>
  <c r="F198" i="58" s="1"/>
  <c r="O198" i="58"/>
  <c r="N198" i="58"/>
  <c r="M198" i="58"/>
  <c r="K198" i="58"/>
  <c r="K196" i="58" s="1"/>
  <c r="J198" i="58"/>
  <c r="J196" i="58" s="1"/>
  <c r="H198" i="58"/>
  <c r="H196" i="58" s="1"/>
  <c r="G198" i="58"/>
  <c r="G196" i="58" s="1"/>
  <c r="E198" i="58"/>
  <c r="D198" i="58"/>
  <c r="D196" i="58" s="1"/>
  <c r="O197" i="58"/>
  <c r="L197" i="58"/>
  <c r="I197" i="58"/>
  <c r="F197" i="58"/>
  <c r="N196" i="58"/>
  <c r="M196" i="58"/>
  <c r="E196" i="58"/>
  <c r="O193" i="58"/>
  <c r="L193" i="58"/>
  <c r="L192" i="58" s="1"/>
  <c r="L191" i="58" s="1"/>
  <c r="I193" i="58"/>
  <c r="I192" i="58" s="1"/>
  <c r="I191" i="58" s="1"/>
  <c r="F193" i="58"/>
  <c r="O192" i="58"/>
  <c r="O191" i="58" s="1"/>
  <c r="N192" i="58"/>
  <c r="N191" i="58" s="1"/>
  <c r="M192" i="58"/>
  <c r="M191" i="58" s="1"/>
  <c r="K192" i="58"/>
  <c r="K191" i="58" s="1"/>
  <c r="J192" i="58"/>
  <c r="J191" i="58" s="1"/>
  <c r="H192" i="58"/>
  <c r="H191" i="58" s="1"/>
  <c r="G192" i="58"/>
  <c r="G191" i="58" s="1"/>
  <c r="F192" i="58"/>
  <c r="F191" i="58" s="1"/>
  <c r="E192" i="58"/>
  <c r="E191" i="58" s="1"/>
  <c r="D192" i="58"/>
  <c r="D191" i="58" s="1"/>
  <c r="D187" i="58" s="1"/>
  <c r="C192" i="58"/>
  <c r="O190" i="58"/>
  <c r="L190" i="58"/>
  <c r="I190" i="58"/>
  <c r="F190" i="58"/>
  <c r="O189" i="58"/>
  <c r="L189" i="58"/>
  <c r="L188" i="58" s="1"/>
  <c r="I189" i="58"/>
  <c r="I188" i="58" s="1"/>
  <c r="F189" i="58"/>
  <c r="O188" i="58"/>
  <c r="O187" i="58" s="1"/>
  <c r="N188" i="58"/>
  <c r="M188" i="58"/>
  <c r="K188" i="58"/>
  <c r="J188" i="58"/>
  <c r="J187" i="58" s="1"/>
  <c r="H188" i="58"/>
  <c r="H187" i="58" s="1"/>
  <c r="G188" i="58"/>
  <c r="F188" i="58"/>
  <c r="E188" i="58"/>
  <c r="E187" i="58" s="1"/>
  <c r="D188" i="58"/>
  <c r="O186" i="58"/>
  <c r="L186" i="58"/>
  <c r="I186" i="58"/>
  <c r="F186" i="58"/>
  <c r="O185" i="58"/>
  <c r="L185" i="58"/>
  <c r="L184" i="58" s="1"/>
  <c r="I185" i="58"/>
  <c r="I184" i="58" s="1"/>
  <c r="F185" i="58"/>
  <c r="O184" i="58"/>
  <c r="N184" i="58"/>
  <c r="M184" i="58"/>
  <c r="K184" i="58"/>
  <c r="J184" i="58"/>
  <c r="H184" i="58"/>
  <c r="G184" i="58"/>
  <c r="F184" i="58"/>
  <c r="C184" i="58" s="1"/>
  <c r="E184" i="58"/>
  <c r="D184" i="58"/>
  <c r="O183" i="58"/>
  <c r="L183" i="58"/>
  <c r="I183" i="58"/>
  <c r="F183" i="58"/>
  <c r="O182" i="58"/>
  <c r="L182" i="58"/>
  <c r="I182" i="58"/>
  <c r="F182" i="58"/>
  <c r="O181" i="58"/>
  <c r="L181" i="58"/>
  <c r="I181" i="58"/>
  <c r="F181" i="58"/>
  <c r="O180" i="58"/>
  <c r="O179" i="58" s="1"/>
  <c r="L180" i="58"/>
  <c r="L179" i="58" s="1"/>
  <c r="I180" i="58"/>
  <c r="I179" i="58" s="1"/>
  <c r="F180" i="58"/>
  <c r="N179" i="58"/>
  <c r="M179" i="58"/>
  <c r="K179" i="58"/>
  <c r="J179" i="58"/>
  <c r="H179" i="58"/>
  <c r="G179" i="58"/>
  <c r="E179" i="58"/>
  <c r="D179" i="58"/>
  <c r="O178" i="58"/>
  <c r="L178" i="58"/>
  <c r="I178" i="58"/>
  <c r="F178" i="58"/>
  <c r="O177" i="58"/>
  <c r="L177" i="58"/>
  <c r="I177" i="58"/>
  <c r="F177" i="58"/>
  <c r="O176" i="58"/>
  <c r="O175" i="58" s="1"/>
  <c r="L176" i="58"/>
  <c r="I176" i="58"/>
  <c r="I175" i="58" s="1"/>
  <c r="I174" i="58" s="1"/>
  <c r="I173" i="58" s="1"/>
  <c r="F176" i="58"/>
  <c r="N175" i="58"/>
  <c r="M175" i="58"/>
  <c r="M174" i="58" s="1"/>
  <c r="M173" i="58" s="1"/>
  <c r="K175" i="58"/>
  <c r="K174" i="58" s="1"/>
  <c r="J175" i="58"/>
  <c r="H175" i="58"/>
  <c r="H174" i="58" s="1"/>
  <c r="H173" i="58" s="1"/>
  <c r="G175" i="58"/>
  <c r="G174" i="58" s="1"/>
  <c r="E175" i="58"/>
  <c r="E174" i="58" s="1"/>
  <c r="E173" i="58" s="1"/>
  <c r="D175" i="58"/>
  <c r="O172" i="58"/>
  <c r="L172" i="58"/>
  <c r="I172" i="58"/>
  <c r="F172" i="58"/>
  <c r="O171" i="58"/>
  <c r="L171" i="58"/>
  <c r="I171" i="58"/>
  <c r="F171" i="58"/>
  <c r="O170" i="58"/>
  <c r="L170" i="58"/>
  <c r="I170" i="58"/>
  <c r="F170" i="58"/>
  <c r="O169" i="58"/>
  <c r="L169" i="58"/>
  <c r="I169" i="58"/>
  <c r="F169" i="58"/>
  <c r="O168" i="58"/>
  <c r="L168" i="58"/>
  <c r="I168" i="58"/>
  <c r="F168" i="58"/>
  <c r="O167" i="58"/>
  <c r="O166" i="58" s="1"/>
  <c r="O165" i="58" s="1"/>
  <c r="L167" i="58"/>
  <c r="I167" i="58"/>
  <c r="I166" i="58" s="1"/>
  <c r="I165" i="58" s="1"/>
  <c r="F167" i="58"/>
  <c r="N166" i="58"/>
  <c r="N165" i="58" s="1"/>
  <c r="M166" i="58"/>
  <c r="M165" i="58" s="1"/>
  <c r="K166" i="58"/>
  <c r="K165" i="58" s="1"/>
  <c r="J166" i="58"/>
  <c r="J165" i="58" s="1"/>
  <c r="H166" i="58"/>
  <c r="H165" i="58" s="1"/>
  <c r="G166" i="58"/>
  <c r="G165" i="58" s="1"/>
  <c r="E166" i="58"/>
  <c r="E165" i="58" s="1"/>
  <c r="D166" i="58"/>
  <c r="D165" i="58" s="1"/>
  <c r="O164" i="58"/>
  <c r="L164" i="58"/>
  <c r="I164" i="58"/>
  <c r="F164" i="58"/>
  <c r="O163" i="58"/>
  <c r="L163" i="58"/>
  <c r="I163" i="58"/>
  <c r="F163" i="58"/>
  <c r="O162" i="58"/>
  <c r="L162" i="58"/>
  <c r="I162" i="58"/>
  <c r="F162" i="58"/>
  <c r="O161" i="58"/>
  <c r="L161" i="58"/>
  <c r="L160" i="58" s="1"/>
  <c r="I161" i="58"/>
  <c r="I160" i="58" s="1"/>
  <c r="F161" i="58"/>
  <c r="O160" i="58"/>
  <c r="N160" i="58"/>
  <c r="M160" i="58"/>
  <c r="K160" i="58"/>
  <c r="J160" i="58"/>
  <c r="H160" i="58"/>
  <c r="G160" i="58"/>
  <c r="F160" i="58"/>
  <c r="E160" i="58"/>
  <c r="D160" i="58"/>
  <c r="O159" i="58"/>
  <c r="L159" i="58"/>
  <c r="I159" i="58"/>
  <c r="F159" i="58"/>
  <c r="O158" i="58"/>
  <c r="L158" i="58"/>
  <c r="I158" i="58"/>
  <c r="F158" i="58"/>
  <c r="O157" i="58"/>
  <c r="L157" i="58"/>
  <c r="I157" i="58"/>
  <c r="F157" i="58"/>
  <c r="O156" i="58"/>
  <c r="L156" i="58"/>
  <c r="I156" i="58"/>
  <c r="F156" i="58"/>
  <c r="O155" i="58"/>
  <c r="L155" i="58"/>
  <c r="I155" i="58"/>
  <c r="F155" i="58"/>
  <c r="O154" i="58"/>
  <c r="L154" i="58"/>
  <c r="I154" i="58"/>
  <c r="F154" i="58"/>
  <c r="O153" i="58"/>
  <c r="L153" i="58"/>
  <c r="I153" i="58"/>
  <c r="F153" i="58"/>
  <c r="O152" i="58"/>
  <c r="L152" i="58"/>
  <c r="L151" i="58" s="1"/>
  <c r="I152" i="58"/>
  <c r="I151" i="58" s="1"/>
  <c r="F152" i="58"/>
  <c r="N151" i="58"/>
  <c r="M151" i="58"/>
  <c r="K151" i="58"/>
  <c r="J151" i="58"/>
  <c r="H151" i="58"/>
  <c r="G151" i="58"/>
  <c r="E151" i="58"/>
  <c r="D151" i="58"/>
  <c r="O150" i="58"/>
  <c r="L150" i="58"/>
  <c r="I150" i="58"/>
  <c r="F150" i="58"/>
  <c r="O149" i="58"/>
  <c r="L149" i="58"/>
  <c r="I149" i="58"/>
  <c r="F149" i="58"/>
  <c r="O148" i="58"/>
  <c r="L148" i="58"/>
  <c r="I148" i="58"/>
  <c r="F148" i="58"/>
  <c r="O147" i="58"/>
  <c r="L147" i="58"/>
  <c r="I147" i="58"/>
  <c r="F147" i="58"/>
  <c r="O146" i="58"/>
  <c r="L146" i="58"/>
  <c r="I146" i="58"/>
  <c r="F146" i="58"/>
  <c r="O145" i="58"/>
  <c r="L145" i="58"/>
  <c r="I145" i="58"/>
  <c r="I144" i="58" s="1"/>
  <c r="F145" i="58"/>
  <c r="O144" i="58"/>
  <c r="N144" i="58"/>
  <c r="M144" i="58"/>
  <c r="K144" i="58"/>
  <c r="J144" i="58"/>
  <c r="H144" i="58"/>
  <c r="G144" i="58"/>
  <c r="E144" i="58"/>
  <c r="D144" i="58"/>
  <c r="O143" i="58"/>
  <c r="L143" i="58"/>
  <c r="I143" i="58"/>
  <c r="F143" i="58"/>
  <c r="O142" i="58"/>
  <c r="O141" i="58" s="1"/>
  <c r="L142" i="58"/>
  <c r="L141" i="58" s="1"/>
  <c r="I142" i="58"/>
  <c r="I141" i="58" s="1"/>
  <c r="F142" i="58"/>
  <c r="F141" i="58" s="1"/>
  <c r="N141" i="58"/>
  <c r="M141" i="58"/>
  <c r="K141" i="58"/>
  <c r="J141" i="58"/>
  <c r="H141" i="58"/>
  <c r="G141" i="58"/>
  <c r="E141" i="58"/>
  <c r="D141" i="58"/>
  <c r="O140" i="58"/>
  <c r="L140" i="58"/>
  <c r="I140" i="58"/>
  <c r="F140" i="58"/>
  <c r="O139" i="58"/>
  <c r="L139" i="58"/>
  <c r="I139" i="58"/>
  <c r="F139" i="58"/>
  <c r="O138" i="58"/>
  <c r="L138" i="58"/>
  <c r="I138" i="58"/>
  <c r="F138" i="58"/>
  <c r="O137" i="58"/>
  <c r="L137" i="58"/>
  <c r="L136" i="58" s="1"/>
  <c r="I137" i="58"/>
  <c r="I136" i="58" s="1"/>
  <c r="F137" i="58"/>
  <c r="O136" i="58"/>
  <c r="N136" i="58"/>
  <c r="M136" i="58"/>
  <c r="K136" i="58"/>
  <c r="J136" i="58"/>
  <c r="H136" i="58"/>
  <c r="G136" i="58"/>
  <c r="E136" i="58"/>
  <c r="D136" i="58"/>
  <c r="O135" i="58"/>
  <c r="L135" i="58"/>
  <c r="I135" i="58"/>
  <c r="F135" i="58"/>
  <c r="O134" i="58"/>
  <c r="L134" i="58"/>
  <c r="I134" i="58"/>
  <c r="F134" i="58"/>
  <c r="O133" i="58"/>
  <c r="L133" i="58"/>
  <c r="I133" i="58"/>
  <c r="F133" i="58"/>
  <c r="O132" i="58"/>
  <c r="O131" i="58" s="1"/>
  <c r="L132" i="58"/>
  <c r="C132" i="58" s="1"/>
  <c r="I132" i="58"/>
  <c r="I131" i="58" s="1"/>
  <c r="F132" i="58"/>
  <c r="N131" i="58"/>
  <c r="M131" i="58"/>
  <c r="K131" i="58"/>
  <c r="J131" i="58"/>
  <c r="H131" i="58"/>
  <c r="G131" i="58"/>
  <c r="E131" i="58"/>
  <c r="D131" i="58"/>
  <c r="O129" i="58"/>
  <c r="L129" i="58"/>
  <c r="L128" i="58" s="1"/>
  <c r="I129" i="58"/>
  <c r="I128" i="58" s="1"/>
  <c r="F129" i="58"/>
  <c r="O128" i="58"/>
  <c r="N128" i="58"/>
  <c r="M128" i="58"/>
  <c r="K128" i="58"/>
  <c r="J128" i="58"/>
  <c r="H128" i="58"/>
  <c r="G128" i="58"/>
  <c r="F128" i="58"/>
  <c r="E128" i="58"/>
  <c r="D128" i="58"/>
  <c r="O127" i="58"/>
  <c r="L127" i="58"/>
  <c r="I127" i="58"/>
  <c r="F127" i="58"/>
  <c r="O126" i="58"/>
  <c r="L126" i="58"/>
  <c r="I126" i="58"/>
  <c r="F126" i="58"/>
  <c r="O125" i="58"/>
  <c r="L125" i="58"/>
  <c r="I125" i="58"/>
  <c r="F125" i="58"/>
  <c r="O124" i="58"/>
  <c r="L124" i="58"/>
  <c r="I124" i="58"/>
  <c r="F124" i="58"/>
  <c r="O123" i="58"/>
  <c r="L123" i="58"/>
  <c r="L122" i="58" s="1"/>
  <c r="I123" i="58"/>
  <c r="F123" i="58"/>
  <c r="N122" i="58"/>
  <c r="M122" i="58"/>
  <c r="K122" i="58"/>
  <c r="J122" i="58"/>
  <c r="H122" i="58"/>
  <c r="G122" i="58"/>
  <c r="E122" i="58"/>
  <c r="D122" i="58"/>
  <c r="O121" i="58"/>
  <c r="L121" i="58"/>
  <c r="I121" i="58"/>
  <c r="F121" i="58"/>
  <c r="O120" i="58"/>
  <c r="L120" i="58"/>
  <c r="I120" i="58"/>
  <c r="F120" i="58"/>
  <c r="C120" i="58"/>
  <c r="O119" i="58"/>
  <c r="L119" i="58"/>
  <c r="I119" i="58"/>
  <c r="F119" i="58"/>
  <c r="O118" i="58"/>
  <c r="L118" i="58"/>
  <c r="I118" i="58"/>
  <c r="F118" i="58"/>
  <c r="O117" i="58"/>
  <c r="L117" i="58"/>
  <c r="L116" i="58" s="1"/>
  <c r="I117" i="58"/>
  <c r="I116" i="58" s="1"/>
  <c r="F117" i="58"/>
  <c r="N116" i="58"/>
  <c r="M116" i="58"/>
  <c r="K116" i="58"/>
  <c r="J116" i="58"/>
  <c r="H116" i="58"/>
  <c r="G116" i="58"/>
  <c r="E116" i="58"/>
  <c r="D116" i="58"/>
  <c r="O115" i="58"/>
  <c r="L115" i="58"/>
  <c r="I115" i="58"/>
  <c r="F115" i="58"/>
  <c r="O114" i="58"/>
  <c r="L114" i="58"/>
  <c r="I114" i="58"/>
  <c r="F114" i="58"/>
  <c r="O113" i="58"/>
  <c r="L113" i="58"/>
  <c r="L112" i="58" s="1"/>
  <c r="I113" i="58"/>
  <c r="I112" i="58" s="1"/>
  <c r="F113" i="58"/>
  <c r="O112" i="58"/>
  <c r="N112" i="58"/>
  <c r="M112" i="58"/>
  <c r="K112" i="58"/>
  <c r="J112" i="58"/>
  <c r="H112" i="58"/>
  <c r="G112" i="58"/>
  <c r="E112" i="58"/>
  <c r="D112" i="58"/>
  <c r="O111" i="58"/>
  <c r="L111" i="58"/>
  <c r="I111" i="58"/>
  <c r="F111" i="58"/>
  <c r="O110" i="58"/>
  <c r="L110" i="58"/>
  <c r="I110" i="58"/>
  <c r="F110" i="58"/>
  <c r="O109" i="58"/>
  <c r="L109" i="58"/>
  <c r="I109" i="58"/>
  <c r="F109" i="58"/>
  <c r="O108" i="58"/>
  <c r="L108" i="58"/>
  <c r="I108" i="58"/>
  <c r="F108" i="58"/>
  <c r="O107" i="58"/>
  <c r="L107" i="58"/>
  <c r="I107" i="58"/>
  <c r="F107" i="58"/>
  <c r="O106" i="58"/>
  <c r="L106" i="58"/>
  <c r="I106" i="58"/>
  <c r="F106" i="58"/>
  <c r="O105" i="58"/>
  <c r="L105" i="58"/>
  <c r="I105" i="58"/>
  <c r="F105" i="58"/>
  <c r="O104" i="58"/>
  <c r="O103" i="58" s="1"/>
  <c r="L104" i="58"/>
  <c r="I104" i="58"/>
  <c r="F104" i="58"/>
  <c r="N103" i="58"/>
  <c r="M103" i="58"/>
  <c r="K103" i="58"/>
  <c r="J103" i="58"/>
  <c r="H103" i="58"/>
  <c r="G103" i="58"/>
  <c r="E103" i="58"/>
  <c r="D103" i="58"/>
  <c r="O102" i="58"/>
  <c r="L102" i="58"/>
  <c r="I102" i="58"/>
  <c r="F102" i="58"/>
  <c r="O101" i="58"/>
  <c r="L101" i="58"/>
  <c r="I101" i="58"/>
  <c r="F101" i="58"/>
  <c r="O100" i="58"/>
  <c r="L100" i="58"/>
  <c r="I100" i="58"/>
  <c r="F100" i="58"/>
  <c r="O99" i="58"/>
  <c r="L99" i="58"/>
  <c r="I99" i="58"/>
  <c r="F99" i="58"/>
  <c r="O98" i="58"/>
  <c r="L98" i="58"/>
  <c r="I98" i="58"/>
  <c r="F98" i="58"/>
  <c r="O97" i="58"/>
  <c r="L97" i="58"/>
  <c r="I97" i="58"/>
  <c r="F97" i="58"/>
  <c r="O96" i="58"/>
  <c r="L96" i="58"/>
  <c r="I96" i="58"/>
  <c r="F96" i="58"/>
  <c r="N95" i="58"/>
  <c r="M95" i="58"/>
  <c r="K95" i="58"/>
  <c r="J95" i="58"/>
  <c r="H95" i="58"/>
  <c r="G95" i="58"/>
  <c r="E95" i="58"/>
  <c r="D95" i="58"/>
  <c r="O94" i="58"/>
  <c r="L94" i="58"/>
  <c r="I94" i="58"/>
  <c r="F94" i="58"/>
  <c r="O93" i="58"/>
  <c r="L93" i="58"/>
  <c r="I93" i="58"/>
  <c r="F93" i="58"/>
  <c r="O92" i="58"/>
  <c r="L92" i="58"/>
  <c r="I92" i="58"/>
  <c r="F92" i="58"/>
  <c r="O91" i="58"/>
  <c r="L91" i="58"/>
  <c r="I91" i="58"/>
  <c r="F91" i="58"/>
  <c r="O90" i="58"/>
  <c r="L90" i="58"/>
  <c r="I90" i="58"/>
  <c r="I89" i="58" s="1"/>
  <c r="F90" i="58"/>
  <c r="N89" i="58"/>
  <c r="M89" i="58"/>
  <c r="K89" i="58"/>
  <c r="J89" i="58"/>
  <c r="H89" i="58"/>
  <c r="G89" i="58"/>
  <c r="F89" i="58"/>
  <c r="E89" i="58"/>
  <c r="D89" i="58"/>
  <c r="O88" i="58"/>
  <c r="L88" i="58"/>
  <c r="I88" i="58"/>
  <c r="F88" i="58"/>
  <c r="O87" i="58"/>
  <c r="L87" i="58"/>
  <c r="I87" i="58"/>
  <c r="F87" i="58"/>
  <c r="O86" i="58"/>
  <c r="L86" i="58"/>
  <c r="I86" i="58"/>
  <c r="F86" i="58"/>
  <c r="O85" i="58"/>
  <c r="L85" i="58"/>
  <c r="I85" i="58"/>
  <c r="F85" i="58"/>
  <c r="N84" i="58"/>
  <c r="M84" i="58"/>
  <c r="K84" i="58"/>
  <c r="J84" i="58"/>
  <c r="H84" i="58"/>
  <c r="G84" i="58"/>
  <c r="E84" i="58"/>
  <c r="D84" i="58"/>
  <c r="O82" i="58"/>
  <c r="L82" i="58"/>
  <c r="I82" i="58"/>
  <c r="F82" i="58"/>
  <c r="O81" i="58"/>
  <c r="L81" i="58"/>
  <c r="L80" i="58" s="1"/>
  <c r="I81" i="58"/>
  <c r="F81" i="58"/>
  <c r="O80" i="58"/>
  <c r="N80" i="58"/>
  <c r="M80" i="58"/>
  <c r="K80" i="58"/>
  <c r="J80" i="58"/>
  <c r="H80" i="58"/>
  <c r="G80" i="58"/>
  <c r="F80" i="58"/>
  <c r="E80" i="58"/>
  <c r="D80" i="58"/>
  <c r="O79" i="58"/>
  <c r="L79" i="58"/>
  <c r="I79" i="58"/>
  <c r="F79" i="58"/>
  <c r="O78" i="58"/>
  <c r="L78" i="58"/>
  <c r="L77" i="58" s="1"/>
  <c r="I78" i="58"/>
  <c r="I77" i="58" s="1"/>
  <c r="F78" i="58"/>
  <c r="N77" i="58"/>
  <c r="N76" i="58" s="1"/>
  <c r="M77" i="58"/>
  <c r="K77" i="58"/>
  <c r="J77" i="58"/>
  <c r="H77" i="58"/>
  <c r="G77" i="58"/>
  <c r="E77" i="58"/>
  <c r="D77" i="58"/>
  <c r="H76" i="58"/>
  <c r="D76" i="58"/>
  <c r="O74" i="58"/>
  <c r="L74" i="58"/>
  <c r="I74" i="58"/>
  <c r="F74" i="58"/>
  <c r="O73" i="58"/>
  <c r="L73" i="58"/>
  <c r="I73" i="58"/>
  <c r="F73" i="58"/>
  <c r="O72" i="58"/>
  <c r="L72" i="58"/>
  <c r="I72" i="58"/>
  <c r="F72" i="58"/>
  <c r="O71" i="58"/>
  <c r="L71" i="58"/>
  <c r="I71" i="58"/>
  <c r="F71" i="58"/>
  <c r="O70" i="58"/>
  <c r="L70" i="58"/>
  <c r="L69" i="58" s="1"/>
  <c r="I70" i="58"/>
  <c r="I69" i="58" s="1"/>
  <c r="F70" i="58"/>
  <c r="N69" i="58"/>
  <c r="N67" i="58" s="1"/>
  <c r="M69" i="58"/>
  <c r="M67" i="58" s="1"/>
  <c r="K69" i="58"/>
  <c r="K67" i="58" s="1"/>
  <c r="J69" i="58"/>
  <c r="J67" i="58" s="1"/>
  <c r="H69" i="58"/>
  <c r="H67" i="58" s="1"/>
  <c r="G69" i="58"/>
  <c r="G67" i="58" s="1"/>
  <c r="E69" i="58"/>
  <c r="E67" i="58" s="1"/>
  <c r="D69" i="58"/>
  <c r="O68" i="58"/>
  <c r="L68" i="58"/>
  <c r="I68" i="58"/>
  <c r="F68" i="58"/>
  <c r="D67" i="58"/>
  <c r="O66" i="58"/>
  <c r="L66" i="58"/>
  <c r="I66" i="58"/>
  <c r="F66" i="58"/>
  <c r="O65" i="58"/>
  <c r="L65" i="58"/>
  <c r="I65" i="58"/>
  <c r="F65" i="58"/>
  <c r="O64" i="58"/>
  <c r="L64" i="58"/>
  <c r="I64" i="58"/>
  <c r="F64" i="58"/>
  <c r="C64" i="58"/>
  <c r="O63" i="58"/>
  <c r="L63" i="58"/>
  <c r="I63" i="58"/>
  <c r="F63" i="58"/>
  <c r="C63" i="58" s="1"/>
  <c r="O62" i="58"/>
  <c r="L62" i="58"/>
  <c r="I62" i="58"/>
  <c r="F62" i="58"/>
  <c r="O61" i="58"/>
  <c r="L61" i="58"/>
  <c r="I61" i="58"/>
  <c r="F61" i="58"/>
  <c r="O60" i="58"/>
  <c r="L60" i="58"/>
  <c r="I60" i="58"/>
  <c r="F60" i="58"/>
  <c r="O59" i="58"/>
  <c r="L59" i="58"/>
  <c r="I59" i="58"/>
  <c r="F59" i="58"/>
  <c r="F58" i="58" s="1"/>
  <c r="N58" i="58"/>
  <c r="M58" i="58"/>
  <c r="K58" i="58"/>
  <c r="J58" i="58"/>
  <c r="H58" i="58"/>
  <c r="G58" i="58"/>
  <c r="E58" i="58"/>
  <c r="D58" i="58"/>
  <c r="O57" i="58"/>
  <c r="L57" i="58"/>
  <c r="I57" i="58"/>
  <c r="F57" i="58"/>
  <c r="O56" i="58"/>
  <c r="L56" i="58"/>
  <c r="I56" i="58"/>
  <c r="F56" i="58"/>
  <c r="F55" i="58" s="1"/>
  <c r="O55" i="58"/>
  <c r="N55" i="58"/>
  <c r="M55" i="58"/>
  <c r="K55" i="58"/>
  <c r="J55" i="58"/>
  <c r="H55" i="58"/>
  <c r="H54" i="58" s="1"/>
  <c r="H53" i="58" s="1"/>
  <c r="G55" i="58"/>
  <c r="G54" i="58" s="1"/>
  <c r="E55" i="58"/>
  <c r="D55" i="58"/>
  <c r="N54" i="58"/>
  <c r="N53" i="58" s="1"/>
  <c r="M54" i="58"/>
  <c r="O47" i="58"/>
  <c r="C47" i="58" s="1"/>
  <c r="O46" i="58"/>
  <c r="C46" i="58" s="1"/>
  <c r="N45" i="58"/>
  <c r="M45" i="58"/>
  <c r="L44" i="58"/>
  <c r="I44" i="58"/>
  <c r="I43" i="58" s="1"/>
  <c r="F44" i="58"/>
  <c r="C44" i="58" s="1"/>
  <c r="L43" i="58"/>
  <c r="K43" i="58"/>
  <c r="J43" i="58"/>
  <c r="H43" i="58"/>
  <c r="G43" i="58"/>
  <c r="E43" i="58"/>
  <c r="D43" i="58"/>
  <c r="F42" i="58"/>
  <c r="C42" i="58" s="1"/>
  <c r="E41" i="58"/>
  <c r="D41" i="58"/>
  <c r="L40" i="58"/>
  <c r="C40" i="58"/>
  <c r="L39" i="58"/>
  <c r="C39" i="58" s="1"/>
  <c r="L38" i="58"/>
  <c r="C38" i="58"/>
  <c r="L37" i="58"/>
  <c r="C37" i="58" s="1"/>
  <c r="K36" i="58"/>
  <c r="J36" i="58"/>
  <c r="L35" i="58"/>
  <c r="C35" i="58" s="1"/>
  <c r="L34" i="58"/>
  <c r="C34" i="58" s="1"/>
  <c r="K33" i="58"/>
  <c r="J33" i="58"/>
  <c r="L32" i="58"/>
  <c r="L31" i="58" s="1"/>
  <c r="C31" i="58" s="1"/>
  <c r="K31" i="58"/>
  <c r="J31" i="58"/>
  <c r="L30" i="58"/>
  <c r="C30" i="58" s="1"/>
  <c r="L29" i="58"/>
  <c r="C29" i="58" s="1"/>
  <c r="L28" i="58"/>
  <c r="C28" i="58" s="1"/>
  <c r="K27" i="58"/>
  <c r="J27" i="58"/>
  <c r="J26" i="58" s="1"/>
  <c r="F25" i="58"/>
  <c r="C25" i="58" s="1"/>
  <c r="I24" i="58"/>
  <c r="F24" i="58"/>
  <c r="O23" i="58"/>
  <c r="L23" i="58"/>
  <c r="I23" i="58"/>
  <c r="F23" i="58"/>
  <c r="O22" i="58"/>
  <c r="O21" i="58" s="1"/>
  <c r="L22" i="58"/>
  <c r="I22" i="58"/>
  <c r="I21" i="58" s="1"/>
  <c r="F22" i="58"/>
  <c r="N21" i="58"/>
  <c r="N292" i="58" s="1"/>
  <c r="N291" i="58" s="1"/>
  <c r="M21" i="58"/>
  <c r="L21" i="58"/>
  <c r="L292" i="58" s="1"/>
  <c r="K21" i="58"/>
  <c r="K292" i="58" s="1"/>
  <c r="K291" i="58" s="1"/>
  <c r="J21" i="58"/>
  <c r="J292" i="58" s="1"/>
  <c r="J291" i="58" s="1"/>
  <c r="H21" i="58"/>
  <c r="H292" i="58" s="1"/>
  <c r="H291" i="58" s="1"/>
  <c r="G21" i="58"/>
  <c r="G292" i="58" s="1"/>
  <c r="G291" i="58" s="1"/>
  <c r="E21" i="58"/>
  <c r="E292" i="58" s="1"/>
  <c r="E291" i="58" s="1"/>
  <c r="D21" i="58"/>
  <c r="D292" i="58" s="1"/>
  <c r="D291" i="58" s="1"/>
  <c r="N20" i="58"/>
  <c r="O301" i="57"/>
  <c r="L301" i="57"/>
  <c r="I301" i="57"/>
  <c r="F301" i="57"/>
  <c r="O300" i="57"/>
  <c r="L300" i="57"/>
  <c r="I300" i="57"/>
  <c r="F300" i="57"/>
  <c r="O299" i="57"/>
  <c r="L299" i="57"/>
  <c r="I299" i="57"/>
  <c r="C299" i="57" s="1"/>
  <c r="F299" i="57"/>
  <c r="O298" i="57"/>
  <c r="L298" i="57"/>
  <c r="I298" i="57"/>
  <c r="F298" i="57"/>
  <c r="O297" i="57"/>
  <c r="L297" i="57"/>
  <c r="I297" i="57"/>
  <c r="F297" i="57"/>
  <c r="O296" i="57"/>
  <c r="L296" i="57"/>
  <c r="I296" i="57"/>
  <c r="F296" i="57"/>
  <c r="O295" i="57"/>
  <c r="L295" i="57"/>
  <c r="I295" i="57"/>
  <c r="F295" i="57"/>
  <c r="O294" i="57"/>
  <c r="O293" i="57" s="1"/>
  <c r="L294" i="57"/>
  <c r="I294" i="57"/>
  <c r="F294" i="57"/>
  <c r="F293" i="57" s="1"/>
  <c r="N293" i="57"/>
  <c r="M293" i="57"/>
  <c r="K293" i="57"/>
  <c r="J293" i="57"/>
  <c r="H293" i="57"/>
  <c r="G293" i="57"/>
  <c r="E293" i="57"/>
  <c r="D293" i="57"/>
  <c r="O288" i="57"/>
  <c r="L288" i="57"/>
  <c r="I288" i="57"/>
  <c r="F288" i="57"/>
  <c r="O287" i="57"/>
  <c r="O286" i="57" s="1"/>
  <c r="L287" i="57"/>
  <c r="L286" i="57" s="1"/>
  <c r="I287" i="57"/>
  <c r="F287" i="57"/>
  <c r="N286" i="57"/>
  <c r="M286" i="57"/>
  <c r="K286" i="57"/>
  <c r="J286" i="57"/>
  <c r="H286" i="57"/>
  <c r="G286" i="57"/>
  <c r="F286" i="57"/>
  <c r="E286" i="57"/>
  <c r="D286" i="57"/>
  <c r="O285" i="57"/>
  <c r="L285" i="57"/>
  <c r="L284" i="57" s="1"/>
  <c r="L283" i="57" s="1"/>
  <c r="I285" i="57"/>
  <c r="I284" i="57" s="1"/>
  <c r="I283" i="57" s="1"/>
  <c r="F285" i="57"/>
  <c r="F284" i="57" s="1"/>
  <c r="O284" i="57"/>
  <c r="N284" i="57"/>
  <c r="N283" i="57" s="1"/>
  <c r="M284" i="57"/>
  <c r="M283" i="57" s="1"/>
  <c r="K284" i="57"/>
  <c r="K283" i="57" s="1"/>
  <c r="J284" i="57"/>
  <c r="J283" i="57" s="1"/>
  <c r="H284" i="57"/>
  <c r="G284" i="57"/>
  <c r="G283" i="57" s="1"/>
  <c r="E284" i="57"/>
  <c r="E283" i="57" s="1"/>
  <c r="D284" i="57"/>
  <c r="D283" i="57" s="1"/>
  <c r="O283" i="57"/>
  <c r="H283" i="57"/>
  <c r="O282" i="57"/>
  <c r="O281" i="57" s="1"/>
  <c r="L282" i="57"/>
  <c r="I282" i="57"/>
  <c r="I281" i="57" s="1"/>
  <c r="F282" i="57"/>
  <c r="F281" i="57" s="1"/>
  <c r="N281" i="57"/>
  <c r="M281" i="57"/>
  <c r="L281" i="57"/>
  <c r="K281" i="57"/>
  <c r="J281" i="57"/>
  <c r="H281" i="57"/>
  <c r="G281" i="57"/>
  <c r="E281" i="57"/>
  <c r="D281" i="57"/>
  <c r="O280" i="57"/>
  <c r="L280" i="57"/>
  <c r="I280" i="57"/>
  <c r="F280" i="57"/>
  <c r="O279" i="57"/>
  <c r="L279" i="57"/>
  <c r="I279" i="57"/>
  <c r="F279" i="57"/>
  <c r="O278" i="57"/>
  <c r="L278" i="57"/>
  <c r="I278" i="57"/>
  <c r="F278" i="57"/>
  <c r="O277" i="57"/>
  <c r="L277" i="57"/>
  <c r="I277" i="57"/>
  <c r="I276" i="57" s="1"/>
  <c r="F277" i="57"/>
  <c r="F276" i="57" s="1"/>
  <c r="N276" i="57"/>
  <c r="M276" i="57"/>
  <c r="K276" i="57"/>
  <c r="J276" i="57"/>
  <c r="H276" i="57"/>
  <c r="G276" i="57"/>
  <c r="E276" i="57"/>
  <c r="D276" i="57"/>
  <c r="O275" i="57"/>
  <c r="L275" i="57"/>
  <c r="I275" i="57"/>
  <c r="F275" i="57"/>
  <c r="O274" i="57"/>
  <c r="L274" i="57"/>
  <c r="I274" i="57"/>
  <c r="F274" i="57"/>
  <c r="O273" i="57"/>
  <c r="L273" i="57"/>
  <c r="I273" i="57"/>
  <c r="I272" i="57" s="1"/>
  <c r="F273" i="57"/>
  <c r="N272" i="57"/>
  <c r="M272" i="57"/>
  <c r="M270" i="57" s="1"/>
  <c r="K272" i="57"/>
  <c r="J272" i="57"/>
  <c r="H272" i="57"/>
  <c r="G272" i="57"/>
  <c r="E272" i="57"/>
  <c r="D272" i="57"/>
  <c r="D270" i="57" s="1"/>
  <c r="D269" i="57" s="1"/>
  <c r="O271" i="57"/>
  <c r="L271" i="57"/>
  <c r="I271" i="57"/>
  <c r="F271" i="57"/>
  <c r="C271" i="57" s="1"/>
  <c r="G270" i="57"/>
  <c r="G269" i="57" s="1"/>
  <c r="O268" i="57"/>
  <c r="L268" i="57"/>
  <c r="I268" i="57"/>
  <c r="F268" i="57"/>
  <c r="O267" i="57"/>
  <c r="L267" i="57"/>
  <c r="I267" i="57"/>
  <c r="F267" i="57"/>
  <c r="O266" i="57"/>
  <c r="L266" i="57"/>
  <c r="I266" i="57"/>
  <c r="F266" i="57"/>
  <c r="O265" i="57"/>
  <c r="L265" i="57"/>
  <c r="I265" i="57"/>
  <c r="F265" i="57"/>
  <c r="N264" i="57"/>
  <c r="M264" i="57"/>
  <c r="K264" i="57"/>
  <c r="J264" i="57"/>
  <c r="I264" i="57"/>
  <c r="H264" i="57"/>
  <c r="G264" i="57"/>
  <c r="F264" i="57"/>
  <c r="E264" i="57"/>
  <c r="D264" i="57"/>
  <c r="O263" i="57"/>
  <c r="L263" i="57"/>
  <c r="I263" i="57"/>
  <c r="F263" i="57"/>
  <c r="O262" i="57"/>
  <c r="L262" i="57"/>
  <c r="I262" i="57"/>
  <c r="F262" i="57"/>
  <c r="O261" i="57"/>
  <c r="L261" i="57"/>
  <c r="I261" i="57"/>
  <c r="I260" i="57" s="1"/>
  <c r="F261" i="57"/>
  <c r="N260" i="57"/>
  <c r="M260" i="57"/>
  <c r="M259" i="57" s="1"/>
  <c r="K260" i="57"/>
  <c r="K259" i="57" s="1"/>
  <c r="J260" i="57"/>
  <c r="H260" i="57"/>
  <c r="H259" i="57" s="1"/>
  <c r="G260" i="57"/>
  <c r="G259" i="57" s="1"/>
  <c r="F260" i="57"/>
  <c r="E260" i="57"/>
  <c r="D260" i="57"/>
  <c r="D259" i="57" s="1"/>
  <c r="O258" i="57"/>
  <c r="L258" i="57"/>
  <c r="I258" i="57"/>
  <c r="F258" i="57"/>
  <c r="O257" i="57"/>
  <c r="L257" i="57"/>
  <c r="I257" i="57"/>
  <c r="F257" i="57"/>
  <c r="O256" i="57"/>
  <c r="L256" i="57"/>
  <c r="I256" i="57"/>
  <c r="F256" i="57"/>
  <c r="O255" i="57"/>
  <c r="L255" i="57"/>
  <c r="I255" i="57"/>
  <c r="F255" i="57"/>
  <c r="O254" i="57"/>
  <c r="L254" i="57"/>
  <c r="I254" i="57"/>
  <c r="F254" i="57"/>
  <c r="O253" i="57"/>
  <c r="L253" i="57"/>
  <c r="I253" i="57"/>
  <c r="I252" i="57" s="1"/>
  <c r="F253" i="57"/>
  <c r="N252" i="57"/>
  <c r="M252" i="57"/>
  <c r="M251" i="57" s="1"/>
  <c r="K252" i="57"/>
  <c r="J252" i="57"/>
  <c r="H252" i="57"/>
  <c r="H251" i="57" s="1"/>
  <c r="G252" i="57"/>
  <c r="G251" i="57" s="1"/>
  <c r="E252" i="57"/>
  <c r="E251" i="57" s="1"/>
  <c r="D252" i="57"/>
  <c r="N251" i="57"/>
  <c r="K251" i="57"/>
  <c r="J251" i="57"/>
  <c r="D251" i="57"/>
  <c r="O250" i="57"/>
  <c r="L250" i="57"/>
  <c r="I250" i="57"/>
  <c r="F250" i="57"/>
  <c r="O249" i="57"/>
  <c r="L249" i="57"/>
  <c r="I249" i="57"/>
  <c r="F249" i="57"/>
  <c r="O248" i="57"/>
  <c r="L248" i="57"/>
  <c r="I248" i="57"/>
  <c r="F248" i="57"/>
  <c r="O247" i="57"/>
  <c r="L247" i="57"/>
  <c r="I247" i="57"/>
  <c r="F247" i="57"/>
  <c r="O246" i="57"/>
  <c r="N246" i="57"/>
  <c r="M246" i="57"/>
  <c r="K246" i="57"/>
  <c r="J246" i="57"/>
  <c r="H246" i="57"/>
  <c r="G246" i="57"/>
  <c r="E246" i="57"/>
  <c r="D246" i="57"/>
  <c r="O245" i="57"/>
  <c r="L245" i="57"/>
  <c r="I245" i="57"/>
  <c r="F245" i="57"/>
  <c r="O244" i="57"/>
  <c r="L244" i="57"/>
  <c r="I244" i="57"/>
  <c r="F244" i="57"/>
  <c r="O243" i="57"/>
  <c r="L243" i="57"/>
  <c r="I243" i="57"/>
  <c r="F243" i="57"/>
  <c r="O242" i="57"/>
  <c r="L242" i="57"/>
  <c r="I242" i="57"/>
  <c r="F242" i="57"/>
  <c r="O241" i="57"/>
  <c r="L241" i="57"/>
  <c r="I241" i="57"/>
  <c r="F241" i="57"/>
  <c r="O240" i="57"/>
  <c r="L240" i="57"/>
  <c r="I240" i="57"/>
  <c r="F240" i="57"/>
  <c r="O239" i="57"/>
  <c r="L239" i="57"/>
  <c r="L238" i="57" s="1"/>
  <c r="I239" i="57"/>
  <c r="F239" i="57"/>
  <c r="N238" i="57"/>
  <c r="M238" i="57"/>
  <c r="K238" i="57"/>
  <c r="J238" i="57"/>
  <c r="H238" i="57"/>
  <c r="G238" i="57"/>
  <c r="E238" i="57"/>
  <c r="D238" i="57"/>
  <c r="O237" i="57"/>
  <c r="L237" i="57"/>
  <c r="I237" i="57"/>
  <c r="F237" i="57"/>
  <c r="O236" i="57"/>
  <c r="L236" i="57"/>
  <c r="L235" i="57" s="1"/>
  <c r="I236" i="57"/>
  <c r="I235" i="57" s="1"/>
  <c r="F236" i="57"/>
  <c r="O235" i="57"/>
  <c r="N235" i="57"/>
  <c r="M235" i="57"/>
  <c r="K235" i="57"/>
  <c r="J235" i="57"/>
  <c r="H235" i="57"/>
  <c r="G235" i="57"/>
  <c r="F235" i="57"/>
  <c r="E235" i="57"/>
  <c r="D235" i="57"/>
  <c r="O234" i="57"/>
  <c r="O233" i="57" s="1"/>
  <c r="L234" i="57"/>
  <c r="L233" i="57" s="1"/>
  <c r="I234" i="57"/>
  <c r="F234" i="57"/>
  <c r="F233" i="57" s="1"/>
  <c r="N233" i="57"/>
  <c r="N231" i="57" s="1"/>
  <c r="M233" i="57"/>
  <c r="M231" i="57" s="1"/>
  <c r="K233" i="57"/>
  <c r="J233" i="57"/>
  <c r="I233" i="57"/>
  <c r="H233" i="57"/>
  <c r="G233" i="57"/>
  <c r="E233" i="57"/>
  <c r="D233" i="57"/>
  <c r="O232" i="57"/>
  <c r="L232" i="57"/>
  <c r="I232" i="57"/>
  <c r="F232" i="57"/>
  <c r="O229" i="57"/>
  <c r="L229" i="57"/>
  <c r="I229" i="57"/>
  <c r="F229" i="57"/>
  <c r="O228" i="57"/>
  <c r="L228" i="57"/>
  <c r="L227" i="57" s="1"/>
  <c r="I228" i="57"/>
  <c r="I227" i="57" s="1"/>
  <c r="F228" i="57"/>
  <c r="O227" i="57"/>
  <c r="N227" i="57"/>
  <c r="M227" i="57"/>
  <c r="K227" i="57"/>
  <c r="J227" i="57"/>
  <c r="H227" i="57"/>
  <c r="G227" i="57"/>
  <c r="F227" i="57"/>
  <c r="E227" i="57"/>
  <c r="D227" i="57"/>
  <c r="O226" i="57"/>
  <c r="L226" i="57"/>
  <c r="I226" i="57"/>
  <c r="F226" i="57"/>
  <c r="O225" i="57"/>
  <c r="L225" i="57"/>
  <c r="I225" i="57"/>
  <c r="F225" i="57"/>
  <c r="O224" i="57"/>
  <c r="L224" i="57"/>
  <c r="I224" i="57"/>
  <c r="F224" i="57"/>
  <c r="O223" i="57"/>
  <c r="L223" i="57"/>
  <c r="I223" i="57"/>
  <c r="F223" i="57"/>
  <c r="O222" i="57"/>
  <c r="L222" i="57"/>
  <c r="I222" i="57"/>
  <c r="F222" i="57"/>
  <c r="O221" i="57"/>
  <c r="L221" i="57"/>
  <c r="I221" i="57"/>
  <c r="F221" i="57"/>
  <c r="O220" i="57"/>
  <c r="L220" i="57"/>
  <c r="I220" i="57"/>
  <c r="F220" i="57"/>
  <c r="O219" i="57"/>
  <c r="L219" i="57"/>
  <c r="I219" i="57"/>
  <c r="F219" i="57"/>
  <c r="O218" i="57"/>
  <c r="L218" i="57"/>
  <c r="I218" i="57"/>
  <c r="F218" i="57"/>
  <c r="O217" i="57"/>
  <c r="L217" i="57"/>
  <c r="I217" i="57"/>
  <c r="F217" i="57"/>
  <c r="N216" i="57"/>
  <c r="M216" i="57"/>
  <c r="K216" i="57"/>
  <c r="J216" i="57"/>
  <c r="H216" i="57"/>
  <c r="G216" i="57"/>
  <c r="F216" i="57"/>
  <c r="E216" i="57"/>
  <c r="D216" i="57"/>
  <c r="O215" i="57"/>
  <c r="L215" i="57"/>
  <c r="I215" i="57"/>
  <c r="F215" i="57"/>
  <c r="O214" i="57"/>
  <c r="L214" i="57"/>
  <c r="I214" i="57"/>
  <c r="F214" i="57"/>
  <c r="O213" i="57"/>
  <c r="L213" i="57"/>
  <c r="I213" i="57"/>
  <c r="F213" i="57"/>
  <c r="O212" i="57"/>
  <c r="L212" i="57"/>
  <c r="I212" i="57"/>
  <c r="F212" i="57"/>
  <c r="O211" i="57"/>
  <c r="L211" i="57"/>
  <c r="I211" i="57"/>
  <c r="F211" i="57"/>
  <c r="O210" i="57"/>
  <c r="L210" i="57"/>
  <c r="I210" i="57"/>
  <c r="F210" i="57"/>
  <c r="O209" i="57"/>
  <c r="L209" i="57"/>
  <c r="I209" i="57"/>
  <c r="F209" i="57"/>
  <c r="O208" i="57"/>
  <c r="L208" i="57"/>
  <c r="I208" i="57"/>
  <c r="F208" i="57"/>
  <c r="O207" i="57"/>
  <c r="L207" i="57"/>
  <c r="I207" i="57"/>
  <c r="F207" i="57"/>
  <c r="O206" i="57"/>
  <c r="L206" i="57"/>
  <c r="C206" i="57" s="1"/>
  <c r="I206" i="57"/>
  <c r="F206" i="57"/>
  <c r="N205" i="57"/>
  <c r="M205" i="57"/>
  <c r="M204" i="57" s="1"/>
  <c r="K205" i="57"/>
  <c r="J205" i="57"/>
  <c r="H205" i="57"/>
  <c r="H204" i="57" s="1"/>
  <c r="G205" i="57"/>
  <c r="E205" i="57"/>
  <c r="D205" i="57"/>
  <c r="O203" i="57"/>
  <c r="L203" i="57"/>
  <c r="I203" i="57"/>
  <c r="F203" i="57"/>
  <c r="O202" i="57"/>
  <c r="L202" i="57"/>
  <c r="I202" i="57"/>
  <c r="F202" i="57"/>
  <c r="O201" i="57"/>
  <c r="L201" i="57"/>
  <c r="I201" i="57"/>
  <c r="F201" i="57"/>
  <c r="O200" i="57"/>
  <c r="L200" i="57"/>
  <c r="I200" i="57"/>
  <c r="F200" i="57"/>
  <c r="O199" i="57"/>
  <c r="L199" i="57"/>
  <c r="I199" i="57"/>
  <c r="F199" i="57"/>
  <c r="O198" i="57"/>
  <c r="N198" i="57"/>
  <c r="N196" i="57" s="1"/>
  <c r="M198" i="57"/>
  <c r="K198" i="57"/>
  <c r="K196" i="57" s="1"/>
  <c r="J198" i="57"/>
  <c r="J196" i="57" s="1"/>
  <c r="H198" i="57"/>
  <c r="H196" i="57" s="1"/>
  <c r="G198" i="57"/>
  <c r="G196" i="57" s="1"/>
  <c r="F198" i="57"/>
  <c r="E198" i="57"/>
  <c r="E196" i="57" s="1"/>
  <c r="D198" i="57"/>
  <c r="D196" i="57" s="1"/>
  <c r="O197" i="57"/>
  <c r="L197" i="57"/>
  <c r="I197" i="57"/>
  <c r="F197" i="57"/>
  <c r="F196" i="57" s="1"/>
  <c r="M196" i="57"/>
  <c r="O193" i="57"/>
  <c r="O192" i="57" s="1"/>
  <c r="O191" i="57" s="1"/>
  <c r="L193" i="57"/>
  <c r="L192" i="57" s="1"/>
  <c r="L191" i="57" s="1"/>
  <c r="I193" i="57"/>
  <c r="I192" i="57" s="1"/>
  <c r="F193" i="57"/>
  <c r="N192" i="57"/>
  <c r="N191" i="57" s="1"/>
  <c r="M192" i="57"/>
  <c r="M191" i="57" s="1"/>
  <c r="K192" i="57"/>
  <c r="K191" i="57" s="1"/>
  <c r="J192" i="57"/>
  <c r="J191" i="57" s="1"/>
  <c r="H192" i="57"/>
  <c r="H191" i="57" s="1"/>
  <c r="G192" i="57"/>
  <c r="G191" i="57" s="1"/>
  <c r="E192" i="57"/>
  <c r="E191" i="57" s="1"/>
  <c r="D192" i="57"/>
  <c r="D191" i="57" s="1"/>
  <c r="O190" i="57"/>
  <c r="L190" i="57"/>
  <c r="I190" i="57"/>
  <c r="F190" i="57"/>
  <c r="O189" i="57"/>
  <c r="L189" i="57"/>
  <c r="I189" i="57"/>
  <c r="I188" i="57" s="1"/>
  <c r="F189" i="57"/>
  <c r="O188" i="57"/>
  <c r="N188" i="57"/>
  <c r="M188" i="57"/>
  <c r="K188" i="57"/>
  <c r="J188" i="57"/>
  <c r="H188" i="57"/>
  <c r="G188" i="57"/>
  <c r="E188" i="57"/>
  <c r="D188" i="57"/>
  <c r="D187" i="57" s="1"/>
  <c r="O186" i="57"/>
  <c r="L186" i="57"/>
  <c r="I186" i="57"/>
  <c r="F186" i="57"/>
  <c r="O185" i="57"/>
  <c r="O184" i="57" s="1"/>
  <c r="L185" i="57"/>
  <c r="L184" i="57" s="1"/>
  <c r="I185" i="57"/>
  <c r="I184" i="57" s="1"/>
  <c r="F185" i="57"/>
  <c r="N184" i="57"/>
  <c r="M184" i="57"/>
  <c r="K184" i="57"/>
  <c r="J184" i="57"/>
  <c r="H184" i="57"/>
  <c r="G184" i="57"/>
  <c r="E184" i="57"/>
  <c r="D184" i="57"/>
  <c r="O183" i="57"/>
  <c r="L183" i="57"/>
  <c r="I183" i="57"/>
  <c r="F183" i="57"/>
  <c r="O182" i="57"/>
  <c r="L182" i="57"/>
  <c r="I182" i="57"/>
  <c r="F182" i="57"/>
  <c r="O181" i="57"/>
  <c r="L181" i="57"/>
  <c r="I181" i="57"/>
  <c r="F181" i="57"/>
  <c r="O180" i="57"/>
  <c r="L180" i="57"/>
  <c r="L179" i="57" s="1"/>
  <c r="I180" i="57"/>
  <c r="F180" i="57"/>
  <c r="O179" i="57"/>
  <c r="N179" i="57"/>
  <c r="M179" i="57"/>
  <c r="K179" i="57"/>
  <c r="J179" i="57"/>
  <c r="H179" i="57"/>
  <c r="G179" i="57"/>
  <c r="E179" i="57"/>
  <c r="D179" i="57"/>
  <c r="O178" i="57"/>
  <c r="L178" i="57"/>
  <c r="I178" i="57"/>
  <c r="F178" i="57"/>
  <c r="O177" i="57"/>
  <c r="L177" i="57"/>
  <c r="I177" i="57"/>
  <c r="F177" i="57"/>
  <c r="C177" i="57" s="1"/>
  <c r="O176" i="57"/>
  <c r="L176" i="57"/>
  <c r="L175" i="57" s="1"/>
  <c r="I176" i="57"/>
  <c r="I175" i="57" s="1"/>
  <c r="F176" i="57"/>
  <c r="N175" i="57"/>
  <c r="M175" i="57"/>
  <c r="M174" i="57" s="1"/>
  <c r="K175" i="57"/>
  <c r="J175" i="57"/>
  <c r="J174" i="57" s="1"/>
  <c r="J173" i="57" s="1"/>
  <c r="H175" i="57"/>
  <c r="H174" i="57" s="1"/>
  <c r="G175" i="57"/>
  <c r="E175" i="57"/>
  <c r="E174" i="57" s="1"/>
  <c r="E173" i="57" s="1"/>
  <c r="D175" i="57"/>
  <c r="N174" i="57"/>
  <c r="O172" i="57"/>
  <c r="L172" i="57"/>
  <c r="I172" i="57"/>
  <c r="F172" i="57"/>
  <c r="O171" i="57"/>
  <c r="L171" i="57"/>
  <c r="I171" i="57"/>
  <c r="F171" i="57"/>
  <c r="O170" i="57"/>
  <c r="L170" i="57"/>
  <c r="I170" i="57"/>
  <c r="F170" i="57"/>
  <c r="O169" i="57"/>
  <c r="L169" i="57"/>
  <c r="I169" i="57"/>
  <c r="F169" i="57"/>
  <c r="O168" i="57"/>
  <c r="L168" i="57"/>
  <c r="I168" i="57"/>
  <c r="F168" i="57"/>
  <c r="O167" i="57"/>
  <c r="L167" i="57"/>
  <c r="L166" i="57" s="1"/>
  <c r="L165" i="57" s="1"/>
  <c r="I167" i="57"/>
  <c r="F167" i="57"/>
  <c r="N166" i="57"/>
  <c r="N165" i="57" s="1"/>
  <c r="M166" i="57"/>
  <c r="M165" i="57" s="1"/>
  <c r="K166" i="57"/>
  <c r="K165" i="57" s="1"/>
  <c r="J166" i="57"/>
  <c r="J165" i="57" s="1"/>
  <c r="H166" i="57"/>
  <c r="H165" i="57" s="1"/>
  <c r="G166" i="57"/>
  <c r="E166" i="57"/>
  <c r="D166" i="57"/>
  <c r="D165" i="57" s="1"/>
  <c r="G165" i="57"/>
  <c r="E165" i="57"/>
  <c r="O164" i="57"/>
  <c r="L164" i="57"/>
  <c r="I164" i="57"/>
  <c r="F164" i="57"/>
  <c r="O163" i="57"/>
  <c r="L163" i="57"/>
  <c r="I163" i="57"/>
  <c r="F163" i="57"/>
  <c r="O162" i="57"/>
  <c r="L162" i="57"/>
  <c r="I162" i="57"/>
  <c r="F162" i="57"/>
  <c r="O161" i="57"/>
  <c r="L161" i="57"/>
  <c r="I161" i="57"/>
  <c r="I160" i="57" s="1"/>
  <c r="F161" i="57"/>
  <c r="O160" i="57"/>
  <c r="N160" i="57"/>
  <c r="M160" i="57"/>
  <c r="K160" i="57"/>
  <c r="J160" i="57"/>
  <c r="H160" i="57"/>
  <c r="G160" i="57"/>
  <c r="E160" i="57"/>
  <c r="D160" i="57"/>
  <c r="O159" i="57"/>
  <c r="L159" i="57"/>
  <c r="I159" i="57"/>
  <c r="F159" i="57"/>
  <c r="O158" i="57"/>
  <c r="L158" i="57"/>
  <c r="I158" i="57"/>
  <c r="F158" i="57"/>
  <c r="O157" i="57"/>
  <c r="L157" i="57"/>
  <c r="I157" i="57"/>
  <c r="F157" i="57"/>
  <c r="O156" i="57"/>
  <c r="L156" i="57"/>
  <c r="I156" i="57"/>
  <c r="F156" i="57"/>
  <c r="O155" i="57"/>
  <c r="L155" i="57"/>
  <c r="I155" i="57"/>
  <c r="F155" i="57"/>
  <c r="O154" i="57"/>
  <c r="L154" i="57"/>
  <c r="I154" i="57"/>
  <c r="F154" i="57"/>
  <c r="O153" i="57"/>
  <c r="L153" i="57"/>
  <c r="I153" i="57"/>
  <c r="F153" i="57"/>
  <c r="O152" i="57"/>
  <c r="O151" i="57" s="1"/>
  <c r="L152" i="57"/>
  <c r="I152" i="57"/>
  <c r="I151" i="57" s="1"/>
  <c r="F152" i="57"/>
  <c r="N151" i="57"/>
  <c r="M151" i="57"/>
  <c r="K151" i="57"/>
  <c r="J151" i="57"/>
  <c r="H151" i="57"/>
  <c r="G151" i="57"/>
  <c r="E151" i="57"/>
  <c r="D151" i="57"/>
  <c r="O150" i="57"/>
  <c r="L150" i="57"/>
  <c r="I150" i="57"/>
  <c r="F150" i="57"/>
  <c r="O149" i="57"/>
  <c r="L149" i="57"/>
  <c r="I149" i="57"/>
  <c r="F149" i="57"/>
  <c r="O148" i="57"/>
  <c r="L148" i="57"/>
  <c r="I148" i="57"/>
  <c r="F148" i="57"/>
  <c r="C148" i="57" s="1"/>
  <c r="O147" i="57"/>
  <c r="L147" i="57"/>
  <c r="I147" i="57"/>
  <c r="F147" i="57"/>
  <c r="O146" i="57"/>
  <c r="L146" i="57"/>
  <c r="I146" i="57"/>
  <c r="F146" i="57"/>
  <c r="O145" i="57"/>
  <c r="L145" i="57"/>
  <c r="L144" i="57" s="1"/>
  <c r="I145" i="57"/>
  <c r="F145" i="57"/>
  <c r="N144" i="57"/>
  <c r="M144" i="57"/>
  <c r="K144" i="57"/>
  <c r="J144" i="57"/>
  <c r="H144" i="57"/>
  <c r="G144" i="57"/>
  <c r="E144" i="57"/>
  <c r="D144" i="57"/>
  <c r="O143" i="57"/>
  <c r="L143" i="57"/>
  <c r="I143" i="57"/>
  <c r="F143" i="57"/>
  <c r="O142" i="57"/>
  <c r="O141" i="57" s="1"/>
  <c r="L142" i="57"/>
  <c r="L141" i="57" s="1"/>
  <c r="I142" i="57"/>
  <c r="F142" i="57"/>
  <c r="F141" i="57" s="1"/>
  <c r="N141" i="57"/>
  <c r="M141" i="57"/>
  <c r="K141" i="57"/>
  <c r="J141" i="57"/>
  <c r="H141" i="57"/>
  <c r="G141" i="57"/>
  <c r="E141" i="57"/>
  <c r="D141" i="57"/>
  <c r="O140" i="57"/>
  <c r="L140" i="57"/>
  <c r="I140" i="57"/>
  <c r="F140" i="57"/>
  <c r="O139" i="57"/>
  <c r="L139" i="57"/>
  <c r="I139" i="57"/>
  <c r="F139" i="57"/>
  <c r="O138" i="57"/>
  <c r="L138" i="57"/>
  <c r="I138" i="57"/>
  <c r="F138" i="57"/>
  <c r="O137" i="57"/>
  <c r="L137" i="57"/>
  <c r="L136" i="57" s="1"/>
  <c r="I137" i="57"/>
  <c r="F137" i="57"/>
  <c r="F136" i="57" s="1"/>
  <c r="O136" i="57"/>
  <c r="N136" i="57"/>
  <c r="M136" i="57"/>
  <c r="K136" i="57"/>
  <c r="J136" i="57"/>
  <c r="H136" i="57"/>
  <c r="G136" i="57"/>
  <c r="E136" i="57"/>
  <c r="D136" i="57"/>
  <c r="O135" i="57"/>
  <c r="L135" i="57"/>
  <c r="I135" i="57"/>
  <c r="F135" i="57"/>
  <c r="O134" i="57"/>
  <c r="L134" i="57"/>
  <c r="I134" i="57"/>
  <c r="F134" i="57"/>
  <c r="O133" i="57"/>
  <c r="L133" i="57"/>
  <c r="I133" i="57"/>
  <c r="F133" i="57"/>
  <c r="O132" i="57"/>
  <c r="O131" i="57" s="1"/>
  <c r="L132" i="57"/>
  <c r="I132" i="57"/>
  <c r="F132" i="57"/>
  <c r="N131" i="57"/>
  <c r="M131" i="57"/>
  <c r="K131" i="57"/>
  <c r="K130" i="57" s="1"/>
  <c r="J131" i="57"/>
  <c r="H131" i="57"/>
  <c r="G131" i="57"/>
  <c r="F131" i="57"/>
  <c r="E131" i="57"/>
  <c r="D131" i="57"/>
  <c r="O129" i="57"/>
  <c r="L129" i="57"/>
  <c r="L128" i="57" s="1"/>
  <c r="I129" i="57"/>
  <c r="I128" i="57" s="1"/>
  <c r="F129" i="57"/>
  <c r="O128" i="57"/>
  <c r="N128" i="57"/>
  <c r="M128" i="57"/>
  <c r="K128" i="57"/>
  <c r="J128" i="57"/>
  <c r="H128" i="57"/>
  <c r="G128" i="57"/>
  <c r="E128" i="57"/>
  <c r="D128" i="57"/>
  <c r="O127" i="57"/>
  <c r="L127" i="57"/>
  <c r="I127" i="57"/>
  <c r="F127" i="57"/>
  <c r="O126" i="57"/>
  <c r="L126" i="57"/>
  <c r="I126" i="57"/>
  <c r="F126" i="57"/>
  <c r="O125" i="57"/>
  <c r="L125" i="57"/>
  <c r="I125" i="57"/>
  <c r="F125" i="57"/>
  <c r="O124" i="57"/>
  <c r="L124" i="57"/>
  <c r="I124" i="57"/>
  <c r="F124" i="57"/>
  <c r="O123" i="57"/>
  <c r="L123" i="57"/>
  <c r="L122" i="57" s="1"/>
  <c r="I123" i="57"/>
  <c r="I122" i="57" s="1"/>
  <c r="F123" i="57"/>
  <c r="N122" i="57"/>
  <c r="M122" i="57"/>
  <c r="K122" i="57"/>
  <c r="J122" i="57"/>
  <c r="H122" i="57"/>
  <c r="G122" i="57"/>
  <c r="E122" i="57"/>
  <c r="D122" i="57"/>
  <c r="O121" i="57"/>
  <c r="L121" i="57"/>
  <c r="I121" i="57"/>
  <c r="F121" i="57"/>
  <c r="O120" i="57"/>
  <c r="L120" i="57"/>
  <c r="I120" i="57"/>
  <c r="F120" i="57"/>
  <c r="O119" i="57"/>
  <c r="L119" i="57"/>
  <c r="I119" i="57"/>
  <c r="F119" i="57"/>
  <c r="O118" i="57"/>
  <c r="L118" i="57"/>
  <c r="I118" i="57"/>
  <c r="F118" i="57"/>
  <c r="O117" i="57"/>
  <c r="L117" i="57"/>
  <c r="L116" i="57" s="1"/>
  <c r="I117" i="57"/>
  <c r="I116" i="57" s="1"/>
  <c r="F117" i="57"/>
  <c r="O116" i="57"/>
  <c r="N116" i="57"/>
  <c r="M116" i="57"/>
  <c r="K116" i="57"/>
  <c r="J116" i="57"/>
  <c r="H116" i="57"/>
  <c r="G116" i="57"/>
  <c r="E116" i="57"/>
  <c r="D116" i="57"/>
  <c r="O115" i="57"/>
  <c r="L115" i="57"/>
  <c r="I115" i="57"/>
  <c r="F115" i="57"/>
  <c r="O114" i="57"/>
  <c r="L114" i="57"/>
  <c r="I114" i="57"/>
  <c r="F114" i="57"/>
  <c r="O113" i="57"/>
  <c r="L113" i="57"/>
  <c r="L112" i="57" s="1"/>
  <c r="I113" i="57"/>
  <c r="I112" i="57" s="1"/>
  <c r="F113" i="57"/>
  <c r="O112" i="57"/>
  <c r="N112" i="57"/>
  <c r="M112" i="57"/>
  <c r="K112" i="57"/>
  <c r="J112" i="57"/>
  <c r="H112" i="57"/>
  <c r="G112" i="57"/>
  <c r="E112" i="57"/>
  <c r="D112" i="57"/>
  <c r="O111" i="57"/>
  <c r="L111" i="57"/>
  <c r="I111" i="57"/>
  <c r="F111" i="57"/>
  <c r="O110" i="57"/>
  <c r="L110" i="57"/>
  <c r="I110" i="57"/>
  <c r="F110" i="57"/>
  <c r="O109" i="57"/>
  <c r="L109" i="57"/>
  <c r="I109" i="57"/>
  <c r="F109" i="57"/>
  <c r="O108" i="57"/>
  <c r="L108" i="57"/>
  <c r="I108" i="57"/>
  <c r="F108" i="57"/>
  <c r="O107" i="57"/>
  <c r="L107" i="57"/>
  <c r="I107" i="57"/>
  <c r="F107" i="57"/>
  <c r="O106" i="57"/>
  <c r="L106" i="57"/>
  <c r="I106" i="57"/>
  <c r="F106" i="57"/>
  <c r="O105" i="57"/>
  <c r="L105" i="57"/>
  <c r="I105" i="57"/>
  <c r="F105" i="57"/>
  <c r="O104" i="57"/>
  <c r="L104" i="57"/>
  <c r="I104" i="57"/>
  <c r="F104" i="57"/>
  <c r="N103" i="57"/>
  <c r="M103" i="57"/>
  <c r="K103" i="57"/>
  <c r="J103" i="57"/>
  <c r="H103" i="57"/>
  <c r="G103" i="57"/>
  <c r="E103" i="57"/>
  <c r="D103" i="57"/>
  <c r="O102" i="57"/>
  <c r="L102" i="57"/>
  <c r="I102" i="57"/>
  <c r="F102" i="57"/>
  <c r="O101" i="57"/>
  <c r="L101" i="57"/>
  <c r="I101" i="57"/>
  <c r="F101" i="57"/>
  <c r="O100" i="57"/>
  <c r="L100" i="57"/>
  <c r="I100" i="57"/>
  <c r="F100" i="57"/>
  <c r="O99" i="57"/>
  <c r="L99" i="57"/>
  <c r="I99" i="57"/>
  <c r="F99" i="57"/>
  <c r="O98" i="57"/>
  <c r="L98" i="57"/>
  <c r="I98" i="57"/>
  <c r="F98" i="57"/>
  <c r="O97" i="57"/>
  <c r="L97" i="57"/>
  <c r="I97" i="57"/>
  <c r="F97" i="57"/>
  <c r="O96" i="57"/>
  <c r="L96" i="57"/>
  <c r="I96" i="57"/>
  <c r="F96" i="57"/>
  <c r="N95" i="57"/>
  <c r="M95" i="57"/>
  <c r="K95" i="57"/>
  <c r="J95" i="57"/>
  <c r="H95" i="57"/>
  <c r="G95" i="57"/>
  <c r="E95" i="57"/>
  <c r="D95" i="57"/>
  <c r="O94" i="57"/>
  <c r="L94" i="57"/>
  <c r="I94" i="57"/>
  <c r="F94" i="57"/>
  <c r="O93" i="57"/>
  <c r="L93" i="57"/>
  <c r="I93" i="57"/>
  <c r="F93" i="57"/>
  <c r="O92" i="57"/>
  <c r="L92" i="57"/>
  <c r="I92" i="57"/>
  <c r="F92" i="57"/>
  <c r="O91" i="57"/>
  <c r="L91" i="57"/>
  <c r="I91" i="57"/>
  <c r="F91" i="57"/>
  <c r="O90" i="57"/>
  <c r="O89" i="57" s="1"/>
  <c r="L90" i="57"/>
  <c r="I90" i="57"/>
  <c r="F90" i="57"/>
  <c r="F89" i="57" s="1"/>
  <c r="N89" i="57"/>
  <c r="M89" i="57"/>
  <c r="K89" i="57"/>
  <c r="J89" i="57"/>
  <c r="H89" i="57"/>
  <c r="G89" i="57"/>
  <c r="E89" i="57"/>
  <c r="D89" i="57"/>
  <c r="O88" i="57"/>
  <c r="L88" i="57"/>
  <c r="I88" i="57"/>
  <c r="F88" i="57"/>
  <c r="O87" i="57"/>
  <c r="L87" i="57"/>
  <c r="I87" i="57"/>
  <c r="F87" i="57"/>
  <c r="O86" i="57"/>
  <c r="L86" i="57"/>
  <c r="I86" i="57"/>
  <c r="F86" i="57"/>
  <c r="O85" i="57"/>
  <c r="L85" i="57"/>
  <c r="I85" i="57"/>
  <c r="I84" i="57" s="1"/>
  <c r="F85" i="57"/>
  <c r="N84" i="57"/>
  <c r="M84" i="57"/>
  <c r="K84" i="57"/>
  <c r="J84" i="57"/>
  <c r="H84" i="57"/>
  <c r="G84" i="57"/>
  <c r="E84" i="57"/>
  <c r="D84" i="57"/>
  <c r="O82" i="57"/>
  <c r="L82" i="57"/>
  <c r="I82" i="57"/>
  <c r="F82" i="57"/>
  <c r="O81" i="57"/>
  <c r="O80" i="57" s="1"/>
  <c r="L81" i="57"/>
  <c r="L80" i="57" s="1"/>
  <c r="I81" i="57"/>
  <c r="I80" i="57" s="1"/>
  <c r="F81" i="57"/>
  <c r="N80" i="57"/>
  <c r="M80" i="57"/>
  <c r="K80" i="57"/>
  <c r="J80" i="57"/>
  <c r="H80" i="57"/>
  <c r="G80" i="57"/>
  <c r="E80" i="57"/>
  <c r="D80" i="57"/>
  <c r="O79" i="57"/>
  <c r="L79" i="57"/>
  <c r="I79" i="57"/>
  <c r="F79" i="57"/>
  <c r="O78" i="57"/>
  <c r="O77" i="57" s="1"/>
  <c r="L78" i="57"/>
  <c r="I78" i="57"/>
  <c r="I77" i="57" s="1"/>
  <c r="F78" i="57"/>
  <c r="F77" i="57" s="1"/>
  <c r="N77" i="57"/>
  <c r="N76" i="57" s="1"/>
  <c r="M77" i="57"/>
  <c r="M76" i="57" s="1"/>
  <c r="K77" i="57"/>
  <c r="J77" i="57"/>
  <c r="H77" i="57"/>
  <c r="H76" i="57" s="1"/>
  <c r="G77" i="57"/>
  <c r="E77" i="57"/>
  <c r="D77" i="57"/>
  <c r="D76" i="57" s="1"/>
  <c r="O74" i="57"/>
  <c r="L74" i="57"/>
  <c r="I74" i="57"/>
  <c r="F74" i="57"/>
  <c r="O73" i="57"/>
  <c r="L73" i="57"/>
  <c r="I73" i="57"/>
  <c r="F73" i="57"/>
  <c r="O72" i="57"/>
  <c r="L72" i="57"/>
  <c r="I72" i="57"/>
  <c r="F72" i="57"/>
  <c r="O71" i="57"/>
  <c r="L71" i="57"/>
  <c r="I71" i="57"/>
  <c r="F71" i="57"/>
  <c r="O70" i="57"/>
  <c r="O69" i="57" s="1"/>
  <c r="L70" i="57"/>
  <c r="L69" i="57" s="1"/>
  <c r="I70" i="57"/>
  <c r="F70" i="57"/>
  <c r="F69" i="57" s="1"/>
  <c r="N69" i="57"/>
  <c r="N67" i="57" s="1"/>
  <c r="M69" i="57"/>
  <c r="M67" i="57" s="1"/>
  <c r="K69" i="57"/>
  <c r="K67" i="57" s="1"/>
  <c r="J69" i="57"/>
  <c r="J67" i="57" s="1"/>
  <c r="H69" i="57"/>
  <c r="H67" i="57" s="1"/>
  <c r="G69" i="57"/>
  <c r="G67" i="57" s="1"/>
  <c r="E69" i="57"/>
  <c r="E67" i="57" s="1"/>
  <c r="D69" i="57"/>
  <c r="D67" i="57" s="1"/>
  <c r="O68" i="57"/>
  <c r="L68" i="57"/>
  <c r="I68" i="57"/>
  <c r="F68" i="57"/>
  <c r="O66" i="57"/>
  <c r="L66" i="57"/>
  <c r="I66" i="57"/>
  <c r="F66" i="57"/>
  <c r="O65" i="57"/>
  <c r="L65" i="57"/>
  <c r="I65" i="57"/>
  <c r="F65" i="57"/>
  <c r="O64" i="57"/>
  <c r="L64" i="57"/>
  <c r="I64" i="57"/>
  <c r="F64" i="57"/>
  <c r="O63" i="57"/>
  <c r="L63" i="57"/>
  <c r="I63" i="57"/>
  <c r="F63" i="57"/>
  <c r="O62" i="57"/>
  <c r="L62" i="57"/>
  <c r="I62" i="57"/>
  <c r="F62" i="57"/>
  <c r="O61" i="57"/>
  <c r="L61" i="57"/>
  <c r="I61" i="57"/>
  <c r="F61" i="57"/>
  <c r="O60" i="57"/>
  <c r="L60" i="57"/>
  <c r="I60" i="57"/>
  <c r="E60" i="57"/>
  <c r="F60" i="57" s="1"/>
  <c r="O59" i="57"/>
  <c r="L59" i="57"/>
  <c r="L58" i="57" s="1"/>
  <c r="I59" i="57"/>
  <c r="F59" i="57"/>
  <c r="F58" i="57" s="1"/>
  <c r="N58" i="57"/>
  <c r="M58" i="57"/>
  <c r="K58" i="57"/>
  <c r="J58" i="57"/>
  <c r="H58" i="57"/>
  <c r="G58" i="57"/>
  <c r="D58" i="57"/>
  <c r="O57" i="57"/>
  <c r="L57" i="57"/>
  <c r="I57" i="57"/>
  <c r="F57" i="57"/>
  <c r="O56" i="57"/>
  <c r="L56" i="57"/>
  <c r="I56" i="57"/>
  <c r="F56" i="57"/>
  <c r="F55" i="57" s="1"/>
  <c r="O55" i="57"/>
  <c r="N55" i="57"/>
  <c r="M55" i="57"/>
  <c r="K55" i="57"/>
  <c r="J55" i="57"/>
  <c r="J54" i="57" s="1"/>
  <c r="H55" i="57"/>
  <c r="G55" i="57"/>
  <c r="E55" i="57"/>
  <c r="D55" i="57"/>
  <c r="O47" i="57"/>
  <c r="C47" i="57" s="1"/>
  <c r="O46" i="57"/>
  <c r="C46" i="57" s="1"/>
  <c r="N45" i="57"/>
  <c r="M45" i="57"/>
  <c r="L44" i="57"/>
  <c r="L43" i="57" s="1"/>
  <c r="I44" i="57"/>
  <c r="I43" i="57" s="1"/>
  <c r="F44" i="57"/>
  <c r="F43" i="57" s="1"/>
  <c r="K43" i="57"/>
  <c r="J43" i="57"/>
  <c r="H43" i="57"/>
  <c r="G43" i="57"/>
  <c r="E43" i="57"/>
  <c r="D43" i="57"/>
  <c r="F42" i="57"/>
  <c r="C42" i="57" s="1"/>
  <c r="E41" i="57"/>
  <c r="D41" i="57"/>
  <c r="L40" i="57"/>
  <c r="C40" i="57" s="1"/>
  <c r="L39" i="57"/>
  <c r="C39" i="57" s="1"/>
  <c r="L38" i="57"/>
  <c r="C38" i="57" s="1"/>
  <c r="L37" i="57"/>
  <c r="C37" i="57" s="1"/>
  <c r="K36" i="57"/>
  <c r="J36" i="57"/>
  <c r="L35" i="57"/>
  <c r="C35" i="57" s="1"/>
  <c r="L34" i="57"/>
  <c r="C34" i="57" s="1"/>
  <c r="K33" i="57"/>
  <c r="J33" i="57"/>
  <c r="L32" i="57"/>
  <c r="C32" i="57" s="1"/>
  <c r="L31" i="57"/>
  <c r="C31" i="57" s="1"/>
  <c r="K31" i="57"/>
  <c r="J31" i="57"/>
  <c r="L30" i="57"/>
  <c r="C30" i="57" s="1"/>
  <c r="L29" i="57"/>
  <c r="C29" i="57" s="1"/>
  <c r="L28" i="57"/>
  <c r="C28" i="57" s="1"/>
  <c r="K27" i="57"/>
  <c r="J27" i="57"/>
  <c r="F25" i="57"/>
  <c r="C25" i="57" s="1"/>
  <c r="I24" i="57"/>
  <c r="F24" i="57"/>
  <c r="O23" i="57"/>
  <c r="L23" i="57"/>
  <c r="I23" i="57"/>
  <c r="F23" i="57"/>
  <c r="O22" i="57"/>
  <c r="O21" i="57" s="1"/>
  <c r="L22" i="57"/>
  <c r="L21" i="57" s="1"/>
  <c r="L292" i="57" s="1"/>
  <c r="I22" i="57"/>
  <c r="I21" i="57" s="1"/>
  <c r="F22" i="57"/>
  <c r="F21" i="57" s="1"/>
  <c r="N21" i="57"/>
  <c r="M21" i="57"/>
  <c r="M292" i="57" s="1"/>
  <c r="M291" i="57" s="1"/>
  <c r="K21" i="57"/>
  <c r="K292" i="57" s="1"/>
  <c r="K291" i="57" s="1"/>
  <c r="J21" i="57"/>
  <c r="H21" i="57"/>
  <c r="H292" i="57" s="1"/>
  <c r="H291" i="57" s="1"/>
  <c r="G21" i="57"/>
  <c r="G292" i="57" s="1"/>
  <c r="G291" i="57" s="1"/>
  <c r="E21" i="57"/>
  <c r="D21" i="57"/>
  <c r="E20" i="57" l="1"/>
  <c r="C66" i="57"/>
  <c r="C287" i="57"/>
  <c r="G83" i="58"/>
  <c r="C105" i="60"/>
  <c r="O116" i="60"/>
  <c r="D259" i="60"/>
  <c r="J259" i="60"/>
  <c r="C169" i="61"/>
  <c r="C96" i="57"/>
  <c r="C86" i="57"/>
  <c r="L103" i="57"/>
  <c r="C114" i="57"/>
  <c r="C156" i="57"/>
  <c r="C161" i="57"/>
  <c r="C236" i="57"/>
  <c r="C237" i="57"/>
  <c r="C242" i="57"/>
  <c r="H270" i="57"/>
  <c r="H269" i="57" s="1"/>
  <c r="M269" i="57"/>
  <c r="K76" i="58"/>
  <c r="C242" i="58"/>
  <c r="C244" i="58"/>
  <c r="O276" i="58"/>
  <c r="D20" i="59"/>
  <c r="N20" i="59"/>
  <c r="C63" i="59"/>
  <c r="L76" i="59"/>
  <c r="C294" i="59"/>
  <c r="N195" i="60"/>
  <c r="C257" i="60"/>
  <c r="K76" i="57"/>
  <c r="C98" i="58"/>
  <c r="O45" i="59"/>
  <c r="C45" i="59" s="1"/>
  <c r="K130" i="59"/>
  <c r="C134" i="59"/>
  <c r="C155" i="59"/>
  <c r="C156" i="59"/>
  <c r="D53" i="60"/>
  <c r="K187" i="60"/>
  <c r="O272" i="60"/>
  <c r="H270" i="60"/>
  <c r="H269" i="60" s="1"/>
  <c r="K26" i="61"/>
  <c r="K20" i="61" s="1"/>
  <c r="C74" i="61"/>
  <c r="C102" i="57"/>
  <c r="C132" i="57"/>
  <c r="E130" i="57"/>
  <c r="C266" i="57"/>
  <c r="C32" i="58"/>
  <c r="E20" i="58"/>
  <c r="C107" i="58"/>
  <c r="O116" i="58"/>
  <c r="C226" i="58"/>
  <c r="C229" i="58"/>
  <c r="N231" i="58"/>
  <c r="C32" i="59"/>
  <c r="H54" i="59"/>
  <c r="H53" i="59" s="1"/>
  <c r="C125" i="59"/>
  <c r="O122" i="59"/>
  <c r="G130" i="59"/>
  <c r="D174" i="59"/>
  <c r="J174" i="59"/>
  <c r="C218" i="59"/>
  <c r="E204" i="59"/>
  <c r="C242" i="59"/>
  <c r="D259" i="59"/>
  <c r="H259" i="59"/>
  <c r="C282" i="59"/>
  <c r="I58" i="60"/>
  <c r="C73" i="60"/>
  <c r="C155" i="60"/>
  <c r="C156" i="60"/>
  <c r="C294" i="60"/>
  <c r="C97" i="61"/>
  <c r="J130" i="61"/>
  <c r="C153" i="61"/>
  <c r="C156" i="61"/>
  <c r="C271" i="61"/>
  <c r="I67" i="58"/>
  <c r="F84" i="58"/>
  <c r="L286" i="61"/>
  <c r="C287" i="61"/>
  <c r="C23" i="57"/>
  <c r="K26" i="57"/>
  <c r="C106" i="57"/>
  <c r="C107" i="57"/>
  <c r="C108" i="57"/>
  <c r="H83" i="57"/>
  <c r="H187" i="57"/>
  <c r="C278" i="57"/>
  <c r="M292" i="58"/>
  <c r="M291" i="58" s="1"/>
  <c r="M20" i="58"/>
  <c r="C68" i="58"/>
  <c r="J54" i="60"/>
  <c r="J53" i="60" s="1"/>
  <c r="F188" i="61"/>
  <c r="C189" i="61"/>
  <c r="M130" i="57"/>
  <c r="C294" i="57"/>
  <c r="C295" i="57"/>
  <c r="M53" i="58"/>
  <c r="E54" i="58"/>
  <c r="E53" i="58" s="1"/>
  <c r="M187" i="57"/>
  <c r="H292" i="61"/>
  <c r="H291" i="61" s="1"/>
  <c r="H20" i="61"/>
  <c r="L292" i="61"/>
  <c r="M20" i="57"/>
  <c r="N83" i="57"/>
  <c r="G130" i="57"/>
  <c r="C152" i="57"/>
  <c r="N54" i="57"/>
  <c r="N53" i="57" s="1"/>
  <c r="C71" i="57"/>
  <c r="O84" i="57"/>
  <c r="N130" i="57"/>
  <c r="G187" i="57"/>
  <c r="C219" i="57"/>
  <c r="C250" i="57"/>
  <c r="C265" i="57"/>
  <c r="O264" i="57"/>
  <c r="F21" i="58"/>
  <c r="C22" i="58"/>
  <c r="C24" i="58"/>
  <c r="K26" i="58"/>
  <c r="K20" i="58" s="1"/>
  <c r="C127" i="58"/>
  <c r="M130" i="58"/>
  <c r="C163" i="57"/>
  <c r="C168" i="57"/>
  <c r="M173" i="57"/>
  <c r="C185" i="57"/>
  <c r="C203" i="57"/>
  <c r="C214" i="57"/>
  <c r="E231" i="57"/>
  <c r="C258" i="57"/>
  <c r="L272" i="57"/>
  <c r="C275" i="57"/>
  <c r="K270" i="57"/>
  <c r="K269" i="57" s="1"/>
  <c r="G76" i="58"/>
  <c r="C91" i="58"/>
  <c r="C124" i="58"/>
  <c r="C125" i="58"/>
  <c r="C126" i="58"/>
  <c r="C168" i="58"/>
  <c r="C87" i="59"/>
  <c r="E130" i="59"/>
  <c r="I233" i="59"/>
  <c r="I281" i="59"/>
  <c r="E130" i="60"/>
  <c r="C104" i="58"/>
  <c r="N130" i="58"/>
  <c r="C148" i="58"/>
  <c r="C150" i="58"/>
  <c r="C164" i="58"/>
  <c r="C172" i="58"/>
  <c r="J270" i="58"/>
  <c r="J269" i="58" s="1"/>
  <c r="M292" i="59"/>
  <c r="M20" i="59"/>
  <c r="G195" i="59"/>
  <c r="D292" i="57"/>
  <c r="D291" i="57" s="1"/>
  <c r="N292" i="57"/>
  <c r="N291" i="57" s="1"/>
  <c r="C43" i="57"/>
  <c r="D54" i="57"/>
  <c r="C62" i="57"/>
  <c r="C64" i="57"/>
  <c r="C88" i="57"/>
  <c r="E292" i="57"/>
  <c r="E291" i="57" s="1"/>
  <c r="J292" i="57"/>
  <c r="J291" i="57" s="1"/>
  <c r="J26" i="57"/>
  <c r="J20" i="57" s="1"/>
  <c r="I20" i="57"/>
  <c r="I76" i="57"/>
  <c r="E76" i="57"/>
  <c r="C92" i="57"/>
  <c r="C140" i="57"/>
  <c r="O144" i="57"/>
  <c r="N173" i="57"/>
  <c r="H173" i="57"/>
  <c r="O175" i="57"/>
  <c r="K187" i="57"/>
  <c r="E187" i="57"/>
  <c r="C193" i="57"/>
  <c r="H195" i="57"/>
  <c r="E204" i="57"/>
  <c r="C211" i="57"/>
  <c r="C218" i="57"/>
  <c r="C223" i="57"/>
  <c r="C226" i="57"/>
  <c r="C262" i="57"/>
  <c r="N270" i="57"/>
  <c r="N269" i="57" s="1"/>
  <c r="D54" i="58"/>
  <c r="J54" i="58"/>
  <c r="J53" i="58" s="1"/>
  <c r="C72" i="58"/>
  <c r="C74" i="58"/>
  <c r="E76" i="58"/>
  <c r="J76" i="58"/>
  <c r="C87" i="58"/>
  <c r="C88" i="58"/>
  <c r="I122" i="58"/>
  <c r="E130" i="58"/>
  <c r="C140" i="58"/>
  <c r="C160" i="58"/>
  <c r="C222" i="58"/>
  <c r="I252" i="58"/>
  <c r="I251" i="58" s="1"/>
  <c r="J26" i="59"/>
  <c r="J20" i="59" s="1"/>
  <c r="I188" i="59"/>
  <c r="I187" i="59" s="1"/>
  <c r="M269" i="59"/>
  <c r="L84" i="61"/>
  <c r="C85" i="61"/>
  <c r="K204" i="58"/>
  <c r="K195" i="58" s="1"/>
  <c r="C218" i="58"/>
  <c r="C221" i="58"/>
  <c r="H292" i="59"/>
  <c r="N292" i="59"/>
  <c r="N291" i="59" s="1"/>
  <c r="L27" i="59"/>
  <c r="C27" i="59" s="1"/>
  <c r="C86" i="59"/>
  <c r="C99" i="59"/>
  <c r="C100" i="59"/>
  <c r="K83" i="59"/>
  <c r="M130" i="59"/>
  <c r="C146" i="59"/>
  <c r="C147" i="59"/>
  <c r="C164" i="59"/>
  <c r="C183" i="59"/>
  <c r="L187" i="59"/>
  <c r="H195" i="59"/>
  <c r="C222" i="59"/>
  <c r="C240" i="59"/>
  <c r="O238" i="59"/>
  <c r="N231" i="59"/>
  <c r="N230" i="59" s="1"/>
  <c r="O252" i="59"/>
  <c r="O251" i="59" s="1"/>
  <c r="C262" i="59"/>
  <c r="C266" i="59"/>
  <c r="E54" i="60"/>
  <c r="E53" i="60" s="1"/>
  <c r="C72" i="60"/>
  <c r="O69" i="60"/>
  <c r="C88" i="60"/>
  <c r="C90" i="60"/>
  <c r="C91" i="60"/>
  <c r="O89" i="60"/>
  <c r="L103" i="60"/>
  <c r="C109" i="60"/>
  <c r="M83" i="60"/>
  <c r="C148" i="60"/>
  <c r="M130" i="60"/>
  <c r="C184" i="60"/>
  <c r="C186" i="60"/>
  <c r="C221" i="60"/>
  <c r="O216" i="60"/>
  <c r="C262" i="60"/>
  <c r="E292" i="61"/>
  <c r="E291" i="61" s="1"/>
  <c r="M53" i="61"/>
  <c r="G54" i="61"/>
  <c r="G53" i="61" s="1"/>
  <c r="C66" i="61"/>
  <c r="D76" i="61"/>
  <c r="C101" i="61"/>
  <c r="C102" i="61"/>
  <c r="C114" i="61"/>
  <c r="C140" i="61"/>
  <c r="N130" i="61"/>
  <c r="C266" i="61"/>
  <c r="C176" i="58"/>
  <c r="C234" i="58"/>
  <c r="C266" i="58"/>
  <c r="C267" i="58"/>
  <c r="M269" i="58"/>
  <c r="D292" i="59"/>
  <c r="D291" i="59" s="1"/>
  <c r="C82" i="59"/>
  <c r="C94" i="59"/>
  <c r="O151" i="59"/>
  <c r="E174" i="59"/>
  <c r="E173" i="59" s="1"/>
  <c r="H187" i="59"/>
  <c r="G187" i="59"/>
  <c r="K187" i="59"/>
  <c r="O196" i="59"/>
  <c r="C210" i="59"/>
  <c r="C214" i="59"/>
  <c r="C215" i="59"/>
  <c r="O216" i="59"/>
  <c r="M231" i="59"/>
  <c r="E231" i="59"/>
  <c r="K259" i="59"/>
  <c r="C271" i="59"/>
  <c r="J270" i="59"/>
  <c r="J269" i="59" s="1"/>
  <c r="G291" i="60"/>
  <c r="M53" i="60"/>
  <c r="F76" i="60"/>
  <c r="H130" i="60"/>
  <c r="C143" i="60"/>
  <c r="C172" i="60"/>
  <c r="E173" i="60"/>
  <c r="C178" i="60"/>
  <c r="D174" i="60"/>
  <c r="D173" i="60" s="1"/>
  <c r="C182" i="60"/>
  <c r="I196" i="60"/>
  <c r="C214" i="60"/>
  <c r="E204" i="60"/>
  <c r="K270" i="60"/>
  <c r="K269" i="60" s="1"/>
  <c r="C44" i="61"/>
  <c r="E76" i="61"/>
  <c r="E83" i="61"/>
  <c r="K83" i="61"/>
  <c r="O122" i="61"/>
  <c r="F196" i="61"/>
  <c r="C202" i="61"/>
  <c r="J231" i="61"/>
  <c r="J230" i="61" s="1"/>
  <c r="H259" i="61"/>
  <c r="N259" i="61"/>
  <c r="C275" i="61"/>
  <c r="C278" i="61"/>
  <c r="C299" i="61"/>
  <c r="C300" i="61"/>
  <c r="C202" i="58"/>
  <c r="C214" i="58"/>
  <c r="E231" i="58"/>
  <c r="J231" i="58"/>
  <c r="J230" i="58" s="1"/>
  <c r="F246" i="58"/>
  <c r="C249" i="58"/>
  <c r="O246" i="58"/>
  <c r="C254" i="58"/>
  <c r="C258" i="58"/>
  <c r="E291" i="59"/>
  <c r="C24" i="59"/>
  <c r="L36" i="59"/>
  <c r="C36" i="59" s="1"/>
  <c r="C66" i="59"/>
  <c r="C79" i="59"/>
  <c r="C92" i="59"/>
  <c r="C111" i="59"/>
  <c r="C138" i="59"/>
  <c r="C139" i="59"/>
  <c r="C158" i="59"/>
  <c r="C171" i="59"/>
  <c r="H174" i="59"/>
  <c r="H173" i="59" s="1"/>
  <c r="N174" i="59"/>
  <c r="N173" i="59" s="1"/>
  <c r="C190" i="59"/>
  <c r="L238" i="59"/>
  <c r="G259" i="59"/>
  <c r="C274" i="59"/>
  <c r="I276" i="59"/>
  <c r="C298" i="59"/>
  <c r="C299" i="59"/>
  <c r="C300" i="59"/>
  <c r="M291" i="60"/>
  <c r="C23" i="60"/>
  <c r="K26" i="60"/>
  <c r="L69" i="60"/>
  <c r="L67" i="60" s="1"/>
  <c r="E76" i="60"/>
  <c r="L84" i="60"/>
  <c r="C132" i="60"/>
  <c r="C135" i="60"/>
  <c r="C167" i="60"/>
  <c r="G174" i="60"/>
  <c r="G173" i="60" s="1"/>
  <c r="O196" i="60"/>
  <c r="N270" i="60"/>
  <c r="N269" i="60" s="1"/>
  <c r="G270" i="60"/>
  <c r="G269" i="60" s="1"/>
  <c r="G291" i="61"/>
  <c r="M291" i="61"/>
  <c r="J26" i="61"/>
  <c r="J20" i="61" s="1"/>
  <c r="C93" i="61"/>
  <c r="I95" i="61"/>
  <c r="C125" i="61"/>
  <c r="C127" i="61"/>
  <c r="K174" i="61"/>
  <c r="K173" i="61" s="1"/>
  <c r="E187" i="61"/>
  <c r="J187" i="61"/>
  <c r="C214" i="61"/>
  <c r="C226" i="61"/>
  <c r="K231" i="61"/>
  <c r="C261" i="61"/>
  <c r="D259" i="61"/>
  <c r="K270" i="61"/>
  <c r="K269" i="61" s="1"/>
  <c r="C294" i="61"/>
  <c r="L131" i="57"/>
  <c r="N204" i="57"/>
  <c r="N195" i="57" s="1"/>
  <c r="K231" i="57"/>
  <c r="K230" i="57" s="1"/>
  <c r="L252" i="57"/>
  <c r="L251" i="57" s="1"/>
  <c r="G20" i="58"/>
  <c r="G53" i="58"/>
  <c r="O77" i="58"/>
  <c r="L131" i="58"/>
  <c r="L166" i="58"/>
  <c r="L165" i="58" s="1"/>
  <c r="G231" i="58"/>
  <c r="C282" i="58"/>
  <c r="F281" i="58"/>
  <c r="C68" i="59"/>
  <c r="F67" i="59"/>
  <c r="N292" i="60"/>
  <c r="N291" i="60" s="1"/>
  <c r="N20" i="60"/>
  <c r="C81" i="61"/>
  <c r="I80" i="61"/>
  <c r="I76" i="61" s="1"/>
  <c r="C22" i="57"/>
  <c r="C57" i="57"/>
  <c r="E58" i="57"/>
  <c r="E54" i="57" s="1"/>
  <c r="C59" i="57"/>
  <c r="C70" i="57"/>
  <c r="O67" i="57"/>
  <c r="C74" i="57"/>
  <c r="L77" i="57"/>
  <c r="L76" i="57" s="1"/>
  <c r="G76" i="57"/>
  <c r="G83" i="57"/>
  <c r="K83" i="57"/>
  <c r="C87" i="57"/>
  <c r="C94" i="57"/>
  <c r="C101" i="57"/>
  <c r="C121" i="57"/>
  <c r="C126" i="57"/>
  <c r="J130" i="57"/>
  <c r="O130" i="57"/>
  <c r="C150" i="57"/>
  <c r="C153" i="57"/>
  <c r="C183" i="57"/>
  <c r="O196" i="57"/>
  <c r="D204" i="57"/>
  <c r="D195" i="57" s="1"/>
  <c r="J204" i="57"/>
  <c r="J195" i="57" s="1"/>
  <c r="C217" i="57"/>
  <c r="O216" i="57"/>
  <c r="C234" i="57"/>
  <c r="C239" i="57"/>
  <c r="C243" i="57"/>
  <c r="I246" i="57"/>
  <c r="C255" i="57"/>
  <c r="J259" i="57"/>
  <c r="C261" i="57"/>
  <c r="O260" i="57"/>
  <c r="C274" i="57"/>
  <c r="O272" i="57"/>
  <c r="L291" i="58"/>
  <c r="C56" i="58"/>
  <c r="I58" i="58"/>
  <c r="C66" i="58"/>
  <c r="L67" i="58"/>
  <c r="C73" i="58"/>
  <c r="C79" i="58"/>
  <c r="C86" i="58"/>
  <c r="O84" i="58"/>
  <c r="M83" i="58"/>
  <c r="C102" i="58"/>
  <c r="C108" i="58"/>
  <c r="C121" i="58"/>
  <c r="D130" i="58"/>
  <c r="J130" i="58"/>
  <c r="C152" i="58"/>
  <c r="C156" i="58"/>
  <c r="C161" i="58"/>
  <c r="C162" i="58"/>
  <c r="C163" i="58"/>
  <c r="C180" i="58"/>
  <c r="C185" i="58"/>
  <c r="C186" i="58"/>
  <c r="C190" i="58"/>
  <c r="C211" i="58"/>
  <c r="C213" i="58"/>
  <c r="C223" i="58"/>
  <c r="C225" i="58"/>
  <c r="D231" i="58"/>
  <c r="D230" i="58" s="1"/>
  <c r="H231" i="58"/>
  <c r="H230" i="58" s="1"/>
  <c r="N230" i="58"/>
  <c r="O260" i="58"/>
  <c r="C119" i="59"/>
  <c r="I116" i="59"/>
  <c r="C162" i="59"/>
  <c r="I160" i="59"/>
  <c r="O246" i="59"/>
  <c r="J20" i="60"/>
  <c r="H53" i="60"/>
  <c r="F89" i="60"/>
  <c r="C96" i="60"/>
  <c r="C101" i="60"/>
  <c r="C124" i="60"/>
  <c r="I122" i="60"/>
  <c r="C190" i="60"/>
  <c r="I188" i="60"/>
  <c r="C210" i="60"/>
  <c r="C212" i="60"/>
  <c r="C240" i="60"/>
  <c r="E269" i="60"/>
  <c r="C298" i="60"/>
  <c r="C34" i="61"/>
  <c r="L33" i="61"/>
  <c r="C33" i="61" s="1"/>
  <c r="F43" i="61"/>
  <c r="C186" i="61"/>
  <c r="I184" i="61"/>
  <c r="J83" i="57"/>
  <c r="N20" i="57"/>
  <c r="G20" i="57"/>
  <c r="C56" i="57"/>
  <c r="C60" i="57"/>
  <c r="C61" i="57"/>
  <c r="L67" i="57"/>
  <c r="C73" i="57"/>
  <c r="O76" i="57"/>
  <c r="C82" i="57"/>
  <c r="L84" i="57"/>
  <c r="D83" i="57"/>
  <c r="L89" i="57"/>
  <c r="C98" i="57"/>
  <c r="C100" i="57"/>
  <c r="C110" i="57"/>
  <c r="C118" i="57"/>
  <c r="C120" i="57"/>
  <c r="C125" i="57"/>
  <c r="C127" i="57"/>
  <c r="C135" i="57"/>
  <c r="C143" i="57"/>
  <c r="C154" i="57"/>
  <c r="C159" i="57"/>
  <c r="C172" i="57"/>
  <c r="D174" i="57"/>
  <c r="D173" i="57" s="1"/>
  <c r="C202" i="57"/>
  <c r="C210" i="57"/>
  <c r="C215" i="57"/>
  <c r="C222" i="57"/>
  <c r="K204" i="57"/>
  <c r="K195" i="57" s="1"/>
  <c r="C228" i="57"/>
  <c r="C229" i="57"/>
  <c r="G231" i="57"/>
  <c r="C257" i="57"/>
  <c r="I270" i="57"/>
  <c r="I269" i="57" s="1"/>
  <c r="C282" i="57"/>
  <c r="C298" i="57"/>
  <c r="I20" i="58"/>
  <c r="D53" i="58"/>
  <c r="C60" i="58"/>
  <c r="C65" i="58"/>
  <c r="O76" i="58"/>
  <c r="K83" i="58"/>
  <c r="D83" i="58"/>
  <c r="H83" i="58"/>
  <c r="C92" i="58"/>
  <c r="C100" i="58"/>
  <c r="C105" i="58"/>
  <c r="K130" i="58"/>
  <c r="C134" i="58"/>
  <c r="C135" i="58"/>
  <c r="C143" i="58"/>
  <c r="C153" i="58"/>
  <c r="C154" i="58"/>
  <c r="C155" i="58"/>
  <c r="C157" i="58"/>
  <c r="C158" i="58"/>
  <c r="C159" i="58"/>
  <c r="C170" i="58"/>
  <c r="C171" i="58"/>
  <c r="N174" i="58"/>
  <c r="N173" i="58" s="1"/>
  <c r="L175" i="58"/>
  <c r="L174" i="58" s="1"/>
  <c r="L173" i="58" s="1"/>
  <c r="C181" i="58"/>
  <c r="C182" i="58"/>
  <c r="C183" i="58"/>
  <c r="C201" i="58"/>
  <c r="H204" i="58"/>
  <c r="H195" i="58" s="1"/>
  <c r="L205" i="58"/>
  <c r="C215" i="58"/>
  <c r="L216" i="58"/>
  <c r="C237" i="58"/>
  <c r="C241" i="58"/>
  <c r="O238" i="58"/>
  <c r="O252" i="58"/>
  <c r="O251" i="58" s="1"/>
  <c r="G259" i="58"/>
  <c r="C294" i="58"/>
  <c r="C298" i="58"/>
  <c r="M291" i="59"/>
  <c r="F141" i="59"/>
  <c r="C142" i="59"/>
  <c r="D173" i="59"/>
  <c r="C202" i="59"/>
  <c r="C206" i="59"/>
  <c r="I286" i="59"/>
  <c r="C286" i="59" s="1"/>
  <c r="E20" i="60"/>
  <c r="C59" i="60"/>
  <c r="F58" i="60"/>
  <c r="C108" i="60"/>
  <c r="C176" i="60"/>
  <c r="F175" i="60"/>
  <c r="F179" i="60"/>
  <c r="L187" i="60"/>
  <c r="K204" i="60"/>
  <c r="C224" i="60"/>
  <c r="C280" i="60"/>
  <c r="C288" i="60"/>
  <c r="L69" i="61"/>
  <c r="L67" i="61" s="1"/>
  <c r="L53" i="61" s="1"/>
  <c r="C70" i="61"/>
  <c r="I116" i="61"/>
  <c r="C24" i="57"/>
  <c r="C44" i="57"/>
  <c r="H54" i="57"/>
  <c r="H53" i="57" s="1"/>
  <c r="M54" i="57"/>
  <c r="I58" i="57"/>
  <c r="C65" i="57"/>
  <c r="I69" i="57"/>
  <c r="C69" i="57" s="1"/>
  <c r="J76" i="57"/>
  <c r="J75" i="57" s="1"/>
  <c r="C91" i="57"/>
  <c r="L95" i="57"/>
  <c r="C105" i="57"/>
  <c r="C124" i="57"/>
  <c r="C134" i="57"/>
  <c r="C139" i="57"/>
  <c r="F144" i="57"/>
  <c r="C147" i="57"/>
  <c r="L151" i="57"/>
  <c r="C164" i="57"/>
  <c r="C169" i="57"/>
  <c r="C171" i="57"/>
  <c r="O174" i="57"/>
  <c r="O173" i="57" s="1"/>
  <c r="L174" i="57"/>
  <c r="L173" i="57" s="1"/>
  <c r="F184" i="57"/>
  <c r="C184" i="57" s="1"/>
  <c r="C189" i="57"/>
  <c r="F192" i="57"/>
  <c r="F191" i="57" s="1"/>
  <c r="O187" i="57"/>
  <c r="E195" i="57"/>
  <c r="C213" i="57"/>
  <c r="C225" i="57"/>
  <c r="G204" i="57"/>
  <c r="G195" i="57" s="1"/>
  <c r="J231" i="57"/>
  <c r="I251" i="57"/>
  <c r="N259" i="57"/>
  <c r="L264" i="57"/>
  <c r="C277" i="57"/>
  <c r="O276" i="57"/>
  <c r="I293" i="57"/>
  <c r="C23" i="58"/>
  <c r="K54" i="58"/>
  <c r="K53" i="58" s="1"/>
  <c r="C59" i="58"/>
  <c r="O58" i="58"/>
  <c r="O54" i="58" s="1"/>
  <c r="C71" i="58"/>
  <c r="M76" i="58"/>
  <c r="M75" i="58" s="1"/>
  <c r="L76" i="58"/>
  <c r="E83" i="58"/>
  <c r="E75" i="58" s="1"/>
  <c r="E52" i="58" s="1"/>
  <c r="C90" i="58"/>
  <c r="O89" i="58"/>
  <c r="O95" i="58"/>
  <c r="C99" i="58"/>
  <c r="C111" i="58"/>
  <c r="C129" i="58"/>
  <c r="C137" i="58"/>
  <c r="C138" i="58"/>
  <c r="C145" i="58"/>
  <c r="C146" i="58"/>
  <c r="D174" i="58"/>
  <c r="D173" i="58" s="1"/>
  <c r="J174" i="58"/>
  <c r="J173" i="58" s="1"/>
  <c r="N187" i="58"/>
  <c r="C193" i="58"/>
  <c r="G195" i="58"/>
  <c r="C203" i="58"/>
  <c r="D195" i="58"/>
  <c r="J204" i="58"/>
  <c r="J195" i="58" s="1"/>
  <c r="J194" i="58" s="1"/>
  <c r="N204" i="58"/>
  <c r="N195" i="58" s="1"/>
  <c r="N194" i="58" s="1"/>
  <c r="F233" i="58"/>
  <c r="K231" i="58"/>
  <c r="K230" i="58" s="1"/>
  <c r="C243" i="58"/>
  <c r="C245" i="58"/>
  <c r="C257" i="58"/>
  <c r="C274" i="58"/>
  <c r="I272" i="58"/>
  <c r="I270" i="58" s="1"/>
  <c r="I269" i="58" s="1"/>
  <c r="O112" i="59"/>
  <c r="L205" i="59"/>
  <c r="L260" i="59"/>
  <c r="I272" i="59"/>
  <c r="I270" i="59" s="1"/>
  <c r="I269" i="59" s="1"/>
  <c r="I293" i="59"/>
  <c r="C65" i="60"/>
  <c r="E83" i="60"/>
  <c r="F136" i="61"/>
  <c r="C137" i="61"/>
  <c r="I144" i="61"/>
  <c r="C279" i="58"/>
  <c r="D269" i="58"/>
  <c r="H269" i="58"/>
  <c r="H194" i="58" s="1"/>
  <c r="C23" i="59"/>
  <c r="C43" i="59"/>
  <c r="I58" i="59"/>
  <c r="C65" i="59"/>
  <c r="C80" i="59"/>
  <c r="J76" i="59"/>
  <c r="I84" i="59"/>
  <c r="C98" i="59"/>
  <c r="O95" i="59"/>
  <c r="H83" i="59"/>
  <c r="C107" i="59"/>
  <c r="C113" i="59"/>
  <c r="C120" i="59"/>
  <c r="H130" i="59"/>
  <c r="C135" i="59"/>
  <c r="C137" i="59"/>
  <c r="O136" i="59"/>
  <c r="C145" i="59"/>
  <c r="O144" i="59"/>
  <c r="C163" i="59"/>
  <c r="C170" i="59"/>
  <c r="N187" i="59"/>
  <c r="K195" i="59"/>
  <c r="C201" i="59"/>
  <c r="D204" i="59"/>
  <c r="D195" i="59" s="1"/>
  <c r="C221" i="59"/>
  <c r="C226" i="59"/>
  <c r="C228" i="59"/>
  <c r="C229" i="59"/>
  <c r="C232" i="59"/>
  <c r="D230" i="59"/>
  <c r="H231" i="59"/>
  <c r="H230" i="59" s="1"/>
  <c r="H194" i="59" s="1"/>
  <c r="I238" i="59"/>
  <c r="C245" i="59"/>
  <c r="C247" i="59"/>
  <c r="C257" i="59"/>
  <c r="O260" i="59"/>
  <c r="C268" i="59"/>
  <c r="C280" i="59"/>
  <c r="D269" i="59"/>
  <c r="D194" i="59" s="1"/>
  <c r="H269" i="59"/>
  <c r="L293" i="59"/>
  <c r="K20" i="60"/>
  <c r="C22" i="60"/>
  <c r="C43" i="60"/>
  <c r="C57" i="60"/>
  <c r="I54" i="60"/>
  <c r="C64" i="60"/>
  <c r="C74" i="60"/>
  <c r="C77" i="60"/>
  <c r="K76" i="60"/>
  <c r="G83" i="60"/>
  <c r="C86" i="60"/>
  <c r="C106" i="60"/>
  <c r="C107" i="60"/>
  <c r="C113" i="60"/>
  <c r="C121" i="60"/>
  <c r="L122" i="60"/>
  <c r="C129" i="60"/>
  <c r="C137" i="60"/>
  <c r="C138" i="60"/>
  <c r="C145" i="60"/>
  <c r="C146" i="60"/>
  <c r="L151" i="60"/>
  <c r="L166" i="60"/>
  <c r="L165" i="60" s="1"/>
  <c r="K195" i="60"/>
  <c r="D195" i="60"/>
  <c r="J195" i="60"/>
  <c r="C209" i="60"/>
  <c r="G204" i="60"/>
  <c r="G195" i="60" s="1"/>
  <c r="C218" i="60"/>
  <c r="C223" i="60"/>
  <c r="H231" i="60"/>
  <c r="H230" i="60" s="1"/>
  <c r="H194" i="60" s="1"/>
  <c r="O238" i="60"/>
  <c r="C254" i="60"/>
  <c r="C266" i="60"/>
  <c r="C275" i="60"/>
  <c r="O276" i="60"/>
  <c r="O270" i="60" s="1"/>
  <c r="O269" i="60" s="1"/>
  <c r="O286" i="60"/>
  <c r="O292" i="60" s="1"/>
  <c r="O291" i="60" s="1"/>
  <c r="C297" i="60"/>
  <c r="N54" i="61"/>
  <c r="N53" i="61" s="1"/>
  <c r="O58" i="61"/>
  <c r="C62" i="61"/>
  <c r="C68" i="61"/>
  <c r="C73" i="61"/>
  <c r="C82" i="61"/>
  <c r="C100" i="61"/>
  <c r="C118" i="61"/>
  <c r="I136" i="61"/>
  <c r="C170" i="61"/>
  <c r="H204" i="61"/>
  <c r="H195" i="61" s="1"/>
  <c r="M231" i="61"/>
  <c r="M230" i="61" s="1"/>
  <c r="C236" i="61"/>
  <c r="C237" i="61"/>
  <c r="C242" i="61"/>
  <c r="D269" i="61"/>
  <c r="I293" i="61"/>
  <c r="O272" i="58"/>
  <c r="O270" i="58" s="1"/>
  <c r="O269" i="58" s="1"/>
  <c r="C280" i="58"/>
  <c r="C295" i="58"/>
  <c r="C22" i="59"/>
  <c r="L33" i="59"/>
  <c r="C33" i="59" s="1"/>
  <c r="C60" i="59"/>
  <c r="E76" i="59"/>
  <c r="G76" i="59"/>
  <c r="K76" i="59"/>
  <c r="K75" i="59" s="1"/>
  <c r="C81" i="59"/>
  <c r="G83" i="59"/>
  <c r="G75" i="59" s="1"/>
  <c r="C88" i="59"/>
  <c r="C91" i="59"/>
  <c r="D83" i="59"/>
  <c r="O116" i="59"/>
  <c r="D130" i="59"/>
  <c r="C150" i="59"/>
  <c r="C159" i="59"/>
  <c r="C161" i="59"/>
  <c r="O160" i="59"/>
  <c r="J173" i="59"/>
  <c r="M173" i="59"/>
  <c r="C189" i="59"/>
  <c r="O188" i="59"/>
  <c r="O187" i="59" s="1"/>
  <c r="C203" i="59"/>
  <c r="M204" i="59"/>
  <c r="I216" i="59"/>
  <c r="C223" i="59"/>
  <c r="C224" i="59"/>
  <c r="C225" i="59"/>
  <c r="C243" i="59"/>
  <c r="C263" i="59"/>
  <c r="L264" i="59"/>
  <c r="K269" i="59"/>
  <c r="O272" i="59"/>
  <c r="C279" i="59"/>
  <c r="C56" i="60"/>
  <c r="C66" i="60"/>
  <c r="J76" i="60"/>
  <c r="O76" i="60"/>
  <c r="I80" i="60"/>
  <c r="I84" i="60"/>
  <c r="N83" i="60"/>
  <c r="N75" i="60" s="1"/>
  <c r="C100" i="60"/>
  <c r="H83" i="60"/>
  <c r="C117" i="60"/>
  <c r="L131" i="60"/>
  <c r="C150" i="60"/>
  <c r="F151" i="60"/>
  <c r="C154" i="60"/>
  <c r="C164" i="60"/>
  <c r="E187" i="60"/>
  <c r="O188" i="60"/>
  <c r="O187" i="60" s="1"/>
  <c r="M195" i="60"/>
  <c r="C201" i="60"/>
  <c r="C206" i="60"/>
  <c r="C208" i="60"/>
  <c r="C211" i="60"/>
  <c r="J231" i="60"/>
  <c r="J230" i="60" s="1"/>
  <c r="N231" i="60"/>
  <c r="N230" i="60" s="1"/>
  <c r="E231" i="60"/>
  <c r="K231" i="60"/>
  <c r="C245" i="60"/>
  <c r="C249" i="60"/>
  <c r="O246" i="60"/>
  <c r="E259" i="60"/>
  <c r="E230" i="60" s="1"/>
  <c r="O259" i="60"/>
  <c r="M270" i="60"/>
  <c r="M269" i="60" s="1"/>
  <c r="L272" i="60"/>
  <c r="L270" i="60" s="1"/>
  <c r="L269" i="60" s="1"/>
  <c r="C279" i="60"/>
  <c r="K292" i="60"/>
  <c r="K291" i="60" s="1"/>
  <c r="C296" i="60"/>
  <c r="C24" i="61"/>
  <c r="C46" i="61"/>
  <c r="J53" i="61"/>
  <c r="C79" i="61"/>
  <c r="C86" i="61"/>
  <c r="C94" i="61"/>
  <c r="C105" i="61"/>
  <c r="C107" i="61"/>
  <c r="C108" i="61"/>
  <c r="C113" i="61"/>
  <c r="F128" i="61"/>
  <c r="C129" i="61"/>
  <c r="C164" i="61"/>
  <c r="O166" i="61"/>
  <c r="O165" i="61" s="1"/>
  <c r="J173" i="61"/>
  <c r="F179" i="61"/>
  <c r="C180" i="61"/>
  <c r="I187" i="61"/>
  <c r="C211" i="61"/>
  <c r="C212" i="61"/>
  <c r="C213" i="61"/>
  <c r="N231" i="61"/>
  <c r="N230" i="61" s="1"/>
  <c r="C239" i="61"/>
  <c r="I238" i="61"/>
  <c r="M269" i="61"/>
  <c r="O264" i="58"/>
  <c r="G269" i="58"/>
  <c r="I293" i="58"/>
  <c r="C296" i="58"/>
  <c r="C299" i="58"/>
  <c r="K26" i="59"/>
  <c r="C44" i="59"/>
  <c r="D54" i="59"/>
  <c r="D53" i="59" s="1"/>
  <c r="J54" i="59"/>
  <c r="J53" i="59" s="1"/>
  <c r="O58" i="59"/>
  <c r="C71" i="59"/>
  <c r="I77" i="59"/>
  <c r="I76" i="59" s="1"/>
  <c r="C90" i="59"/>
  <c r="C93" i="59"/>
  <c r="C102" i="59"/>
  <c r="C110" i="59"/>
  <c r="C115" i="59"/>
  <c r="C127" i="59"/>
  <c r="I131" i="59"/>
  <c r="C148" i="59"/>
  <c r="C157" i="59"/>
  <c r="C172" i="59"/>
  <c r="O179" i="59"/>
  <c r="O174" i="59" s="1"/>
  <c r="O184" i="59"/>
  <c r="D187" i="59"/>
  <c r="I205" i="59"/>
  <c r="C211" i="59"/>
  <c r="C212" i="59"/>
  <c r="C213" i="59"/>
  <c r="L216" i="59"/>
  <c r="J204" i="59"/>
  <c r="J195" i="59" s="1"/>
  <c r="N204" i="59"/>
  <c r="N195" i="59" s="1"/>
  <c r="C236" i="59"/>
  <c r="L252" i="59"/>
  <c r="L251" i="59" s="1"/>
  <c r="O264" i="59"/>
  <c r="G269" i="59"/>
  <c r="L276" i="59"/>
  <c r="L270" i="59" s="1"/>
  <c r="L269" i="59" s="1"/>
  <c r="C287" i="59"/>
  <c r="D292" i="60"/>
  <c r="D291" i="60" s="1"/>
  <c r="I292" i="60"/>
  <c r="C44" i="60"/>
  <c r="K53" i="60"/>
  <c r="N54" i="60"/>
  <c r="N53" i="60" s="1"/>
  <c r="L58" i="60"/>
  <c r="C68" i="60"/>
  <c r="H76" i="60"/>
  <c r="C81" i="60"/>
  <c r="J83" i="60"/>
  <c r="C93" i="60"/>
  <c r="I95" i="60"/>
  <c r="C102" i="60"/>
  <c r="D83" i="60"/>
  <c r="I103" i="60"/>
  <c r="C127" i="60"/>
  <c r="C128" i="60"/>
  <c r="D130" i="60"/>
  <c r="J130" i="60"/>
  <c r="L144" i="60"/>
  <c r="C159" i="60"/>
  <c r="C170" i="60"/>
  <c r="C171" i="60"/>
  <c r="K173" i="60"/>
  <c r="H174" i="60"/>
  <c r="H173" i="60" s="1"/>
  <c r="O179" i="60"/>
  <c r="O174" i="60" s="1"/>
  <c r="O173" i="60" s="1"/>
  <c r="L179" i="60"/>
  <c r="G187" i="60"/>
  <c r="C200" i="60"/>
  <c r="C203" i="60"/>
  <c r="L205" i="60"/>
  <c r="C226" i="60"/>
  <c r="L235" i="60"/>
  <c r="G231" i="60"/>
  <c r="G230" i="60" s="1"/>
  <c r="M231" i="60"/>
  <c r="M230" i="60" s="1"/>
  <c r="I238" i="60"/>
  <c r="C244" i="60"/>
  <c r="C248" i="60"/>
  <c r="O251" i="60"/>
  <c r="K259" i="60"/>
  <c r="I270" i="60"/>
  <c r="I269" i="60" s="1"/>
  <c r="C278" i="60"/>
  <c r="L286" i="60"/>
  <c r="L292" i="60" s="1"/>
  <c r="L293" i="60"/>
  <c r="C28" i="61"/>
  <c r="L27" i="61"/>
  <c r="C27" i="61" s="1"/>
  <c r="C43" i="61"/>
  <c r="C65" i="61"/>
  <c r="C117" i="61"/>
  <c r="C121" i="61"/>
  <c r="J83" i="61"/>
  <c r="C123" i="61"/>
  <c r="C124" i="61"/>
  <c r="F144" i="61"/>
  <c r="C145" i="61"/>
  <c r="C147" i="61"/>
  <c r="C148" i="61"/>
  <c r="C158" i="61"/>
  <c r="C162" i="61"/>
  <c r="C178" i="61"/>
  <c r="C190" i="61"/>
  <c r="N187" i="61"/>
  <c r="C206" i="61"/>
  <c r="I205" i="61"/>
  <c r="C223" i="61"/>
  <c r="F216" i="61"/>
  <c r="C225" i="61"/>
  <c r="G204" i="61"/>
  <c r="G195" i="61" s="1"/>
  <c r="E231" i="61"/>
  <c r="C250" i="61"/>
  <c r="C265" i="61"/>
  <c r="O264" i="61"/>
  <c r="O272" i="61"/>
  <c r="C288" i="61"/>
  <c r="C295" i="61"/>
  <c r="L293" i="61"/>
  <c r="E53" i="61"/>
  <c r="C57" i="61"/>
  <c r="C61" i="61"/>
  <c r="C63" i="61"/>
  <c r="C64" i="61"/>
  <c r="C71" i="61"/>
  <c r="N76" i="61"/>
  <c r="C87" i="61"/>
  <c r="C88" i="61"/>
  <c r="O89" i="61"/>
  <c r="M83" i="61"/>
  <c r="C110" i="61"/>
  <c r="C115" i="61"/>
  <c r="C133" i="61"/>
  <c r="C138" i="61"/>
  <c r="K130" i="61"/>
  <c r="C146" i="61"/>
  <c r="C150" i="61"/>
  <c r="I151" i="61"/>
  <c r="C168" i="61"/>
  <c r="E174" i="61"/>
  <c r="E173" i="61" s="1"/>
  <c r="C176" i="61"/>
  <c r="G187" i="61"/>
  <c r="K187" i="61"/>
  <c r="M187" i="61"/>
  <c r="D204" i="61"/>
  <c r="D195" i="61" s="1"/>
  <c r="N204" i="61"/>
  <c r="N195" i="61" s="1"/>
  <c r="C218" i="61"/>
  <c r="C234" i="61"/>
  <c r="C243" i="61"/>
  <c r="I246" i="61"/>
  <c r="I231" i="61" s="1"/>
  <c r="L252" i="61"/>
  <c r="L251" i="61" s="1"/>
  <c r="F264" i="61"/>
  <c r="C274" i="61"/>
  <c r="L276" i="61"/>
  <c r="L270" i="61" s="1"/>
  <c r="L269" i="61" s="1"/>
  <c r="C282" i="61"/>
  <c r="I286" i="61"/>
  <c r="C299" i="60"/>
  <c r="D20" i="61"/>
  <c r="O292" i="61"/>
  <c r="O291" i="61" s="1"/>
  <c r="I58" i="61"/>
  <c r="I54" i="61" s="1"/>
  <c r="I53" i="61" s="1"/>
  <c r="J76" i="61"/>
  <c r="H76" i="61"/>
  <c r="I84" i="61"/>
  <c r="O95" i="61"/>
  <c r="O83" i="61" s="1"/>
  <c r="C109" i="61"/>
  <c r="I112" i="61"/>
  <c r="C112" i="61" s="1"/>
  <c r="F116" i="61"/>
  <c r="C120" i="61"/>
  <c r="N83" i="61"/>
  <c r="C126" i="61"/>
  <c r="E130" i="61"/>
  <c r="E75" i="61" s="1"/>
  <c r="C135" i="61"/>
  <c r="G130" i="61"/>
  <c r="C149" i="61"/>
  <c r="O151" i="61"/>
  <c r="C163" i="61"/>
  <c r="I166" i="61"/>
  <c r="I165" i="61" s="1"/>
  <c r="I175" i="61"/>
  <c r="C210" i="61"/>
  <c r="C215" i="61"/>
  <c r="J204" i="61"/>
  <c r="J195" i="61" s="1"/>
  <c r="C217" i="61"/>
  <c r="C222" i="61"/>
  <c r="K204" i="61"/>
  <c r="K195" i="61" s="1"/>
  <c r="C229" i="61"/>
  <c r="G231" i="61"/>
  <c r="G230" i="61" s="1"/>
  <c r="C240" i="61"/>
  <c r="E259" i="61"/>
  <c r="O260" i="61"/>
  <c r="O259" i="61" s="1"/>
  <c r="I264" i="61"/>
  <c r="I270" i="61"/>
  <c r="I269" i="61" s="1"/>
  <c r="C277" i="61"/>
  <c r="O276" i="61"/>
  <c r="F293" i="61"/>
  <c r="C298" i="61"/>
  <c r="M53" i="57"/>
  <c r="K54" i="57"/>
  <c r="K53" i="57" s="1"/>
  <c r="G54" i="57"/>
  <c r="G53" i="57" s="1"/>
  <c r="O58" i="57"/>
  <c r="O54" i="57" s="1"/>
  <c r="O53" i="57" s="1"/>
  <c r="C63" i="57"/>
  <c r="J53" i="57"/>
  <c r="E53" i="57"/>
  <c r="D75" i="58"/>
  <c r="D52" i="58" s="1"/>
  <c r="N292" i="61"/>
  <c r="N291" i="61" s="1"/>
  <c r="N20" i="61"/>
  <c r="O67" i="61"/>
  <c r="I89" i="61"/>
  <c r="C177" i="61"/>
  <c r="F175" i="61"/>
  <c r="F184" i="61"/>
  <c r="C185" i="61"/>
  <c r="F259" i="61"/>
  <c r="C262" i="61"/>
  <c r="E20" i="61"/>
  <c r="J292" i="61"/>
  <c r="J291" i="61" s="1"/>
  <c r="K75" i="61"/>
  <c r="K52" i="61" s="1"/>
  <c r="L89" i="61"/>
  <c r="C90" i="61"/>
  <c r="C96" i="61"/>
  <c r="F95" i="61"/>
  <c r="F122" i="61"/>
  <c r="F165" i="61"/>
  <c r="K230" i="61"/>
  <c r="G20" i="61"/>
  <c r="O20" i="61"/>
  <c r="F20" i="61"/>
  <c r="F292" i="61"/>
  <c r="C22" i="61"/>
  <c r="C23" i="61"/>
  <c r="L36" i="61"/>
  <c r="C36" i="61" s="1"/>
  <c r="O55" i="61"/>
  <c r="O54" i="61" s="1"/>
  <c r="H83" i="61"/>
  <c r="C99" i="61"/>
  <c r="C111" i="61"/>
  <c r="L116" i="61"/>
  <c r="C116" i="61" s="1"/>
  <c r="C119" i="61"/>
  <c r="L122" i="61"/>
  <c r="H130" i="61"/>
  <c r="M130" i="61"/>
  <c r="M75" i="61" s="1"/>
  <c r="C143" i="61"/>
  <c r="C152" i="61"/>
  <c r="F151" i="61"/>
  <c r="C172" i="61"/>
  <c r="E195" i="61"/>
  <c r="C200" i="61"/>
  <c r="I198" i="61"/>
  <c r="L95" i="61"/>
  <c r="C98" i="61"/>
  <c r="C104" i="61"/>
  <c r="F103" i="61"/>
  <c r="C128" i="61"/>
  <c r="C132" i="61"/>
  <c r="F131" i="61"/>
  <c r="L141" i="61"/>
  <c r="C141" i="61" s="1"/>
  <c r="C142" i="61"/>
  <c r="L179" i="61"/>
  <c r="L174" i="61" s="1"/>
  <c r="L173" i="61" s="1"/>
  <c r="C181" i="61"/>
  <c r="C301" i="61"/>
  <c r="C72" i="61"/>
  <c r="F69" i="61"/>
  <c r="F76" i="61"/>
  <c r="G83" i="61"/>
  <c r="C84" i="61"/>
  <c r="L151" i="61"/>
  <c r="C154" i="61"/>
  <c r="C21" i="61"/>
  <c r="I292" i="61"/>
  <c r="I291" i="61" s="1"/>
  <c r="I20" i="61"/>
  <c r="C32" i="61"/>
  <c r="L31" i="61"/>
  <c r="C56" i="61"/>
  <c r="F58" i="61"/>
  <c r="C59" i="61"/>
  <c r="C60" i="61"/>
  <c r="C78" i="61"/>
  <c r="L77" i="61"/>
  <c r="D83" i="61"/>
  <c r="C91" i="61"/>
  <c r="C92" i="61"/>
  <c r="F89" i="61"/>
  <c r="O103" i="61"/>
  <c r="L103" i="61"/>
  <c r="C106" i="61"/>
  <c r="D130" i="61"/>
  <c r="O131" i="61"/>
  <c r="L131" i="61"/>
  <c r="C134" i="61"/>
  <c r="L136" i="61"/>
  <c r="C136" i="61" s="1"/>
  <c r="C139" i="61"/>
  <c r="O144" i="61"/>
  <c r="C144" i="61" s="1"/>
  <c r="C155" i="61"/>
  <c r="C182" i="61"/>
  <c r="I179" i="61"/>
  <c r="O184" i="61"/>
  <c r="F192" i="61"/>
  <c r="C193" i="61"/>
  <c r="C241" i="61"/>
  <c r="F238" i="61"/>
  <c r="C247" i="61"/>
  <c r="L246" i="61"/>
  <c r="L231" i="61" s="1"/>
  <c r="C199" i="61"/>
  <c r="L198" i="61"/>
  <c r="L196" i="61" s="1"/>
  <c r="M20" i="61"/>
  <c r="C159" i="61"/>
  <c r="C161" i="61"/>
  <c r="C171" i="61"/>
  <c r="O175" i="61"/>
  <c r="O174" i="61" s="1"/>
  <c r="H187" i="61"/>
  <c r="L188" i="61"/>
  <c r="L187" i="61" s="1"/>
  <c r="I196" i="61"/>
  <c r="O196" i="61"/>
  <c r="C207" i="61"/>
  <c r="L205" i="61"/>
  <c r="C220" i="61"/>
  <c r="C254" i="61"/>
  <c r="F252" i="61"/>
  <c r="L264" i="61"/>
  <c r="C264" i="61" s="1"/>
  <c r="C267" i="61"/>
  <c r="L166" i="61"/>
  <c r="L165" i="61" s="1"/>
  <c r="C235" i="61"/>
  <c r="O270" i="61"/>
  <c r="O269" i="61" s="1"/>
  <c r="C284" i="61"/>
  <c r="F283" i="61"/>
  <c r="C283" i="61" s="1"/>
  <c r="I160" i="61"/>
  <c r="I130" i="61" s="1"/>
  <c r="C167" i="61"/>
  <c r="D174" i="61"/>
  <c r="D173" i="61" s="1"/>
  <c r="H174" i="61"/>
  <c r="H173" i="61" s="1"/>
  <c r="C183" i="61"/>
  <c r="D187" i="61"/>
  <c r="O205" i="61"/>
  <c r="O216" i="61"/>
  <c r="L216" i="61"/>
  <c r="C219" i="61"/>
  <c r="O238" i="61"/>
  <c r="O231" i="61" s="1"/>
  <c r="I259" i="61"/>
  <c r="L260" i="61"/>
  <c r="C263" i="61"/>
  <c r="C273" i="61"/>
  <c r="F272" i="61"/>
  <c r="F276" i="61"/>
  <c r="C279" i="61"/>
  <c r="C281" i="61"/>
  <c r="C286" i="61"/>
  <c r="C197" i="61"/>
  <c r="F205" i="61"/>
  <c r="C224" i="61"/>
  <c r="I227" i="61"/>
  <c r="I204" i="61" s="1"/>
  <c r="C228" i="61"/>
  <c r="H231" i="61"/>
  <c r="H230" i="61" s="1"/>
  <c r="C233" i="61"/>
  <c r="E270" i="61"/>
  <c r="E269" i="61" s="1"/>
  <c r="C280" i="61"/>
  <c r="C296" i="61"/>
  <c r="C297" i="61"/>
  <c r="L291" i="61"/>
  <c r="C201" i="61"/>
  <c r="C208" i="61"/>
  <c r="C209" i="61"/>
  <c r="C221" i="61"/>
  <c r="C232" i="61"/>
  <c r="D231" i="61"/>
  <c r="C244" i="61"/>
  <c r="C245" i="61"/>
  <c r="C248" i="61"/>
  <c r="C249" i="61"/>
  <c r="F246" i="61"/>
  <c r="C253" i="61"/>
  <c r="O252" i="61"/>
  <c r="O251" i="61" s="1"/>
  <c r="C268" i="61"/>
  <c r="J270" i="61"/>
  <c r="J269" i="61" s="1"/>
  <c r="J194" i="61" s="1"/>
  <c r="C285" i="61"/>
  <c r="F54" i="60"/>
  <c r="H75" i="60"/>
  <c r="H52" i="60" s="1"/>
  <c r="H51" i="60" s="1"/>
  <c r="C21" i="60"/>
  <c r="C139" i="60"/>
  <c r="F136" i="60"/>
  <c r="C136" i="60" s="1"/>
  <c r="C228" i="60"/>
  <c r="L55" i="60"/>
  <c r="C61" i="60"/>
  <c r="C87" i="60"/>
  <c r="F84" i="60"/>
  <c r="O95" i="60"/>
  <c r="C123" i="60"/>
  <c r="F122" i="60"/>
  <c r="C122" i="60" s="1"/>
  <c r="K130" i="60"/>
  <c r="O130" i="60"/>
  <c r="C147" i="60"/>
  <c r="F144" i="60"/>
  <c r="C144" i="60" s="1"/>
  <c r="C161" i="60"/>
  <c r="F160" i="60"/>
  <c r="C160" i="60" s="1"/>
  <c r="L174" i="60"/>
  <c r="L173" i="60" s="1"/>
  <c r="C189" i="60"/>
  <c r="F188" i="60"/>
  <c r="E195" i="60"/>
  <c r="C301" i="60"/>
  <c r="G20" i="60"/>
  <c r="L27" i="60"/>
  <c r="L33" i="60"/>
  <c r="C33" i="60" s="1"/>
  <c r="L36" i="60"/>
  <c r="C36" i="60" s="1"/>
  <c r="F41" i="60"/>
  <c r="C41" i="60" s="1"/>
  <c r="O45" i="60"/>
  <c r="O20" i="60" s="1"/>
  <c r="C62" i="60"/>
  <c r="C63" i="60"/>
  <c r="O67" i="60"/>
  <c r="F69" i="60"/>
  <c r="F67" i="60" s="1"/>
  <c r="C70" i="60"/>
  <c r="C71" i="60"/>
  <c r="C78" i="60"/>
  <c r="C79" i="60"/>
  <c r="L80" i="60"/>
  <c r="L76" i="60" s="1"/>
  <c r="I89" i="60"/>
  <c r="L95" i="60"/>
  <c r="F95" i="60"/>
  <c r="L112" i="60"/>
  <c r="L116" i="60"/>
  <c r="C125" i="60"/>
  <c r="C126" i="60"/>
  <c r="G130" i="60"/>
  <c r="C133" i="60"/>
  <c r="C134" i="60"/>
  <c r="C163" i="60"/>
  <c r="I179" i="60"/>
  <c r="C180" i="60"/>
  <c r="C235" i="60"/>
  <c r="F238" i="60"/>
  <c r="C239" i="60"/>
  <c r="H289" i="60"/>
  <c r="D20" i="60"/>
  <c r="H20" i="60"/>
  <c r="O58" i="60"/>
  <c r="O54" i="60" s="1"/>
  <c r="I69" i="60"/>
  <c r="I67" i="60" s="1"/>
  <c r="I53" i="60" s="1"/>
  <c r="I76" i="60"/>
  <c r="C82" i="60"/>
  <c r="K83" i="60"/>
  <c r="K75" i="60" s="1"/>
  <c r="L89" i="60"/>
  <c r="C94" i="60"/>
  <c r="C98" i="60"/>
  <c r="C99" i="60"/>
  <c r="C104" i="60"/>
  <c r="O103" i="60"/>
  <c r="C110" i="60"/>
  <c r="C111" i="60"/>
  <c r="C114" i="60"/>
  <c r="C115" i="60"/>
  <c r="F112" i="60"/>
  <c r="C112" i="60" s="1"/>
  <c r="C118" i="60"/>
  <c r="C119" i="60"/>
  <c r="F116" i="60"/>
  <c r="C141" i="60"/>
  <c r="C142" i="60"/>
  <c r="I151" i="60"/>
  <c r="I130" i="60" s="1"/>
  <c r="C152" i="60"/>
  <c r="C158" i="60"/>
  <c r="C168" i="60"/>
  <c r="C192" i="60"/>
  <c r="F191" i="60"/>
  <c r="C191" i="60" s="1"/>
  <c r="C149" i="60"/>
  <c r="I166" i="60"/>
  <c r="I165" i="60" s="1"/>
  <c r="F166" i="60"/>
  <c r="C177" i="60"/>
  <c r="C185" i="60"/>
  <c r="M187" i="60"/>
  <c r="I216" i="60"/>
  <c r="C220" i="60"/>
  <c r="C232" i="60"/>
  <c r="I246" i="60"/>
  <c r="I231" i="60" s="1"/>
  <c r="F131" i="60"/>
  <c r="C157" i="60"/>
  <c r="C169" i="60"/>
  <c r="J174" i="60"/>
  <c r="J173" i="60" s="1"/>
  <c r="N174" i="60"/>
  <c r="N173" i="60" s="1"/>
  <c r="I175" i="60"/>
  <c r="I187" i="60"/>
  <c r="C197" i="60"/>
  <c r="D230" i="60"/>
  <c r="D194" i="60" s="1"/>
  <c r="I252" i="60"/>
  <c r="I251" i="60" s="1"/>
  <c r="C256" i="60"/>
  <c r="C271" i="60"/>
  <c r="F286" i="60"/>
  <c r="F292" i="60" s="1"/>
  <c r="C287" i="60"/>
  <c r="C153" i="60"/>
  <c r="F174" i="60"/>
  <c r="C181" i="60"/>
  <c r="C193" i="60"/>
  <c r="I264" i="60"/>
  <c r="I259" i="60" s="1"/>
  <c r="C268" i="60"/>
  <c r="L196" i="60"/>
  <c r="F205" i="60"/>
  <c r="O205" i="60"/>
  <c r="O204" i="60" s="1"/>
  <c r="O195" i="60" s="1"/>
  <c r="C213" i="60"/>
  <c r="C217" i="60"/>
  <c r="F216" i="60"/>
  <c r="C225" i="60"/>
  <c r="C229" i="60"/>
  <c r="C233" i="60"/>
  <c r="C234" i="60"/>
  <c r="C237" i="60"/>
  <c r="C241" i="60"/>
  <c r="C242" i="60"/>
  <c r="C253" i="60"/>
  <c r="F252" i="60"/>
  <c r="C261" i="60"/>
  <c r="F260" i="60"/>
  <c r="C265" i="60"/>
  <c r="F264" i="60"/>
  <c r="C285" i="60"/>
  <c r="F284" i="60"/>
  <c r="C300" i="60"/>
  <c r="F198" i="60"/>
  <c r="C198" i="60" s="1"/>
  <c r="C199" i="60"/>
  <c r="C207" i="60"/>
  <c r="C215" i="60"/>
  <c r="C219" i="60"/>
  <c r="L238" i="60"/>
  <c r="L231" i="60" s="1"/>
  <c r="C243" i="60"/>
  <c r="F246" i="60"/>
  <c r="C246" i="60" s="1"/>
  <c r="C247" i="60"/>
  <c r="C255" i="60"/>
  <c r="C263" i="60"/>
  <c r="C267" i="60"/>
  <c r="C295" i="60"/>
  <c r="I205" i="60"/>
  <c r="L216" i="60"/>
  <c r="L204" i="60" s="1"/>
  <c r="L252" i="60"/>
  <c r="L251" i="60" s="1"/>
  <c r="L260" i="60"/>
  <c r="L264" i="60"/>
  <c r="C273" i="60"/>
  <c r="F272" i="60"/>
  <c r="C272" i="60" s="1"/>
  <c r="C277" i="60"/>
  <c r="F276" i="60"/>
  <c r="C276" i="60" s="1"/>
  <c r="C281" i="60"/>
  <c r="C282" i="60"/>
  <c r="I293" i="60"/>
  <c r="C293" i="60" s="1"/>
  <c r="C72" i="59"/>
  <c r="I69" i="59"/>
  <c r="I179" i="59"/>
  <c r="C180" i="59"/>
  <c r="C186" i="59"/>
  <c r="F184" i="59"/>
  <c r="C184" i="59" s="1"/>
  <c r="C250" i="59"/>
  <c r="C301" i="59"/>
  <c r="G292" i="59"/>
  <c r="G291" i="59" s="1"/>
  <c r="G20" i="59"/>
  <c r="O292" i="59"/>
  <c r="O291" i="59" s="1"/>
  <c r="O20" i="59"/>
  <c r="I144" i="59"/>
  <c r="C144" i="59" s="1"/>
  <c r="I166" i="59"/>
  <c r="I165" i="59" s="1"/>
  <c r="C168" i="59"/>
  <c r="E20" i="59"/>
  <c r="H291" i="59"/>
  <c r="L21" i="59"/>
  <c r="C57" i="59"/>
  <c r="F55" i="59"/>
  <c r="L58" i="59"/>
  <c r="L54" i="59" s="1"/>
  <c r="F58" i="59"/>
  <c r="L69" i="59"/>
  <c r="L67" i="59" s="1"/>
  <c r="I89" i="59"/>
  <c r="L95" i="59"/>
  <c r="C105" i="59"/>
  <c r="F103" i="59"/>
  <c r="O103" i="59"/>
  <c r="C118" i="59"/>
  <c r="F116" i="59"/>
  <c r="C116" i="59" s="1"/>
  <c r="C124" i="59"/>
  <c r="I122" i="59"/>
  <c r="L131" i="59"/>
  <c r="C133" i="59"/>
  <c r="F131" i="59"/>
  <c r="C143" i="59"/>
  <c r="L141" i="59"/>
  <c r="C141" i="59" s="1"/>
  <c r="C167" i="59"/>
  <c r="L166" i="59"/>
  <c r="L165" i="59" s="1"/>
  <c r="C178" i="59"/>
  <c r="F175" i="59"/>
  <c r="C277" i="59"/>
  <c r="F276" i="59"/>
  <c r="C285" i="59"/>
  <c r="F284" i="59"/>
  <c r="F41" i="59"/>
  <c r="C41" i="59" s="1"/>
  <c r="C42" i="59"/>
  <c r="C78" i="59"/>
  <c r="F77" i="59"/>
  <c r="C114" i="59"/>
  <c r="C154" i="59"/>
  <c r="F151" i="59"/>
  <c r="C237" i="59"/>
  <c r="F235" i="59"/>
  <c r="C249" i="59"/>
  <c r="F246" i="59"/>
  <c r="K292" i="59"/>
  <c r="K291" i="59" s="1"/>
  <c r="K20" i="59"/>
  <c r="O54" i="59"/>
  <c r="C59" i="59"/>
  <c r="M83" i="59"/>
  <c r="M75" i="59" s="1"/>
  <c r="M52" i="59" s="1"/>
  <c r="I95" i="59"/>
  <c r="C96" i="59"/>
  <c r="C128" i="59"/>
  <c r="C132" i="59"/>
  <c r="I151" i="59"/>
  <c r="C152" i="59"/>
  <c r="I21" i="59"/>
  <c r="I55" i="59"/>
  <c r="I54" i="59" s="1"/>
  <c r="C56" i="59"/>
  <c r="C62" i="59"/>
  <c r="O67" i="59"/>
  <c r="C74" i="59"/>
  <c r="C85" i="59"/>
  <c r="F84" i="59"/>
  <c r="O84" i="59"/>
  <c r="F89" i="59"/>
  <c r="J83" i="59"/>
  <c r="N83" i="59"/>
  <c r="I103" i="59"/>
  <c r="C104" i="59"/>
  <c r="C123" i="59"/>
  <c r="L122" i="59"/>
  <c r="C140" i="59"/>
  <c r="O165" i="59"/>
  <c r="G174" i="59"/>
  <c r="G173" i="59" s="1"/>
  <c r="I175" i="59"/>
  <c r="C176" i="59"/>
  <c r="C182" i="59"/>
  <c r="F179" i="59"/>
  <c r="E270" i="59"/>
  <c r="E269" i="59" s="1"/>
  <c r="C281" i="59"/>
  <c r="C28" i="59"/>
  <c r="C46" i="59"/>
  <c r="C61" i="59"/>
  <c r="I67" i="59"/>
  <c r="E83" i="59"/>
  <c r="L84" i="59"/>
  <c r="O89" i="59"/>
  <c r="C101" i="59"/>
  <c r="C121" i="59"/>
  <c r="C129" i="59"/>
  <c r="J130" i="59"/>
  <c r="N130" i="59"/>
  <c r="C200" i="59"/>
  <c r="I198" i="59"/>
  <c r="O231" i="59"/>
  <c r="L26" i="59"/>
  <c r="K53" i="59"/>
  <c r="K52" i="59" s="1"/>
  <c r="C73" i="59"/>
  <c r="O77" i="59"/>
  <c r="O76" i="59" s="1"/>
  <c r="C97" i="59"/>
  <c r="C109" i="59"/>
  <c r="L112" i="59"/>
  <c r="C112" i="59" s="1"/>
  <c r="C117" i="59"/>
  <c r="F122" i="59"/>
  <c r="L136" i="59"/>
  <c r="C136" i="59" s="1"/>
  <c r="L144" i="59"/>
  <c r="C149" i="59"/>
  <c r="C153" i="59"/>
  <c r="F166" i="59"/>
  <c r="C169" i="59"/>
  <c r="C177" i="59"/>
  <c r="C181" i="59"/>
  <c r="C185" i="59"/>
  <c r="C197" i="59"/>
  <c r="F196" i="59"/>
  <c r="C233" i="59"/>
  <c r="L231" i="59"/>
  <c r="C261" i="59"/>
  <c r="F260" i="59"/>
  <c r="C288" i="59"/>
  <c r="O205" i="59"/>
  <c r="O204" i="59" s="1"/>
  <c r="O195" i="59" s="1"/>
  <c r="C217" i="59"/>
  <c r="F216" i="59"/>
  <c r="J230" i="59"/>
  <c r="J194" i="59" s="1"/>
  <c r="I231" i="59"/>
  <c r="K231" i="59"/>
  <c r="C239" i="59"/>
  <c r="C241" i="59"/>
  <c r="F238" i="59"/>
  <c r="C238" i="59" s="1"/>
  <c r="C248" i="59"/>
  <c r="I246" i="59"/>
  <c r="E230" i="59"/>
  <c r="C253" i="59"/>
  <c r="F252" i="59"/>
  <c r="M259" i="59"/>
  <c r="M230" i="59" s="1"/>
  <c r="C265" i="59"/>
  <c r="F264" i="59"/>
  <c r="C264" i="59" s="1"/>
  <c r="C273" i="59"/>
  <c r="F272" i="59"/>
  <c r="C193" i="59"/>
  <c r="F192" i="59"/>
  <c r="E195" i="59"/>
  <c r="M195" i="59"/>
  <c r="L196" i="59"/>
  <c r="C207" i="59"/>
  <c r="C208" i="59"/>
  <c r="C209" i="59"/>
  <c r="F205" i="59"/>
  <c r="C219" i="59"/>
  <c r="C220" i="59"/>
  <c r="C227" i="59"/>
  <c r="G231" i="59"/>
  <c r="G230" i="59" s="1"/>
  <c r="G194" i="59" s="1"/>
  <c r="C244" i="59"/>
  <c r="C255" i="59"/>
  <c r="C256" i="59"/>
  <c r="I259" i="59"/>
  <c r="C267" i="59"/>
  <c r="C275" i="59"/>
  <c r="O276" i="59"/>
  <c r="O270" i="59" s="1"/>
  <c r="O269" i="59" s="1"/>
  <c r="C295" i="59"/>
  <c r="C296" i="59"/>
  <c r="C297" i="59"/>
  <c r="F293" i="59"/>
  <c r="C293" i="59" s="1"/>
  <c r="C199" i="59"/>
  <c r="O292" i="58"/>
  <c r="F292" i="58"/>
  <c r="C21" i="58"/>
  <c r="F43" i="58"/>
  <c r="C43" i="58" s="1"/>
  <c r="C96" i="58"/>
  <c r="C301" i="58"/>
  <c r="J20" i="58"/>
  <c r="L55" i="58"/>
  <c r="L58" i="58"/>
  <c r="C58" i="58" s="1"/>
  <c r="I84" i="58"/>
  <c r="C85" i="58"/>
  <c r="L95" i="58"/>
  <c r="C97" i="58"/>
  <c r="F95" i="58"/>
  <c r="C115" i="58"/>
  <c r="F112" i="58"/>
  <c r="C112" i="58" s="1"/>
  <c r="F122" i="58"/>
  <c r="C123" i="58"/>
  <c r="C128" i="58"/>
  <c r="C139" i="58"/>
  <c r="F136" i="58"/>
  <c r="C136" i="58" s="1"/>
  <c r="C147" i="58"/>
  <c r="F144" i="58"/>
  <c r="C167" i="58"/>
  <c r="F166" i="58"/>
  <c r="C268" i="58"/>
  <c r="I264" i="58"/>
  <c r="I259" i="58" s="1"/>
  <c r="L27" i="58"/>
  <c r="L33" i="58"/>
  <c r="C33" i="58" s="1"/>
  <c r="L36" i="58"/>
  <c r="C36" i="58" s="1"/>
  <c r="F41" i="58"/>
  <c r="C41" i="58" s="1"/>
  <c r="O45" i="58"/>
  <c r="O20" i="58" s="1"/>
  <c r="F54" i="58"/>
  <c r="C62" i="58"/>
  <c r="F69" i="58"/>
  <c r="F67" i="58" s="1"/>
  <c r="C70" i="58"/>
  <c r="O69" i="58"/>
  <c r="O67" i="58" s="1"/>
  <c r="F77" i="58"/>
  <c r="C78" i="58"/>
  <c r="C82" i="58"/>
  <c r="N83" i="58"/>
  <c r="N75" i="58" s="1"/>
  <c r="L84" i="58"/>
  <c r="L89" i="58"/>
  <c r="C89" i="58" s="1"/>
  <c r="C94" i="58"/>
  <c r="C101" i="58"/>
  <c r="L103" i="58"/>
  <c r="C106" i="58"/>
  <c r="F103" i="58"/>
  <c r="C119" i="58"/>
  <c r="F116" i="58"/>
  <c r="C116" i="58" s="1"/>
  <c r="I130" i="58"/>
  <c r="C232" i="58"/>
  <c r="F231" i="58"/>
  <c r="C261" i="58"/>
  <c r="F260" i="58"/>
  <c r="D20" i="58"/>
  <c r="H20" i="58"/>
  <c r="C57" i="58"/>
  <c r="I55" i="58"/>
  <c r="C61" i="58"/>
  <c r="I80" i="58"/>
  <c r="C80" i="58" s="1"/>
  <c r="C81" i="58"/>
  <c r="J83" i="58"/>
  <c r="J75" i="58" s="1"/>
  <c r="J52" i="58" s="1"/>
  <c r="C93" i="58"/>
  <c r="C188" i="58"/>
  <c r="L187" i="58"/>
  <c r="C191" i="58"/>
  <c r="I95" i="58"/>
  <c r="I103" i="58"/>
  <c r="G130" i="58"/>
  <c r="G75" i="58" s="1"/>
  <c r="C133" i="58"/>
  <c r="C149" i="58"/>
  <c r="C169" i="58"/>
  <c r="K173" i="58"/>
  <c r="O174" i="58"/>
  <c r="O173" i="58" s="1"/>
  <c r="F187" i="58"/>
  <c r="K187" i="58"/>
  <c r="C189" i="58"/>
  <c r="E230" i="58"/>
  <c r="C253" i="58"/>
  <c r="F252" i="58"/>
  <c r="C109" i="58"/>
  <c r="C110" i="58"/>
  <c r="C113" i="58"/>
  <c r="C114" i="58"/>
  <c r="C117" i="58"/>
  <c r="C118" i="58"/>
  <c r="O122" i="58"/>
  <c r="O83" i="58" s="1"/>
  <c r="H130" i="58"/>
  <c r="H75" i="58" s="1"/>
  <c r="C141" i="58"/>
  <c r="C142" i="58"/>
  <c r="L144" i="58"/>
  <c r="L130" i="58" s="1"/>
  <c r="O151" i="58"/>
  <c r="O130" i="58" s="1"/>
  <c r="G173" i="58"/>
  <c r="C177" i="58"/>
  <c r="C178" i="58"/>
  <c r="G187" i="58"/>
  <c r="M187" i="58"/>
  <c r="M52" i="58" s="1"/>
  <c r="I187" i="58"/>
  <c r="C197" i="58"/>
  <c r="F196" i="58"/>
  <c r="O196" i="58"/>
  <c r="O205" i="58"/>
  <c r="C217" i="58"/>
  <c r="F216" i="58"/>
  <c r="O216" i="58"/>
  <c r="C233" i="58"/>
  <c r="I235" i="58"/>
  <c r="C235" i="58" s="1"/>
  <c r="C236" i="58"/>
  <c r="C255" i="58"/>
  <c r="C263" i="58"/>
  <c r="E270" i="58"/>
  <c r="E269" i="58" s="1"/>
  <c r="C273" i="58"/>
  <c r="F272" i="58"/>
  <c r="C272" i="58" s="1"/>
  <c r="L276" i="58"/>
  <c r="L270" i="58" s="1"/>
  <c r="L269" i="58" s="1"/>
  <c r="C288" i="58"/>
  <c r="I286" i="58"/>
  <c r="I292" i="58" s="1"/>
  <c r="I291" i="58" s="1"/>
  <c r="C300" i="58"/>
  <c r="F131" i="58"/>
  <c r="F151" i="58"/>
  <c r="F175" i="58"/>
  <c r="F179" i="58"/>
  <c r="C179" i="58" s="1"/>
  <c r="E195" i="58"/>
  <c r="M195" i="58"/>
  <c r="L196" i="58"/>
  <c r="C207" i="58"/>
  <c r="C209" i="58"/>
  <c r="F205" i="58"/>
  <c r="C219" i="58"/>
  <c r="C220" i="58"/>
  <c r="C227" i="58"/>
  <c r="C228" i="58"/>
  <c r="O231" i="58"/>
  <c r="L231" i="58"/>
  <c r="C248" i="58"/>
  <c r="I246" i="58"/>
  <c r="C246" i="58" s="1"/>
  <c r="L252" i="58"/>
  <c r="L251" i="58" s="1"/>
  <c r="M259" i="58"/>
  <c r="M230" i="58" s="1"/>
  <c r="M289" i="58" s="1"/>
  <c r="L260" i="58"/>
  <c r="L259" i="58" s="1"/>
  <c r="C265" i="58"/>
  <c r="F264" i="58"/>
  <c r="C275" i="58"/>
  <c r="C281" i="58"/>
  <c r="C285" i="58"/>
  <c r="F284" i="58"/>
  <c r="O293" i="58"/>
  <c r="O291" i="58" s="1"/>
  <c r="C200" i="58"/>
  <c r="I198" i="58"/>
  <c r="C208" i="58"/>
  <c r="I205" i="58"/>
  <c r="I204" i="58" s="1"/>
  <c r="C212" i="58"/>
  <c r="C224" i="58"/>
  <c r="C240" i="58"/>
  <c r="I238" i="58"/>
  <c r="C238" i="58" s="1"/>
  <c r="C277" i="58"/>
  <c r="F276" i="58"/>
  <c r="C297" i="58"/>
  <c r="F293" i="58"/>
  <c r="C199" i="58"/>
  <c r="C239" i="58"/>
  <c r="C247" i="58"/>
  <c r="C271" i="58"/>
  <c r="C287" i="58"/>
  <c r="O292" i="57"/>
  <c r="O291" i="57" s="1"/>
  <c r="F292" i="57"/>
  <c r="C21" i="57"/>
  <c r="D53" i="57"/>
  <c r="I67" i="57"/>
  <c r="F54" i="57"/>
  <c r="F67" i="57"/>
  <c r="L83" i="57"/>
  <c r="F84" i="57"/>
  <c r="C85" i="57"/>
  <c r="C301" i="57"/>
  <c r="F291" i="57"/>
  <c r="L55" i="57"/>
  <c r="L54" i="57" s="1"/>
  <c r="L53" i="57" s="1"/>
  <c r="M83" i="57"/>
  <c r="M75" i="57" s="1"/>
  <c r="M52" i="57" s="1"/>
  <c r="F95" i="57"/>
  <c r="O95" i="57"/>
  <c r="F175" i="57"/>
  <c r="C176" i="57"/>
  <c r="K20" i="57"/>
  <c r="L27" i="57"/>
  <c r="L33" i="57"/>
  <c r="C33" i="57" s="1"/>
  <c r="L36" i="57"/>
  <c r="C36" i="57" s="1"/>
  <c r="F41" i="57"/>
  <c r="C41" i="57" s="1"/>
  <c r="O45" i="57"/>
  <c r="I55" i="57"/>
  <c r="I54" i="57" s="1"/>
  <c r="C68" i="57"/>
  <c r="C72" i="57"/>
  <c r="C78" i="57"/>
  <c r="F80" i="57"/>
  <c r="C80" i="57" s="1"/>
  <c r="C81" i="57"/>
  <c r="I89" i="57"/>
  <c r="C89" i="57" s="1"/>
  <c r="C93" i="57"/>
  <c r="C97" i="57"/>
  <c r="C109" i="57"/>
  <c r="F112" i="57"/>
  <c r="C112" i="57" s="1"/>
  <c r="C113" i="57"/>
  <c r="F116" i="57"/>
  <c r="C116" i="57" s="1"/>
  <c r="C117" i="57"/>
  <c r="O122" i="57"/>
  <c r="C133" i="57"/>
  <c r="C138" i="57"/>
  <c r="I136" i="57"/>
  <c r="C136" i="57" s="1"/>
  <c r="C157" i="57"/>
  <c r="C190" i="57"/>
  <c r="F188" i="57"/>
  <c r="C220" i="57"/>
  <c r="I216" i="57"/>
  <c r="C90" i="57"/>
  <c r="F128" i="57"/>
  <c r="C128" i="57" s="1"/>
  <c r="C129" i="57"/>
  <c r="C181" i="57"/>
  <c r="I179" i="57"/>
  <c r="I174" i="57" s="1"/>
  <c r="I173" i="57" s="1"/>
  <c r="C254" i="57"/>
  <c r="F252" i="57"/>
  <c r="K75" i="57"/>
  <c r="I103" i="57"/>
  <c r="I141" i="57"/>
  <c r="C141" i="57" s="1"/>
  <c r="C142" i="57"/>
  <c r="C155" i="57"/>
  <c r="F151" i="57"/>
  <c r="C151" i="57" s="1"/>
  <c r="L276" i="57"/>
  <c r="L270" i="57" s="1"/>
  <c r="L269" i="57" s="1"/>
  <c r="C279" i="57"/>
  <c r="D20" i="57"/>
  <c r="H20" i="57"/>
  <c r="C79" i="57"/>
  <c r="E83" i="57"/>
  <c r="E75" i="57" s="1"/>
  <c r="E52" i="57" s="1"/>
  <c r="I95" i="57"/>
  <c r="C99" i="57"/>
  <c r="F103" i="57"/>
  <c r="C104" i="57"/>
  <c r="O103" i="57"/>
  <c r="C111" i="57"/>
  <c r="C115" i="57"/>
  <c r="C119" i="57"/>
  <c r="C123" i="57"/>
  <c r="F122" i="57"/>
  <c r="C122" i="57" s="1"/>
  <c r="D130" i="57"/>
  <c r="H130" i="57"/>
  <c r="H75" i="57" s="1"/>
  <c r="I131" i="57"/>
  <c r="C131" i="57" s="1"/>
  <c r="C146" i="57"/>
  <c r="I144" i="57"/>
  <c r="C149" i="57"/>
  <c r="C162" i="57"/>
  <c r="F160" i="57"/>
  <c r="C167" i="57"/>
  <c r="F166" i="57"/>
  <c r="C180" i="57"/>
  <c r="C192" i="57"/>
  <c r="I191" i="57"/>
  <c r="C207" i="57"/>
  <c r="L205" i="57"/>
  <c r="C137" i="57"/>
  <c r="C145" i="57"/>
  <c r="I166" i="57"/>
  <c r="I165" i="57" s="1"/>
  <c r="C178" i="57"/>
  <c r="C186" i="57"/>
  <c r="J187" i="57"/>
  <c r="N187" i="57"/>
  <c r="K194" i="57"/>
  <c r="M195" i="57"/>
  <c r="O205" i="57"/>
  <c r="O204" i="57" s="1"/>
  <c r="O195" i="57" s="1"/>
  <c r="N230" i="57"/>
  <c r="O238" i="57"/>
  <c r="O231" i="57" s="1"/>
  <c r="E259" i="57"/>
  <c r="E230" i="57" s="1"/>
  <c r="I259" i="57"/>
  <c r="L260" i="57"/>
  <c r="C263" i="57"/>
  <c r="C264" i="57"/>
  <c r="L293" i="57"/>
  <c r="L291" i="57" s="1"/>
  <c r="C158" i="57"/>
  <c r="C170" i="57"/>
  <c r="G174" i="57"/>
  <c r="G173" i="57" s="1"/>
  <c r="K174" i="57"/>
  <c r="K173" i="57" s="1"/>
  <c r="F179" i="57"/>
  <c r="C200" i="57"/>
  <c r="I198" i="57"/>
  <c r="G230" i="57"/>
  <c r="C241" i="57"/>
  <c r="F238" i="57"/>
  <c r="C247" i="57"/>
  <c r="L246" i="57"/>
  <c r="L231" i="57" s="1"/>
  <c r="C276" i="57"/>
  <c r="L160" i="57"/>
  <c r="L130" i="57" s="1"/>
  <c r="O166" i="57"/>
  <c r="O165" i="57" s="1"/>
  <c r="C182" i="57"/>
  <c r="L188" i="57"/>
  <c r="L187" i="57" s="1"/>
  <c r="C199" i="57"/>
  <c r="L198" i="57"/>
  <c r="L196" i="57" s="1"/>
  <c r="C208" i="57"/>
  <c r="I205" i="57"/>
  <c r="C227" i="57"/>
  <c r="C235" i="57"/>
  <c r="F259" i="57"/>
  <c r="C273" i="57"/>
  <c r="F272" i="57"/>
  <c r="C281" i="57"/>
  <c r="C284" i="57"/>
  <c r="C288" i="57"/>
  <c r="I286" i="57"/>
  <c r="C293" i="57"/>
  <c r="C300" i="57"/>
  <c r="C197" i="57"/>
  <c r="F205" i="57"/>
  <c r="C212" i="57"/>
  <c r="C224" i="57"/>
  <c r="H231" i="57"/>
  <c r="H230" i="57" s="1"/>
  <c r="H194" i="57" s="1"/>
  <c r="C233" i="57"/>
  <c r="C240" i="57"/>
  <c r="I238" i="57"/>
  <c r="I231" i="57" s="1"/>
  <c r="C256" i="57"/>
  <c r="C267" i="57"/>
  <c r="E270" i="57"/>
  <c r="E269" i="57" s="1"/>
  <c r="C297" i="57"/>
  <c r="C201" i="57"/>
  <c r="C209" i="57"/>
  <c r="L216" i="57"/>
  <c r="C216" i="57" s="1"/>
  <c r="C221" i="57"/>
  <c r="C232" i="57"/>
  <c r="D231" i="57"/>
  <c r="D230" i="57" s="1"/>
  <c r="M230" i="57"/>
  <c r="C244" i="57"/>
  <c r="C245" i="57"/>
  <c r="C248" i="57"/>
  <c r="C249" i="57"/>
  <c r="F246" i="57"/>
  <c r="C253" i="57"/>
  <c r="O252" i="57"/>
  <c r="O251" i="57" s="1"/>
  <c r="C268" i="57"/>
  <c r="J270" i="57"/>
  <c r="J269" i="57" s="1"/>
  <c r="C280" i="57"/>
  <c r="F283" i="57"/>
  <c r="C283" i="57" s="1"/>
  <c r="C285" i="57"/>
  <c r="C296" i="57"/>
  <c r="L259" i="59" l="1"/>
  <c r="D289" i="58"/>
  <c r="C67" i="59"/>
  <c r="K194" i="61"/>
  <c r="L130" i="60"/>
  <c r="J75" i="60"/>
  <c r="J52" i="60" s="1"/>
  <c r="J51" i="60" s="1"/>
  <c r="I204" i="59"/>
  <c r="M194" i="61"/>
  <c r="J194" i="60"/>
  <c r="O270" i="57"/>
  <c r="O269" i="57" s="1"/>
  <c r="J230" i="57"/>
  <c r="N194" i="57"/>
  <c r="O130" i="59"/>
  <c r="N52" i="57"/>
  <c r="C216" i="61"/>
  <c r="I174" i="61"/>
  <c r="J75" i="61"/>
  <c r="J52" i="61" s="1"/>
  <c r="O231" i="60"/>
  <c r="O230" i="60" s="1"/>
  <c r="N75" i="57"/>
  <c r="L230" i="59"/>
  <c r="C67" i="60"/>
  <c r="I83" i="60"/>
  <c r="G75" i="61"/>
  <c r="C80" i="61"/>
  <c r="M52" i="61"/>
  <c r="N194" i="59"/>
  <c r="J289" i="60"/>
  <c r="N194" i="61"/>
  <c r="F20" i="59"/>
  <c r="L259" i="57"/>
  <c r="L230" i="57" s="1"/>
  <c r="H52" i="57"/>
  <c r="C77" i="57"/>
  <c r="H289" i="58"/>
  <c r="C216" i="59"/>
  <c r="C188" i="59"/>
  <c r="C179" i="60"/>
  <c r="G75" i="60"/>
  <c r="D230" i="61"/>
  <c r="H194" i="61"/>
  <c r="O230" i="61"/>
  <c r="I173" i="61"/>
  <c r="F291" i="61"/>
  <c r="E52" i="61"/>
  <c r="O173" i="59"/>
  <c r="N194" i="60"/>
  <c r="H75" i="59"/>
  <c r="H52" i="59" s="1"/>
  <c r="H51" i="59" s="1"/>
  <c r="L204" i="58"/>
  <c r="L195" i="58" s="1"/>
  <c r="O259" i="57"/>
  <c r="G194" i="57"/>
  <c r="C179" i="57"/>
  <c r="C67" i="57"/>
  <c r="C276" i="58"/>
  <c r="C264" i="58"/>
  <c r="J289" i="57"/>
  <c r="C246" i="57"/>
  <c r="L75" i="57"/>
  <c r="C144" i="57"/>
  <c r="D75" i="57"/>
  <c r="C103" i="57"/>
  <c r="C293" i="58"/>
  <c r="C151" i="58"/>
  <c r="O75" i="58"/>
  <c r="K230" i="59"/>
  <c r="K194" i="59" s="1"/>
  <c r="K51" i="59" s="1"/>
  <c r="E75" i="59"/>
  <c r="C103" i="60"/>
  <c r="L54" i="60"/>
  <c r="L53" i="60" s="1"/>
  <c r="C276" i="61"/>
  <c r="C293" i="61"/>
  <c r="D75" i="61"/>
  <c r="D52" i="61" s="1"/>
  <c r="C58" i="61"/>
  <c r="G194" i="61"/>
  <c r="L291" i="60"/>
  <c r="C160" i="59"/>
  <c r="E75" i="60"/>
  <c r="E289" i="60" s="1"/>
  <c r="G75" i="57"/>
  <c r="M75" i="60"/>
  <c r="M289" i="60" s="1"/>
  <c r="G52" i="61"/>
  <c r="G51" i="61" s="1"/>
  <c r="G289" i="61"/>
  <c r="H289" i="59"/>
  <c r="J50" i="60"/>
  <c r="J290" i="60"/>
  <c r="M289" i="57"/>
  <c r="H51" i="57"/>
  <c r="I83" i="57"/>
  <c r="I53" i="57"/>
  <c r="E289" i="58"/>
  <c r="I130" i="59"/>
  <c r="C95" i="59"/>
  <c r="O53" i="59"/>
  <c r="C151" i="59"/>
  <c r="L259" i="60"/>
  <c r="I204" i="60"/>
  <c r="I195" i="60" s="1"/>
  <c r="F270" i="60"/>
  <c r="N52" i="60"/>
  <c r="N51" i="60" s="1"/>
  <c r="O53" i="60"/>
  <c r="L83" i="60"/>
  <c r="C55" i="60"/>
  <c r="C227" i="61"/>
  <c r="O130" i="61"/>
  <c r="O75" i="61" s="1"/>
  <c r="L83" i="61"/>
  <c r="O53" i="61"/>
  <c r="J289" i="61"/>
  <c r="C160" i="61"/>
  <c r="I83" i="61"/>
  <c r="E230" i="61"/>
  <c r="D75" i="59"/>
  <c r="D289" i="59" s="1"/>
  <c r="E52" i="60"/>
  <c r="D194" i="58"/>
  <c r="K75" i="58"/>
  <c r="K52" i="58" s="1"/>
  <c r="D289" i="57"/>
  <c r="L230" i="58"/>
  <c r="I230" i="59"/>
  <c r="L53" i="59"/>
  <c r="C69" i="59"/>
  <c r="C216" i="60"/>
  <c r="I230" i="60"/>
  <c r="E289" i="61"/>
  <c r="C103" i="61"/>
  <c r="C184" i="61"/>
  <c r="N289" i="57"/>
  <c r="K230" i="60"/>
  <c r="K194" i="60" s="1"/>
  <c r="M194" i="60"/>
  <c r="L204" i="59"/>
  <c r="L195" i="59" s="1"/>
  <c r="L194" i="59" s="1"/>
  <c r="K194" i="58"/>
  <c r="G230" i="58"/>
  <c r="G194" i="58" s="1"/>
  <c r="E194" i="57"/>
  <c r="O53" i="58"/>
  <c r="F291" i="58"/>
  <c r="C291" i="58" s="1"/>
  <c r="J75" i="59"/>
  <c r="C276" i="59"/>
  <c r="I83" i="59"/>
  <c r="O83" i="60"/>
  <c r="O75" i="60" s="1"/>
  <c r="I230" i="61"/>
  <c r="H75" i="61"/>
  <c r="H52" i="61" s="1"/>
  <c r="H51" i="61" s="1"/>
  <c r="K51" i="61"/>
  <c r="K50" i="61" s="1"/>
  <c r="N75" i="61"/>
  <c r="N52" i="61" s="1"/>
  <c r="N51" i="61" s="1"/>
  <c r="D75" i="60"/>
  <c r="G194" i="60"/>
  <c r="O259" i="59"/>
  <c r="D194" i="57"/>
  <c r="I230" i="57"/>
  <c r="J194" i="57"/>
  <c r="O83" i="57"/>
  <c r="O75" i="57" s="1"/>
  <c r="O52" i="57" s="1"/>
  <c r="J51" i="58"/>
  <c r="J50" i="58" s="1"/>
  <c r="M289" i="59"/>
  <c r="O230" i="59"/>
  <c r="I53" i="59"/>
  <c r="G52" i="59"/>
  <c r="G51" i="59" s="1"/>
  <c r="D289" i="61"/>
  <c r="L130" i="61"/>
  <c r="C166" i="61"/>
  <c r="D51" i="58"/>
  <c r="D50" i="58" s="1"/>
  <c r="O259" i="58"/>
  <c r="O230" i="58" s="1"/>
  <c r="G289" i="57"/>
  <c r="K289" i="57"/>
  <c r="C58" i="57"/>
  <c r="J52" i="57"/>
  <c r="J51" i="57" s="1"/>
  <c r="G290" i="61"/>
  <c r="G50" i="61"/>
  <c r="C196" i="61"/>
  <c r="M51" i="61"/>
  <c r="H290" i="61"/>
  <c r="H50" i="61"/>
  <c r="K290" i="61"/>
  <c r="C31" i="61"/>
  <c r="L26" i="61"/>
  <c r="C151" i="61"/>
  <c r="K289" i="61"/>
  <c r="O204" i="61"/>
  <c r="O195" i="61" s="1"/>
  <c r="O194" i="61" s="1"/>
  <c r="C252" i="61"/>
  <c r="F251" i="61"/>
  <c r="C251" i="61" s="1"/>
  <c r="I195" i="61"/>
  <c r="I194" i="61" s="1"/>
  <c r="O173" i="61"/>
  <c r="O52" i="61" s="1"/>
  <c r="C192" i="61"/>
  <c r="F191" i="61"/>
  <c r="C69" i="61"/>
  <c r="F67" i="61"/>
  <c r="C67" i="61" s="1"/>
  <c r="E194" i="61"/>
  <c r="E51" i="61" s="1"/>
  <c r="C122" i="61"/>
  <c r="C175" i="61"/>
  <c r="F174" i="61"/>
  <c r="F54" i="61"/>
  <c r="M289" i="61"/>
  <c r="I75" i="61"/>
  <c r="I52" i="61" s="1"/>
  <c r="I51" i="61" s="1"/>
  <c r="D194" i="61"/>
  <c r="D51" i="61" s="1"/>
  <c r="F83" i="61"/>
  <c r="C83" i="61" s="1"/>
  <c r="C291" i="61"/>
  <c r="C131" i="61"/>
  <c r="F130" i="61"/>
  <c r="C246" i="61"/>
  <c r="C205" i="61"/>
  <c r="F204" i="61"/>
  <c r="H289" i="61"/>
  <c r="F270" i="61"/>
  <c r="C272" i="61"/>
  <c r="L259" i="61"/>
  <c r="C259" i="61" s="1"/>
  <c r="L204" i="61"/>
  <c r="L195" i="61" s="1"/>
  <c r="C188" i="61"/>
  <c r="C238" i="61"/>
  <c r="F231" i="61"/>
  <c r="C89" i="61"/>
  <c r="C77" i="61"/>
  <c r="L76" i="61"/>
  <c r="L75" i="61" s="1"/>
  <c r="L52" i="61" s="1"/>
  <c r="C198" i="61"/>
  <c r="C179" i="61"/>
  <c r="C292" i="61"/>
  <c r="C165" i="61"/>
  <c r="C95" i="61"/>
  <c r="C260" i="61"/>
  <c r="J51" i="61"/>
  <c r="C55" i="61"/>
  <c r="K52" i="60"/>
  <c r="K289" i="60"/>
  <c r="O194" i="60"/>
  <c r="O289" i="60"/>
  <c r="N50" i="60"/>
  <c r="N290" i="60"/>
  <c r="G52" i="60"/>
  <c r="G51" i="60" s="1"/>
  <c r="G289" i="60"/>
  <c r="C292" i="60"/>
  <c r="F291" i="60"/>
  <c r="C205" i="60"/>
  <c r="F204" i="60"/>
  <c r="C204" i="60" s="1"/>
  <c r="C58" i="60"/>
  <c r="F231" i="60"/>
  <c r="L75" i="60"/>
  <c r="F83" i="60"/>
  <c r="C84" i="60"/>
  <c r="H290" i="60"/>
  <c r="H50" i="60"/>
  <c r="C284" i="60"/>
  <c r="F283" i="60"/>
  <c r="C283" i="60" s="1"/>
  <c r="C260" i="60"/>
  <c r="F259" i="60"/>
  <c r="C259" i="60" s="1"/>
  <c r="L195" i="60"/>
  <c r="N289" i="60"/>
  <c r="I174" i="60"/>
  <c r="I173" i="60" s="1"/>
  <c r="C175" i="60"/>
  <c r="F165" i="60"/>
  <c r="C165" i="60" s="1"/>
  <c r="C166" i="60"/>
  <c r="C116" i="60"/>
  <c r="I75" i="60"/>
  <c r="C76" i="60"/>
  <c r="C151" i="60"/>
  <c r="C95" i="60"/>
  <c r="L52" i="60"/>
  <c r="C54" i="60"/>
  <c r="F53" i="60"/>
  <c r="L230" i="60"/>
  <c r="I291" i="60"/>
  <c r="F173" i="60"/>
  <c r="C286" i="60"/>
  <c r="F196" i="60"/>
  <c r="C131" i="60"/>
  <c r="F130" i="60"/>
  <c r="C130" i="60" s="1"/>
  <c r="C69" i="60"/>
  <c r="C45" i="60"/>
  <c r="C27" i="60"/>
  <c r="L26" i="60"/>
  <c r="E194" i="60"/>
  <c r="E51" i="60" s="1"/>
  <c r="C89" i="60"/>
  <c r="C80" i="60"/>
  <c r="C270" i="60"/>
  <c r="F269" i="60"/>
  <c r="C269" i="60" s="1"/>
  <c r="L289" i="60"/>
  <c r="C264" i="60"/>
  <c r="C252" i="60"/>
  <c r="F251" i="60"/>
  <c r="C251" i="60" s="1"/>
  <c r="C238" i="60"/>
  <c r="C188" i="60"/>
  <c r="F187" i="60"/>
  <c r="C187" i="60" s="1"/>
  <c r="F20" i="60"/>
  <c r="G290" i="59"/>
  <c r="G50" i="59"/>
  <c r="J52" i="59"/>
  <c r="J51" i="59" s="1"/>
  <c r="J289" i="59"/>
  <c r="O194" i="59"/>
  <c r="E52" i="59"/>
  <c r="E289" i="59"/>
  <c r="C77" i="59"/>
  <c r="F76" i="59"/>
  <c r="E194" i="59"/>
  <c r="F270" i="59"/>
  <c r="C272" i="59"/>
  <c r="C260" i="59"/>
  <c r="F259" i="59"/>
  <c r="C259" i="59" s="1"/>
  <c r="C122" i="59"/>
  <c r="L83" i="59"/>
  <c r="C89" i="59"/>
  <c r="I292" i="59"/>
  <c r="C21" i="59"/>
  <c r="I20" i="59"/>
  <c r="C235" i="59"/>
  <c r="F231" i="59"/>
  <c r="G289" i="59"/>
  <c r="F130" i="59"/>
  <c r="C131" i="59"/>
  <c r="C103" i="59"/>
  <c r="F54" i="59"/>
  <c r="C55" i="59"/>
  <c r="L292" i="59"/>
  <c r="L291" i="59" s="1"/>
  <c r="L20" i="59"/>
  <c r="M194" i="59"/>
  <c r="M51" i="59" s="1"/>
  <c r="C26" i="59"/>
  <c r="C198" i="59"/>
  <c r="I196" i="59"/>
  <c r="I195" i="59" s="1"/>
  <c r="I194" i="59" s="1"/>
  <c r="I174" i="59"/>
  <c r="I173" i="59" s="1"/>
  <c r="O83" i="59"/>
  <c r="O75" i="59" s="1"/>
  <c r="C284" i="59"/>
  <c r="F283" i="59"/>
  <c r="C283" i="59" s="1"/>
  <c r="F174" i="59"/>
  <c r="C175" i="59"/>
  <c r="F291" i="59"/>
  <c r="F165" i="59"/>
  <c r="C165" i="59" s="1"/>
  <c r="C166" i="59"/>
  <c r="C192" i="59"/>
  <c r="F191" i="59"/>
  <c r="C205" i="59"/>
  <c r="F204" i="59"/>
  <c r="C204" i="59" s="1"/>
  <c r="C252" i="59"/>
  <c r="F251" i="59"/>
  <c r="C251" i="59" s="1"/>
  <c r="K289" i="59"/>
  <c r="C179" i="59"/>
  <c r="N75" i="59"/>
  <c r="C84" i="59"/>
  <c r="F83" i="59"/>
  <c r="C246" i="59"/>
  <c r="L130" i="59"/>
  <c r="C58" i="59"/>
  <c r="G289" i="58"/>
  <c r="G52" i="58"/>
  <c r="N52" i="58"/>
  <c r="N51" i="58" s="1"/>
  <c r="N289" i="58"/>
  <c r="O52" i="58"/>
  <c r="C252" i="58"/>
  <c r="F251" i="58"/>
  <c r="C251" i="58" s="1"/>
  <c r="K289" i="58"/>
  <c r="J290" i="58"/>
  <c r="C175" i="58"/>
  <c r="F174" i="58"/>
  <c r="C205" i="58"/>
  <c r="F204" i="58"/>
  <c r="F195" i="58" s="1"/>
  <c r="M194" i="58"/>
  <c r="M51" i="58" s="1"/>
  <c r="J289" i="58"/>
  <c r="C286" i="58"/>
  <c r="H52" i="58"/>
  <c r="H51" i="58" s="1"/>
  <c r="C69" i="58"/>
  <c r="C166" i="58"/>
  <c r="F165" i="58"/>
  <c r="C165" i="58" s="1"/>
  <c r="C122" i="58"/>
  <c r="I76" i="58"/>
  <c r="F20" i="58"/>
  <c r="I231" i="58"/>
  <c r="I230" i="58" s="1"/>
  <c r="F53" i="58"/>
  <c r="C144" i="58"/>
  <c r="C292" i="58"/>
  <c r="C216" i="58"/>
  <c r="C187" i="58"/>
  <c r="C67" i="58"/>
  <c r="C103" i="58"/>
  <c r="C45" i="58"/>
  <c r="C27" i="58"/>
  <c r="L26" i="58"/>
  <c r="C95" i="58"/>
  <c r="I83" i="58"/>
  <c r="L54" i="58"/>
  <c r="L53" i="58" s="1"/>
  <c r="C84" i="58"/>
  <c r="C198" i="58"/>
  <c r="I196" i="58"/>
  <c r="I195" i="58" s="1"/>
  <c r="I194" i="58" s="1"/>
  <c r="C284" i="58"/>
  <c r="F283" i="58"/>
  <c r="C283" i="58" s="1"/>
  <c r="E194" i="58"/>
  <c r="E51" i="58" s="1"/>
  <c r="C131" i="58"/>
  <c r="F130" i="58"/>
  <c r="C130" i="58" s="1"/>
  <c r="O204" i="58"/>
  <c r="O195" i="58" s="1"/>
  <c r="F270" i="58"/>
  <c r="C55" i="58"/>
  <c r="I54" i="58"/>
  <c r="I53" i="58" s="1"/>
  <c r="C260" i="58"/>
  <c r="F259" i="58"/>
  <c r="C259" i="58" s="1"/>
  <c r="L83" i="58"/>
  <c r="L75" i="58" s="1"/>
  <c r="C77" i="58"/>
  <c r="F76" i="58"/>
  <c r="F83" i="58"/>
  <c r="H290" i="57"/>
  <c r="H50" i="57"/>
  <c r="E51" i="57"/>
  <c r="I187" i="57"/>
  <c r="C191" i="57"/>
  <c r="C45" i="57"/>
  <c r="C84" i="57"/>
  <c r="F83" i="57"/>
  <c r="C83" i="57" s="1"/>
  <c r="C55" i="57"/>
  <c r="G52" i="57"/>
  <c r="G51" i="57" s="1"/>
  <c r="K52" i="57"/>
  <c r="K51" i="57" s="1"/>
  <c r="C286" i="57"/>
  <c r="C259" i="57"/>
  <c r="C238" i="57"/>
  <c r="F231" i="57"/>
  <c r="M194" i="57"/>
  <c r="M51" i="57" s="1"/>
  <c r="C160" i="57"/>
  <c r="D52" i="57"/>
  <c r="D51" i="57" s="1"/>
  <c r="F20" i="57"/>
  <c r="I204" i="57"/>
  <c r="C260" i="57"/>
  <c r="C198" i="57"/>
  <c r="L204" i="57"/>
  <c r="L195" i="57" s="1"/>
  <c r="L194" i="57" s="1"/>
  <c r="I130" i="57"/>
  <c r="I75" i="57" s="1"/>
  <c r="I52" i="57" s="1"/>
  <c r="C252" i="57"/>
  <c r="F251" i="57"/>
  <c r="C251" i="57" s="1"/>
  <c r="H289" i="57"/>
  <c r="C175" i="57"/>
  <c r="F174" i="57"/>
  <c r="C95" i="57"/>
  <c r="I292" i="57"/>
  <c r="I291" i="57" s="1"/>
  <c r="C291" i="57" s="1"/>
  <c r="I196" i="57"/>
  <c r="O20" i="57"/>
  <c r="C205" i="57"/>
  <c r="F204" i="57"/>
  <c r="C27" i="57"/>
  <c r="L26" i="57"/>
  <c r="L52" i="57"/>
  <c r="N51" i="57"/>
  <c r="E289" i="57"/>
  <c r="F270" i="57"/>
  <c r="C272" i="57"/>
  <c r="C166" i="57"/>
  <c r="F165" i="57"/>
  <c r="C165" i="57" s="1"/>
  <c r="O230" i="57"/>
  <c r="O289" i="57" s="1"/>
  <c r="F187" i="57"/>
  <c r="C188" i="57"/>
  <c r="F76" i="57"/>
  <c r="F130" i="57"/>
  <c r="C54" i="57"/>
  <c r="F53" i="57"/>
  <c r="C20" i="59" l="1"/>
  <c r="C292" i="57"/>
  <c r="L194" i="58"/>
  <c r="K50" i="59"/>
  <c r="K290" i="59"/>
  <c r="L289" i="58"/>
  <c r="D52" i="59"/>
  <c r="D51" i="59" s="1"/>
  <c r="D50" i="59" s="1"/>
  <c r="C173" i="60"/>
  <c r="D290" i="58"/>
  <c r="M52" i="60"/>
  <c r="M51" i="60" s="1"/>
  <c r="N50" i="61"/>
  <c r="N290" i="61"/>
  <c r="C130" i="57"/>
  <c r="G51" i="58"/>
  <c r="G50" i="58" s="1"/>
  <c r="C174" i="60"/>
  <c r="C130" i="61"/>
  <c r="I75" i="59"/>
  <c r="I52" i="59" s="1"/>
  <c r="I51" i="59" s="1"/>
  <c r="O52" i="60"/>
  <c r="O51" i="60" s="1"/>
  <c r="I194" i="60"/>
  <c r="F195" i="59"/>
  <c r="L194" i="60"/>
  <c r="K51" i="60"/>
  <c r="K50" i="60" s="1"/>
  <c r="I289" i="61"/>
  <c r="D52" i="60"/>
  <c r="D51" i="60" s="1"/>
  <c r="D289" i="60"/>
  <c r="N289" i="61"/>
  <c r="F230" i="58"/>
  <c r="C230" i="58" s="1"/>
  <c r="O51" i="61"/>
  <c r="O290" i="61" s="1"/>
  <c r="I52" i="60"/>
  <c r="I51" i="60" s="1"/>
  <c r="I50" i="60" s="1"/>
  <c r="I289" i="60"/>
  <c r="C76" i="61"/>
  <c r="K51" i="58"/>
  <c r="H290" i="59"/>
  <c r="H50" i="59"/>
  <c r="D290" i="61"/>
  <c r="D50" i="61"/>
  <c r="O50" i="61"/>
  <c r="C26" i="61"/>
  <c r="L20" i="61"/>
  <c r="C20" i="61" s="1"/>
  <c r="F230" i="61"/>
  <c r="C231" i="61"/>
  <c r="I290" i="61"/>
  <c r="I50" i="61"/>
  <c r="F53" i="61"/>
  <c r="C54" i="61"/>
  <c r="L230" i="61"/>
  <c r="L289" i="61" s="1"/>
  <c r="E290" i="61"/>
  <c r="E50" i="61"/>
  <c r="M50" i="61"/>
  <c r="M290" i="61"/>
  <c r="C204" i="61"/>
  <c r="F195" i="61"/>
  <c r="J50" i="61"/>
  <c r="J290" i="61"/>
  <c r="F269" i="61"/>
  <c r="C270" i="61"/>
  <c r="F75" i="61"/>
  <c r="C75" i="61" s="1"/>
  <c r="C174" i="61"/>
  <c r="F173" i="61"/>
  <c r="C173" i="61" s="1"/>
  <c r="C191" i="61"/>
  <c r="F187" i="61"/>
  <c r="C187" i="61" s="1"/>
  <c r="O289" i="61"/>
  <c r="I290" i="60"/>
  <c r="E290" i="60"/>
  <c r="E50" i="60"/>
  <c r="F195" i="60"/>
  <c r="C196" i="60"/>
  <c r="C83" i="60"/>
  <c r="F75" i="60"/>
  <c r="C75" i="60" s="1"/>
  <c r="C26" i="60"/>
  <c r="L20" i="60"/>
  <c r="C20" i="60" s="1"/>
  <c r="L51" i="60"/>
  <c r="L50" i="60" s="1"/>
  <c r="C291" i="60"/>
  <c r="G290" i="60"/>
  <c r="G50" i="60"/>
  <c r="C53" i="60"/>
  <c r="F52" i="60"/>
  <c r="F230" i="60"/>
  <c r="C230" i="60" s="1"/>
  <c r="C231" i="60"/>
  <c r="O289" i="59"/>
  <c r="O52" i="59"/>
  <c r="O51" i="59" s="1"/>
  <c r="N52" i="59"/>
  <c r="N51" i="59" s="1"/>
  <c r="N289" i="59"/>
  <c r="F173" i="59"/>
  <c r="C173" i="59" s="1"/>
  <c r="C174" i="59"/>
  <c r="C196" i="59"/>
  <c r="E51" i="59"/>
  <c r="C195" i="59"/>
  <c r="M50" i="59"/>
  <c r="M290" i="59"/>
  <c r="F230" i="59"/>
  <c r="C230" i="59" s="1"/>
  <c r="C231" i="59"/>
  <c r="I291" i="59"/>
  <c r="C291" i="59" s="1"/>
  <c r="C292" i="59"/>
  <c r="C83" i="59"/>
  <c r="C191" i="59"/>
  <c r="F187" i="59"/>
  <c r="C187" i="59" s="1"/>
  <c r="C130" i="59"/>
  <c r="L75" i="59"/>
  <c r="C76" i="59"/>
  <c r="F75" i="59"/>
  <c r="J50" i="59"/>
  <c r="J290" i="59"/>
  <c r="F53" i="59"/>
  <c r="C54" i="59"/>
  <c r="F269" i="59"/>
  <c r="C270" i="59"/>
  <c r="I289" i="59"/>
  <c r="O194" i="58"/>
  <c r="O289" i="58"/>
  <c r="F75" i="58"/>
  <c r="C76" i="58"/>
  <c r="C53" i="58"/>
  <c r="L52" i="58"/>
  <c r="L51" i="58" s="1"/>
  <c r="L50" i="58" s="1"/>
  <c r="C26" i="58"/>
  <c r="L20" i="58"/>
  <c r="C20" i="58" s="1"/>
  <c r="C54" i="58"/>
  <c r="I75" i="58"/>
  <c r="I289" i="58" s="1"/>
  <c r="C196" i="58"/>
  <c r="C204" i="58"/>
  <c r="C174" i="58"/>
  <c r="F173" i="58"/>
  <c r="C173" i="58" s="1"/>
  <c r="N50" i="58"/>
  <c r="N290" i="58"/>
  <c r="M50" i="58"/>
  <c r="M290" i="58"/>
  <c r="H290" i="58"/>
  <c r="H50" i="58"/>
  <c r="C195" i="58"/>
  <c r="C83" i="58"/>
  <c r="F269" i="58"/>
  <c r="F194" i="58" s="1"/>
  <c r="C194" i="58" s="1"/>
  <c r="C270" i="58"/>
  <c r="E290" i="58"/>
  <c r="E50" i="58"/>
  <c r="C231" i="58"/>
  <c r="O51" i="58"/>
  <c r="M50" i="57"/>
  <c r="M290" i="57"/>
  <c r="E290" i="57"/>
  <c r="E50" i="57"/>
  <c r="L289" i="57"/>
  <c r="C187" i="57"/>
  <c r="L51" i="57"/>
  <c r="L50" i="57" s="1"/>
  <c r="C204" i="57"/>
  <c r="F195" i="57"/>
  <c r="F230" i="57"/>
  <c r="C230" i="57" s="1"/>
  <c r="C231" i="57"/>
  <c r="J50" i="57"/>
  <c r="J290" i="57"/>
  <c r="C53" i="57"/>
  <c r="F269" i="57"/>
  <c r="C270" i="57"/>
  <c r="C26" i="57"/>
  <c r="L20" i="57"/>
  <c r="C20" i="57" s="1"/>
  <c r="D290" i="57"/>
  <c r="D50" i="57"/>
  <c r="K50" i="57"/>
  <c r="K290" i="57"/>
  <c r="O194" i="57"/>
  <c r="O51" i="57" s="1"/>
  <c r="N50" i="57"/>
  <c r="N290" i="57"/>
  <c r="I195" i="57"/>
  <c r="C196" i="57"/>
  <c r="F75" i="57"/>
  <c r="C75" i="57" s="1"/>
  <c r="C76" i="57"/>
  <c r="C174" i="57"/>
  <c r="F173" i="57"/>
  <c r="C173" i="57" s="1"/>
  <c r="G290" i="57"/>
  <c r="G50" i="57"/>
  <c r="D290" i="59" l="1"/>
  <c r="K290" i="60"/>
  <c r="F289" i="60"/>
  <c r="C289" i="60" s="1"/>
  <c r="G290" i="58"/>
  <c r="L290" i="60"/>
  <c r="M50" i="60"/>
  <c r="M290" i="60"/>
  <c r="O290" i="60"/>
  <c r="O50" i="60"/>
  <c r="I290" i="59"/>
  <c r="I50" i="59"/>
  <c r="F52" i="57"/>
  <c r="C52" i="57" s="1"/>
  <c r="I52" i="58"/>
  <c r="I51" i="58" s="1"/>
  <c r="I290" i="58" s="1"/>
  <c r="D290" i="60"/>
  <c r="D50" i="60"/>
  <c r="K50" i="58"/>
  <c r="K290" i="58"/>
  <c r="L290" i="57"/>
  <c r="L290" i="58"/>
  <c r="C75" i="58"/>
  <c r="F194" i="61"/>
  <c r="C195" i="61"/>
  <c r="F52" i="61"/>
  <c r="C53" i="61"/>
  <c r="C269" i="61"/>
  <c r="F289" i="61"/>
  <c r="C289" i="61" s="1"/>
  <c r="C230" i="61"/>
  <c r="L194" i="61"/>
  <c r="L51" i="61" s="1"/>
  <c r="C52" i="60"/>
  <c r="F194" i="60"/>
  <c r="C194" i="60" s="1"/>
  <c r="C195" i="60"/>
  <c r="L289" i="59"/>
  <c r="L52" i="59"/>
  <c r="L51" i="59" s="1"/>
  <c r="C269" i="59"/>
  <c r="F289" i="59"/>
  <c r="F194" i="59"/>
  <c r="C194" i="59" s="1"/>
  <c r="E290" i="59"/>
  <c r="E50" i="59"/>
  <c r="O50" i="59"/>
  <c r="O290" i="59"/>
  <c r="C75" i="59"/>
  <c r="C53" i="59"/>
  <c r="F52" i="59"/>
  <c r="N50" i="59"/>
  <c r="N290" i="59"/>
  <c r="I50" i="58"/>
  <c r="O50" i="58"/>
  <c r="O290" i="58"/>
  <c r="C269" i="58"/>
  <c r="F289" i="58"/>
  <c r="C289" i="58" s="1"/>
  <c r="F52" i="58"/>
  <c r="I194" i="57"/>
  <c r="I51" i="57" s="1"/>
  <c r="I289" i="57"/>
  <c r="C269" i="57"/>
  <c r="F289" i="57"/>
  <c r="F194" i="57"/>
  <c r="F51" i="57" s="1"/>
  <c r="C195" i="57"/>
  <c r="O50" i="57"/>
  <c r="O290" i="57"/>
  <c r="F51" i="60" l="1"/>
  <c r="C194" i="61"/>
  <c r="C194" i="57"/>
  <c r="C289" i="59"/>
  <c r="C289" i="57"/>
  <c r="L50" i="61"/>
  <c r="L290" i="61"/>
  <c r="C52" i="61"/>
  <c r="F51" i="61"/>
  <c r="F290" i="60"/>
  <c r="C290" i="60" s="1"/>
  <c r="F50" i="60"/>
  <c r="C50" i="60" s="1"/>
  <c r="C51" i="60"/>
  <c r="C52" i="59"/>
  <c r="F51" i="59"/>
  <c r="L50" i="59"/>
  <c r="L290" i="59"/>
  <c r="F51" i="58"/>
  <c r="C52" i="58"/>
  <c r="F290" i="57"/>
  <c r="F50" i="57"/>
  <c r="C51" i="57"/>
  <c r="I290" i="57"/>
  <c r="I50" i="57"/>
  <c r="F290" i="61" l="1"/>
  <c r="C290" i="61" s="1"/>
  <c r="C51" i="61"/>
  <c r="F50" i="61"/>
  <c r="C50" i="61" s="1"/>
  <c r="F290" i="59"/>
  <c r="C290" i="59" s="1"/>
  <c r="F50" i="59"/>
  <c r="C50" i="59" s="1"/>
  <c r="C51" i="59"/>
  <c r="F290" i="58"/>
  <c r="C290" i="58" s="1"/>
  <c r="C51" i="58"/>
  <c r="F50" i="58"/>
  <c r="C50" i="58" s="1"/>
  <c r="C50" i="57"/>
  <c r="C290" i="57"/>
  <c r="E92" i="14" l="1"/>
  <c r="O301" i="56" l="1"/>
  <c r="L301" i="56"/>
  <c r="I301" i="56"/>
  <c r="F301" i="56"/>
  <c r="O300" i="56"/>
  <c r="L300" i="56"/>
  <c r="I300" i="56"/>
  <c r="F300" i="56"/>
  <c r="O299" i="56"/>
  <c r="L299" i="56"/>
  <c r="I299" i="56"/>
  <c r="F299" i="56"/>
  <c r="O298" i="56"/>
  <c r="L298" i="56"/>
  <c r="I298" i="56"/>
  <c r="F298" i="56"/>
  <c r="O297" i="56"/>
  <c r="L297" i="56"/>
  <c r="I297" i="56"/>
  <c r="F297" i="56"/>
  <c r="O296" i="56"/>
  <c r="L296" i="56"/>
  <c r="I296" i="56"/>
  <c r="F296" i="56"/>
  <c r="O295" i="56"/>
  <c r="L295" i="56"/>
  <c r="I295" i="56"/>
  <c r="F295" i="56"/>
  <c r="O294" i="56"/>
  <c r="L294" i="56"/>
  <c r="I294" i="56"/>
  <c r="I293" i="56" s="1"/>
  <c r="F294" i="56"/>
  <c r="N293" i="56"/>
  <c r="M293" i="56"/>
  <c r="L293" i="56"/>
  <c r="K293" i="56"/>
  <c r="J293" i="56"/>
  <c r="H293" i="56"/>
  <c r="G293" i="56"/>
  <c r="E293" i="56"/>
  <c r="D293" i="56"/>
  <c r="O288" i="56"/>
  <c r="L288" i="56"/>
  <c r="I288" i="56"/>
  <c r="F288" i="56"/>
  <c r="O287" i="56"/>
  <c r="L287" i="56"/>
  <c r="L286" i="56" s="1"/>
  <c r="I287" i="56"/>
  <c r="F287" i="56"/>
  <c r="F286" i="56" s="1"/>
  <c r="O286" i="56"/>
  <c r="N286" i="56"/>
  <c r="M286" i="56"/>
  <c r="K286" i="56"/>
  <c r="J286" i="56"/>
  <c r="H286" i="56"/>
  <c r="G286" i="56"/>
  <c r="E286" i="56"/>
  <c r="D286" i="56"/>
  <c r="O285" i="56"/>
  <c r="L285" i="56"/>
  <c r="L284" i="56" s="1"/>
  <c r="L283" i="56" s="1"/>
  <c r="I285" i="56"/>
  <c r="F285" i="56"/>
  <c r="O284" i="56"/>
  <c r="O283" i="56" s="1"/>
  <c r="N284" i="56"/>
  <c r="N283" i="56" s="1"/>
  <c r="M284" i="56"/>
  <c r="M283" i="56" s="1"/>
  <c r="K284" i="56"/>
  <c r="K283" i="56" s="1"/>
  <c r="J284" i="56"/>
  <c r="I284" i="56"/>
  <c r="I283" i="56" s="1"/>
  <c r="H284" i="56"/>
  <c r="G284" i="56"/>
  <c r="G283" i="56" s="1"/>
  <c r="E284" i="56"/>
  <c r="E283" i="56" s="1"/>
  <c r="D284" i="56"/>
  <c r="J283" i="56"/>
  <c r="H283" i="56"/>
  <c r="D283" i="56"/>
  <c r="O282" i="56"/>
  <c r="O281" i="56" s="1"/>
  <c r="L282" i="56"/>
  <c r="L281" i="56" s="1"/>
  <c r="I282" i="56"/>
  <c r="I281" i="56" s="1"/>
  <c r="F282" i="56"/>
  <c r="N281" i="56"/>
  <c r="M281" i="56"/>
  <c r="K281" i="56"/>
  <c r="J281" i="56"/>
  <c r="H281" i="56"/>
  <c r="G281" i="56"/>
  <c r="F281" i="56"/>
  <c r="E281" i="56"/>
  <c r="D281" i="56"/>
  <c r="O280" i="56"/>
  <c r="L280" i="56"/>
  <c r="I280" i="56"/>
  <c r="F280" i="56"/>
  <c r="O279" i="56"/>
  <c r="L279" i="56"/>
  <c r="I279" i="56"/>
  <c r="F279" i="56"/>
  <c r="O278" i="56"/>
  <c r="L278" i="56"/>
  <c r="I278" i="56"/>
  <c r="F278" i="56"/>
  <c r="C278" i="56" s="1"/>
  <c r="O277" i="56"/>
  <c r="L277" i="56"/>
  <c r="L276" i="56" s="1"/>
  <c r="I277" i="56"/>
  <c r="I276" i="56" s="1"/>
  <c r="F277" i="56"/>
  <c r="N276" i="56"/>
  <c r="M276" i="56"/>
  <c r="K276" i="56"/>
  <c r="J276" i="56"/>
  <c r="H276" i="56"/>
  <c r="G276" i="56"/>
  <c r="E276" i="56"/>
  <c r="D276" i="56"/>
  <c r="O275" i="56"/>
  <c r="L275" i="56"/>
  <c r="I275" i="56"/>
  <c r="F275" i="56"/>
  <c r="O274" i="56"/>
  <c r="L274" i="56"/>
  <c r="I274" i="56"/>
  <c r="F274" i="56"/>
  <c r="C274" i="56" s="1"/>
  <c r="O273" i="56"/>
  <c r="L273" i="56"/>
  <c r="I273" i="56"/>
  <c r="I272" i="56" s="1"/>
  <c r="F273" i="56"/>
  <c r="N272" i="56"/>
  <c r="M272" i="56"/>
  <c r="M270" i="56" s="1"/>
  <c r="M269" i="56" s="1"/>
  <c r="K272" i="56"/>
  <c r="J272" i="56"/>
  <c r="H272" i="56"/>
  <c r="H270" i="56" s="1"/>
  <c r="G272" i="56"/>
  <c r="E272" i="56"/>
  <c r="D272" i="56"/>
  <c r="O271" i="56"/>
  <c r="L271" i="56"/>
  <c r="I271" i="56"/>
  <c r="F271" i="56"/>
  <c r="N270" i="56"/>
  <c r="N269" i="56" s="1"/>
  <c r="K270" i="56"/>
  <c r="K269" i="56" s="1"/>
  <c r="J270" i="56"/>
  <c r="G270" i="56"/>
  <c r="G269" i="56" s="1"/>
  <c r="D270" i="56"/>
  <c r="J269" i="56"/>
  <c r="O268" i="56"/>
  <c r="L268" i="56"/>
  <c r="I268" i="56"/>
  <c r="F268" i="56"/>
  <c r="O267" i="56"/>
  <c r="L267" i="56"/>
  <c r="I267" i="56"/>
  <c r="F267" i="56"/>
  <c r="O266" i="56"/>
  <c r="L266" i="56"/>
  <c r="I266" i="56"/>
  <c r="F266" i="56"/>
  <c r="C266" i="56" s="1"/>
  <c r="O265" i="56"/>
  <c r="L265" i="56"/>
  <c r="L264" i="56" s="1"/>
  <c r="I265" i="56"/>
  <c r="F265" i="56"/>
  <c r="N264" i="56"/>
  <c r="M264" i="56"/>
  <c r="K264" i="56"/>
  <c r="J264" i="56"/>
  <c r="H264" i="56"/>
  <c r="G264" i="56"/>
  <c r="E264" i="56"/>
  <c r="D264" i="56"/>
  <c r="O263" i="56"/>
  <c r="L263" i="56"/>
  <c r="I263" i="56"/>
  <c r="F263" i="56"/>
  <c r="O262" i="56"/>
  <c r="L262" i="56"/>
  <c r="I262" i="56"/>
  <c r="F262" i="56"/>
  <c r="C262" i="56" s="1"/>
  <c r="O261" i="56"/>
  <c r="L261" i="56"/>
  <c r="I261" i="56"/>
  <c r="F261" i="56"/>
  <c r="N260" i="56"/>
  <c r="M260" i="56"/>
  <c r="K260" i="56"/>
  <c r="K259" i="56" s="1"/>
  <c r="J260" i="56"/>
  <c r="J259" i="56" s="1"/>
  <c r="H260" i="56"/>
  <c r="G260" i="56"/>
  <c r="G259" i="56" s="1"/>
  <c r="E260" i="56"/>
  <c r="E259" i="56" s="1"/>
  <c r="D260" i="56"/>
  <c r="D259" i="56" s="1"/>
  <c r="N259" i="56"/>
  <c r="H259" i="56"/>
  <c r="O258" i="56"/>
  <c r="L258" i="56"/>
  <c r="I258" i="56"/>
  <c r="F258" i="56"/>
  <c r="C258" i="56" s="1"/>
  <c r="O257" i="56"/>
  <c r="L257" i="56"/>
  <c r="I257" i="56"/>
  <c r="F257" i="56"/>
  <c r="O256" i="56"/>
  <c r="L256" i="56"/>
  <c r="I256" i="56"/>
  <c r="F256" i="56"/>
  <c r="O255" i="56"/>
  <c r="L255" i="56"/>
  <c r="I255" i="56"/>
  <c r="F255" i="56"/>
  <c r="O254" i="56"/>
  <c r="L254" i="56"/>
  <c r="I254" i="56"/>
  <c r="F254" i="56"/>
  <c r="C254" i="56" s="1"/>
  <c r="O253" i="56"/>
  <c r="L253" i="56"/>
  <c r="I253" i="56"/>
  <c r="I252" i="56" s="1"/>
  <c r="I251" i="56" s="1"/>
  <c r="F253" i="56"/>
  <c r="N252" i="56"/>
  <c r="M252" i="56"/>
  <c r="M251" i="56" s="1"/>
  <c r="K252" i="56"/>
  <c r="K251" i="56" s="1"/>
  <c r="J252" i="56"/>
  <c r="J251" i="56" s="1"/>
  <c r="H252" i="56"/>
  <c r="G252" i="56"/>
  <c r="G251" i="56" s="1"/>
  <c r="E252" i="56"/>
  <c r="E251" i="56" s="1"/>
  <c r="D252" i="56"/>
  <c r="N251" i="56"/>
  <c r="H251" i="56"/>
  <c r="D251" i="56"/>
  <c r="O250" i="56"/>
  <c r="L250" i="56"/>
  <c r="I250" i="56"/>
  <c r="F250" i="56"/>
  <c r="O249" i="56"/>
  <c r="L249" i="56"/>
  <c r="I249" i="56"/>
  <c r="F249" i="56"/>
  <c r="O248" i="56"/>
  <c r="L248" i="56"/>
  <c r="I248" i="56"/>
  <c r="F248" i="56"/>
  <c r="O247" i="56"/>
  <c r="L247" i="56"/>
  <c r="L246" i="56" s="1"/>
  <c r="I247" i="56"/>
  <c r="F247" i="56"/>
  <c r="F246" i="56" s="1"/>
  <c r="O246" i="56"/>
  <c r="N246" i="56"/>
  <c r="M246" i="56"/>
  <c r="K246" i="56"/>
  <c r="J246" i="56"/>
  <c r="H246" i="56"/>
  <c r="G246" i="56"/>
  <c r="E246" i="56"/>
  <c r="D246" i="56"/>
  <c r="O245" i="56"/>
  <c r="L245" i="56"/>
  <c r="I245" i="56"/>
  <c r="F245" i="56"/>
  <c r="O244" i="56"/>
  <c r="L244" i="56"/>
  <c r="I244" i="56"/>
  <c r="F244" i="56"/>
  <c r="O243" i="56"/>
  <c r="L243" i="56"/>
  <c r="I243" i="56"/>
  <c r="F243" i="56"/>
  <c r="O242" i="56"/>
  <c r="L242" i="56"/>
  <c r="I242" i="56"/>
  <c r="F242" i="56"/>
  <c r="O241" i="56"/>
  <c r="L241" i="56"/>
  <c r="I241" i="56"/>
  <c r="F241" i="56"/>
  <c r="O240" i="56"/>
  <c r="L240" i="56"/>
  <c r="I240" i="56"/>
  <c r="F240" i="56"/>
  <c r="O239" i="56"/>
  <c r="L239" i="56"/>
  <c r="L238" i="56" s="1"/>
  <c r="I239" i="56"/>
  <c r="F239" i="56"/>
  <c r="F238" i="56" s="1"/>
  <c r="O238" i="56"/>
  <c r="N238" i="56"/>
  <c r="M238" i="56"/>
  <c r="K238" i="56"/>
  <c r="J238" i="56"/>
  <c r="H238" i="56"/>
  <c r="G238" i="56"/>
  <c r="E238" i="56"/>
  <c r="D238" i="56"/>
  <c r="O237" i="56"/>
  <c r="L237" i="56"/>
  <c r="I237" i="56"/>
  <c r="F237" i="56"/>
  <c r="O236" i="56"/>
  <c r="O235" i="56" s="1"/>
  <c r="L236" i="56"/>
  <c r="I236" i="56"/>
  <c r="F236" i="56"/>
  <c r="N235" i="56"/>
  <c r="M235" i="56"/>
  <c r="L235" i="56"/>
  <c r="K235" i="56"/>
  <c r="J235" i="56"/>
  <c r="H235" i="56"/>
  <c r="G235" i="56"/>
  <c r="F235" i="56"/>
  <c r="E235" i="56"/>
  <c r="D235" i="56"/>
  <c r="O234" i="56"/>
  <c r="O233" i="56" s="1"/>
  <c r="L234" i="56"/>
  <c r="L233" i="56" s="1"/>
  <c r="I234" i="56"/>
  <c r="I233" i="56" s="1"/>
  <c r="F234" i="56"/>
  <c r="N233" i="56"/>
  <c r="M233" i="56"/>
  <c r="K233" i="56"/>
  <c r="J233" i="56"/>
  <c r="J231" i="56" s="1"/>
  <c r="H233" i="56"/>
  <c r="H231" i="56" s="1"/>
  <c r="H230" i="56" s="1"/>
  <c r="G233" i="56"/>
  <c r="F233" i="56"/>
  <c r="E233" i="56"/>
  <c r="D233" i="56"/>
  <c r="D231" i="56" s="1"/>
  <c r="O232" i="56"/>
  <c r="L232" i="56"/>
  <c r="I232" i="56"/>
  <c r="F232" i="56"/>
  <c r="M231" i="56"/>
  <c r="E231" i="56"/>
  <c r="O229" i="56"/>
  <c r="L229" i="56"/>
  <c r="I229" i="56"/>
  <c r="F229" i="56"/>
  <c r="O228" i="56"/>
  <c r="O227" i="56" s="1"/>
  <c r="L228" i="56"/>
  <c r="L227" i="56" s="1"/>
  <c r="I228" i="56"/>
  <c r="I227" i="56" s="1"/>
  <c r="F228" i="56"/>
  <c r="N227" i="56"/>
  <c r="M227" i="56"/>
  <c r="K227" i="56"/>
  <c r="J227" i="56"/>
  <c r="H227" i="56"/>
  <c r="G227" i="56"/>
  <c r="F227" i="56"/>
  <c r="E227" i="56"/>
  <c r="D227" i="56"/>
  <c r="O226" i="56"/>
  <c r="L226" i="56"/>
  <c r="I226" i="56"/>
  <c r="F226" i="56"/>
  <c r="O225" i="56"/>
  <c r="L225" i="56"/>
  <c r="I225" i="56"/>
  <c r="F225" i="56"/>
  <c r="O224" i="56"/>
  <c r="L224" i="56"/>
  <c r="I224" i="56"/>
  <c r="F224" i="56"/>
  <c r="O223" i="56"/>
  <c r="L223" i="56"/>
  <c r="I223" i="56"/>
  <c r="F223" i="56"/>
  <c r="O222" i="56"/>
  <c r="L222" i="56"/>
  <c r="I222" i="56"/>
  <c r="F222" i="56"/>
  <c r="O221" i="56"/>
  <c r="L221" i="56"/>
  <c r="I221" i="56"/>
  <c r="F221" i="56"/>
  <c r="O220" i="56"/>
  <c r="L220" i="56"/>
  <c r="I220" i="56"/>
  <c r="F220" i="56"/>
  <c r="O219" i="56"/>
  <c r="L219" i="56"/>
  <c r="I219" i="56"/>
  <c r="F219" i="56"/>
  <c r="O218" i="56"/>
  <c r="L218" i="56"/>
  <c r="I218" i="56"/>
  <c r="F218" i="56"/>
  <c r="O217" i="56"/>
  <c r="L217" i="56"/>
  <c r="I217" i="56"/>
  <c r="F217" i="56"/>
  <c r="N216" i="56"/>
  <c r="M216" i="56"/>
  <c r="K216" i="56"/>
  <c r="J216" i="56"/>
  <c r="H216" i="56"/>
  <c r="G216" i="56"/>
  <c r="E216" i="56"/>
  <c r="D216" i="56"/>
  <c r="O215" i="56"/>
  <c r="L215" i="56"/>
  <c r="I215" i="56"/>
  <c r="F215" i="56"/>
  <c r="O214" i="56"/>
  <c r="L214" i="56"/>
  <c r="I214" i="56"/>
  <c r="F214" i="56"/>
  <c r="C214" i="56" s="1"/>
  <c r="O213" i="56"/>
  <c r="L213" i="56"/>
  <c r="I213" i="56"/>
  <c r="F213" i="56"/>
  <c r="O212" i="56"/>
  <c r="L212" i="56"/>
  <c r="I212" i="56"/>
  <c r="F212" i="56"/>
  <c r="O211" i="56"/>
  <c r="L211" i="56"/>
  <c r="I211" i="56"/>
  <c r="F211" i="56"/>
  <c r="O210" i="56"/>
  <c r="L210" i="56"/>
  <c r="I210" i="56"/>
  <c r="F210" i="56"/>
  <c r="O209" i="56"/>
  <c r="L209" i="56"/>
  <c r="I209" i="56"/>
  <c r="F209" i="56"/>
  <c r="O208" i="56"/>
  <c r="L208" i="56"/>
  <c r="I208" i="56"/>
  <c r="F208" i="56"/>
  <c r="O207" i="56"/>
  <c r="L207" i="56"/>
  <c r="I207" i="56"/>
  <c r="F207" i="56"/>
  <c r="O206" i="56"/>
  <c r="L206" i="56"/>
  <c r="I206" i="56"/>
  <c r="F206" i="56"/>
  <c r="N205" i="56"/>
  <c r="M205" i="56"/>
  <c r="K205" i="56"/>
  <c r="J205" i="56"/>
  <c r="H205" i="56"/>
  <c r="H204" i="56" s="1"/>
  <c r="G205" i="56"/>
  <c r="E205" i="56"/>
  <c r="E204" i="56" s="1"/>
  <c r="D205" i="56"/>
  <c r="D204" i="56" s="1"/>
  <c r="M204" i="56"/>
  <c r="O203" i="56"/>
  <c r="L203" i="56"/>
  <c r="I203" i="56"/>
  <c r="F203" i="56"/>
  <c r="O202" i="56"/>
  <c r="L202" i="56"/>
  <c r="I202" i="56"/>
  <c r="F202" i="56"/>
  <c r="O201" i="56"/>
  <c r="L201" i="56"/>
  <c r="I201" i="56"/>
  <c r="F201" i="56"/>
  <c r="O200" i="56"/>
  <c r="L200" i="56"/>
  <c r="I200" i="56"/>
  <c r="F200" i="56"/>
  <c r="O199" i="56"/>
  <c r="L199" i="56"/>
  <c r="L198" i="56" s="1"/>
  <c r="I199" i="56"/>
  <c r="F199" i="56"/>
  <c r="F198" i="56" s="1"/>
  <c r="O198" i="56"/>
  <c r="N198" i="56"/>
  <c r="M198" i="56"/>
  <c r="K198" i="56"/>
  <c r="K196" i="56" s="1"/>
  <c r="J198" i="56"/>
  <c r="H198" i="56"/>
  <c r="H196" i="56" s="1"/>
  <c r="G198" i="56"/>
  <c r="G196" i="56" s="1"/>
  <c r="E198" i="56"/>
  <c r="E196" i="56" s="1"/>
  <c r="D198" i="56"/>
  <c r="O197" i="56"/>
  <c r="L197" i="56"/>
  <c r="I197" i="56"/>
  <c r="F197" i="56"/>
  <c r="N196" i="56"/>
  <c r="M196" i="56"/>
  <c r="J196" i="56"/>
  <c r="D196" i="56"/>
  <c r="O193" i="56"/>
  <c r="O192" i="56" s="1"/>
  <c r="O191" i="56" s="1"/>
  <c r="L193" i="56"/>
  <c r="L192" i="56" s="1"/>
  <c r="L191" i="56" s="1"/>
  <c r="I193" i="56"/>
  <c r="F193" i="56"/>
  <c r="N192" i="56"/>
  <c r="N191" i="56" s="1"/>
  <c r="M192" i="56"/>
  <c r="M191" i="56" s="1"/>
  <c r="K192" i="56"/>
  <c r="K191" i="56" s="1"/>
  <c r="J192" i="56"/>
  <c r="J191" i="56" s="1"/>
  <c r="I192" i="56"/>
  <c r="I191" i="56" s="1"/>
  <c r="H192" i="56"/>
  <c r="H191" i="56" s="1"/>
  <c r="G192" i="56"/>
  <c r="G191" i="56" s="1"/>
  <c r="E192" i="56"/>
  <c r="E191" i="56" s="1"/>
  <c r="D192" i="56"/>
  <c r="D191" i="56" s="1"/>
  <c r="O190" i="56"/>
  <c r="L190" i="56"/>
  <c r="I190" i="56"/>
  <c r="F190" i="56"/>
  <c r="O189" i="56"/>
  <c r="L189" i="56"/>
  <c r="L188" i="56" s="1"/>
  <c r="I189" i="56"/>
  <c r="I188" i="56" s="1"/>
  <c r="F189" i="56"/>
  <c r="N188" i="56"/>
  <c r="M188" i="56"/>
  <c r="K188" i="56"/>
  <c r="J188" i="56"/>
  <c r="J187" i="56" s="1"/>
  <c r="H188" i="56"/>
  <c r="G188" i="56"/>
  <c r="E188" i="56"/>
  <c r="E187" i="56" s="1"/>
  <c r="D188" i="56"/>
  <c r="O186" i="56"/>
  <c r="L186" i="56"/>
  <c r="I186" i="56"/>
  <c r="F186" i="56"/>
  <c r="O185" i="56"/>
  <c r="L185" i="56"/>
  <c r="I185" i="56"/>
  <c r="I184" i="56" s="1"/>
  <c r="F185" i="56"/>
  <c r="N184" i="56"/>
  <c r="M184" i="56"/>
  <c r="L184" i="56"/>
  <c r="K184" i="56"/>
  <c r="J184" i="56"/>
  <c r="H184" i="56"/>
  <c r="G184" i="56"/>
  <c r="E184" i="56"/>
  <c r="D184" i="56"/>
  <c r="O183" i="56"/>
  <c r="L183" i="56"/>
  <c r="I183" i="56"/>
  <c r="F183" i="56"/>
  <c r="O182" i="56"/>
  <c r="L182" i="56"/>
  <c r="I182" i="56"/>
  <c r="F182" i="56"/>
  <c r="O181" i="56"/>
  <c r="L181" i="56"/>
  <c r="I181" i="56"/>
  <c r="F181" i="56"/>
  <c r="O180" i="56"/>
  <c r="O179" i="56" s="1"/>
  <c r="L180" i="56"/>
  <c r="I180" i="56"/>
  <c r="I179" i="56" s="1"/>
  <c r="F180" i="56"/>
  <c r="N179" i="56"/>
  <c r="M179" i="56"/>
  <c r="K179" i="56"/>
  <c r="J179" i="56"/>
  <c r="H179" i="56"/>
  <c r="G179" i="56"/>
  <c r="E179" i="56"/>
  <c r="D179" i="56"/>
  <c r="O178" i="56"/>
  <c r="L178" i="56"/>
  <c r="I178" i="56"/>
  <c r="F178" i="56"/>
  <c r="O177" i="56"/>
  <c r="L177" i="56"/>
  <c r="I177" i="56"/>
  <c r="F177" i="56"/>
  <c r="O176" i="56"/>
  <c r="O175" i="56" s="1"/>
  <c r="O174" i="56" s="1"/>
  <c r="L176" i="56"/>
  <c r="I176" i="56"/>
  <c r="I175" i="56" s="1"/>
  <c r="F176" i="56"/>
  <c r="N175" i="56"/>
  <c r="N174" i="56" s="1"/>
  <c r="N173" i="56" s="1"/>
  <c r="M175" i="56"/>
  <c r="M174" i="56" s="1"/>
  <c r="K175" i="56"/>
  <c r="J175" i="56"/>
  <c r="H175" i="56"/>
  <c r="H174" i="56" s="1"/>
  <c r="H173" i="56" s="1"/>
  <c r="G175" i="56"/>
  <c r="G174" i="56" s="1"/>
  <c r="F175" i="56"/>
  <c r="E175" i="56"/>
  <c r="D175" i="56"/>
  <c r="D174" i="56" s="1"/>
  <c r="D173" i="56" s="1"/>
  <c r="K174" i="56"/>
  <c r="K173" i="56" s="1"/>
  <c r="O172" i="56"/>
  <c r="L172" i="56"/>
  <c r="I172" i="56"/>
  <c r="F172" i="56"/>
  <c r="O171" i="56"/>
  <c r="L171" i="56"/>
  <c r="I171" i="56"/>
  <c r="F171" i="56"/>
  <c r="O170" i="56"/>
  <c r="L170" i="56"/>
  <c r="I170" i="56"/>
  <c r="F170" i="56"/>
  <c r="O169" i="56"/>
  <c r="L169" i="56"/>
  <c r="I169" i="56"/>
  <c r="F169" i="56"/>
  <c r="O168" i="56"/>
  <c r="L168" i="56"/>
  <c r="I168" i="56"/>
  <c r="F168" i="56"/>
  <c r="O167" i="56"/>
  <c r="L167" i="56"/>
  <c r="I167" i="56"/>
  <c r="I166" i="56" s="1"/>
  <c r="I165" i="56" s="1"/>
  <c r="F167" i="56"/>
  <c r="N166" i="56"/>
  <c r="N165" i="56" s="1"/>
  <c r="M166" i="56"/>
  <c r="M165" i="56" s="1"/>
  <c r="K166" i="56"/>
  <c r="K165" i="56" s="1"/>
  <c r="J166" i="56"/>
  <c r="J165" i="56" s="1"/>
  <c r="H166" i="56"/>
  <c r="G166" i="56"/>
  <c r="G165" i="56" s="1"/>
  <c r="E166" i="56"/>
  <c r="E165" i="56" s="1"/>
  <c r="D166" i="56"/>
  <c r="D165" i="56" s="1"/>
  <c r="H165" i="56"/>
  <c r="O164" i="56"/>
  <c r="L164" i="56"/>
  <c r="I164" i="56"/>
  <c r="F164" i="56"/>
  <c r="O163" i="56"/>
  <c r="L163" i="56"/>
  <c r="I163" i="56"/>
  <c r="F163" i="56"/>
  <c r="O162" i="56"/>
  <c r="L162" i="56"/>
  <c r="I162" i="56"/>
  <c r="F162" i="56"/>
  <c r="O161" i="56"/>
  <c r="L161" i="56"/>
  <c r="L160" i="56" s="1"/>
  <c r="I161" i="56"/>
  <c r="F161" i="56"/>
  <c r="N160" i="56"/>
  <c r="M160" i="56"/>
  <c r="K160" i="56"/>
  <c r="J160" i="56"/>
  <c r="I160" i="56"/>
  <c r="H160" i="56"/>
  <c r="G160" i="56"/>
  <c r="E160" i="56"/>
  <c r="D160" i="56"/>
  <c r="O159" i="56"/>
  <c r="L159" i="56"/>
  <c r="I159" i="56"/>
  <c r="F159" i="56"/>
  <c r="O158" i="56"/>
  <c r="L158" i="56"/>
  <c r="I158" i="56"/>
  <c r="F158" i="56"/>
  <c r="O157" i="56"/>
  <c r="L157" i="56"/>
  <c r="I157" i="56"/>
  <c r="F157" i="56"/>
  <c r="O156" i="56"/>
  <c r="L156" i="56"/>
  <c r="I156" i="56"/>
  <c r="F156" i="56"/>
  <c r="O155" i="56"/>
  <c r="L155" i="56"/>
  <c r="I155" i="56"/>
  <c r="F155" i="56"/>
  <c r="O154" i="56"/>
  <c r="L154" i="56"/>
  <c r="I154" i="56"/>
  <c r="F154" i="56"/>
  <c r="O153" i="56"/>
  <c r="L153" i="56"/>
  <c r="I153" i="56"/>
  <c r="F153" i="56"/>
  <c r="O152" i="56"/>
  <c r="L152" i="56"/>
  <c r="I152" i="56"/>
  <c r="F152" i="56"/>
  <c r="N151" i="56"/>
  <c r="M151" i="56"/>
  <c r="K151" i="56"/>
  <c r="J151" i="56"/>
  <c r="H151" i="56"/>
  <c r="G151" i="56"/>
  <c r="E151" i="56"/>
  <c r="D151" i="56"/>
  <c r="O150" i="56"/>
  <c r="L150" i="56"/>
  <c r="I150" i="56"/>
  <c r="F150" i="56"/>
  <c r="O149" i="56"/>
  <c r="L149" i="56"/>
  <c r="I149" i="56"/>
  <c r="F149" i="56"/>
  <c r="O148" i="56"/>
  <c r="L148" i="56"/>
  <c r="I148" i="56"/>
  <c r="F148" i="56"/>
  <c r="O147" i="56"/>
  <c r="L147" i="56"/>
  <c r="I147" i="56"/>
  <c r="F147" i="56"/>
  <c r="O146" i="56"/>
  <c r="L146" i="56"/>
  <c r="I146" i="56"/>
  <c r="F146" i="56"/>
  <c r="O145" i="56"/>
  <c r="L145" i="56"/>
  <c r="I145" i="56"/>
  <c r="I144" i="56" s="1"/>
  <c r="F145" i="56"/>
  <c r="N144" i="56"/>
  <c r="M144" i="56"/>
  <c r="K144" i="56"/>
  <c r="J144" i="56"/>
  <c r="H144" i="56"/>
  <c r="G144" i="56"/>
  <c r="E144" i="56"/>
  <c r="D144" i="56"/>
  <c r="O143" i="56"/>
  <c r="L143" i="56"/>
  <c r="I143" i="56"/>
  <c r="F143" i="56"/>
  <c r="O142" i="56"/>
  <c r="O141" i="56" s="1"/>
  <c r="L142" i="56"/>
  <c r="I142" i="56"/>
  <c r="I141" i="56" s="1"/>
  <c r="F142" i="56"/>
  <c r="N141" i="56"/>
  <c r="M141" i="56"/>
  <c r="K141" i="56"/>
  <c r="J141" i="56"/>
  <c r="H141" i="56"/>
  <c r="G141" i="56"/>
  <c r="F141" i="56"/>
  <c r="E141" i="56"/>
  <c r="D141" i="56"/>
  <c r="O140" i="56"/>
  <c r="L140" i="56"/>
  <c r="I140" i="56"/>
  <c r="F140" i="56"/>
  <c r="O139" i="56"/>
  <c r="L139" i="56"/>
  <c r="I139" i="56"/>
  <c r="F139" i="56"/>
  <c r="O138" i="56"/>
  <c r="L138" i="56"/>
  <c r="I138" i="56"/>
  <c r="F138" i="56"/>
  <c r="O137" i="56"/>
  <c r="L137" i="56"/>
  <c r="I137" i="56"/>
  <c r="I136" i="56" s="1"/>
  <c r="F137" i="56"/>
  <c r="N136" i="56"/>
  <c r="M136" i="56"/>
  <c r="L136" i="56"/>
  <c r="K136" i="56"/>
  <c r="J136" i="56"/>
  <c r="H136" i="56"/>
  <c r="G136" i="56"/>
  <c r="E136" i="56"/>
  <c r="D136" i="56"/>
  <c r="O135" i="56"/>
  <c r="L135" i="56"/>
  <c r="I135" i="56"/>
  <c r="F135" i="56"/>
  <c r="O134" i="56"/>
  <c r="L134" i="56"/>
  <c r="I134" i="56"/>
  <c r="F134" i="56"/>
  <c r="O133" i="56"/>
  <c r="L133" i="56"/>
  <c r="I133" i="56"/>
  <c r="F133" i="56"/>
  <c r="O132" i="56"/>
  <c r="O131" i="56" s="1"/>
  <c r="L132" i="56"/>
  <c r="I132" i="56"/>
  <c r="I131" i="56" s="1"/>
  <c r="F132" i="56"/>
  <c r="N131" i="56"/>
  <c r="M131" i="56"/>
  <c r="K131" i="56"/>
  <c r="K130" i="56" s="1"/>
  <c r="J131" i="56"/>
  <c r="H131" i="56"/>
  <c r="G131" i="56"/>
  <c r="E131" i="56"/>
  <c r="D131" i="56"/>
  <c r="G130" i="56"/>
  <c r="O129" i="56"/>
  <c r="O128" i="56" s="1"/>
  <c r="L129" i="56"/>
  <c r="L128" i="56" s="1"/>
  <c r="I129" i="56"/>
  <c r="F129" i="56"/>
  <c r="N128" i="56"/>
  <c r="M128" i="56"/>
  <c r="K128" i="56"/>
  <c r="J128" i="56"/>
  <c r="I128" i="56"/>
  <c r="H128" i="56"/>
  <c r="G128" i="56"/>
  <c r="E128" i="56"/>
  <c r="D128" i="56"/>
  <c r="O127" i="56"/>
  <c r="L127" i="56"/>
  <c r="I127" i="56"/>
  <c r="F127" i="56"/>
  <c r="O126" i="56"/>
  <c r="L126" i="56"/>
  <c r="I126" i="56"/>
  <c r="F126" i="56"/>
  <c r="O125" i="56"/>
  <c r="L125" i="56"/>
  <c r="I125" i="56"/>
  <c r="F125" i="56"/>
  <c r="O124" i="56"/>
  <c r="L124" i="56"/>
  <c r="I124" i="56"/>
  <c r="F124" i="56"/>
  <c r="O123" i="56"/>
  <c r="L123" i="56"/>
  <c r="I123" i="56"/>
  <c r="I122" i="56" s="1"/>
  <c r="F123" i="56"/>
  <c r="N122" i="56"/>
  <c r="M122" i="56"/>
  <c r="K122" i="56"/>
  <c r="J122" i="56"/>
  <c r="H122" i="56"/>
  <c r="G122" i="56"/>
  <c r="E122" i="56"/>
  <c r="D122" i="56"/>
  <c r="O121" i="56"/>
  <c r="L121" i="56"/>
  <c r="I121" i="56"/>
  <c r="F121" i="56"/>
  <c r="O120" i="56"/>
  <c r="L120" i="56"/>
  <c r="I120" i="56"/>
  <c r="F120" i="56"/>
  <c r="O119" i="56"/>
  <c r="L119" i="56"/>
  <c r="I119" i="56"/>
  <c r="F119" i="56"/>
  <c r="O118" i="56"/>
  <c r="L118" i="56"/>
  <c r="I118" i="56"/>
  <c r="F118" i="56"/>
  <c r="O117" i="56"/>
  <c r="L117" i="56"/>
  <c r="L116" i="56" s="1"/>
  <c r="I117" i="56"/>
  <c r="F117" i="56"/>
  <c r="N116" i="56"/>
  <c r="M116" i="56"/>
  <c r="K116" i="56"/>
  <c r="J116" i="56"/>
  <c r="H116" i="56"/>
  <c r="G116" i="56"/>
  <c r="E116" i="56"/>
  <c r="D116" i="56"/>
  <c r="O115" i="56"/>
  <c r="L115" i="56"/>
  <c r="I115" i="56"/>
  <c r="F115" i="56"/>
  <c r="O114" i="56"/>
  <c r="L114" i="56"/>
  <c r="I114" i="56"/>
  <c r="F114" i="56"/>
  <c r="O113" i="56"/>
  <c r="L113" i="56"/>
  <c r="L112" i="56" s="1"/>
  <c r="I113" i="56"/>
  <c r="F113" i="56"/>
  <c r="F112" i="56" s="1"/>
  <c r="N112" i="56"/>
  <c r="M112" i="56"/>
  <c r="K112" i="56"/>
  <c r="J112" i="56"/>
  <c r="H112" i="56"/>
  <c r="G112" i="56"/>
  <c r="E112" i="56"/>
  <c r="D112" i="56"/>
  <c r="O111" i="56"/>
  <c r="L111" i="56"/>
  <c r="I111" i="56"/>
  <c r="F111" i="56"/>
  <c r="O110" i="56"/>
  <c r="L110" i="56"/>
  <c r="I110" i="56"/>
  <c r="F110" i="56"/>
  <c r="O109" i="56"/>
  <c r="L109" i="56"/>
  <c r="I109" i="56"/>
  <c r="F109" i="56"/>
  <c r="O108" i="56"/>
  <c r="L108" i="56"/>
  <c r="I108" i="56"/>
  <c r="F108" i="56"/>
  <c r="O107" i="56"/>
  <c r="L107" i="56"/>
  <c r="I107" i="56"/>
  <c r="F107" i="56"/>
  <c r="O106" i="56"/>
  <c r="L106" i="56"/>
  <c r="I106" i="56"/>
  <c r="F106" i="56"/>
  <c r="O105" i="56"/>
  <c r="L105" i="56"/>
  <c r="I105" i="56"/>
  <c r="F105" i="56"/>
  <c r="O104" i="56"/>
  <c r="L104" i="56"/>
  <c r="I104" i="56"/>
  <c r="F104" i="56"/>
  <c r="F103" i="56" s="1"/>
  <c r="N103" i="56"/>
  <c r="M103" i="56"/>
  <c r="K103" i="56"/>
  <c r="J103" i="56"/>
  <c r="I103" i="56"/>
  <c r="H103" i="56"/>
  <c r="G103" i="56"/>
  <c r="E103" i="56"/>
  <c r="D103" i="56"/>
  <c r="O102" i="56"/>
  <c r="L102" i="56"/>
  <c r="I102" i="56"/>
  <c r="F102" i="56"/>
  <c r="O101" i="56"/>
  <c r="L101" i="56"/>
  <c r="I101" i="56"/>
  <c r="F101" i="56"/>
  <c r="O100" i="56"/>
  <c r="L100" i="56"/>
  <c r="I100" i="56"/>
  <c r="F100" i="56"/>
  <c r="O99" i="56"/>
  <c r="L99" i="56"/>
  <c r="I99" i="56"/>
  <c r="F99" i="56"/>
  <c r="O98" i="56"/>
  <c r="L98" i="56"/>
  <c r="I98" i="56"/>
  <c r="F98" i="56"/>
  <c r="O97" i="56"/>
  <c r="L97" i="56"/>
  <c r="I97" i="56"/>
  <c r="F97" i="56"/>
  <c r="O96" i="56"/>
  <c r="O95" i="56" s="1"/>
  <c r="L96" i="56"/>
  <c r="L95" i="56" s="1"/>
  <c r="I96" i="56"/>
  <c r="I95" i="56" s="1"/>
  <c r="F96" i="56"/>
  <c r="N95" i="56"/>
  <c r="M95" i="56"/>
  <c r="K95" i="56"/>
  <c r="J95" i="56"/>
  <c r="H95" i="56"/>
  <c r="G95" i="56"/>
  <c r="E95" i="56"/>
  <c r="D95" i="56"/>
  <c r="O94" i="56"/>
  <c r="L94" i="56"/>
  <c r="I94" i="56"/>
  <c r="F94" i="56"/>
  <c r="O93" i="56"/>
  <c r="L93" i="56"/>
  <c r="I93" i="56"/>
  <c r="F93" i="56"/>
  <c r="O92" i="56"/>
  <c r="L92" i="56"/>
  <c r="I92" i="56"/>
  <c r="F92" i="56"/>
  <c r="O91" i="56"/>
  <c r="L91" i="56"/>
  <c r="I91" i="56"/>
  <c r="F91" i="56"/>
  <c r="O90" i="56"/>
  <c r="L90" i="56"/>
  <c r="I90" i="56"/>
  <c r="F90" i="56"/>
  <c r="N89" i="56"/>
  <c r="M89" i="56"/>
  <c r="K89" i="56"/>
  <c r="J89" i="56"/>
  <c r="H89" i="56"/>
  <c r="G89" i="56"/>
  <c r="E89" i="56"/>
  <c r="D89" i="56"/>
  <c r="O88" i="56"/>
  <c r="L88" i="56"/>
  <c r="I88" i="56"/>
  <c r="F88" i="56"/>
  <c r="O87" i="56"/>
  <c r="L87" i="56"/>
  <c r="I87" i="56"/>
  <c r="F87" i="56"/>
  <c r="O86" i="56"/>
  <c r="L86" i="56"/>
  <c r="I86" i="56"/>
  <c r="F86" i="56"/>
  <c r="O85" i="56"/>
  <c r="L85" i="56"/>
  <c r="L84" i="56" s="1"/>
  <c r="I85" i="56"/>
  <c r="F85" i="56"/>
  <c r="F84" i="56" s="1"/>
  <c r="O84" i="56"/>
  <c r="N84" i="56"/>
  <c r="M84" i="56"/>
  <c r="M83" i="56" s="1"/>
  <c r="K84" i="56"/>
  <c r="J84" i="56"/>
  <c r="H84" i="56"/>
  <c r="G84" i="56"/>
  <c r="G83" i="56" s="1"/>
  <c r="E84" i="56"/>
  <c r="D84" i="56"/>
  <c r="D83" i="56" s="1"/>
  <c r="O82" i="56"/>
  <c r="L82" i="56"/>
  <c r="I82" i="56"/>
  <c r="F82" i="56"/>
  <c r="O81" i="56"/>
  <c r="L81" i="56"/>
  <c r="L80" i="56" s="1"/>
  <c r="I81" i="56"/>
  <c r="F81" i="56"/>
  <c r="F80" i="56" s="1"/>
  <c r="O80" i="56"/>
  <c r="N80" i="56"/>
  <c r="M80" i="56"/>
  <c r="K80" i="56"/>
  <c r="J80" i="56"/>
  <c r="H80" i="56"/>
  <c r="G80" i="56"/>
  <c r="E80" i="56"/>
  <c r="D80" i="56"/>
  <c r="O79" i="56"/>
  <c r="L79" i="56"/>
  <c r="I79" i="56"/>
  <c r="F79" i="56"/>
  <c r="O78" i="56"/>
  <c r="O77" i="56" s="1"/>
  <c r="L78" i="56"/>
  <c r="I78" i="56"/>
  <c r="F78" i="56"/>
  <c r="N77" i="56"/>
  <c r="N76" i="56" s="1"/>
  <c r="M77" i="56"/>
  <c r="L77" i="56"/>
  <c r="L76" i="56" s="1"/>
  <c r="K77" i="56"/>
  <c r="J77" i="56"/>
  <c r="J76" i="56" s="1"/>
  <c r="H77" i="56"/>
  <c r="G77" i="56"/>
  <c r="F77" i="56"/>
  <c r="E77" i="56"/>
  <c r="E76" i="56" s="1"/>
  <c r="D77" i="56"/>
  <c r="D76" i="56" s="1"/>
  <c r="O76" i="56"/>
  <c r="M76" i="56"/>
  <c r="K76" i="56"/>
  <c r="O74" i="56"/>
  <c r="L74" i="56"/>
  <c r="I74" i="56"/>
  <c r="F74" i="56"/>
  <c r="O73" i="56"/>
  <c r="L73" i="56"/>
  <c r="I73" i="56"/>
  <c r="F73" i="56"/>
  <c r="O72" i="56"/>
  <c r="L72" i="56"/>
  <c r="I72" i="56"/>
  <c r="F72" i="56"/>
  <c r="O71" i="56"/>
  <c r="L71" i="56"/>
  <c r="I71" i="56"/>
  <c r="F71" i="56"/>
  <c r="O70" i="56"/>
  <c r="O69" i="56" s="1"/>
  <c r="L70" i="56"/>
  <c r="I70" i="56"/>
  <c r="F70" i="56"/>
  <c r="F69" i="56" s="1"/>
  <c r="N69" i="56"/>
  <c r="N67" i="56" s="1"/>
  <c r="M69" i="56"/>
  <c r="M67" i="56" s="1"/>
  <c r="K69" i="56"/>
  <c r="J69" i="56"/>
  <c r="J67" i="56" s="1"/>
  <c r="H69" i="56"/>
  <c r="G69" i="56"/>
  <c r="E69" i="56"/>
  <c r="E67" i="56" s="1"/>
  <c r="D69" i="56"/>
  <c r="D67" i="56" s="1"/>
  <c r="O68" i="56"/>
  <c r="L68" i="56"/>
  <c r="I68" i="56"/>
  <c r="F68" i="56"/>
  <c r="K67" i="56"/>
  <c r="H67" i="56"/>
  <c r="G67" i="56"/>
  <c r="O66" i="56"/>
  <c r="L66" i="56"/>
  <c r="I66" i="56"/>
  <c r="F66" i="56"/>
  <c r="O65" i="56"/>
  <c r="L65" i="56"/>
  <c r="I65" i="56"/>
  <c r="F65" i="56"/>
  <c r="O64" i="56"/>
  <c r="L64" i="56"/>
  <c r="I64" i="56"/>
  <c r="F64" i="56"/>
  <c r="O63" i="56"/>
  <c r="L63" i="56"/>
  <c r="I63" i="56"/>
  <c r="F63" i="56"/>
  <c r="O62" i="56"/>
  <c r="L62" i="56"/>
  <c r="I62" i="56"/>
  <c r="F62" i="56"/>
  <c r="O61" i="56"/>
  <c r="L61" i="56"/>
  <c r="I61" i="56"/>
  <c r="F61" i="56"/>
  <c r="O60" i="56"/>
  <c r="L60" i="56"/>
  <c r="I60" i="56"/>
  <c r="F60" i="56"/>
  <c r="C60" i="56" s="1"/>
  <c r="O59" i="56"/>
  <c r="L59" i="56"/>
  <c r="L58" i="56" s="1"/>
  <c r="I59" i="56"/>
  <c r="F59" i="56"/>
  <c r="N58" i="56"/>
  <c r="M58" i="56"/>
  <c r="K58" i="56"/>
  <c r="J58" i="56"/>
  <c r="H58" i="56"/>
  <c r="G58" i="56"/>
  <c r="E58" i="56"/>
  <c r="D58" i="56"/>
  <c r="O57" i="56"/>
  <c r="L57" i="56"/>
  <c r="I57" i="56"/>
  <c r="F57" i="56"/>
  <c r="O56" i="56"/>
  <c r="O55" i="56" s="1"/>
  <c r="L56" i="56"/>
  <c r="L55" i="56" s="1"/>
  <c r="L54" i="56" s="1"/>
  <c r="I56" i="56"/>
  <c r="I55" i="56" s="1"/>
  <c r="F56" i="56"/>
  <c r="N55" i="56"/>
  <c r="N54" i="56" s="1"/>
  <c r="N53" i="56" s="1"/>
  <c r="M55" i="56"/>
  <c r="K55" i="56"/>
  <c r="J55" i="56"/>
  <c r="J54" i="56" s="1"/>
  <c r="J53" i="56" s="1"/>
  <c r="H55" i="56"/>
  <c r="H54" i="56" s="1"/>
  <c r="G55" i="56"/>
  <c r="E55" i="56"/>
  <c r="D55" i="56"/>
  <c r="D54" i="56" s="1"/>
  <c r="D53" i="56" s="1"/>
  <c r="K54" i="56"/>
  <c r="K53" i="56" s="1"/>
  <c r="G54" i="56"/>
  <c r="G53" i="56" s="1"/>
  <c r="E54" i="56"/>
  <c r="E53" i="56" s="1"/>
  <c r="H53" i="56"/>
  <c r="O47" i="56"/>
  <c r="C47" i="56" s="1"/>
  <c r="O46" i="56"/>
  <c r="C46" i="56" s="1"/>
  <c r="N45" i="56"/>
  <c r="M45" i="56"/>
  <c r="L44" i="56"/>
  <c r="L43" i="56" s="1"/>
  <c r="I44" i="56"/>
  <c r="F44" i="56"/>
  <c r="K43" i="56"/>
  <c r="J43" i="56"/>
  <c r="H43" i="56"/>
  <c r="G43" i="56"/>
  <c r="F43" i="56"/>
  <c r="E43" i="56"/>
  <c r="D43" i="56"/>
  <c r="F42" i="56"/>
  <c r="F41" i="56" s="1"/>
  <c r="C41" i="56" s="1"/>
  <c r="E41" i="56"/>
  <c r="D41" i="56"/>
  <c r="L40" i="56"/>
  <c r="C40" i="56"/>
  <c r="L39" i="56"/>
  <c r="C39" i="56" s="1"/>
  <c r="L38" i="56"/>
  <c r="C38" i="56" s="1"/>
  <c r="L37" i="56"/>
  <c r="C37" i="56" s="1"/>
  <c r="K36" i="56"/>
  <c r="J36" i="56"/>
  <c r="L35" i="56"/>
  <c r="C35" i="56" s="1"/>
  <c r="L34" i="56"/>
  <c r="K33" i="56"/>
  <c r="J33" i="56"/>
  <c r="L32" i="56"/>
  <c r="C32" i="56" s="1"/>
  <c r="K31" i="56"/>
  <c r="J31" i="56"/>
  <c r="L30" i="56"/>
  <c r="C30" i="56" s="1"/>
  <c r="L29" i="56"/>
  <c r="C29" i="56" s="1"/>
  <c r="L28" i="56"/>
  <c r="C28" i="56" s="1"/>
  <c r="K27" i="56"/>
  <c r="K26" i="56" s="1"/>
  <c r="J27" i="56"/>
  <c r="J26" i="56" s="1"/>
  <c r="F25" i="56"/>
  <c r="C25" i="56" s="1"/>
  <c r="I24" i="56"/>
  <c r="F24" i="56"/>
  <c r="C24" i="56" s="1"/>
  <c r="O23" i="56"/>
  <c r="L23" i="56"/>
  <c r="I23" i="56"/>
  <c r="F23" i="56"/>
  <c r="O22" i="56"/>
  <c r="L22" i="56"/>
  <c r="L21" i="56" s="1"/>
  <c r="L292" i="56" s="1"/>
  <c r="L291" i="56" s="1"/>
  <c r="I22" i="56"/>
  <c r="F22" i="56"/>
  <c r="O21" i="56"/>
  <c r="N21" i="56"/>
  <c r="N292" i="56" s="1"/>
  <c r="N291" i="56" s="1"/>
  <c r="M21" i="56"/>
  <c r="K21" i="56"/>
  <c r="J21" i="56"/>
  <c r="J292" i="56" s="1"/>
  <c r="J291" i="56" s="1"/>
  <c r="I21" i="56"/>
  <c r="H21" i="56"/>
  <c r="H292" i="56" s="1"/>
  <c r="H291" i="56" s="1"/>
  <c r="G21" i="56"/>
  <c r="E21" i="56"/>
  <c r="E292" i="56" s="1"/>
  <c r="E291" i="56" s="1"/>
  <c r="D21" i="56"/>
  <c r="D292" i="56" s="1"/>
  <c r="D291" i="56" s="1"/>
  <c r="H20" i="56"/>
  <c r="C68" i="56" l="1"/>
  <c r="H76" i="56"/>
  <c r="K83" i="56"/>
  <c r="C91" i="56"/>
  <c r="C92" i="56"/>
  <c r="C134" i="56"/>
  <c r="E174" i="56"/>
  <c r="E173" i="56" s="1"/>
  <c r="C182" i="56"/>
  <c r="K204" i="56"/>
  <c r="C294" i="56"/>
  <c r="J20" i="56"/>
  <c r="D20" i="56"/>
  <c r="E20" i="56"/>
  <c r="C79" i="56"/>
  <c r="C98" i="56"/>
  <c r="C114" i="56"/>
  <c r="D230" i="56"/>
  <c r="C298" i="56"/>
  <c r="L33" i="56"/>
  <c r="C33" i="56" s="1"/>
  <c r="C64" i="56"/>
  <c r="C118" i="56"/>
  <c r="C170" i="56"/>
  <c r="C242" i="56"/>
  <c r="L272" i="56"/>
  <c r="C72" i="56"/>
  <c r="C100" i="56"/>
  <c r="C102" i="56"/>
  <c r="C106" i="56"/>
  <c r="C109" i="56"/>
  <c r="C138" i="56"/>
  <c r="C139" i="56"/>
  <c r="C162" i="56"/>
  <c r="C163" i="56"/>
  <c r="C178" i="56"/>
  <c r="F179" i="56"/>
  <c r="C181" i="56"/>
  <c r="K187" i="56"/>
  <c r="C190" i="56"/>
  <c r="C210" i="56"/>
  <c r="C211" i="56"/>
  <c r="C213" i="56"/>
  <c r="O216" i="56"/>
  <c r="C234" i="56"/>
  <c r="C241" i="56"/>
  <c r="I260" i="56"/>
  <c r="C88" i="56"/>
  <c r="C104" i="56"/>
  <c r="C110" i="56"/>
  <c r="N130" i="56"/>
  <c r="C142" i="56"/>
  <c r="G187" i="56"/>
  <c r="K195" i="56"/>
  <c r="C202" i="56"/>
  <c r="C203" i="56"/>
  <c r="C206" i="56"/>
  <c r="C222" i="56"/>
  <c r="C223" i="56"/>
  <c r="C225" i="56"/>
  <c r="C244" i="56"/>
  <c r="C250" i="56"/>
  <c r="C279" i="56"/>
  <c r="K75" i="56"/>
  <c r="K52" i="56" s="1"/>
  <c r="C126" i="56"/>
  <c r="E130" i="56"/>
  <c r="C133" i="56"/>
  <c r="C146" i="56"/>
  <c r="C150" i="56"/>
  <c r="C154" i="56"/>
  <c r="C158" i="56"/>
  <c r="C159" i="56"/>
  <c r="G173" i="56"/>
  <c r="C186" i="56"/>
  <c r="N187" i="56"/>
  <c r="G204" i="56"/>
  <c r="G195" i="56" s="1"/>
  <c r="G289" i="56" s="1"/>
  <c r="C218" i="56"/>
  <c r="C226" i="56"/>
  <c r="O260" i="56"/>
  <c r="L36" i="56"/>
  <c r="C36" i="56" s="1"/>
  <c r="C44" i="56"/>
  <c r="C267" i="56"/>
  <c r="C282" i="56"/>
  <c r="C23" i="56"/>
  <c r="C42" i="56"/>
  <c r="C56" i="56"/>
  <c r="C66" i="56"/>
  <c r="C74" i="56"/>
  <c r="G76" i="56"/>
  <c r="G75" i="56" s="1"/>
  <c r="G52" i="56" s="1"/>
  <c r="C94" i="56"/>
  <c r="C96" i="56"/>
  <c r="I112" i="56"/>
  <c r="C117" i="56"/>
  <c r="D130" i="56"/>
  <c r="D75" i="56" s="1"/>
  <c r="J130" i="56"/>
  <c r="C152" i="56"/>
  <c r="C153" i="56"/>
  <c r="L179" i="56"/>
  <c r="C179" i="56" s="1"/>
  <c r="C201" i="56"/>
  <c r="H195" i="56"/>
  <c r="L205" i="56"/>
  <c r="C215" i="56"/>
  <c r="I216" i="56"/>
  <c r="L216" i="56"/>
  <c r="C237" i="56"/>
  <c r="O272" i="56"/>
  <c r="C280" i="56"/>
  <c r="C296" i="56"/>
  <c r="C299" i="56"/>
  <c r="L27" i="56"/>
  <c r="C27" i="56" s="1"/>
  <c r="L31" i="56"/>
  <c r="C31" i="56" s="1"/>
  <c r="O45" i="56"/>
  <c r="C45" i="56" s="1"/>
  <c r="C57" i="56"/>
  <c r="O58" i="56"/>
  <c r="O54" i="56" s="1"/>
  <c r="L69" i="56"/>
  <c r="L67" i="56" s="1"/>
  <c r="L53" i="56" s="1"/>
  <c r="C87" i="56"/>
  <c r="N83" i="56"/>
  <c r="N75" i="56" s="1"/>
  <c r="L89" i="56"/>
  <c r="L103" i="56"/>
  <c r="C121" i="56"/>
  <c r="O122" i="56"/>
  <c r="L144" i="56"/>
  <c r="C155" i="56"/>
  <c r="C157" i="56"/>
  <c r="L166" i="56"/>
  <c r="L165" i="56" s="1"/>
  <c r="D195" i="56"/>
  <c r="J204" i="56"/>
  <c r="J195" i="56" s="1"/>
  <c r="N204" i="56"/>
  <c r="N195" i="56" s="1"/>
  <c r="J230" i="56"/>
  <c r="K231" i="56"/>
  <c r="K230" i="56" s="1"/>
  <c r="K194" i="56" s="1"/>
  <c r="E230" i="56"/>
  <c r="O252" i="56"/>
  <c r="O251" i="56" s="1"/>
  <c r="O264" i="56"/>
  <c r="O259" i="56" s="1"/>
  <c r="C34" i="56"/>
  <c r="C61" i="56"/>
  <c r="C63" i="56"/>
  <c r="C71" i="56"/>
  <c r="J83" i="56"/>
  <c r="H83" i="56"/>
  <c r="C101" i="56"/>
  <c r="I116" i="56"/>
  <c r="L131" i="56"/>
  <c r="F136" i="56"/>
  <c r="C136" i="56" s="1"/>
  <c r="L175" i="56"/>
  <c r="L174" i="56" s="1"/>
  <c r="L173" i="56" s="1"/>
  <c r="C183" i="56"/>
  <c r="C221" i="56"/>
  <c r="C229" i="56"/>
  <c r="G231" i="56"/>
  <c r="G230" i="56" s="1"/>
  <c r="C243" i="56"/>
  <c r="C245" i="56"/>
  <c r="C257" i="56"/>
  <c r="O276" i="56"/>
  <c r="N20" i="56"/>
  <c r="M54" i="56"/>
  <c r="M53" i="56" s="1"/>
  <c r="C62" i="56"/>
  <c r="C65" i="56"/>
  <c r="C73" i="56"/>
  <c r="C105" i="56"/>
  <c r="H130" i="56"/>
  <c r="L141" i="56"/>
  <c r="C147" i="56"/>
  <c r="C148" i="56"/>
  <c r="C149" i="56"/>
  <c r="L151" i="56"/>
  <c r="C167" i="56"/>
  <c r="C168" i="56"/>
  <c r="O166" i="56"/>
  <c r="O165" i="56" s="1"/>
  <c r="C177" i="56"/>
  <c r="N231" i="56"/>
  <c r="N230" i="56" s="1"/>
  <c r="C249" i="56"/>
  <c r="C256" i="56"/>
  <c r="I270" i="56"/>
  <c r="I269" i="56" s="1"/>
  <c r="D269" i="56"/>
  <c r="H269" i="56"/>
  <c r="C295" i="56"/>
  <c r="F67" i="56"/>
  <c r="I77" i="56"/>
  <c r="C78" i="56"/>
  <c r="C125" i="56"/>
  <c r="F122" i="56"/>
  <c r="G292" i="56"/>
  <c r="G291" i="56" s="1"/>
  <c r="G20" i="56"/>
  <c r="K292" i="56"/>
  <c r="K291" i="56" s="1"/>
  <c r="K20" i="56"/>
  <c r="C22" i="56"/>
  <c r="F21" i="56"/>
  <c r="L26" i="56"/>
  <c r="I43" i="56"/>
  <c r="C43" i="56" s="1"/>
  <c r="I58" i="56"/>
  <c r="I54" i="56" s="1"/>
  <c r="O67" i="56"/>
  <c r="F89" i="56"/>
  <c r="I89" i="56"/>
  <c r="C90" i="56"/>
  <c r="C93" i="56"/>
  <c r="M20" i="56"/>
  <c r="M292" i="56"/>
  <c r="M291" i="56" s="1"/>
  <c r="C59" i="56"/>
  <c r="F58" i="56"/>
  <c r="J75" i="56"/>
  <c r="C82" i="56"/>
  <c r="I80" i="56"/>
  <c r="C80" i="56" s="1"/>
  <c r="E83" i="56"/>
  <c r="E75" i="56" s="1"/>
  <c r="E52" i="56" s="1"/>
  <c r="O292" i="56"/>
  <c r="O53" i="56"/>
  <c r="I69" i="56"/>
  <c r="C69" i="56" s="1"/>
  <c r="C70" i="56"/>
  <c r="F55" i="56"/>
  <c r="F76" i="56"/>
  <c r="C77" i="56"/>
  <c r="C86" i="56"/>
  <c r="I84" i="56"/>
  <c r="O89" i="56"/>
  <c r="C97" i="56"/>
  <c r="C99" i="56"/>
  <c r="F95" i="56"/>
  <c r="C95" i="56" s="1"/>
  <c r="F128" i="56"/>
  <c r="C128" i="56" s="1"/>
  <c r="C129" i="56"/>
  <c r="C169" i="56"/>
  <c r="F166" i="56"/>
  <c r="C189" i="56"/>
  <c r="F188" i="56"/>
  <c r="C232" i="56"/>
  <c r="F231" i="56"/>
  <c r="C268" i="56"/>
  <c r="I264" i="56"/>
  <c r="I259" i="56" s="1"/>
  <c r="C301" i="56"/>
  <c r="C81" i="56"/>
  <c r="C85" i="56"/>
  <c r="C107" i="56"/>
  <c r="C108" i="56"/>
  <c r="C113" i="56"/>
  <c r="O112" i="56"/>
  <c r="O116" i="56"/>
  <c r="L122" i="56"/>
  <c r="L83" i="56" s="1"/>
  <c r="C127" i="56"/>
  <c r="F131" i="56"/>
  <c r="C132" i="56"/>
  <c r="L130" i="56"/>
  <c r="C137" i="56"/>
  <c r="O136" i="56"/>
  <c r="O151" i="56"/>
  <c r="O160" i="56"/>
  <c r="C171" i="56"/>
  <c r="C172" i="56"/>
  <c r="J174" i="56"/>
  <c r="J173" i="56" s="1"/>
  <c r="C176" i="56"/>
  <c r="O184" i="56"/>
  <c r="O173" i="56" s="1"/>
  <c r="H187" i="56"/>
  <c r="L187" i="56"/>
  <c r="D194" i="56"/>
  <c r="C261" i="56"/>
  <c r="F260" i="56"/>
  <c r="K289" i="56"/>
  <c r="O103" i="56"/>
  <c r="C103" i="56" s="1"/>
  <c r="F116" i="56"/>
  <c r="C143" i="56"/>
  <c r="O144" i="56"/>
  <c r="C161" i="56"/>
  <c r="F160" i="56"/>
  <c r="F174" i="56"/>
  <c r="C175" i="56"/>
  <c r="I174" i="56"/>
  <c r="I173" i="56" s="1"/>
  <c r="C185" i="56"/>
  <c r="F184" i="56"/>
  <c r="D187" i="56"/>
  <c r="I187" i="56"/>
  <c r="M187" i="56"/>
  <c r="C193" i="56"/>
  <c r="F192" i="56"/>
  <c r="C197" i="56"/>
  <c r="F196" i="56"/>
  <c r="C253" i="56"/>
  <c r="F252" i="56"/>
  <c r="C111" i="56"/>
  <c r="C115" i="56"/>
  <c r="C119" i="56"/>
  <c r="C120" i="56"/>
  <c r="C123" i="56"/>
  <c r="C124" i="56"/>
  <c r="M130" i="56"/>
  <c r="M75" i="56" s="1"/>
  <c r="C135" i="56"/>
  <c r="C140" i="56"/>
  <c r="C141" i="56"/>
  <c r="C145" i="56"/>
  <c r="F144" i="56"/>
  <c r="F151" i="56"/>
  <c r="I151" i="56"/>
  <c r="I130" i="56" s="1"/>
  <c r="C156" i="56"/>
  <c r="C164" i="56"/>
  <c r="M173" i="56"/>
  <c r="C180" i="56"/>
  <c r="O188" i="56"/>
  <c r="O187" i="56" s="1"/>
  <c r="O196" i="56"/>
  <c r="O205" i="56"/>
  <c r="O204" i="56" s="1"/>
  <c r="C217" i="56"/>
  <c r="F216" i="56"/>
  <c r="C216" i="56" s="1"/>
  <c r="C233" i="56"/>
  <c r="I235" i="56"/>
  <c r="C235" i="56" s="1"/>
  <c r="C236" i="56"/>
  <c r="C255" i="56"/>
  <c r="C263" i="56"/>
  <c r="E270" i="56"/>
  <c r="E269" i="56" s="1"/>
  <c r="C273" i="56"/>
  <c r="F272" i="56"/>
  <c r="C272" i="56" s="1"/>
  <c r="C288" i="56"/>
  <c r="I286" i="56"/>
  <c r="C286" i="56" s="1"/>
  <c r="C300" i="56"/>
  <c r="E195" i="56"/>
  <c r="M195" i="56"/>
  <c r="L196" i="56"/>
  <c r="C207" i="56"/>
  <c r="C208" i="56"/>
  <c r="C209" i="56"/>
  <c r="F205" i="56"/>
  <c r="C219" i="56"/>
  <c r="C220" i="56"/>
  <c r="C227" i="56"/>
  <c r="C228" i="56"/>
  <c r="O231" i="56"/>
  <c r="L231" i="56"/>
  <c r="C248" i="56"/>
  <c r="I246" i="56"/>
  <c r="C246" i="56" s="1"/>
  <c r="L252" i="56"/>
  <c r="L251" i="56" s="1"/>
  <c r="M259" i="56"/>
  <c r="M230" i="56" s="1"/>
  <c r="L260" i="56"/>
  <c r="L259" i="56" s="1"/>
  <c r="C265" i="56"/>
  <c r="F264" i="56"/>
  <c r="L270" i="56"/>
  <c r="L269" i="56" s="1"/>
  <c r="C275" i="56"/>
  <c r="C281" i="56"/>
  <c r="C285" i="56"/>
  <c r="F284" i="56"/>
  <c r="O293" i="56"/>
  <c r="C200" i="56"/>
  <c r="I198" i="56"/>
  <c r="H194" i="56"/>
  <c r="I205" i="56"/>
  <c r="I204" i="56" s="1"/>
  <c r="C212" i="56"/>
  <c r="C224" i="56"/>
  <c r="C240" i="56"/>
  <c r="I238" i="56"/>
  <c r="C238" i="56" s="1"/>
  <c r="C277" i="56"/>
  <c r="F276" i="56"/>
  <c r="C276" i="56" s="1"/>
  <c r="C297" i="56"/>
  <c r="F293" i="56"/>
  <c r="C293" i="56" s="1"/>
  <c r="C199" i="56"/>
  <c r="C239" i="56"/>
  <c r="C247" i="56"/>
  <c r="C271" i="56"/>
  <c r="C287" i="56"/>
  <c r="O20" i="56" l="1"/>
  <c r="C151" i="56"/>
  <c r="C116" i="56"/>
  <c r="K51" i="56"/>
  <c r="I20" i="56"/>
  <c r="O230" i="56"/>
  <c r="O291" i="56"/>
  <c r="N52" i="56"/>
  <c r="N289" i="56"/>
  <c r="J289" i="56"/>
  <c r="J194" i="56"/>
  <c r="K50" i="56"/>
  <c r="K290" i="56"/>
  <c r="M52" i="56"/>
  <c r="C184" i="56"/>
  <c r="C160" i="56"/>
  <c r="O130" i="56"/>
  <c r="O83" i="56"/>
  <c r="G194" i="56"/>
  <c r="G51" i="56" s="1"/>
  <c r="L204" i="56"/>
  <c r="L195" i="56" s="1"/>
  <c r="N194" i="56"/>
  <c r="O195" i="56"/>
  <c r="D52" i="56"/>
  <c r="D51" i="56" s="1"/>
  <c r="D290" i="56" s="1"/>
  <c r="L75" i="56"/>
  <c r="L52" i="56" s="1"/>
  <c r="J52" i="56"/>
  <c r="J51" i="56" s="1"/>
  <c r="J290" i="56" s="1"/>
  <c r="H75" i="56"/>
  <c r="H52" i="56" s="1"/>
  <c r="H51" i="56" s="1"/>
  <c r="O270" i="56"/>
  <c r="O269" i="56" s="1"/>
  <c r="M289" i="56"/>
  <c r="J50" i="56"/>
  <c r="E289" i="56"/>
  <c r="C260" i="56"/>
  <c r="F259" i="56"/>
  <c r="C259" i="56" s="1"/>
  <c r="C131" i="56"/>
  <c r="F130" i="56"/>
  <c r="C130" i="56" s="1"/>
  <c r="F165" i="56"/>
  <c r="C165" i="56" s="1"/>
  <c r="C166" i="56"/>
  <c r="C55" i="56"/>
  <c r="F54" i="56"/>
  <c r="F292" i="56"/>
  <c r="C21" i="56"/>
  <c r="F20" i="56"/>
  <c r="C205" i="56"/>
  <c r="F204" i="56"/>
  <c r="C204" i="56" s="1"/>
  <c r="F270" i="56"/>
  <c r="I231" i="56"/>
  <c r="I230" i="56" s="1"/>
  <c r="F83" i="56"/>
  <c r="C83" i="56" s="1"/>
  <c r="C89" i="56"/>
  <c r="I76" i="56"/>
  <c r="C252" i="56"/>
  <c r="F251" i="56"/>
  <c r="C251" i="56" s="1"/>
  <c r="C198" i="56"/>
  <c r="I196" i="56"/>
  <c r="I195" i="56" s="1"/>
  <c r="C284" i="56"/>
  <c r="F283" i="56"/>
  <c r="C283" i="56" s="1"/>
  <c r="M194" i="56"/>
  <c r="M51" i="56" s="1"/>
  <c r="C192" i="56"/>
  <c r="F191" i="56"/>
  <c r="C191" i="56" s="1"/>
  <c r="C112" i="56"/>
  <c r="C188" i="56"/>
  <c r="I83" i="56"/>
  <c r="C84" i="56"/>
  <c r="C58" i="56"/>
  <c r="C122" i="56"/>
  <c r="C264" i="56"/>
  <c r="L230" i="56"/>
  <c r="E194" i="56"/>
  <c r="E51" i="56" s="1"/>
  <c r="C144" i="56"/>
  <c r="F173" i="56"/>
  <c r="C173" i="56" s="1"/>
  <c r="C174" i="56"/>
  <c r="D289" i="56"/>
  <c r="I67" i="56"/>
  <c r="C67" i="56" s="1"/>
  <c r="I292" i="56"/>
  <c r="I291" i="56" s="1"/>
  <c r="C26" i="56"/>
  <c r="L20" i="56"/>
  <c r="F187" i="56" l="1"/>
  <c r="C187" i="56" s="1"/>
  <c r="I194" i="56"/>
  <c r="O194" i="56"/>
  <c r="L289" i="56"/>
  <c r="O75" i="56"/>
  <c r="O52" i="56" s="1"/>
  <c r="O51" i="56" s="1"/>
  <c r="O290" i="56" s="1"/>
  <c r="G50" i="56"/>
  <c r="G290" i="56"/>
  <c r="H289" i="56"/>
  <c r="I53" i="56"/>
  <c r="D50" i="56"/>
  <c r="L194" i="56"/>
  <c r="L51" i="56" s="1"/>
  <c r="L290" i="56" s="1"/>
  <c r="C231" i="56"/>
  <c r="I75" i="56"/>
  <c r="N51" i="56"/>
  <c r="L50" i="56"/>
  <c r="E290" i="56"/>
  <c r="E50" i="56"/>
  <c r="O50" i="56"/>
  <c r="F269" i="56"/>
  <c r="C270" i="56"/>
  <c r="I52" i="56"/>
  <c r="I51" i="56" s="1"/>
  <c r="M50" i="56"/>
  <c r="M290" i="56"/>
  <c r="F230" i="56"/>
  <c r="C230" i="56" s="1"/>
  <c r="I289" i="56"/>
  <c r="C76" i="56"/>
  <c r="C20" i="56"/>
  <c r="H290" i="56"/>
  <c r="H50" i="56"/>
  <c r="F75" i="56"/>
  <c r="C75" i="56" s="1"/>
  <c r="C54" i="56"/>
  <c r="F53" i="56"/>
  <c r="O289" i="56"/>
  <c r="F195" i="56"/>
  <c r="C292" i="56"/>
  <c r="F291" i="56"/>
  <c r="C291" i="56" s="1"/>
  <c r="C196" i="56"/>
  <c r="N50" i="56" l="1"/>
  <c r="N290" i="56"/>
  <c r="F52" i="56"/>
  <c r="C53" i="56"/>
  <c r="C269" i="56"/>
  <c r="F289" i="56"/>
  <c r="C289" i="56" s="1"/>
  <c r="C195" i="56"/>
  <c r="F194" i="56"/>
  <c r="C194" i="56" s="1"/>
  <c r="I290" i="56"/>
  <c r="I50" i="56"/>
  <c r="F51" i="56" l="1"/>
  <c r="C52" i="56"/>
  <c r="F290" i="56" l="1"/>
  <c r="C290" i="56" s="1"/>
  <c r="C51" i="56"/>
  <c r="F50" i="56"/>
  <c r="C50" i="56" s="1"/>
  <c r="O301" i="55" l="1"/>
  <c r="L301" i="55"/>
  <c r="I301" i="55"/>
  <c r="F301" i="55"/>
  <c r="O300" i="55"/>
  <c r="L300" i="55"/>
  <c r="I300" i="55"/>
  <c r="F300" i="55"/>
  <c r="O299" i="55"/>
  <c r="L299" i="55"/>
  <c r="I299" i="55"/>
  <c r="F299" i="55"/>
  <c r="O298" i="55"/>
  <c r="L298" i="55"/>
  <c r="I298" i="55"/>
  <c r="F298" i="55"/>
  <c r="O297" i="55"/>
  <c r="L297" i="55"/>
  <c r="I297" i="55"/>
  <c r="F297" i="55"/>
  <c r="O296" i="55"/>
  <c r="L296" i="55"/>
  <c r="I296" i="55"/>
  <c r="F296" i="55"/>
  <c r="O295" i="55"/>
  <c r="L295" i="55"/>
  <c r="I295" i="55"/>
  <c r="F295" i="55"/>
  <c r="O294" i="55"/>
  <c r="L294" i="55"/>
  <c r="I294" i="55"/>
  <c r="I293" i="55" s="1"/>
  <c r="F294" i="55"/>
  <c r="N293" i="55"/>
  <c r="M293" i="55"/>
  <c r="K293" i="55"/>
  <c r="J293" i="55"/>
  <c r="H293" i="55"/>
  <c r="G293" i="55"/>
  <c r="E293" i="55"/>
  <c r="D293" i="55"/>
  <c r="O288" i="55"/>
  <c r="L288" i="55"/>
  <c r="I288" i="55"/>
  <c r="F288" i="55"/>
  <c r="O287" i="55"/>
  <c r="L287" i="55"/>
  <c r="I287" i="55"/>
  <c r="F287" i="55"/>
  <c r="O286" i="55"/>
  <c r="N286" i="55"/>
  <c r="M286" i="55"/>
  <c r="K286" i="55"/>
  <c r="J286" i="55"/>
  <c r="H286" i="55"/>
  <c r="G286" i="55"/>
  <c r="F286" i="55"/>
  <c r="E286" i="55"/>
  <c r="D286" i="55"/>
  <c r="O285" i="55"/>
  <c r="L285" i="55"/>
  <c r="L284" i="55" s="1"/>
  <c r="L283" i="55" s="1"/>
  <c r="I285" i="55"/>
  <c r="F285" i="55"/>
  <c r="F284" i="55" s="1"/>
  <c r="O284" i="55"/>
  <c r="O283" i="55" s="1"/>
  <c r="N284" i="55"/>
  <c r="N283" i="55" s="1"/>
  <c r="M284" i="55"/>
  <c r="M283" i="55" s="1"/>
  <c r="K284" i="55"/>
  <c r="J284" i="55"/>
  <c r="J283" i="55" s="1"/>
  <c r="I284" i="55"/>
  <c r="I283" i="55" s="1"/>
  <c r="H284" i="55"/>
  <c r="H283" i="55" s="1"/>
  <c r="G284" i="55"/>
  <c r="G283" i="55" s="1"/>
  <c r="E284" i="55"/>
  <c r="E283" i="55" s="1"/>
  <c r="D284" i="55"/>
  <c r="D283" i="55" s="1"/>
  <c r="K283" i="55"/>
  <c r="O282" i="55"/>
  <c r="O281" i="55" s="1"/>
  <c r="L282" i="55"/>
  <c r="L281" i="55" s="1"/>
  <c r="I282" i="55"/>
  <c r="I281" i="55" s="1"/>
  <c r="F282" i="55"/>
  <c r="F281" i="55" s="1"/>
  <c r="N281" i="55"/>
  <c r="M281" i="55"/>
  <c r="K281" i="55"/>
  <c r="J281" i="55"/>
  <c r="H281" i="55"/>
  <c r="G281" i="55"/>
  <c r="E281" i="55"/>
  <c r="D281" i="55"/>
  <c r="O280" i="55"/>
  <c r="L280" i="55"/>
  <c r="I280" i="55"/>
  <c r="F280" i="55"/>
  <c r="O279" i="55"/>
  <c r="L279" i="55"/>
  <c r="I279" i="55"/>
  <c r="C279" i="55" s="1"/>
  <c r="F279" i="55"/>
  <c r="O278" i="55"/>
  <c r="L278" i="55"/>
  <c r="I278" i="55"/>
  <c r="F278" i="55"/>
  <c r="O277" i="55"/>
  <c r="L277" i="55"/>
  <c r="I277" i="55"/>
  <c r="F277" i="55"/>
  <c r="F276" i="55" s="1"/>
  <c r="N276" i="55"/>
  <c r="M276" i="55"/>
  <c r="K276" i="55"/>
  <c r="J276" i="55"/>
  <c r="H276" i="55"/>
  <c r="G276" i="55"/>
  <c r="E276" i="55"/>
  <c r="D276" i="55"/>
  <c r="O275" i="55"/>
  <c r="L275" i="55"/>
  <c r="I275" i="55"/>
  <c r="F275" i="55"/>
  <c r="C275" i="55" s="1"/>
  <c r="O274" i="55"/>
  <c r="L274" i="55"/>
  <c r="I274" i="55"/>
  <c r="F274" i="55"/>
  <c r="O273" i="55"/>
  <c r="L273" i="55"/>
  <c r="L272" i="55" s="1"/>
  <c r="I273" i="55"/>
  <c r="I272" i="55" s="1"/>
  <c r="F273" i="55"/>
  <c r="N272" i="55"/>
  <c r="M272" i="55"/>
  <c r="M270" i="55" s="1"/>
  <c r="M269" i="55" s="1"/>
  <c r="K272" i="55"/>
  <c r="J272" i="55"/>
  <c r="H272" i="55"/>
  <c r="H270" i="55" s="1"/>
  <c r="H269" i="55" s="1"/>
  <c r="G272" i="55"/>
  <c r="G270" i="55" s="1"/>
  <c r="G269" i="55" s="1"/>
  <c r="E272" i="55"/>
  <c r="D272" i="55"/>
  <c r="D270" i="55" s="1"/>
  <c r="D269" i="55" s="1"/>
  <c r="O271" i="55"/>
  <c r="L271" i="55"/>
  <c r="C271" i="55" s="1"/>
  <c r="I271" i="55"/>
  <c r="F271" i="55"/>
  <c r="K270" i="55"/>
  <c r="K269" i="55" s="1"/>
  <c r="O268" i="55"/>
  <c r="L268" i="55"/>
  <c r="I268" i="55"/>
  <c r="F268" i="55"/>
  <c r="O267" i="55"/>
  <c r="L267" i="55"/>
  <c r="I267" i="55"/>
  <c r="F267" i="55"/>
  <c r="O266" i="55"/>
  <c r="L266" i="55"/>
  <c r="I266" i="55"/>
  <c r="F266" i="55"/>
  <c r="O265" i="55"/>
  <c r="L265" i="55"/>
  <c r="I265" i="55"/>
  <c r="I264" i="55" s="1"/>
  <c r="F265" i="55"/>
  <c r="N264" i="55"/>
  <c r="M264" i="55"/>
  <c r="K264" i="55"/>
  <c r="J264" i="55"/>
  <c r="H264" i="55"/>
  <c r="G264" i="55"/>
  <c r="E264" i="55"/>
  <c r="D264" i="55"/>
  <c r="O263" i="55"/>
  <c r="L263" i="55"/>
  <c r="I263" i="55"/>
  <c r="F263" i="55"/>
  <c r="O262" i="55"/>
  <c r="L262" i="55"/>
  <c r="I262" i="55"/>
  <c r="F262" i="55"/>
  <c r="O261" i="55"/>
  <c r="L261" i="55"/>
  <c r="I261" i="55"/>
  <c r="I260" i="55" s="1"/>
  <c r="F261" i="55"/>
  <c r="N260" i="55"/>
  <c r="M260" i="55"/>
  <c r="M259" i="55" s="1"/>
  <c r="K260" i="55"/>
  <c r="J260" i="55"/>
  <c r="H260" i="55"/>
  <c r="H259" i="55" s="1"/>
  <c r="G260" i="55"/>
  <c r="G259" i="55" s="1"/>
  <c r="E260" i="55"/>
  <c r="D260" i="55"/>
  <c r="K259" i="55"/>
  <c r="D259" i="55"/>
  <c r="O258" i="55"/>
  <c r="L258" i="55"/>
  <c r="I258" i="55"/>
  <c r="F258" i="55"/>
  <c r="O257" i="55"/>
  <c r="L257" i="55"/>
  <c r="I257" i="55"/>
  <c r="F257" i="55"/>
  <c r="O256" i="55"/>
  <c r="L256" i="55"/>
  <c r="I256" i="55"/>
  <c r="F256" i="55"/>
  <c r="O255" i="55"/>
  <c r="L255" i="55"/>
  <c r="I255" i="55"/>
  <c r="F255" i="55"/>
  <c r="O254" i="55"/>
  <c r="L254" i="55"/>
  <c r="I254" i="55"/>
  <c r="F254" i="55"/>
  <c r="O253" i="55"/>
  <c r="L253" i="55"/>
  <c r="I253" i="55"/>
  <c r="F253" i="55"/>
  <c r="N252" i="55"/>
  <c r="N251" i="55" s="1"/>
  <c r="M252" i="55"/>
  <c r="M251" i="55" s="1"/>
  <c r="K252" i="55"/>
  <c r="K251" i="55" s="1"/>
  <c r="J252" i="55"/>
  <c r="H252" i="55"/>
  <c r="H251" i="55" s="1"/>
  <c r="G252" i="55"/>
  <c r="G251" i="55" s="1"/>
  <c r="E252" i="55"/>
  <c r="E251" i="55" s="1"/>
  <c r="D252" i="55"/>
  <c r="J251" i="55"/>
  <c r="D251" i="55"/>
  <c r="O250" i="55"/>
  <c r="L250" i="55"/>
  <c r="I250" i="55"/>
  <c r="F250" i="55"/>
  <c r="O249" i="55"/>
  <c r="L249" i="55"/>
  <c r="I249" i="55"/>
  <c r="F249" i="55"/>
  <c r="O248" i="55"/>
  <c r="L248" i="55"/>
  <c r="I248" i="55"/>
  <c r="F248" i="55"/>
  <c r="O247" i="55"/>
  <c r="L247" i="55"/>
  <c r="I247" i="55"/>
  <c r="F247" i="55"/>
  <c r="O246" i="55"/>
  <c r="N246" i="55"/>
  <c r="M246" i="55"/>
  <c r="K246" i="55"/>
  <c r="J246" i="55"/>
  <c r="H246" i="55"/>
  <c r="G246" i="55"/>
  <c r="E246" i="55"/>
  <c r="D246" i="55"/>
  <c r="O245" i="55"/>
  <c r="L245" i="55"/>
  <c r="I245" i="55"/>
  <c r="F245" i="55"/>
  <c r="O244" i="55"/>
  <c r="L244" i="55"/>
  <c r="I244" i="55"/>
  <c r="F244" i="55"/>
  <c r="O243" i="55"/>
  <c r="L243" i="55"/>
  <c r="I243" i="55"/>
  <c r="F243" i="55"/>
  <c r="O242" i="55"/>
  <c r="L242" i="55"/>
  <c r="I242" i="55"/>
  <c r="F242" i="55"/>
  <c r="O241" i="55"/>
  <c r="L241" i="55"/>
  <c r="I241" i="55"/>
  <c r="F241" i="55"/>
  <c r="O240" i="55"/>
  <c r="L240" i="55"/>
  <c r="I240" i="55"/>
  <c r="F240" i="55"/>
  <c r="O239" i="55"/>
  <c r="O238" i="55" s="1"/>
  <c r="L239" i="55"/>
  <c r="I239" i="55"/>
  <c r="F239" i="55"/>
  <c r="N238" i="55"/>
  <c r="M238" i="55"/>
  <c r="K238" i="55"/>
  <c r="J238" i="55"/>
  <c r="H238" i="55"/>
  <c r="G238" i="55"/>
  <c r="E238" i="55"/>
  <c r="D238" i="55"/>
  <c r="O237" i="55"/>
  <c r="L237" i="55"/>
  <c r="I237" i="55"/>
  <c r="F237" i="55"/>
  <c r="O236" i="55"/>
  <c r="L236" i="55"/>
  <c r="I236" i="55"/>
  <c r="F236" i="55"/>
  <c r="O235" i="55"/>
  <c r="N235" i="55"/>
  <c r="M235" i="55"/>
  <c r="K235" i="55"/>
  <c r="J235" i="55"/>
  <c r="H235" i="55"/>
  <c r="G235" i="55"/>
  <c r="F235" i="55"/>
  <c r="E235" i="55"/>
  <c r="D235" i="55"/>
  <c r="O234" i="55"/>
  <c r="O233" i="55" s="1"/>
  <c r="L234" i="55"/>
  <c r="L233" i="55" s="1"/>
  <c r="I234" i="55"/>
  <c r="F234" i="55"/>
  <c r="F233" i="55" s="1"/>
  <c r="N233" i="55"/>
  <c r="M233" i="55"/>
  <c r="K233" i="55"/>
  <c r="J233" i="55"/>
  <c r="I233" i="55"/>
  <c r="H233" i="55"/>
  <c r="G233" i="55"/>
  <c r="E233" i="55"/>
  <c r="E231" i="55" s="1"/>
  <c r="D233" i="55"/>
  <c r="O232" i="55"/>
  <c r="L232" i="55"/>
  <c r="I232" i="55"/>
  <c r="F232" i="55"/>
  <c r="N231" i="55"/>
  <c r="O229" i="55"/>
  <c r="L229" i="55"/>
  <c r="I229" i="55"/>
  <c r="F229" i="55"/>
  <c r="C229" i="55" s="1"/>
  <c r="O228" i="55"/>
  <c r="L228" i="55"/>
  <c r="L227" i="55" s="1"/>
  <c r="I228" i="55"/>
  <c r="F228" i="55"/>
  <c r="O227" i="55"/>
  <c r="N227" i="55"/>
  <c r="M227" i="55"/>
  <c r="K227" i="55"/>
  <c r="J227" i="55"/>
  <c r="H227" i="55"/>
  <c r="G227" i="55"/>
  <c r="F227" i="55"/>
  <c r="E227" i="55"/>
  <c r="D227" i="55"/>
  <c r="O226" i="55"/>
  <c r="L226" i="55"/>
  <c r="I226" i="55"/>
  <c r="F226" i="55"/>
  <c r="O225" i="55"/>
  <c r="L225" i="55"/>
  <c r="I225" i="55"/>
  <c r="F225" i="55"/>
  <c r="O224" i="55"/>
  <c r="L224" i="55"/>
  <c r="I224" i="55"/>
  <c r="F224" i="55"/>
  <c r="O223" i="55"/>
  <c r="L223" i="55"/>
  <c r="I223" i="55"/>
  <c r="F223" i="55"/>
  <c r="C223" i="55" s="1"/>
  <c r="O222" i="55"/>
  <c r="L222" i="55"/>
  <c r="I222" i="55"/>
  <c r="F222" i="55"/>
  <c r="O221" i="55"/>
  <c r="L221" i="55"/>
  <c r="I221" i="55"/>
  <c r="F221" i="55"/>
  <c r="O220" i="55"/>
  <c r="L220" i="55"/>
  <c r="I220" i="55"/>
  <c r="F220" i="55"/>
  <c r="O219" i="55"/>
  <c r="L219" i="55"/>
  <c r="I219" i="55"/>
  <c r="F219" i="55"/>
  <c r="O218" i="55"/>
  <c r="L218" i="55"/>
  <c r="I218" i="55"/>
  <c r="F218" i="55"/>
  <c r="O217" i="55"/>
  <c r="L217" i="55"/>
  <c r="I217" i="55"/>
  <c r="F217" i="55"/>
  <c r="N216" i="55"/>
  <c r="M216" i="55"/>
  <c r="K216" i="55"/>
  <c r="J216" i="55"/>
  <c r="H216" i="55"/>
  <c r="G216" i="55"/>
  <c r="E216" i="55"/>
  <c r="D216" i="55"/>
  <c r="O215" i="55"/>
  <c r="L215" i="55"/>
  <c r="I215" i="55"/>
  <c r="F215" i="55"/>
  <c r="O214" i="55"/>
  <c r="L214" i="55"/>
  <c r="I214" i="55"/>
  <c r="F214" i="55"/>
  <c r="O213" i="55"/>
  <c r="L213" i="55"/>
  <c r="I213" i="55"/>
  <c r="F213" i="55"/>
  <c r="O212" i="55"/>
  <c r="L212" i="55"/>
  <c r="I212" i="55"/>
  <c r="F212" i="55"/>
  <c r="O211" i="55"/>
  <c r="L211" i="55"/>
  <c r="I211" i="55"/>
  <c r="F211" i="55"/>
  <c r="O210" i="55"/>
  <c r="L210" i="55"/>
  <c r="I210" i="55"/>
  <c r="F210" i="55"/>
  <c r="O209" i="55"/>
  <c r="L209" i="55"/>
  <c r="I209" i="55"/>
  <c r="F209" i="55"/>
  <c r="O208" i="55"/>
  <c r="L208" i="55"/>
  <c r="I208" i="55"/>
  <c r="F208" i="55"/>
  <c r="O207" i="55"/>
  <c r="L207" i="55"/>
  <c r="I207" i="55"/>
  <c r="F207" i="55"/>
  <c r="O206" i="55"/>
  <c r="O205" i="55" s="1"/>
  <c r="L206" i="55"/>
  <c r="I206" i="55"/>
  <c r="C206" i="55" s="1"/>
  <c r="F206" i="55"/>
  <c r="N205" i="55"/>
  <c r="M205" i="55"/>
  <c r="K205" i="55"/>
  <c r="J205" i="55"/>
  <c r="J204" i="55" s="1"/>
  <c r="H205" i="55"/>
  <c r="H204" i="55" s="1"/>
  <c r="G205" i="55"/>
  <c r="E205" i="55"/>
  <c r="D205" i="55"/>
  <c r="D204" i="55" s="1"/>
  <c r="M204" i="55"/>
  <c r="O203" i="55"/>
  <c r="L203" i="55"/>
  <c r="I203" i="55"/>
  <c r="F203" i="55"/>
  <c r="O202" i="55"/>
  <c r="L202" i="55"/>
  <c r="I202" i="55"/>
  <c r="F202" i="55"/>
  <c r="O201" i="55"/>
  <c r="L201" i="55"/>
  <c r="I201" i="55"/>
  <c r="F201" i="55"/>
  <c r="O200" i="55"/>
  <c r="L200" i="55"/>
  <c r="I200" i="55"/>
  <c r="F200" i="55"/>
  <c r="O199" i="55"/>
  <c r="O198" i="55" s="1"/>
  <c r="L199" i="55"/>
  <c r="I199" i="55"/>
  <c r="F199" i="55"/>
  <c r="F198" i="55" s="1"/>
  <c r="N198" i="55"/>
  <c r="M198" i="55"/>
  <c r="K198" i="55"/>
  <c r="K196" i="55" s="1"/>
  <c r="J198" i="55"/>
  <c r="J196" i="55" s="1"/>
  <c r="H198" i="55"/>
  <c r="H196" i="55" s="1"/>
  <c r="G198" i="55"/>
  <c r="G196" i="55" s="1"/>
  <c r="E198" i="55"/>
  <c r="D198" i="55"/>
  <c r="D196" i="55" s="1"/>
  <c r="D195" i="55" s="1"/>
  <c r="O197" i="55"/>
  <c r="L197" i="55"/>
  <c r="I197" i="55"/>
  <c r="F197" i="55"/>
  <c r="N196" i="55"/>
  <c r="M196" i="55"/>
  <c r="E196" i="55"/>
  <c r="O193" i="55"/>
  <c r="L193" i="55"/>
  <c r="L192" i="55" s="1"/>
  <c r="L191" i="55" s="1"/>
  <c r="I193" i="55"/>
  <c r="I192" i="55" s="1"/>
  <c r="I191" i="55" s="1"/>
  <c r="F193" i="55"/>
  <c r="F192" i="55" s="1"/>
  <c r="O192" i="55"/>
  <c r="N192" i="55"/>
  <c r="N191" i="55" s="1"/>
  <c r="M192" i="55"/>
  <c r="M191" i="55" s="1"/>
  <c r="K192" i="55"/>
  <c r="J192" i="55"/>
  <c r="H192" i="55"/>
  <c r="H191" i="55" s="1"/>
  <c r="G192" i="55"/>
  <c r="G191" i="55" s="1"/>
  <c r="E192" i="55"/>
  <c r="E191" i="55" s="1"/>
  <c r="D192" i="55"/>
  <c r="O191" i="55"/>
  <c r="K191" i="55"/>
  <c r="J191" i="55"/>
  <c r="D191" i="55"/>
  <c r="O190" i="55"/>
  <c r="L190" i="55"/>
  <c r="I190" i="55"/>
  <c r="F190" i="55"/>
  <c r="O189" i="55"/>
  <c r="L189" i="55"/>
  <c r="L188" i="55" s="1"/>
  <c r="L187" i="55" s="1"/>
  <c r="I189" i="55"/>
  <c r="F189" i="55"/>
  <c r="N188" i="55"/>
  <c r="M188" i="55"/>
  <c r="K188" i="55"/>
  <c r="J188" i="55"/>
  <c r="I188" i="55"/>
  <c r="H188" i="55"/>
  <c r="G188" i="55"/>
  <c r="E188" i="55"/>
  <c r="E187" i="55" s="1"/>
  <c r="D188" i="55"/>
  <c r="J187" i="55"/>
  <c r="O186" i="55"/>
  <c r="L186" i="55"/>
  <c r="I186" i="55"/>
  <c r="F186" i="55"/>
  <c r="O185" i="55"/>
  <c r="L185" i="55"/>
  <c r="L184" i="55" s="1"/>
  <c r="I185" i="55"/>
  <c r="I184" i="55" s="1"/>
  <c r="F185" i="55"/>
  <c r="N184" i="55"/>
  <c r="M184" i="55"/>
  <c r="K184" i="55"/>
  <c r="J184" i="55"/>
  <c r="H184" i="55"/>
  <c r="G184" i="55"/>
  <c r="E184" i="55"/>
  <c r="D184" i="55"/>
  <c r="O183" i="55"/>
  <c r="L183" i="55"/>
  <c r="I183" i="55"/>
  <c r="F183" i="55"/>
  <c r="O182" i="55"/>
  <c r="L182" i="55"/>
  <c r="I182" i="55"/>
  <c r="F182" i="55"/>
  <c r="O181" i="55"/>
  <c r="L181" i="55"/>
  <c r="I181" i="55"/>
  <c r="F181" i="55"/>
  <c r="O180" i="55"/>
  <c r="L180" i="55"/>
  <c r="L179" i="55" s="1"/>
  <c r="I180" i="55"/>
  <c r="F180" i="55"/>
  <c r="O179" i="55"/>
  <c r="N179" i="55"/>
  <c r="M179" i="55"/>
  <c r="K179" i="55"/>
  <c r="J179" i="55"/>
  <c r="H179" i="55"/>
  <c r="G179" i="55"/>
  <c r="E179" i="55"/>
  <c r="D179" i="55"/>
  <c r="O178" i="55"/>
  <c r="L178" i="55"/>
  <c r="I178" i="55"/>
  <c r="F178" i="55"/>
  <c r="O177" i="55"/>
  <c r="L177" i="55"/>
  <c r="I177" i="55"/>
  <c r="F177" i="55"/>
  <c r="O176" i="55"/>
  <c r="L176" i="55"/>
  <c r="L175" i="55" s="1"/>
  <c r="L174" i="55" s="1"/>
  <c r="L173" i="55" s="1"/>
  <c r="I176" i="55"/>
  <c r="F176" i="55"/>
  <c r="O175" i="55"/>
  <c r="O174" i="55" s="1"/>
  <c r="N175" i="55"/>
  <c r="M175" i="55"/>
  <c r="K175" i="55"/>
  <c r="J175" i="55"/>
  <c r="J174" i="55" s="1"/>
  <c r="J173" i="55" s="1"/>
  <c r="H175" i="55"/>
  <c r="H174" i="55" s="1"/>
  <c r="H173" i="55" s="1"/>
  <c r="G175" i="55"/>
  <c r="E175" i="55"/>
  <c r="D175" i="55"/>
  <c r="D174" i="55" s="1"/>
  <c r="D173" i="55" s="1"/>
  <c r="M174" i="55"/>
  <c r="K174" i="55"/>
  <c r="K173" i="55" s="1"/>
  <c r="E174" i="55"/>
  <c r="E173" i="55" s="1"/>
  <c r="O172" i="55"/>
  <c r="L172" i="55"/>
  <c r="I172" i="55"/>
  <c r="F172" i="55"/>
  <c r="O171" i="55"/>
  <c r="L171" i="55"/>
  <c r="I171" i="55"/>
  <c r="F171" i="55"/>
  <c r="O170" i="55"/>
  <c r="L170" i="55"/>
  <c r="I170" i="55"/>
  <c r="F170" i="55"/>
  <c r="O169" i="55"/>
  <c r="L169" i="55"/>
  <c r="I169" i="55"/>
  <c r="F169" i="55"/>
  <c r="O168" i="55"/>
  <c r="L168" i="55"/>
  <c r="I168" i="55"/>
  <c r="F168" i="55"/>
  <c r="O167" i="55"/>
  <c r="L167" i="55"/>
  <c r="I167" i="55"/>
  <c r="F167" i="55"/>
  <c r="O166" i="55"/>
  <c r="O165" i="55" s="1"/>
  <c r="N166" i="55"/>
  <c r="M166" i="55"/>
  <c r="K166" i="55"/>
  <c r="K165" i="55" s="1"/>
  <c r="J166" i="55"/>
  <c r="J165" i="55" s="1"/>
  <c r="H166" i="55"/>
  <c r="G166" i="55"/>
  <c r="G165" i="55" s="1"/>
  <c r="E166" i="55"/>
  <c r="D166" i="55"/>
  <c r="D165" i="55" s="1"/>
  <c r="N165" i="55"/>
  <c r="M165" i="55"/>
  <c r="H165" i="55"/>
  <c r="E165" i="55"/>
  <c r="O164" i="55"/>
  <c r="L164" i="55"/>
  <c r="I164" i="55"/>
  <c r="F164" i="55"/>
  <c r="O163" i="55"/>
  <c r="L163" i="55"/>
  <c r="I163" i="55"/>
  <c r="F163" i="55"/>
  <c r="O162" i="55"/>
  <c r="L162" i="55"/>
  <c r="I162" i="55"/>
  <c r="F162" i="55"/>
  <c r="O161" i="55"/>
  <c r="L161" i="55"/>
  <c r="L160" i="55" s="1"/>
  <c r="I161" i="55"/>
  <c r="F161" i="55"/>
  <c r="N160" i="55"/>
  <c r="M160" i="55"/>
  <c r="K160" i="55"/>
  <c r="J160" i="55"/>
  <c r="H160" i="55"/>
  <c r="G160" i="55"/>
  <c r="E160" i="55"/>
  <c r="D160" i="55"/>
  <c r="O159" i="55"/>
  <c r="L159" i="55"/>
  <c r="I159" i="55"/>
  <c r="F159" i="55"/>
  <c r="O158" i="55"/>
  <c r="L158" i="55"/>
  <c r="I158" i="55"/>
  <c r="F158" i="55"/>
  <c r="O157" i="55"/>
  <c r="L157" i="55"/>
  <c r="I157" i="55"/>
  <c r="F157" i="55"/>
  <c r="O156" i="55"/>
  <c r="L156" i="55"/>
  <c r="I156" i="55"/>
  <c r="F156" i="55"/>
  <c r="O155" i="55"/>
  <c r="L155" i="55"/>
  <c r="I155" i="55"/>
  <c r="F155" i="55"/>
  <c r="O154" i="55"/>
  <c r="L154" i="55"/>
  <c r="I154" i="55"/>
  <c r="F154" i="55"/>
  <c r="O153" i="55"/>
  <c r="L153" i="55"/>
  <c r="I153" i="55"/>
  <c r="F153" i="55"/>
  <c r="O152" i="55"/>
  <c r="L152" i="55"/>
  <c r="L151" i="55" s="1"/>
  <c r="I152" i="55"/>
  <c r="F152" i="55"/>
  <c r="N151" i="55"/>
  <c r="M151" i="55"/>
  <c r="K151" i="55"/>
  <c r="J151" i="55"/>
  <c r="H151" i="55"/>
  <c r="G151" i="55"/>
  <c r="E151" i="55"/>
  <c r="D151" i="55"/>
  <c r="O150" i="55"/>
  <c r="L150" i="55"/>
  <c r="I150" i="55"/>
  <c r="F150" i="55"/>
  <c r="O149" i="55"/>
  <c r="L149" i="55"/>
  <c r="I149" i="55"/>
  <c r="F149" i="55"/>
  <c r="O148" i="55"/>
  <c r="L148" i="55"/>
  <c r="I148" i="55"/>
  <c r="F148" i="55"/>
  <c r="O147" i="55"/>
  <c r="L147" i="55"/>
  <c r="I147" i="55"/>
  <c r="F147" i="55"/>
  <c r="O146" i="55"/>
  <c r="L146" i="55"/>
  <c r="I146" i="55"/>
  <c r="F146" i="55"/>
  <c r="O145" i="55"/>
  <c r="L145" i="55"/>
  <c r="I145" i="55"/>
  <c r="I144" i="55" s="1"/>
  <c r="F145" i="55"/>
  <c r="N144" i="55"/>
  <c r="M144" i="55"/>
  <c r="K144" i="55"/>
  <c r="J144" i="55"/>
  <c r="H144" i="55"/>
  <c r="G144" i="55"/>
  <c r="E144" i="55"/>
  <c r="D144" i="55"/>
  <c r="O143" i="55"/>
  <c r="L143" i="55"/>
  <c r="I143" i="55"/>
  <c r="F143" i="55"/>
  <c r="O142" i="55"/>
  <c r="O141" i="55" s="1"/>
  <c r="L142" i="55"/>
  <c r="I142" i="55"/>
  <c r="F142" i="55"/>
  <c r="F141" i="55" s="1"/>
  <c r="N141" i="55"/>
  <c r="M141" i="55"/>
  <c r="K141" i="55"/>
  <c r="J141" i="55"/>
  <c r="I141" i="55"/>
  <c r="H141" i="55"/>
  <c r="G141" i="55"/>
  <c r="E141" i="55"/>
  <c r="D141" i="55"/>
  <c r="O140" i="55"/>
  <c r="L140" i="55"/>
  <c r="I140" i="55"/>
  <c r="F140" i="55"/>
  <c r="O139" i="55"/>
  <c r="L139" i="55"/>
  <c r="I139" i="55"/>
  <c r="F139" i="55"/>
  <c r="O138" i="55"/>
  <c r="L138" i="55"/>
  <c r="I138" i="55"/>
  <c r="F138" i="55"/>
  <c r="O137" i="55"/>
  <c r="L137" i="55"/>
  <c r="I137" i="55"/>
  <c r="F137" i="55"/>
  <c r="N136" i="55"/>
  <c r="M136" i="55"/>
  <c r="K136" i="55"/>
  <c r="J136" i="55"/>
  <c r="H136" i="55"/>
  <c r="G136" i="55"/>
  <c r="E136" i="55"/>
  <c r="D136" i="55"/>
  <c r="O135" i="55"/>
  <c r="L135" i="55"/>
  <c r="C135" i="55" s="1"/>
  <c r="I135" i="55"/>
  <c r="F135" i="55"/>
  <c r="O134" i="55"/>
  <c r="L134" i="55"/>
  <c r="I134" i="55"/>
  <c r="F134" i="55"/>
  <c r="O133" i="55"/>
  <c r="L133" i="55"/>
  <c r="I133" i="55"/>
  <c r="F133" i="55"/>
  <c r="O132" i="55"/>
  <c r="L132" i="55"/>
  <c r="I132" i="55"/>
  <c r="F132" i="55"/>
  <c r="N131" i="55"/>
  <c r="M131" i="55"/>
  <c r="K131" i="55"/>
  <c r="K130" i="55" s="1"/>
  <c r="J131" i="55"/>
  <c r="H131" i="55"/>
  <c r="H130" i="55" s="1"/>
  <c r="G131" i="55"/>
  <c r="G130" i="55" s="1"/>
  <c r="F131" i="55"/>
  <c r="E131" i="55"/>
  <c r="D131" i="55"/>
  <c r="D130" i="55"/>
  <c r="O129" i="55"/>
  <c r="L129" i="55"/>
  <c r="L128" i="55" s="1"/>
  <c r="I129" i="55"/>
  <c r="I128" i="55" s="1"/>
  <c r="F129" i="55"/>
  <c r="F128" i="55" s="1"/>
  <c r="O128" i="55"/>
  <c r="N128" i="55"/>
  <c r="M128" i="55"/>
  <c r="K128" i="55"/>
  <c r="J128" i="55"/>
  <c r="H128" i="55"/>
  <c r="G128" i="55"/>
  <c r="E128" i="55"/>
  <c r="D128" i="55"/>
  <c r="O127" i="55"/>
  <c r="L127" i="55"/>
  <c r="I127" i="55"/>
  <c r="F127" i="55"/>
  <c r="O126" i="55"/>
  <c r="L126" i="55"/>
  <c r="I126" i="55"/>
  <c r="F126" i="55"/>
  <c r="O125" i="55"/>
  <c r="L125" i="55"/>
  <c r="I125" i="55"/>
  <c r="F125" i="55"/>
  <c r="O124" i="55"/>
  <c r="L124" i="55"/>
  <c r="I124" i="55"/>
  <c r="F124" i="55"/>
  <c r="O123" i="55"/>
  <c r="L123" i="55"/>
  <c r="L122" i="55" s="1"/>
  <c r="I123" i="55"/>
  <c r="F123" i="55"/>
  <c r="N122" i="55"/>
  <c r="M122" i="55"/>
  <c r="K122" i="55"/>
  <c r="J122" i="55"/>
  <c r="H122" i="55"/>
  <c r="G122" i="55"/>
  <c r="E122" i="55"/>
  <c r="D122" i="55"/>
  <c r="O121" i="55"/>
  <c r="L121" i="55"/>
  <c r="I121" i="55"/>
  <c r="F121" i="55"/>
  <c r="O120" i="55"/>
  <c r="L120" i="55"/>
  <c r="I120" i="55"/>
  <c r="F120" i="55"/>
  <c r="O119" i="55"/>
  <c r="L119" i="55"/>
  <c r="I119" i="55"/>
  <c r="F119" i="55"/>
  <c r="O118" i="55"/>
  <c r="L118" i="55"/>
  <c r="I118" i="55"/>
  <c r="F118" i="55"/>
  <c r="O117" i="55"/>
  <c r="L117" i="55"/>
  <c r="I117" i="55"/>
  <c r="I116" i="55" s="1"/>
  <c r="F117" i="55"/>
  <c r="N116" i="55"/>
  <c r="M116" i="55"/>
  <c r="K116" i="55"/>
  <c r="J116" i="55"/>
  <c r="H116" i="55"/>
  <c r="G116" i="55"/>
  <c r="E116" i="55"/>
  <c r="D116" i="55"/>
  <c r="O115" i="55"/>
  <c r="L115" i="55"/>
  <c r="I115" i="55"/>
  <c r="F115" i="55"/>
  <c r="O114" i="55"/>
  <c r="L114" i="55"/>
  <c r="I114" i="55"/>
  <c r="F114" i="55"/>
  <c r="O113" i="55"/>
  <c r="L113" i="55"/>
  <c r="L112" i="55" s="1"/>
  <c r="I113" i="55"/>
  <c r="F113" i="55"/>
  <c r="F112" i="55" s="1"/>
  <c r="N112" i="55"/>
  <c r="M112" i="55"/>
  <c r="K112" i="55"/>
  <c r="J112" i="55"/>
  <c r="H112" i="55"/>
  <c r="G112" i="55"/>
  <c r="E112" i="55"/>
  <c r="D112" i="55"/>
  <c r="O111" i="55"/>
  <c r="L111" i="55"/>
  <c r="I111" i="55"/>
  <c r="F111" i="55"/>
  <c r="C111" i="55"/>
  <c r="O110" i="55"/>
  <c r="L110" i="55"/>
  <c r="I110" i="55"/>
  <c r="F110" i="55"/>
  <c r="C110" i="55" s="1"/>
  <c r="O109" i="55"/>
  <c r="L109" i="55"/>
  <c r="I109" i="55"/>
  <c r="F109" i="55"/>
  <c r="C109" i="55" s="1"/>
  <c r="O108" i="55"/>
  <c r="L108" i="55"/>
  <c r="I108" i="55"/>
  <c r="F108" i="55"/>
  <c r="O107" i="55"/>
  <c r="L107" i="55"/>
  <c r="I107" i="55"/>
  <c r="F107" i="55"/>
  <c r="O106" i="55"/>
  <c r="L106" i="55"/>
  <c r="I106" i="55"/>
  <c r="F106" i="55"/>
  <c r="O105" i="55"/>
  <c r="L105" i="55"/>
  <c r="I105" i="55"/>
  <c r="F105" i="55"/>
  <c r="O104" i="55"/>
  <c r="L104" i="55"/>
  <c r="I104" i="55"/>
  <c r="I103" i="55" s="1"/>
  <c r="F104" i="55"/>
  <c r="N103" i="55"/>
  <c r="M103" i="55"/>
  <c r="K103" i="55"/>
  <c r="J103" i="55"/>
  <c r="H103" i="55"/>
  <c r="G103" i="55"/>
  <c r="E103" i="55"/>
  <c r="D103" i="55"/>
  <c r="O102" i="55"/>
  <c r="L102" i="55"/>
  <c r="I102" i="55"/>
  <c r="F102" i="55"/>
  <c r="O101" i="55"/>
  <c r="L101" i="55"/>
  <c r="I101" i="55"/>
  <c r="F101" i="55"/>
  <c r="O100" i="55"/>
  <c r="L100" i="55"/>
  <c r="I100" i="55"/>
  <c r="F100" i="55"/>
  <c r="O99" i="55"/>
  <c r="L99" i="55"/>
  <c r="I99" i="55"/>
  <c r="F99" i="55"/>
  <c r="O98" i="55"/>
  <c r="L98" i="55"/>
  <c r="I98" i="55"/>
  <c r="F98" i="55"/>
  <c r="O97" i="55"/>
  <c r="L97" i="55"/>
  <c r="I97" i="55"/>
  <c r="F97" i="55"/>
  <c r="O96" i="55"/>
  <c r="L96" i="55"/>
  <c r="I96" i="55"/>
  <c r="F96" i="55"/>
  <c r="N95" i="55"/>
  <c r="M95" i="55"/>
  <c r="K95" i="55"/>
  <c r="J95" i="55"/>
  <c r="H95" i="55"/>
  <c r="G95" i="55"/>
  <c r="E95" i="55"/>
  <c r="D95" i="55"/>
  <c r="O94" i="55"/>
  <c r="L94" i="55"/>
  <c r="I94" i="55"/>
  <c r="F94" i="55"/>
  <c r="O93" i="55"/>
  <c r="L93" i="55"/>
  <c r="I93" i="55"/>
  <c r="F93" i="55"/>
  <c r="O92" i="55"/>
  <c r="L92" i="55"/>
  <c r="I92" i="55"/>
  <c r="F92" i="55"/>
  <c r="O91" i="55"/>
  <c r="L91" i="55"/>
  <c r="I91" i="55"/>
  <c r="F91" i="55"/>
  <c r="O90" i="55"/>
  <c r="L90" i="55"/>
  <c r="I90" i="55"/>
  <c r="F90" i="55"/>
  <c r="N89" i="55"/>
  <c r="M89" i="55"/>
  <c r="K89" i="55"/>
  <c r="J89" i="55"/>
  <c r="H89" i="55"/>
  <c r="G89" i="55"/>
  <c r="E89" i="55"/>
  <c r="D89" i="55"/>
  <c r="O88" i="55"/>
  <c r="L88" i="55"/>
  <c r="I88" i="55"/>
  <c r="F88" i="55"/>
  <c r="O87" i="55"/>
  <c r="L87" i="55"/>
  <c r="I87" i="55"/>
  <c r="F87" i="55"/>
  <c r="O86" i="55"/>
  <c r="L86" i="55"/>
  <c r="I86" i="55"/>
  <c r="F86" i="55"/>
  <c r="O85" i="55"/>
  <c r="L85" i="55"/>
  <c r="I85" i="55"/>
  <c r="I84" i="55" s="1"/>
  <c r="F85" i="55"/>
  <c r="N84" i="55"/>
  <c r="M84" i="55"/>
  <c r="K84" i="55"/>
  <c r="J84" i="55"/>
  <c r="J83" i="55" s="1"/>
  <c r="H84" i="55"/>
  <c r="G84" i="55"/>
  <c r="E84" i="55"/>
  <c r="D84" i="55"/>
  <c r="D83" i="55" s="1"/>
  <c r="O82" i="55"/>
  <c r="L82" i="55"/>
  <c r="I82" i="55"/>
  <c r="F82" i="55"/>
  <c r="O81" i="55"/>
  <c r="L81" i="55"/>
  <c r="L80" i="55" s="1"/>
  <c r="I81" i="55"/>
  <c r="I80" i="55" s="1"/>
  <c r="F81" i="55"/>
  <c r="O80" i="55"/>
  <c r="N80" i="55"/>
  <c r="M80" i="55"/>
  <c r="K80" i="55"/>
  <c r="J80" i="55"/>
  <c r="H80" i="55"/>
  <c r="G80" i="55"/>
  <c r="F80" i="55"/>
  <c r="E80" i="55"/>
  <c r="D80" i="55"/>
  <c r="O79" i="55"/>
  <c r="L79" i="55"/>
  <c r="I79" i="55"/>
  <c r="F79" i="55"/>
  <c r="O78" i="55"/>
  <c r="O77" i="55" s="1"/>
  <c r="O76" i="55" s="1"/>
  <c r="L78" i="55"/>
  <c r="L77" i="55" s="1"/>
  <c r="L76" i="55" s="1"/>
  <c r="I78" i="55"/>
  <c r="I77" i="55" s="1"/>
  <c r="F78" i="55"/>
  <c r="N77" i="55"/>
  <c r="M77" i="55"/>
  <c r="M76" i="55" s="1"/>
  <c r="K77" i="55"/>
  <c r="J77" i="55"/>
  <c r="H77" i="55"/>
  <c r="H76" i="55" s="1"/>
  <c r="G77" i="55"/>
  <c r="E77" i="55"/>
  <c r="E76" i="55" s="1"/>
  <c r="D77" i="55"/>
  <c r="N76" i="55"/>
  <c r="O74" i="55"/>
  <c r="L74" i="55"/>
  <c r="I74" i="55"/>
  <c r="F74" i="55"/>
  <c r="O73" i="55"/>
  <c r="L73" i="55"/>
  <c r="I73" i="55"/>
  <c r="F73" i="55"/>
  <c r="O72" i="55"/>
  <c r="L72" i="55"/>
  <c r="I72" i="55"/>
  <c r="F72" i="55"/>
  <c r="O71" i="55"/>
  <c r="L71" i="55"/>
  <c r="I71" i="55"/>
  <c r="F71" i="55"/>
  <c r="O70" i="55"/>
  <c r="L70" i="55"/>
  <c r="I70" i="55"/>
  <c r="F70" i="55"/>
  <c r="N69" i="55"/>
  <c r="N67" i="55" s="1"/>
  <c r="M69" i="55"/>
  <c r="M67" i="55" s="1"/>
  <c r="K69" i="55"/>
  <c r="J69" i="55"/>
  <c r="J67" i="55" s="1"/>
  <c r="H69" i="55"/>
  <c r="H67" i="55" s="1"/>
  <c r="G69" i="55"/>
  <c r="G67" i="55" s="1"/>
  <c r="E69" i="55"/>
  <c r="E67" i="55" s="1"/>
  <c r="D69" i="55"/>
  <c r="D67" i="55" s="1"/>
  <c r="O68" i="55"/>
  <c r="L68" i="55"/>
  <c r="I68" i="55"/>
  <c r="F68" i="55"/>
  <c r="K67" i="55"/>
  <c r="O66" i="55"/>
  <c r="L66" i="55"/>
  <c r="I66" i="55"/>
  <c r="F66" i="55"/>
  <c r="O65" i="55"/>
  <c r="L65" i="55"/>
  <c r="I65" i="55"/>
  <c r="F65" i="55"/>
  <c r="O64" i="55"/>
  <c r="L64" i="55"/>
  <c r="I64" i="55"/>
  <c r="F64" i="55"/>
  <c r="O63" i="55"/>
  <c r="L63" i="55"/>
  <c r="I63" i="55"/>
  <c r="C63" i="55" s="1"/>
  <c r="F63" i="55"/>
  <c r="O62" i="55"/>
  <c r="L62" i="55"/>
  <c r="I62" i="55"/>
  <c r="F62" i="55"/>
  <c r="O61" i="55"/>
  <c r="L61" i="55"/>
  <c r="I61" i="55"/>
  <c r="F61" i="55"/>
  <c r="O60" i="55"/>
  <c r="L60" i="55"/>
  <c r="I60" i="55"/>
  <c r="F60" i="55"/>
  <c r="O59" i="55"/>
  <c r="L59" i="55"/>
  <c r="L58" i="55" s="1"/>
  <c r="I59" i="55"/>
  <c r="F59" i="55"/>
  <c r="N58" i="55"/>
  <c r="M58" i="55"/>
  <c r="K58" i="55"/>
  <c r="J58" i="55"/>
  <c r="H58" i="55"/>
  <c r="G58" i="55"/>
  <c r="E58" i="55"/>
  <c r="D58" i="55"/>
  <c r="O57" i="55"/>
  <c r="L57" i="55"/>
  <c r="I57" i="55"/>
  <c r="F57" i="55"/>
  <c r="O56" i="55"/>
  <c r="O55" i="55" s="1"/>
  <c r="L56" i="55"/>
  <c r="L55" i="55" s="1"/>
  <c r="I56" i="55"/>
  <c r="I55" i="55" s="1"/>
  <c r="F56" i="55"/>
  <c r="N55" i="55"/>
  <c r="N54" i="55" s="1"/>
  <c r="M55" i="55"/>
  <c r="K55" i="55"/>
  <c r="J55" i="55"/>
  <c r="J54" i="55" s="1"/>
  <c r="H55" i="55"/>
  <c r="G55" i="55"/>
  <c r="E55" i="55"/>
  <c r="E54" i="55" s="1"/>
  <c r="E53" i="55" s="1"/>
  <c r="D55" i="55"/>
  <c r="H54" i="55"/>
  <c r="O47" i="55"/>
  <c r="C47" i="55"/>
  <c r="O46" i="55"/>
  <c r="N45" i="55"/>
  <c r="M45" i="55"/>
  <c r="L44" i="55"/>
  <c r="L43" i="55" s="1"/>
  <c r="I44" i="55"/>
  <c r="I43" i="55" s="1"/>
  <c r="F44" i="55"/>
  <c r="K43" i="55"/>
  <c r="J43" i="55"/>
  <c r="H43" i="55"/>
  <c r="G43" i="55"/>
  <c r="E43" i="55"/>
  <c r="D43" i="55"/>
  <c r="F42" i="55"/>
  <c r="E41" i="55"/>
  <c r="D41" i="55"/>
  <c r="L40" i="55"/>
  <c r="C40" i="55" s="1"/>
  <c r="L39" i="55"/>
  <c r="C39" i="55" s="1"/>
  <c r="L38" i="55"/>
  <c r="C38" i="55" s="1"/>
  <c r="L37" i="55"/>
  <c r="K36" i="55"/>
  <c r="J36" i="55"/>
  <c r="L35" i="55"/>
  <c r="C35" i="55" s="1"/>
  <c r="L34" i="55"/>
  <c r="K33" i="55"/>
  <c r="J33" i="55"/>
  <c r="L32" i="55"/>
  <c r="C32" i="55" s="1"/>
  <c r="K31" i="55"/>
  <c r="J31" i="55"/>
  <c r="L30" i="55"/>
  <c r="C30" i="55" s="1"/>
  <c r="L29" i="55"/>
  <c r="C29" i="55" s="1"/>
  <c r="L28" i="55"/>
  <c r="K27" i="55"/>
  <c r="J27" i="55"/>
  <c r="F25" i="55"/>
  <c r="C25" i="55" s="1"/>
  <c r="I24" i="55"/>
  <c r="F24" i="55"/>
  <c r="O23" i="55"/>
  <c r="L23" i="55"/>
  <c r="I23" i="55"/>
  <c r="F23" i="55"/>
  <c r="O22" i="55"/>
  <c r="L22" i="55"/>
  <c r="I22" i="55"/>
  <c r="I21" i="55" s="1"/>
  <c r="F22" i="55"/>
  <c r="N21" i="55"/>
  <c r="N292" i="55" s="1"/>
  <c r="N291" i="55" s="1"/>
  <c r="M21" i="55"/>
  <c r="M292" i="55" s="1"/>
  <c r="M291" i="55" s="1"/>
  <c r="K21" i="55"/>
  <c r="K292" i="55" s="1"/>
  <c r="K291" i="55" s="1"/>
  <c r="J21" i="55"/>
  <c r="J292" i="55" s="1"/>
  <c r="J291" i="55" s="1"/>
  <c r="H21" i="55"/>
  <c r="G21" i="55"/>
  <c r="G292" i="55" s="1"/>
  <c r="G291" i="55" s="1"/>
  <c r="E21" i="55"/>
  <c r="E292" i="55" s="1"/>
  <c r="E291" i="55" s="1"/>
  <c r="D21" i="55"/>
  <c r="C60" i="55" l="1"/>
  <c r="C61" i="55"/>
  <c r="K76" i="55"/>
  <c r="C91" i="55"/>
  <c r="C107" i="55"/>
  <c r="C214" i="55"/>
  <c r="C278" i="55"/>
  <c r="C288" i="55"/>
  <c r="C294" i="55"/>
  <c r="C298" i="55"/>
  <c r="C300" i="55"/>
  <c r="G76" i="55"/>
  <c r="C99" i="55"/>
  <c r="C255" i="55"/>
  <c r="C258" i="55"/>
  <c r="I69" i="55"/>
  <c r="C126" i="55"/>
  <c r="C146" i="55"/>
  <c r="C239" i="55"/>
  <c r="C242" i="55"/>
  <c r="C155" i="55"/>
  <c r="L276" i="55"/>
  <c r="L270" i="55" s="1"/>
  <c r="L269" i="55" s="1"/>
  <c r="C62" i="55"/>
  <c r="C70" i="55"/>
  <c r="C71" i="55"/>
  <c r="C79" i="55"/>
  <c r="K83" i="55"/>
  <c r="C119" i="55"/>
  <c r="C123" i="55"/>
  <c r="C125" i="55"/>
  <c r="O122" i="55"/>
  <c r="O136" i="55"/>
  <c r="C147" i="55"/>
  <c r="C171" i="55"/>
  <c r="C190" i="55"/>
  <c r="D187" i="55"/>
  <c r="C203" i="55"/>
  <c r="G231" i="55"/>
  <c r="C262" i="55"/>
  <c r="C23" i="55"/>
  <c r="C24" i="55"/>
  <c r="L54" i="55"/>
  <c r="C68" i="55"/>
  <c r="F69" i="55"/>
  <c r="I76" i="55"/>
  <c r="C115" i="55"/>
  <c r="C134" i="55"/>
  <c r="O160" i="55"/>
  <c r="C183" i="55"/>
  <c r="O184" i="55"/>
  <c r="O173" i="55" s="1"/>
  <c r="C226" i="55"/>
  <c r="I259" i="55"/>
  <c r="C266" i="55"/>
  <c r="C44" i="55"/>
  <c r="C85" i="55"/>
  <c r="C86" i="55"/>
  <c r="H83" i="55"/>
  <c r="O95" i="55"/>
  <c r="C138" i="55"/>
  <c r="C158" i="55"/>
  <c r="C161" i="55"/>
  <c r="G174" i="55"/>
  <c r="G173" i="55" s="1"/>
  <c r="K187" i="55"/>
  <c r="G187" i="55"/>
  <c r="C211" i="55"/>
  <c r="C218" i="55"/>
  <c r="C222" i="55"/>
  <c r="L21" i="55"/>
  <c r="C56" i="55"/>
  <c r="O112" i="55"/>
  <c r="M130" i="55"/>
  <c r="C156" i="55"/>
  <c r="H187" i="55"/>
  <c r="O196" i="55"/>
  <c r="E204" i="55"/>
  <c r="E195" i="55" s="1"/>
  <c r="C256" i="55"/>
  <c r="O260" i="55"/>
  <c r="J195" i="55"/>
  <c r="I20" i="55"/>
  <c r="K204" i="55"/>
  <c r="L235" i="55"/>
  <c r="F21" i="55"/>
  <c r="F292" i="55" s="1"/>
  <c r="F55" i="55"/>
  <c r="K54" i="55"/>
  <c r="K53" i="55" s="1"/>
  <c r="M54" i="55"/>
  <c r="M53" i="55" s="1"/>
  <c r="D76" i="55"/>
  <c r="D75" i="55" s="1"/>
  <c r="J76" i="55"/>
  <c r="E83" i="55"/>
  <c r="C94" i="55"/>
  <c r="C100" i="55"/>
  <c r="G83" i="55"/>
  <c r="C124" i="55"/>
  <c r="C133" i="55"/>
  <c r="O131" i="55"/>
  <c r="C139" i="55"/>
  <c r="C145" i="55"/>
  <c r="O144" i="55"/>
  <c r="I160" i="55"/>
  <c r="C172" i="55"/>
  <c r="C186" i="55"/>
  <c r="K195" i="55"/>
  <c r="C210" i="55"/>
  <c r="C215" i="55"/>
  <c r="C225" i="55"/>
  <c r="G204" i="55"/>
  <c r="G195" i="55" s="1"/>
  <c r="M231" i="55"/>
  <c r="J231" i="55"/>
  <c r="C244" i="55"/>
  <c r="K231" i="55"/>
  <c r="K230" i="55" s="1"/>
  <c r="C250" i="55"/>
  <c r="L252" i="55"/>
  <c r="L251" i="55" s="1"/>
  <c r="E259" i="55"/>
  <c r="E230" i="55" s="1"/>
  <c r="N259" i="55"/>
  <c r="N230" i="55" s="1"/>
  <c r="F264" i="55"/>
  <c r="C265" i="55"/>
  <c r="O264" i="55"/>
  <c r="O259" i="55" s="1"/>
  <c r="N270" i="55"/>
  <c r="N269" i="55" s="1"/>
  <c r="O272" i="55"/>
  <c r="I276" i="55"/>
  <c r="I270" i="55" s="1"/>
  <c r="I269" i="55" s="1"/>
  <c r="I286" i="55"/>
  <c r="I292" i="55" s="1"/>
  <c r="I291" i="55" s="1"/>
  <c r="C295" i="55"/>
  <c r="L293" i="55"/>
  <c r="J53" i="55"/>
  <c r="H75" i="55"/>
  <c r="H52" i="55" s="1"/>
  <c r="K75" i="55"/>
  <c r="K52" i="55" s="1"/>
  <c r="C142" i="55"/>
  <c r="C162" i="55"/>
  <c r="N20" i="55"/>
  <c r="L31" i="55"/>
  <c r="C31" i="55" s="1"/>
  <c r="G54" i="55"/>
  <c r="G53" i="55" s="1"/>
  <c r="C57" i="55"/>
  <c r="C80" i="55"/>
  <c r="C81" i="55"/>
  <c r="C82" i="55"/>
  <c r="C88" i="55"/>
  <c r="I89" i="55"/>
  <c r="C97" i="55"/>
  <c r="C108" i="55"/>
  <c r="C114" i="55"/>
  <c r="C120" i="55"/>
  <c r="C137" i="55"/>
  <c r="C150" i="55"/>
  <c r="C154" i="55"/>
  <c r="C159" i="55"/>
  <c r="C178" i="55"/>
  <c r="M187" i="55"/>
  <c r="I205" i="55"/>
  <c r="C212" i="55"/>
  <c r="C213" i="55"/>
  <c r="N204" i="55"/>
  <c r="C224" i="55"/>
  <c r="C237" i="55"/>
  <c r="C243" i="55"/>
  <c r="F260" i="55"/>
  <c r="C261" i="55"/>
  <c r="E270" i="55"/>
  <c r="E269" i="55" s="1"/>
  <c r="C274" i="55"/>
  <c r="C287" i="55"/>
  <c r="O293" i="55"/>
  <c r="C299" i="55"/>
  <c r="J26" i="55"/>
  <c r="H53" i="55"/>
  <c r="I58" i="55"/>
  <c r="I54" i="55" s="1"/>
  <c r="K26" i="55"/>
  <c r="E20" i="55"/>
  <c r="D54" i="55"/>
  <c r="D53" i="55" s="1"/>
  <c r="F58" i="55"/>
  <c r="C64" i="55"/>
  <c r="I67" i="55"/>
  <c r="N53" i="55"/>
  <c r="O69" i="55"/>
  <c r="O67" i="55" s="1"/>
  <c r="L69" i="55"/>
  <c r="L67" i="55" s="1"/>
  <c r="L53" i="55" s="1"/>
  <c r="O84" i="55"/>
  <c r="O89" i="55"/>
  <c r="C102" i="55"/>
  <c r="C105" i="55"/>
  <c r="O103" i="55"/>
  <c r="I112" i="55"/>
  <c r="C117" i="55"/>
  <c r="C118" i="55"/>
  <c r="O116" i="55"/>
  <c r="C127" i="55"/>
  <c r="E130" i="55"/>
  <c r="E75" i="55" s="1"/>
  <c r="E52" i="55" s="1"/>
  <c r="I136" i="55"/>
  <c r="C157" i="55"/>
  <c r="O151" i="55"/>
  <c r="C163" i="55"/>
  <c r="C170" i="55"/>
  <c r="C182" i="55"/>
  <c r="M173" i="55"/>
  <c r="O188" i="55"/>
  <c r="O187" i="55" s="1"/>
  <c r="C217" i="55"/>
  <c r="C234" i="55"/>
  <c r="O231" i="55"/>
  <c r="I252" i="55"/>
  <c r="I251" i="55" s="1"/>
  <c r="C257" i="55"/>
  <c r="F293" i="55"/>
  <c r="C297" i="55"/>
  <c r="C55" i="55"/>
  <c r="J20" i="55"/>
  <c r="G75" i="55"/>
  <c r="D292" i="55"/>
  <c r="D291" i="55" s="1"/>
  <c r="D20" i="55"/>
  <c r="C28" i="55"/>
  <c r="L27" i="55"/>
  <c r="L260" i="55"/>
  <c r="C263" i="55"/>
  <c r="C37" i="55"/>
  <c r="L36" i="55"/>
  <c r="C36" i="55" s="1"/>
  <c r="C42" i="55"/>
  <c r="F41" i="55"/>
  <c r="F43" i="55"/>
  <c r="C43" i="55" s="1"/>
  <c r="C72" i="55"/>
  <c r="C78" i="55"/>
  <c r="F77" i="55"/>
  <c r="M83" i="55"/>
  <c r="M75" i="55" s="1"/>
  <c r="M52" i="55" s="1"/>
  <c r="L84" i="55"/>
  <c r="C90" i="55"/>
  <c r="F89" i="55"/>
  <c r="I95" i="55"/>
  <c r="C101" i="55"/>
  <c r="C104" i="55"/>
  <c r="L103" i="55"/>
  <c r="F116" i="55"/>
  <c r="F136" i="55"/>
  <c r="C143" i="55"/>
  <c r="L141" i="55"/>
  <c r="C141" i="55" s="1"/>
  <c r="F144" i="55"/>
  <c r="F160" i="55"/>
  <c r="L166" i="55"/>
  <c r="L165" i="55" s="1"/>
  <c r="C167" i="55"/>
  <c r="N187" i="55"/>
  <c r="C192" i="55"/>
  <c r="F191" i="55"/>
  <c r="C191" i="55" s="1"/>
  <c r="C220" i="55"/>
  <c r="I216" i="55"/>
  <c r="H292" i="55"/>
  <c r="H291" i="55" s="1"/>
  <c r="H20" i="55"/>
  <c r="C87" i="55"/>
  <c r="C106" i="55"/>
  <c r="F103" i="55"/>
  <c r="C207" i="55"/>
  <c r="L205" i="55"/>
  <c r="C301" i="55"/>
  <c r="C34" i="55"/>
  <c r="L33" i="55"/>
  <c r="C33" i="55" s="1"/>
  <c r="C46" i="55"/>
  <c r="O45" i="55"/>
  <c r="F67" i="55"/>
  <c r="F84" i="55"/>
  <c r="L89" i="55"/>
  <c r="C92" i="55"/>
  <c r="C98" i="55"/>
  <c r="F95" i="55"/>
  <c r="C128" i="55"/>
  <c r="M20" i="55"/>
  <c r="C22" i="55"/>
  <c r="O21" i="55"/>
  <c r="F54" i="55"/>
  <c r="C59" i="55"/>
  <c r="O58" i="55"/>
  <c r="O54" i="55" s="1"/>
  <c r="C65" i="55"/>
  <c r="C66" i="55"/>
  <c r="C73" i="55"/>
  <c r="C74" i="55"/>
  <c r="N83" i="55"/>
  <c r="C93" i="55"/>
  <c r="C96" i="55"/>
  <c r="L95" i="55"/>
  <c r="C113" i="55"/>
  <c r="L116" i="55"/>
  <c r="N174" i="55"/>
  <c r="N173" i="55" s="1"/>
  <c r="I131" i="55"/>
  <c r="C132" i="55"/>
  <c r="K194" i="55"/>
  <c r="K51" i="55" s="1"/>
  <c r="C202" i="55"/>
  <c r="F196" i="55"/>
  <c r="L216" i="55"/>
  <c r="C219" i="55"/>
  <c r="C248" i="55"/>
  <c r="I246" i="55"/>
  <c r="J259" i="55"/>
  <c r="J230" i="55" s="1"/>
  <c r="C284" i="55"/>
  <c r="F283" i="55"/>
  <c r="C283" i="55" s="1"/>
  <c r="G20" i="55"/>
  <c r="K20" i="55"/>
  <c r="C121" i="55"/>
  <c r="C129" i="55"/>
  <c r="N130" i="55"/>
  <c r="L131" i="55"/>
  <c r="L136" i="55"/>
  <c r="L144" i="55"/>
  <c r="C149" i="55"/>
  <c r="F151" i="55"/>
  <c r="C153" i="55"/>
  <c r="F166" i="55"/>
  <c r="C169" i="55"/>
  <c r="F175" i="55"/>
  <c r="C177" i="55"/>
  <c r="F179" i="55"/>
  <c r="C181" i="55"/>
  <c r="F184" i="55"/>
  <c r="C184" i="55" s="1"/>
  <c r="C185" i="55"/>
  <c r="F188" i="55"/>
  <c r="C189" i="55"/>
  <c r="M195" i="55"/>
  <c r="C200" i="55"/>
  <c r="I198" i="55"/>
  <c r="I196" i="55" s="1"/>
  <c r="F216" i="55"/>
  <c r="O216" i="55"/>
  <c r="O204" i="55" s="1"/>
  <c r="O195" i="55" s="1"/>
  <c r="G230" i="55"/>
  <c r="G194" i="55" s="1"/>
  <c r="L238" i="55"/>
  <c r="C241" i="55"/>
  <c r="F238" i="55"/>
  <c r="C247" i="55"/>
  <c r="L246" i="55"/>
  <c r="F259" i="55"/>
  <c r="C277" i="55"/>
  <c r="O276" i="55"/>
  <c r="O270" i="55" s="1"/>
  <c r="O269" i="55" s="1"/>
  <c r="C282" i="55"/>
  <c r="C293" i="55"/>
  <c r="I187" i="55"/>
  <c r="I122" i="55"/>
  <c r="F122" i="55"/>
  <c r="J130" i="55"/>
  <c r="J75" i="55" s="1"/>
  <c r="J52" i="55" s="1"/>
  <c r="C140" i="55"/>
  <c r="C148" i="55"/>
  <c r="I151" i="55"/>
  <c r="C152" i="55"/>
  <c r="C164" i="55"/>
  <c r="C168" i="55"/>
  <c r="I166" i="55"/>
  <c r="I165" i="55" s="1"/>
  <c r="I175" i="55"/>
  <c r="C176" i="55"/>
  <c r="I179" i="55"/>
  <c r="C180" i="55"/>
  <c r="C193" i="55"/>
  <c r="N195" i="55"/>
  <c r="C199" i="55"/>
  <c r="L198" i="55"/>
  <c r="L196" i="55" s="1"/>
  <c r="C232" i="55"/>
  <c r="C254" i="55"/>
  <c r="F252" i="55"/>
  <c r="L264" i="55"/>
  <c r="C267" i="55"/>
  <c r="C273" i="55"/>
  <c r="F272" i="55"/>
  <c r="C281" i="55"/>
  <c r="F205" i="55"/>
  <c r="I227" i="55"/>
  <c r="C227" i="55" s="1"/>
  <c r="C228" i="55"/>
  <c r="H231" i="55"/>
  <c r="H230" i="55" s="1"/>
  <c r="C233" i="55"/>
  <c r="I235" i="55"/>
  <c r="C236" i="55"/>
  <c r="C240" i="55"/>
  <c r="I238" i="55"/>
  <c r="C280" i="55"/>
  <c r="K289" i="55"/>
  <c r="C296" i="55"/>
  <c r="C197" i="55"/>
  <c r="H195" i="55"/>
  <c r="C201" i="55"/>
  <c r="C208" i="55"/>
  <c r="C209" i="55"/>
  <c r="C221" i="55"/>
  <c r="D231" i="55"/>
  <c r="D230" i="55" s="1"/>
  <c r="D194" i="55" s="1"/>
  <c r="M230" i="55"/>
  <c r="C245" i="55"/>
  <c r="C249" i="55"/>
  <c r="F246" i="55"/>
  <c r="C253" i="55"/>
  <c r="O252" i="55"/>
  <c r="O251" i="55" s="1"/>
  <c r="C268" i="55"/>
  <c r="J270" i="55"/>
  <c r="J269" i="55" s="1"/>
  <c r="C285" i="55"/>
  <c r="G289" i="55"/>
  <c r="L286" i="55"/>
  <c r="C286" i="55" s="1"/>
  <c r="C112" i="55" l="1"/>
  <c r="D52" i="55"/>
  <c r="D51" i="55" s="1"/>
  <c r="I231" i="55"/>
  <c r="I230" i="55" s="1"/>
  <c r="N194" i="55"/>
  <c r="G52" i="55"/>
  <c r="G51" i="55" s="1"/>
  <c r="H289" i="55"/>
  <c r="J194" i="55"/>
  <c r="J51" i="55"/>
  <c r="J50" i="55" s="1"/>
  <c r="N75" i="55"/>
  <c r="C58" i="55"/>
  <c r="I53" i="55"/>
  <c r="E194" i="55"/>
  <c r="E51" i="55" s="1"/>
  <c r="C67" i="55"/>
  <c r="E289" i="55"/>
  <c r="O230" i="55"/>
  <c r="N52" i="55"/>
  <c r="N51" i="55" s="1"/>
  <c r="N50" i="55" s="1"/>
  <c r="C103" i="55"/>
  <c r="L259" i="55"/>
  <c r="J289" i="55"/>
  <c r="C246" i="55"/>
  <c r="C264" i="55"/>
  <c r="L231" i="55"/>
  <c r="L230" i="55" s="1"/>
  <c r="O53" i="55"/>
  <c r="C160" i="55"/>
  <c r="C136" i="55"/>
  <c r="O83" i="55"/>
  <c r="C198" i="55"/>
  <c r="C179" i="55"/>
  <c r="C69" i="55"/>
  <c r="I204" i="55"/>
  <c r="C116" i="55"/>
  <c r="I83" i="55"/>
  <c r="O130" i="55"/>
  <c r="K50" i="55"/>
  <c r="K290" i="55"/>
  <c r="O194" i="55"/>
  <c r="N290" i="55"/>
  <c r="J290" i="55"/>
  <c r="I195" i="55"/>
  <c r="I194" i="55" s="1"/>
  <c r="H194" i="55"/>
  <c r="H51" i="55" s="1"/>
  <c r="C205" i="55"/>
  <c r="F204" i="55"/>
  <c r="F195" i="55" s="1"/>
  <c r="C276" i="55"/>
  <c r="I174" i="55"/>
  <c r="I173" i="55" s="1"/>
  <c r="C259" i="55"/>
  <c r="C196" i="55"/>
  <c r="I130" i="55"/>
  <c r="L204" i="55"/>
  <c r="L195" i="55" s="1"/>
  <c r="L292" i="55"/>
  <c r="L291" i="55" s="1"/>
  <c r="C89" i="55"/>
  <c r="C77" i="55"/>
  <c r="F76" i="55"/>
  <c r="C41" i="55"/>
  <c r="F20" i="55"/>
  <c r="D289" i="55"/>
  <c r="C131" i="55"/>
  <c r="C235" i="55"/>
  <c r="C238" i="55"/>
  <c r="F231" i="55"/>
  <c r="C188" i="55"/>
  <c r="F187" i="55"/>
  <c r="C187" i="55" s="1"/>
  <c r="C54" i="55"/>
  <c r="F53" i="55"/>
  <c r="N289" i="55"/>
  <c r="F270" i="55"/>
  <c r="C272" i="55"/>
  <c r="C252" i="55"/>
  <c r="F251" i="55"/>
  <c r="C251" i="55" s="1"/>
  <c r="C122" i="55"/>
  <c r="C216" i="55"/>
  <c r="M194" i="55"/>
  <c r="M51" i="55" s="1"/>
  <c r="F174" i="55"/>
  <c r="C175" i="55"/>
  <c r="C151" i="55"/>
  <c r="L130" i="55"/>
  <c r="C260" i="55"/>
  <c r="O292" i="55"/>
  <c r="O291" i="55" s="1"/>
  <c r="O20" i="55"/>
  <c r="C95" i="55"/>
  <c r="F83" i="55"/>
  <c r="C84" i="55"/>
  <c r="C45" i="55"/>
  <c r="F291" i="55"/>
  <c r="F130" i="55"/>
  <c r="F165" i="55"/>
  <c r="C165" i="55" s="1"/>
  <c r="C166" i="55"/>
  <c r="C144" i="55"/>
  <c r="C27" i="55"/>
  <c r="L26" i="55"/>
  <c r="M289" i="55"/>
  <c r="L83" i="55"/>
  <c r="C21" i="55"/>
  <c r="D290" i="55" l="1"/>
  <c r="D50" i="55"/>
  <c r="G50" i="55"/>
  <c r="G290" i="55"/>
  <c r="O75" i="55"/>
  <c r="O289" i="55" s="1"/>
  <c r="E50" i="55"/>
  <c r="E290" i="55"/>
  <c r="I75" i="55"/>
  <c r="I52" i="55" s="1"/>
  <c r="I51" i="55" s="1"/>
  <c r="O52" i="55"/>
  <c r="O51" i="55" s="1"/>
  <c r="O50" i="55" s="1"/>
  <c r="M50" i="55"/>
  <c r="M290" i="55"/>
  <c r="L194" i="55"/>
  <c r="C26" i="55"/>
  <c r="L20" i="55"/>
  <c r="C20" i="55" s="1"/>
  <c r="I289" i="55"/>
  <c r="F230" i="55"/>
  <c r="C230" i="55" s="1"/>
  <c r="C231" i="55"/>
  <c r="F75" i="55"/>
  <c r="C76" i="55"/>
  <c r="C130" i="55"/>
  <c r="F269" i="55"/>
  <c r="C270" i="55"/>
  <c r="C195" i="55"/>
  <c r="C53" i="55"/>
  <c r="L75" i="55"/>
  <c r="L52" i="55" s="1"/>
  <c r="L51" i="55" s="1"/>
  <c r="L50" i="55" s="1"/>
  <c r="C291" i="55"/>
  <c r="C83" i="55"/>
  <c r="F173" i="55"/>
  <c r="C173" i="55" s="1"/>
  <c r="C174" i="55"/>
  <c r="H290" i="55"/>
  <c r="H50" i="55"/>
  <c r="C204" i="55"/>
  <c r="C292" i="55"/>
  <c r="O290" i="55" l="1"/>
  <c r="F194" i="55"/>
  <c r="C194" i="55" s="1"/>
  <c r="L290" i="55"/>
  <c r="C75" i="55"/>
  <c r="L289" i="55"/>
  <c r="I290" i="55"/>
  <c r="I50" i="55"/>
  <c r="C269" i="55"/>
  <c r="F289" i="55"/>
  <c r="C289" i="55" s="1"/>
  <c r="F52" i="55"/>
  <c r="F51" i="55" l="1"/>
  <c r="C52" i="55"/>
  <c r="F290" i="55" l="1"/>
  <c r="C290" i="55" s="1"/>
  <c r="F50" i="55"/>
  <c r="C50" i="55" s="1"/>
  <c r="C51" i="55"/>
  <c r="O301" i="54" l="1"/>
  <c r="L301" i="54"/>
  <c r="I301" i="54"/>
  <c r="F301" i="54"/>
  <c r="O300" i="54"/>
  <c r="L300" i="54"/>
  <c r="I300" i="54"/>
  <c r="F300" i="54"/>
  <c r="O299" i="54"/>
  <c r="L299" i="54"/>
  <c r="I299" i="54"/>
  <c r="F299" i="54"/>
  <c r="O298" i="54"/>
  <c r="L298" i="54"/>
  <c r="I298" i="54"/>
  <c r="F298" i="54"/>
  <c r="O297" i="54"/>
  <c r="L297" i="54"/>
  <c r="I297" i="54"/>
  <c r="F297" i="54"/>
  <c r="O296" i="54"/>
  <c r="L296" i="54"/>
  <c r="I296" i="54"/>
  <c r="F296" i="54"/>
  <c r="O295" i="54"/>
  <c r="L295" i="54"/>
  <c r="I295" i="54"/>
  <c r="F295" i="54"/>
  <c r="O294" i="54"/>
  <c r="O293" i="54" s="1"/>
  <c r="L294" i="54"/>
  <c r="I294" i="54"/>
  <c r="F294" i="54"/>
  <c r="F293" i="54" s="1"/>
  <c r="N293" i="54"/>
  <c r="M293" i="54"/>
  <c r="K293" i="54"/>
  <c r="J293" i="54"/>
  <c r="H293" i="54"/>
  <c r="G293" i="54"/>
  <c r="E293" i="54"/>
  <c r="D293" i="54"/>
  <c r="O288" i="54"/>
  <c r="L288" i="54"/>
  <c r="I288" i="54"/>
  <c r="F288" i="54"/>
  <c r="O287" i="54"/>
  <c r="O286" i="54" s="1"/>
  <c r="L287" i="54"/>
  <c r="L286" i="54" s="1"/>
  <c r="I287" i="54"/>
  <c r="F287" i="54"/>
  <c r="N286" i="54"/>
  <c r="M286" i="54"/>
  <c r="K286" i="54"/>
  <c r="J286" i="54"/>
  <c r="H286" i="54"/>
  <c r="G286" i="54"/>
  <c r="E286" i="54"/>
  <c r="D286" i="54"/>
  <c r="O285" i="54"/>
  <c r="L285" i="54"/>
  <c r="L284" i="54" s="1"/>
  <c r="L283" i="54" s="1"/>
  <c r="I285" i="54"/>
  <c r="F285" i="54"/>
  <c r="F284" i="54" s="1"/>
  <c r="O284" i="54"/>
  <c r="O283" i="54" s="1"/>
  <c r="N284" i="54"/>
  <c r="M284" i="54"/>
  <c r="M283" i="54" s="1"/>
  <c r="K284" i="54"/>
  <c r="K283" i="54" s="1"/>
  <c r="J284" i="54"/>
  <c r="J283" i="54" s="1"/>
  <c r="I284" i="54"/>
  <c r="I283" i="54" s="1"/>
  <c r="H284" i="54"/>
  <c r="G284" i="54"/>
  <c r="G283" i="54" s="1"/>
  <c r="E284" i="54"/>
  <c r="E283" i="54" s="1"/>
  <c r="D284" i="54"/>
  <c r="D283" i="54" s="1"/>
  <c r="N283" i="54"/>
  <c r="H283" i="54"/>
  <c r="O282" i="54"/>
  <c r="O281" i="54" s="1"/>
  <c r="L282" i="54"/>
  <c r="L281" i="54" s="1"/>
  <c r="I282" i="54"/>
  <c r="I281" i="54" s="1"/>
  <c r="F282" i="54"/>
  <c r="F281" i="54" s="1"/>
  <c r="N281" i="54"/>
  <c r="M281" i="54"/>
  <c r="K281" i="54"/>
  <c r="J281" i="54"/>
  <c r="H281" i="54"/>
  <c r="G281" i="54"/>
  <c r="E281" i="54"/>
  <c r="D281" i="54"/>
  <c r="O280" i="54"/>
  <c r="L280" i="54"/>
  <c r="I280" i="54"/>
  <c r="F280" i="54"/>
  <c r="O279" i="54"/>
  <c r="L279" i="54"/>
  <c r="I279" i="54"/>
  <c r="F279" i="54"/>
  <c r="O278" i="54"/>
  <c r="L278" i="54"/>
  <c r="I278" i="54"/>
  <c r="F278" i="54"/>
  <c r="O277" i="54"/>
  <c r="L277" i="54"/>
  <c r="I277" i="54"/>
  <c r="I276" i="54" s="1"/>
  <c r="F277" i="54"/>
  <c r="N276" i="54"/>
  <c r="M276" i="54"/>
  <c r="K276" i="54"/>
  <c r="J276" i="54"/>
  <c r="H276" i="54"/>
  <c r="G276" i="54"/>
  <c r="G270" i="54" s="1"/>
  <c r="G269" i="54" s="1"/>
  <c r="F276" i="54"/>
  <c r="E276" i="54"/>
  <c r="D276" i="54"/>
  <c r="O275" i="54"/>
  <c r="L275" i="54"/>
  <c r="I275" i="54"/>
  <c r="F275" i="54"/>
  <c r="O274" i="54"/>
  <c r="L274" i="54"/>
  <c r="I274" i="54"/>
  <c r="F274" i="54"/>
  <c r="O273" i="54"/>
  <c r="L273" i="54"/>
  <c r="L272" i="54" s="1"/>
  <c r="I273" i="54"/>
  <c r="I272" i="54" s="1"/>
  <c r="F273" i="54"/>
  <c r="N272" i="54"/>
  <c r="N270" i="54" s="1"/>
  <c r="N269" i="54" s="1"/>
  <c r="M272" i="54"/>
  <c r="K272" i="54"/>
  <c r="J272" i="54"/>
  <c r="H272" i="54"/>
  <c r="H270" i="54" s="1"/>
  <c r="H269" i="54" s="1"/>
  <c r="G272" i="54"/>
  <c r="E272" i="54"/>
  <c r="D272" i="54"/>
  <c r="O271" i="54"/>
  <c r="C271" i="54" s="1"/>
  <c r="L271" i="54"/>
  <c r="I271" i="54"/>
  <c r="F271" i="54"/>
  <c r="K270" i="54"/>
  <c r="K269" i="54" s="1"/>
  <c r="D270" i="54"/>
  <c r="D269" i="54" s="1"/>
  <c r="O268" i="54"/>
  <c r="L268" i="54"/>
  <c r="I268" i="54"/>
  <c r="F268" i="54"/>
  <c r="O267" i="54"/>
  <c r="L267" i="54"/>
  <c r="I267" i="54"/>
  <c r="F267" i="54"/>
  <c r="O266" i="54"/>
  <c r="L266" i="54"/>
  <c r="I266" i="54"/>
  <c r="F266" i="54"/>
  <c r="O265" i="54"/>
  <c r="L265" i="54"/>
  <c r="I265" i="54"/>
  <c r="F265" i="54"/>
  <c r="N264" i="54"/>
  <c r="M264" i="54"/>
  <c r="K264" i="54"/>
  <c r="J264" i="54"/>
  <c r="H264" i="54"/>
  <c r="G264" i="54"/>
  <c r="G259" i="54" s="1"/>
  <c r="F264" i="54"/>
  <c r="E264" i="54"/>
  <c r="D264" i="54"/>
  <c r="O263" i="54"/>
  <c r="L263" i="54"/>
  <c r="I263" i="54"/>
  <c r="F263" i="54"/>
  <c r="O262" i="54"/>
  <c r="O260" i="54" s="1"/>
  <c r="L262" i="54"/>
  <c r="I262" i="54"/>
  <c r="F262" i="54"/>
  <c r="C262" i="54" s="1"/>
  <c r="O261" i="54"/>
  <c r="L261" i="54"/>
  <c r="I261" i="54"/>
  <c r="I260" i="54" s="1"/>
  <c r="F261" i="54"/>
  <c r="N260" i="54"/>
  <c r="M260" i="54"/>
  <c r="K260" i="54"/>
  <c r="K259" i="54" s="1"/>
  <c r="J260" i="54"/>
  <c r="J259" i="54" s="1"/>
  <c r="H260" i="54"/>
  <c r="G260" i="54"/>
  <c r="E260" i="54"/>
  <c r="E259" i="54" s="1"/>
  <c r="D260" i="54"/>
  <c r="D259" i="54" s="1"/>
  <c r="O258" i="54"/>
  <c r="L258" i="54"/>
  <c r="I258" i="54"/>
  <c r="F258" i="54"/>
  <c r="O257" i="54"/>
  <c r="L257" i="54"/>
  <c r="I257" i="54"/>
  <c r="F257" i="54"/>
  <c r="O256" i="54"/>
  <c r="L256" i="54"/>
  <c r="I256" i="54"/>
  <c r="F256" i="54"/>
  <c r="O255" i="54"/>
  <c r="L255" i="54"/>
  <c r="I255" i="54"/>
  <c r="F255" i="54"/>
  <c r="O254" i="54"/>
  <c r="L254" i="54"/>
  <c r="I254" i="54"/>
  <c r="F254" i="54"/>
  <c r="O253" i="54"/>
  <c r="L253" i="54"/>
  <c r="I253" i="54"/>
  <c r="I252" i="54" s="1"/>
  <c r="I251" i="54" s="1"/>
  <c r="F253" i="54"/>
  <c r="N252" i="54"/>
  <c r="M252" i="54"/>
  <c r="M251" i="54" s="1"/>
  <c r="K252" i="54"/>
  <c r="K251" i="54" s="1"/>
  <c r="J252" i="54"/>
  <c r="H252" i="54"/>
  <c r="H251" i="54" s="1"/>
  <c r="G252" i="54"/>
  <c r="G251" i="54" s="1"/>
  <c r="E252" i="54"/>
  <c r="E251" i="54" s="1"/>
  <c r="D252" i="54"/>
  <c r="N251" i="54"/>
  <c r="J251" i="54"/>
  <c r="D251" i="54"/>
  <c r="O250" i="54"/>
  <c r="L250" i="54"/>
  <c r="I250" i="54"/>
  <c r="F250" i="54"/>
  <c r="O249" i="54"/>
  <c r="L249" i="54"/>
  <c r="I249" i="54"/>
  <c r="F249" i="54"/>
  <c r="O248" i="54"/>
  <c r="L248" i="54"/>
  <c r="I248" i="54"/>
  <c r="F248" i="54"/>
  <c r="O247" i="54"/>
  <c r="L247" i="54"/>
  <c r="I247" i="54"/>
  <c r="F247" i="54"/>
  <c r="O246" i="54"/>
  <c r="N246" i="54"/>
  <c r="M246" i="54"/>
  <c r="K246" i="54"/>
  <c r="J246" i="54"/>
  <c r="H246" i="54"/>
  <c r="G246" i="54"/>
  <c r="E246" i="54"/>
  <c r="D246" i="54"/>
  <c r="O245" i="54"/>
  <c r="L245" i="54"/>
  <c r="I245" i="54"/>
  <c r="F245" i="54"/>
  <c r="O244" i="54"/>
  <c r="L244" i="54"/>
  <c r="I244" i="54"/>
  <c r="F244" i="54"/>
  <c r="O243" i="54"/>
  <c r="L243" i="54"/>
  <c r="I243" i="54"/>
  <c r="F243" i="54"/>
  <c r="O242" i="54"/>
  <c r="L242" i="54"/>
  <c r="I242" i="54"/>
  <c r="F242" i="54"/>
  <c r="O241" i="54"/>
  <c r="L241" i="54"/>
  <c r="I241" i="54"/>
  <c r="F241" i="54"/>
  <c r="O240" i="54"/>
  <c r="L240" i="54"/>
  <c r="I240" i="54"/>
  <c r="F240" i="54"/>
  <c r="O239" i="54"/>
  <c r="L239" i="54"/>
  <c r="L238" i="54" s="1"/>
  <c r="I239" i="54"/>
  <c r="F239" i="54"/>
  <c r="N238" i="54"/>
  <c r="M238" i="54"/>
  <c r="K238" i="54"/>
  <c r="J238" i="54"/>
  <c r="H238" i="54"/>
  <c r="G238" i="54"/>
  <c r="E238" i="54"/>
  <c r="D238" i="54"/>
  <c r="O237" i="54"/>
  <c r="L237" i="54"/>
  <c r="I237" i="54"/>
  <c r="F237" i="54"/>
  <c r="O236" i="54"/>
  <c r="L236" i="54"/>
  <c r="L235" i="54" s="1"/>
  <c r="I236" i="54"/>
  <c r="I235" i="54" s="1"/>
  <c r="F236" i="54"/>
  <c r="O235" i="54"/>
  <c r="N235" i="54"/>
  <c r="M235" i="54"/>
  <c r="K235" i="54"/>
  <c r="J235" i="54"/>
  <c r="H235" i="54"/>
  <c r="G235" i="54"/>
  <c r="F235" i="54"/>
  <c r="E235" i="54"/>
  <c r="D235" i="54"/>
  <c r="O234" i="54"/>
  <c r="O233" i="54" s="1"/>
  <c r="L234" i="54"/>
  <c r="L233" i="54" s="1"/>
  <c r="I234" i="54"/>
  <c r="F234" i="54"/>
  <c r="F233" i="54" s="1"/>
  <c r="N233" i="54"/>
  <c r="N231" i="54" s="1"/>
  <c r="M233" i="54"/>
  <c r="K233" i="54"/>
  <c r="J233" i="54"/>
  <c r="I233" i="54"/>
  <c r="H233" i="54"/>
  <c r="G233" i="54"/>
  <c r="E233" i="54"/>
  <c r="D233" i="54"/>
  <c r="O232" i="54"/>
  <c r="L232" i="54"/>
  <c r="I232" i="54"/>
  <c r="F232" i="54"/>
  <c r="O229" i="54"/>
  <c r="L229" i="54"/>
  <c r="I229" i="54"/>
  <c r="F229" i="54"/>
  <c r="O228" i="54"/>
  <c r="L228" i="54"/>
  <c r="L227" i="54" s="1"/>
  <c r="I228" i="54"/>
  <c r="I227" i="54" s="1"/>
  <c r="F228" i="54"/>
  <c r="O227" i="54"/>
  <c r="N227" i="54"/>
  <c r="M227" i="54"/>
  <c r="K227" i="54"/>
  <c r="J227" i="54"/>
  <c r="H227" i="54"/>
  <c r="G227" i="54"/>
  <c r="F227" i="54"/>
  <c r="E227" i="54"/>
  <c r="D227" i="54"/>
  <c r="O226" i="54"/>
  <c r="L226" i="54"/>
  <c r="I226" i="54"/>
  <c r="F226" i="54"/>
  <c r="C226" i="54"/>
  <c r="O225" i="54"/>
  <c r="L225" i="54"/>
  <c r="I225" i="54"/>
  <c r="F225" i="54"/>
  <c r="C225" i="54" s="1"/>
  <c r="O224" i="54"/>
  <c r="L224" i="54"/>
  <c r="I224" i="54"/>
  <c r="F224" i="54"/>
  <c r="O223" i="54"/>
  <c r="L223" i="54"/>
  <c r="I223" i="54"/>
  <c r="F223" i="54"/>
  <c r="O222" i="54"/>
  <c r="L222" i="54"/>
  <c r="I222" i="54"/>
  <c r="F222" i="54"/>
  <c r="O221" i="54"/>
  <c r="L221" i="54"/>
  <c r="I221" i="54"/>
  <c r="F221" i="54"/>
  <c r="O220" i="54"/>
  <c r="L220" i="54"/>
  <c r="I220" i="54"/>
  <c r="F220" i="54"/>
  <c r="O219" i="54"/>
  <c r="L219" i="54"/>
  <c r="I219" i="54"/>
  <c r="F219" i="54"/>
  <c r="O218" i="54"/>
  <c r="L218" i="54"/>
  <c r="I218" i="54"/>
  <c r="F218" i="54"/>
  <c r="O217" i="54"/>
  <c r="L217" i="54"/>
  <c r="I217" i="54"/>
  <c r="F217" i="54"/>
  <c r="N216" i="54"/>
  <c r="M216" i="54"/>
  <c r="K216" i="54"/>
  <c r="J216" i="54"/>
  <c r="H216" i="54"/>
  <c r="G216" i="54"/>
  <c r="E216" i="54"/>
  <c r="D216" i="54"/>
  <c r="O215" i="54"/>
  <c r="L215" i="54"/>
  <c r="I215" i="54"/>
  <c r="F215" i="54"/>
  <c r="O214" i="54"/>
  <c r="L214" i="54"/>
  <c r="I214" i="54"/>
  <c r="F214" i="54"/>
  <c r="O213" i="54"/>
  <c r="L213" i="54"/>
  <c r="I213" i="54"/>
  <c r="F213" i="54"/>
  <c r="O212" i="54"/>
  <c r="L212" i="54"/>
  <c r="I212" i="54"/>
  <c r="F212" i="54"/>
  <c r="O211" i="54"/>
  <c r="L211" i="54"/>
  <c r="I211" i="54"/>
  <c r="F211" i="54"/>
  <c r="O210" i="54"/>
  <c r="L210" i="54"/>
  <c r="I210" i="54"/>
  <c r="F210" i="54"/>
  <c r="O209" i="54"/>
  <c r="L209" i="54"/>
  <c r="I209" i="54"/>
  <c r="F209" i="54"/>
  <c r="O208" i="54"/>
  <c r="L208" i="54"/>
  <c r="I208" i="54"/>
  <c r="F208" i="54"/>
  <c r="O207" i="54"/>
  <c r="L207" i="54"/>
  <c r="I207" i="54"/>
  <c r="F207" i="54"/>
  <c r="O206" i="54"/>
  <c r="L206" i="54"/>
  <c r="I206" i="54"/>
  <c r="F206" i="54"/>
  <c r="N205" i="54"/>
  <c r="M205" i="54"/>
  <c r="K205" i="54"/>
  <c r="J205" i="54"/>
  <c r="H205" i="54"/>
  <c r="H204" i="54" s="1"/>
  <c r="G205" i="54"/>
  <c r="E205" i="54"/>
  <c r="E204" i="54" s="1"/>
  <c r="D205" i="54"/>
  <c r="M204" i="54"/>
  <c r="O203" i="54"/>
  <c r="L203" i="54"/>
  <c r="I203" i="54"/>
  <c r="F203" i="54"/>
  <c r="O202" i="54"/>
  <c r="L202" i="54"/>
  <c r="I202" i="54"/>
  <c r="F202" i="54"/>
  <c r="O201" i="54"/>
  <c r="L201" i="54"/>
  <c r="I201" i="54"/>
  <c r="F201" i="54"/>
  <c r="O200" i="54"/>
  <c r="L200" i="54"/>
  <c r="I200" i="54"/>
  <c r="F200" i="54"/>
  <c r="O199" i="54"/>
  <c r="L199" i="54"/>
  <c r="I199" i="54"/>
  <c r="F199" i="54"/>
  <c r="F198" i="54" s="1"/>
  <c r="O198" i="54"/>
  <c r="N198" i="54"/>
  <c r="M198" i="54"/>
  <c r="K198" i="54"/>
  <c r="K196" i="54" s="1"/>
  <c r="J198" i="54"/>
  <c r="H198" i="54"/>
  <c r="H196" i="54" s="1"/>
  <c r="G198" i="54"/>
  <c r="G196" i="54" s="1"/>
  <c r="E198" i="54"/>
  <c r="E196" i="54" s="1"/>
  <c r="D198" i="54"/>
  <c r="D196" i="54" s="1"/>
  <c r="O197" i="54"/>
  <c r="L197" i="54"/>
  <c r="I197" i="54"/>
  <c r="F197" i="54"/>
  <c r="N196" i="54"/>
  <c r="M196" i="54"/>
  <c r="M195" i="54" s="1"/>
  <c r="J196" i="54"/>
  <c r="O193" i="54"/>
  <c r="O192" i="54" s="1"/>
  <c r="O191" i="54" s="1"/>
  <c r="L193" i="54"/>
  <c r="L192" i="54" s="1"/>
  <c r="L191" i="54" s="1"/>
  <c r="I193" i="54"/>
  <c r="I192" i="54" s="1"/>
  <c r="I191" i="54" s="1"/>
  <c r="F193" i="54"/>
  <c r="F192" i="54" s="1"/>
  <c r="F191" i="54" s="1"/>
  <c r="N192" i="54"/>
  <c r="M192" i="54"/>
  <c r="K192" i="54"/>
  <c r="K191" i="54" s="1"/>
  <c r="J192" i="54"/>
  <c r="H192" i="54"/>
  <c r="H191" i="54" s="1"/>
  <c r="G192" i="54"/>
  <c r="G191" i="54" s="1"/>
  <c r="E192" i="54"/>
  <c r="E191" i="54" s="1"/>
  <c r="D192" i="54"/>
  <c r="D191" i="54" s="1"/>
  <c r="N191" i="54"/>
  <c r="M191" i="54"/>
  <c r="J191" i="54"/>
  <c r="O190" i="54"/>
  <c r="L190" i="54"/>
  <c r="I190" i="54"/>
  <c r="F190" i="54"/>
  <c r="O189" i="54"/>
  <c r="L189" i="54"/>
  <c r="L188" i="54" s="1"/>
  <c r="I189" i="54"/>
  <c r="I188" i="54" s="1"/>
  <c r="F189" i="54"/>
  <c r="N188" i="54"/>
  <c r="N187" i="54" s="1"/>
  <c r="M188" i="54"/>
  <c r="K188" i="54"/>
  <c r="J188" i="54"/>
  <c r="H188" i="54"/>
  <c r="H187" i="54" s="1"/>
  <c r="G188" i="54"/>
  <c r="E188" i="54"/>
  <c r="D188" i="54"/>
  <c r="D187" i="54" s="1"/>
  <c r="O186" i="54"/>
  <c r="L186" i="54"/>
  <c r="I186" i="54"/>
  <c r="F186" i="54"/>
  <c r="O185" i="54"/>
  <c r="O184" i="54" s="1"/>
  <c r="L185" i="54"/>
  <c r="I185" i="54"/>
  <c r="F185" i="54"/>
  <c r="F184" i="54" s="1"/>
  <c r="N184" i="54"/>
  <c r="M184" i="54"/>
  <c r="K184" i="54"/>
  <c r="J184" i="54"/>
  <c r="H184" i="54"/>
  <c r="G184" i="54"/>
  <c r="E184" i="54"/>
  <c r="D184" i="54"/>
  <c r="O183" i="54"/>
  <c r="L183" i="54"/>
  <c r="I183" i="54"/>
  <c r="F183" i="54"/>
  <c r="O182" i="54"/>
  <c r="L182" i="54"/>
  <c r="I182" i="54"/>
  <c r="F182" i="54"/>
  <c r="O181" i="54"/>
  <c r="L181" i="54"/>
  <c r="I181" i="54"/>
  <c r="F181" i="54"/>
  <c r="C181" i="54" s="1"/>
  <c r="O180" i="54"/>
  <c r="L180" i="54"/>
  <c r="I180" i="54"/>
  <c r="F180" i="54"/>
  <c r="N179" i="54"/>
  <c r="M179" i="54"/>
  <c r="K179" i="54"/>
  <c r="J179" i="54"/>
  <c r="H179" i="54"/>
  <c r="G179" i="54"/>
  <c r="F179" i="54"/>
  <c r="E179" i="54"/>
  <c r="D179" i="54"/>
  <c r="O178" i="54"/>
  <c r="L178" i="54"/>
  <c r="I178" i="54"/>
  <c r="F178" i="54"/>
  <c r="O177" i="54"/>
  <c r="L177" i="54"/>
  <c r="I177" i="54"/>
  <c r="F177" i="54"/>
  <c r="O176" i="54"/>
  <c r="O175" i="54" s="1"/>
  <c r="L176" i="54"/>
  <c r="I176" i="54"/>
  <c r="F176" i="54"/>
  <c r="F175" i="54" s="1"/>
  <c r="N175" i="54"/>
  <c r="M175" i="54"/>
  <c r="K175" i="54"/>
  <c r="J175" i="54"/>
  <c r="H175" i="54"/>
  <c r="H174" i="54" s="1"/>
  <c r="H173" i="54" s="1"/>
  <c r="G175" i="54"/>
  <c r="E175" i="54"/>
  <c r="D175" i="54"/>
  <c r="D174" i="54" s="1"/>
  <c r="D173" i="54" s="1"/>
  <c r="K174" i="54"/>
  <c r="K173" i="54" s="1"/>
  <c r="G174" i="54"/>
  <c r="G173" i="54" s="1"/>
  <c r="O172" i="54"/>
  <c r="L172" i="54"/>
  <c r="I172" i="54"/>
  <c r="F172" i="54"/>
  <c r="O171" i="54"/>
  <c r="L171" i="54"/>
  <c r="I171" i="54"/>
  <c r="F171" i="54"/>
  <c r="O170" i="54"/>
  <c r="L170" i="54"/>
  <c r="I170" i="54"/>
  <c r="F170" i="54"/>
  <c r="O169" i="54"/>
  <c r="L169" i="54"/>
  <c r="I169" i="54"/>
  <c r="F169" i="54"/>
  <c r="O168" i="54"/>
  <c r="L168" i="54"/>
  <c r="I168" i="54"/>
  <c r="F168" i="54"/>
  <c r="O167" i="54"/>
  <c r="L167" i="54"/>
  <c r="I167" i="54"/>
  <c r="F167" i="54"/>
  <c r="N166" i="54"/>
  <c r="N165" i="54" s="1"/>
  <c r="M166" i="54"/>
  <c r="M165" i="54" s="1"/>
  <c r="K166" i="54"/>
  <c r="K165" i="54" s="1"/>
  <c r="J166" i="54"/>
  <c r="H166" i="54"/>
  <c r="H165" i="54" s="1"/>
  <c r="G166" i="54"/>
  <c r="G165" i="54" s="1"/>
  <c r="F166" i="54"/>
  <c r="E166" i="54"/>
  <c r="E165" i="54" s="1"/>
  <c r="D166" i="54"/>
  <c r="D165" i="54" s="1"/>
  <c r="J165" i="54"/>
  <c r="O164" i="54"/>
  <c r="L164" i="54"/>
  <c r="I164" i="54"/>
  <c r="F164" i="54"/>
  <c r="O163" i="54"/>
  <c r="L163" i="54"/>
  <c r="I163" i="54"/>
  <c r="F163" i="54"/>
  <c r="O162" i="54"/>
  <c r="L162" i="54"/>
  <c r="I162" i="54"/>
  <c r="F162" i="54"/>
  <c r="O161" i="54"/>
  <c r="O160" i="54" s="1"/>
  <c r="L161" i="54"/>
  <c r="L160" i="54" s="1"/>
  <c r="I161" i="54"/>
  <c r="I160" i="54" s="1"/>
  <c r="F161" i="54"/>
  <c r="F160" i="54" s="1"/>
  <c r="N160" i="54"/>
  <c r="M160" i="54"/>
  <c r="K160" i="54"/>
  <c r="J160" i="54"/>
  <c r="H160" i="54"/>
  <c r="G160" i="54"/>
  <c r="E160" i="54"/>
  <c r="D160" i="54"/>
  <c r="O159" i="54"/>
  <c r="L159" i="54"/>
  <c r="I159" i="54"/>
  <c r="F159" i="54"/>
  <c r="O158" i="54"/>
  <c r="L158" i="54"/>
  <c r="I158" i="54"/>
  <c r="F158" i="54"/>
  <c r="O157" i="54"/>
  <c r="L157" i="54"/>
  <c r="I157" i="54"/>
  <c r="F157" i="54"/>
  <c r="O156" i="54"/>
  <c r="L156" i="54"/>
  <c r="I156" i="54"/>
  <c r="F156" i="54"/>
  <c r="O155" i="54"/>
  <c r="L155" i="54"/>
  <c r="I155" i="54"/>
  <c r="F155" i="54"/>
  <c r="O154" i="54"/>
  <c r="L154" i="54"/>
  <c r="I154" i="54"/>
  <c r="F154" i="54"/>
  <c r="C154" i="54" s="1"/>
  <c r="O153" i="54"/>
  <c r="L153" i="54"/>
  <c r="I153" i="54"/>
  <c r="F153" i="54"/>
  <c r="O152" i="54"/>
  <c r="L152" i="54"/>
  <c r="I152" i="54"/>
  <c r="F152" i="54"/>
  <c r="N151" i="54"/>
  <c r="M151" i="54"/>
  <c r="K151" i="54"/>
  <c r="J151" i="54"/>
  <c r="H151" i="54"/>
  <c r="G151" i="54"/>
  <c r="E151" i="54"/>
  <c r="D151" i="54"/>
  <c r="O150" i="54"/>
  <c r="L150" i="54"/>
  <c r="I150" i="54"/>
  <c r="F150" i="54"/>
  <c r="O149" i="54"/>
  <c r="L149" i="54"/>
  <c r="I149" i="54"/>
  <c r="F149" i="54"/>
  <c r="O148" i="54"/>
  <c r="L148" i="54"/>
  <c r="I148" i="54"/>
  <c r="F148" i="54"/>
  <c r="O147" i="54"/>
  <c r="L147" i="54"/>
  <c r="I147" i="54"/>
  <c r="F147" i="54"/>
  <c r="O146" i="54"/>
  <c r="L146" i="54"/>
  <c r="I146" i="54"/>
  <c r="F146" i="54"/>
  <c r="C146" i="54" s="1"/>
  <c r="O145" i="54"/>
  <c r="L145" i="54"/>
  <c r="I145" i="54"/>
  <c r="F145" i="54"/>
  <c r="N144" i="54"/>
  <c r="M144" i="54"/>
  <c r="K144" i="54"/>
  <c r="J144" i="54"/>
  <c r="H144" i="54"/>
  <c r="G144" i="54"/>
  <c r="E144" i="54"/>
  <c r="D144" i="54"/>
  <c r="O143" i="54"/>
  <c r="L143" i="54"/>
  <c r="I143" i="54"/>
  <c r="F143" i="54"/>
  <c r="O142" i="54"/>
  <c r="O141" i="54" s="1"/>
  <c r="L142" i="54"/>
  <c r="I142" i="54"/>
  <c r="I141" i="54" s="1"/>
  <c r="F142" i="54"/>
  <c r="F141" i="54" s="1"/>
  <c r="N141" i="54"/>
  <c r="M141" i="54"/>
  <c r="K141" i="54"/>
  <c r="J141" i="54"/>
  <c r="H141" i="54"/>
  <c r="G141" i="54"/>
  <c r="E141" i="54"/>
  <c r="D141" i="54"/>
  <c r="O140" i="54"/>
  <c r="L140" i="54"/>
  <c r="I140" i="54"/>
  <c r="F140" i="54"/>
  <c r="O139" i="54"/>
  <c r="L139" i="54"/>
  <c r="I139" i="54"/>
  <c r="F139" i="54"/>
  <c r="O138" i="54"/>
  <c r="L138" i="54"/>
  <c r="I138" i="54"/>
  <c r="F138" i="54"/>
  <c r="O137" i="54"/>
  <c r="O136" i="54" s="1"/>
  <c r="L137" i="54"/>
  <c r="I137" i="54"/>
  <c r="I136" i="54" s="1"/>
  <c r="F137" i="54"/>
  <c r="N136" i="54"/>
  <c r="M136" i="54"/>
  <c r="K136" i="54"/>
  <c r="J136" i="54"/>
  <c r="H136" i="54"/>
  <c r="G136" i="54"/>
  <c r="E136" i="54"/>
  <c r="D136" i="54"/>
  <c r="O135" i="54"/>
  <c r="L135" i="54"/>
  <c r="I135" i="54"/>
  <c r="F135" i="54"/>
  <c r="O134" i="54"/>
  <c r="L134" i="54"/>
  <c r="I134" i="54"/>
  <c r="F134" i="54"/>
  <c r="O133" i="54"/>
  <c r="L133" i="54"/>
  <c r="I133" i="54"/>
  <c r="F133" i="54"/>
  <c r="O132" i="54"/>
  <c r="L132" i="54"/>
  <c r="I132" i="54"/>
  <c r="F132" i="54"/>
  <c r="N131" i="54"/>
  <c r="M131" i="54"/>
  <c r="K131" i="54"/>
  <c r="J131" i="54"/>
  <c r="J130" i="54" s="1"/>
  <c r="H131" i="54"/>
  <c r="G131" i="54"/>
  <c r="E131" i="54"/>
  <c r="D131" i="54"/>
  <c r="O129" i="54"/>
  <c r="O128" i="54" s="1"/>
  <c r="L129" i="54"/>
  <c r="L128" i="54" s="1"/>
  <c r="I129" i="54"/>
  <c r="F129" i="54"/>
  <c r="N128" i="54"/>
  <c r="M128" i="54"/>
  <c r="K128" i="54"/>
  <c r="J128" i="54"/>
  <c r="I128" i="54"/>
  <c r="H128" i="54"/>
  <c r="G128" i="54"/>
  <c r="E128" i="54"/>
  <c r="D128" i="54"/>
  <c r="O127" i="54"/>
  <c r="L127" i="54"/>
  <c r="I127" i="54"/>
  <c r="F127" i="54"/>
  <c r="O126" i="54"/>
  <c r="L126" i="54"/>
  <c r="I126" i="54"/>
  <c r="F126" i="54"/>
  <c r="C126" i="54" s="1"/>
  <c r="O125" i="54"/>
  <c r="L125" i="54"/>
  <c r="I125" i="54"/>
  <c r="F125" i="54"/>
  <c r="O124" i="54"/>
  <c r="L124" i="54"/>
  <c r="I124" i="54"/>
  <c r="F124" i="54"/>
  <c r="O123" i="54"/>
  <c r="L123" i="54"/>
  <c r="I123" i="54"/>
  <c r="F123" i="54"/>
  <c r="N122" i="54"/>
  <c r="M122" i="54"/>
  <c r="K122" i="54"/>
  <c r="J122" i="54"/>
  <c r="H122" i="54"/>
  <c r="G122" i="54"/>
  <c r="E122" i="54"/>
  <c r="D122" i="54"/>
  <c r="O121" i="54"/>
  <c r="L121" i="54"/>
  <c r="I121" i="54"/>
  <c r="F121" i="54"/>
  <c r="O120" i="54"/>
  <c r="L120" i="54"/>
  <c r="I120" i="54"/>
  <c r="F120" i="54"/>
  <c r="O119" i="54"/>
  <c r="L119" i="54"/>
  <c r="I119" i="54"/>
  <c r="F119" i="54"/>
  <c r="O118" i="54"/>
  <c r="L118" i="54"/>
  <c r="I118" i="54"/>
  <c r="F118" i="54"/>
  <c r="C118" i="54" s="1"/>
  <c r="O117" i="54"/>
  <c r="O116" i="54" s="1"/>
  <c r="L117" i="54"/>
  <c r="I117" i="54"/>
  <c r="I116" i="54" s="1"/>
  <c r="F117" i="54"/>
  <c r="N116" i="54"/>
  <c r="M116" i="54"/>
  <c r="K116" i="54"/>
  <c r="J116" i="54"/>
  <c r="H116" i="54"/>
  <c r="G116" i="54"/>
  <c r="E116" i="54"/>
  <c r="D116" i="54"/>
  <c r="O115" i="54"/>
  <c r="L115" i="54"/>
  <c r="I115" i="54"/>
  <c r="F115" i="54"/>
  <c r="O114" i="54"/>
  <c r="L114" i="54"/>
  <c r="I114" i="54"/>
  <c r="F114" i="54"/>
  <c r="C114" i="54" s="1"/>
  <c r="O113" i="54"/>
  <c r="L113" i="54"/>
  <c r="I113" i="54"/>
  <c r="I112" i="54" s="1"/>
  <c r="F113" i="54"/>
  <c r="N112" i="54"/>
  <c r="M112" i="54"/>
  <c r="K112" i="54"/>
  <c r="J112" i="54"/>
  <c r="H112" i="54"/>
  <c r="G112" i="54"/>
  <c r="E112" i="54"/>
  <c r="D112" i="54"/>
  <c r="O111" i="54"/>
  <c r="L111" i="54"/>
  <c r="I111" i="54"/>
  <c r="F111" i="54"/>
  <c r="O110" i="54"/>
  <c r="L110" i="54"/>
  <c r="I110" i="54"/>
  <c r="F110" i="54"/>
  <c r="O109" i="54"/>
  <c r="L109" i="54"/>
  <c r="I109" i="54"/>
  <c r="F109" i="54"/>
  <c r="O108" i="54"/>
  <c r="L108" i="54"/>
  <c r="I108" i="54"/>
  <c r="F108" i="54"/>
  <c r="O107" i="54"/>
  <c r="L107" i="54"/>
  <c r="I107" i="54"/>
  <c r="F107" i="54"/>
  <c r="O106" i="54"/>
  <c r="L106" i="54"/>
  <c r="I106" i="54"/>
  <c r="F106" i="54"/>
  <c r="O105" i="54"/>
  <c r="L105" i="54"/>
  <c r="I105" i="54"/>
  <c r="F105" i="54"/>
  <c r="O104" i="54"/>
  <c r="L104" i="54"/>
  <c r="I104" i="54"/>
  <c r="F104" i="54"/>
  <c r="N103" i="54"/>
  <c r="M103" i="54"/>
  <c r="K103" i="54"/>
  <c r="J103" i="54"/>
  <c r="H103" i="54"/>
  <c r="G103" i="54"/>
  <c r="E103" i="54"/>
  <c r="D103" i="54"/>
  <c r="O102" i="54"/>
  <c r="L102" i="54"/>
  <c r="I102" i="54"/>
  <c r="F102" i="54"/>
  <c r="C102" i="54" s="1"/>
  <c r="O101" i="54"/>
  <c r="L101" i="54"/>
  <c r="I101" i="54"/>
  <c r="F101" i="54"/>
  <c r="O100" i="54"/>
  <c r="L100" i="54"/>
  <c r="I100" i="54"/>
  <c r="F100" i="54"/>
  <c r="C100" i="54" s="1"/>
  <c r="O99" i="54"/>
  <c r="L99" i="54"/>
  <c r="I99" i="54"/>
  <c r="F99" i="54"/>
  <c r="O98" i="54"/>
  <c r="L98" i="54"/>
  <c r="I98" i="54"/>
  <c r="F98" i="54"/>
  <c r="C98" i="54" s="1"/>
  <c r="O97" i="54"/>
  <c r="L97" i="54"/>
  <c r="I97" i="54"/>
  <c r="F97" i="54"/>
  <c r="O96" i="54"/>
  <c r="L96" i="54"/>
  <c r="I96" i="54"/>
  <c r="I95" i="54" s="1"/>
  <c r="F96" i="54"/>
  <c r="N95" i="54"/>
  <c r="M95" i="54"/>
  <c r="K95" i="54"/>
  <c r="J95" i="54"/>
  <c r="H95" i="54"/>
  <c r="G95" i="54"/>
  <c r="E95" i="54"/>
  <c r="D95" i="54"/>
  <c r="O94" i="54"/>
  <c r="L94" i="54"/>
  <c r="I94" i="54"/>
  <c r="F94" i="54"/>
  <c r="C94" i="54" s="1"/>
  <c r="O93" i="54"/>
  <c r="L93" i="54"/>
  <c r="I93" i="54"/>
  <c r="F93" i="54"/>
  <c r="O92" i="54"/>
  <c r="L92" i="54"/>
  <c r="I92" i="54"/>
  <c r="F92" i="54"/>
  <c r="O91" i="54"/>
  <c r="L91" i="54"/>
  <c r="I91" i="54"/>
  <c r="F91" i="54"/>
  <c r="O90" i="54"/>
  <c r="L90" i="54"/>
  <c r="I90" i="54"/>
  <c r="F90" i="54"/>
  <c r="N89" i="54"/>
  <c r="M89" i="54"/>
  <c r="K89" i="54"/>
  <c r="J89" i="54"/>
  <c r="H89" i="54"/>
  <c r="G89" i="54"/>
  <c r="E89" i="54"/>
  <c r="D89" i="54"/>
  <c r="O88" i="54"/>
  <c r="L88" i="54"/>
  <c r="I88" i="54"/>
  <c r="F88" i="54"/>
  <c r="O87" i="54"/>
  <c r="L87" i="54"/>
  <c r="I87" i="54"/>
  <c r="F87" i="54"/>
  <c r="O86" i="54"/>
  <c r="L86" i="54"/>
  <c r="I86" i="54"/>
  <c r="F86" i="54"/>
  <c r="O85" i="54"/>
  <c r="L85" i="54"/>
  <c r="I85" i="54"/>
  <c r="F85" i="54"/>
  <c r="N84" i="54"/>
  <c r="M84" i="54"/>
  <c r="K84" i="54"/>
  <c r="J84" i="54"/>
  <c r="H84" i="54"/>
  <c r="G84" i="54"/>
  <c r="E84" i="54"/>
  <c r="D84" i="54"/>
  <c r="O82" i="54"/>
  <c r="L82" i="54"/>
  <c r="I82" i="54"/>
  <c r="F82" i="54"/>
  <c r="C82" i="54" s="1"/>
  <c r="O81" i="54"/>
  <c r="L81" i="54"/>
  <c r="L80" i="54" s="1"/>
  <c r="I81" i="54"/>
  <c r="I80" i="54" s="1"/>
  <c r="F81" i="54"/>
  <c r="N80" i="54"/>
  <c r="M80" i="54"/>
  <c r="K80" i="54"/>
  <c r="J80" i="54"/>
  <c r="H80" i="54"/>
  <c r="G80" i="54"/>
  <c r="E80" i="54"/>
  <c r="D80" i="54"/>
  <c r="O79" i="54"/>
  <c r="L79" i="54"/>
  <c r="I79" i="54"/>
  <c r="F79" i="54"/>
  <c r="O78" i="54"/>
  <c r="O77" i="54" s="1"/>
  <c r="L78" i="54"/>
  <c r="L77" i="54" s="1"/>
  <c r="L76" i="54" s="1"/>
  <c r="I78" i="54"/>
  <c r="F78" i="54"/>
  <c r="F77" i="54" s="1"/>
  <c r="N77" i="54"/>
  <c r="N76" i="54" s="1"/>
  <c r="M77" i="54"/>
  <c r="M76" i="54" s="1"/>
  <c r="K77" i="54"/>
  <c r="J77" i="54"/>
  <c r="J76" i="54" s="1"/>
  <c r="I77" i="54"/>
  <c r="H77" i="54"/>
  <c r="H76" i="54" s="1"/>
  <c r="G77" i="54"/>
  <c r="E77" i="54"/>
  <c r="D77" i="54"/>
  <c r="D76" i="54" s="1"/>
  <c r="K76" i="54"/>
  <c r="O74" i="54"/>
  <c r="L74" i="54"/>
  <c r="I74" i="54"/>
  <c r="F74" i="54"/>
  <c r="O73" i="54"/>
  <c r="L73" i="54"/>
  <c r="I73" i="54"/>
  <c r="F73" i="54"/>
  <c r="O72" i="54"/>
  <c r="L72" i="54"/>
  <c r="I72" i="54"/>
  <c r="F72" i="54"/>
  <c r="O71" i="54"/>
  <c r="L71" i="54"/>
  <c r="I71" i="54"/>
  <c r="F71" i="54"/>
  <c r="O70" i="54"/>
  <c r="L70" i="54"/>
  <c r="I70" i="54"/>
  <c r="F70" i="54"/>
  <c r="N69" i="54"/>
  <c r="M69" i="54"/>
  <c r="M67" i="54" s="1"/>
  <c r="K69" i="54"/>
  <c r="K67" i="54" s="1"/>
  <c r="J69" i="54"/>
  <c r="H69" i="54"/>
  <c r="H67" i="54" s="1"/>
  <c r="G69" i="54"/>
  <c r="E69" i="54"/>
  <c r="E67" i="54" s="1"/>
  <c r="D69" i="54"/>
  <c r="D67" i="54" s="1"/>
  <c r="O68" i="54"/>
  <c r="L68" i="54"/>
  <c r="I68" i="54"/>
  <c r="F68" i="54"/>
  <c r="N67" i="54"/>
  <c r="J67" i="54"/>
  <c r="G67" i="54"/>
  <c r="O66" i="54"/>
  <c r="L66" i="54"/>
  <c r="I66" i="54"/>
  <c r="F66" i="54"/>
  <c r="C66" i="54" s="1"/>
  <c r="O65" i="54"/>
  <c r="L65" i="54"/>
  <c r="I65" i="54"/>
  <c r="F65" i="54"/>
  <c r="O64" i="54"/>
  <c r="L64" i="54"/>
  <c r="I64" i="54"/>
  <c r="F64" i="54"/>
  <c r="O63" i="54"/>
  <c r="L63" i="54"/>
  <c r="I63" i="54"/>
  <c r="F63" i="54"/>
  <c r="O62" i="54"/>
  <c r="L62" i="54"/>
  <c r="I62" i="54"/>
  <c r="F62" i="54"/>
  <c r="O61" i="54"/>
  <c r="L61" i="54"/>
  <c r="I61" i="54"/>
  <c r="F61" i="54"/>
  <c r="O60" i="54"/>
  <c r="L60" i="54"/>
  <c r="I60" i="54"/>
  <c r="F60" i="54"/>
  <c r="C60" i="54" s="1"/>
  <c r="O59" i="54"/>
  <c r="L59" i="54"/>
  <c r="I59" i="54"/>
  <c r="F59" i="54"/>
  <c r="N58" i="54"/>
  <c r="M58" i="54"/>
  <c r="K58" i="54"/>
  <c r="J58" i="54"/>
  <c r="H58" i="54"/>
  <c r="G58" i="54"/>
  <c r="E58" i="54"/>
  <c r="D58" i="54"/>
  <c r="O57" i="54"/>
  <c r="L57" i="54"/>
  <c r="I57" i="54"/>
  <c r="E57" i="54"/>
  <c r="F57" i="54" s="1"/>
  <c r="O56" i="54"/>
  <c r="L56" i="54"/>
  <c r="I56" i="54"/>
  <c r="F56" i="54"/>
  <c r="N55" i="54"/>
  <c r="M55" i="54"/>
  <c r="K55" i="54"/>
  <c r="K54" i="54" s="1"/>
  <c r="J55" i="54"/>
  <c r="H55" i="54"/>
  <c r="G55" i="54"/>
  <c r="G54" i="54" s="1"/>
  <c r="D55" i="54"/>
  <c r="M54" i="54"/>
  <c r="O47" i="54"/>
  <c r="C47" i="54" s="1"/>
  <c r="O46" i="54"/>
  <c r="N45" i="54"/>
  <c r="M45" i="54"/>
  <c r="L44" i="54"/>
  <c r="L43" i="54" s="1"/>
  <c r="I44" i="54"/>
  <c r="I43" i="54" s="1"/>
  <c r="F44" i="54"/>
  <c r="K43" i="54"/>
  <c r="J43" i="54"/>
  <c r="H43" i="54"/>
  <c r="G43" i="54"/>
  <c r="E43" i="54"/>
  <c r="D43" i="54"/>
  <c r="F42" i="54"/>
  <c r="E41" i="54"/>
  <c r="D41" i="54"/>
  <c r="L40" i="54"/>
  <c r="C40" i="54" s="1"/>
  <c r="L39" i="54"/>
  <c r="C39" i="54" s="1"/>
  <c r="L38" i="54"/>
  <c r="C38" i="54" s="1"/>
  <c r="L37" i="54"/>
  <c r="K36" i="54"/>
  <c r="J36" i="54"/>
  <c r="L35" i="54"/>
  <c r="C35" i="54" s="1"/>
  <c r="L34" i="54"/>
  <c r="K33" i="54"/>
  <c r="J33" i="54"/>
  <c r="L32" i="54"/>
  <c r="C32" i="54" s="1"/>
  <c r="K31" i="54"/>
  <c r="J31" i="54"/>
  <c r="L30" i="54"/>
  <c r="C30" i="54" s="1"/>
  <c r="L29" i="54"/>
  <c r="C29" i="54" s="1"/>
  <c r="L28" i="54"/>
  <c r="K27" i="54"/>
  <c r="J27" i="54"/>
  <c r="J26" i="54" s="1"/>
  <c r="F25" i="54"/>
  <c r="C25" i="54" s="1"/>
  <c r="I24" i="54"/>
  <c r="E24" i="54"/>
  <c r="F24" i="54" s="1"/>
  <c r="C24" i="54" s="1"/>
  <c r="O23" i="54"/>
  <c r="L23" i="54"/>
  <c r="I23" i="54"/>
  <c r="F23" i="54"/>
  <c r="O22" i="54"/>
  <c r="L22" i="54"/>
  <c r="L21" i="54" s="1"/>
  <c r="I22" i="54"/>
  <c r="I21" i="54" s="1"/>
  <c r="F22" i="54"/>
  <c r="N21" i="54"/>
  <c r="N292" i="54" s="1"/>
  <c r="N291" i="54" s="1"/>
  <c r="M21" i="54"/>
  <c r="K21" i="54"/>
  <c r="K292" i="54" s="1"/>
  <c r="K291" i="54" s="1"/>
  <c r="J21" i="54"/>
  <c r="J292" i="54" s="1"/>
  <c r="J291" i="54" s="1"/>
  <c r="H21" i="54"/>
  <c r="H292" i="54" s="1"/>
  <c r="H291" i="54" s="1"/>
  <c r="G21" i="54"/>
  <c r="G292" i="54" s="1"/>
  <c r="G291" i="54" s="1"/>
  <c r="F21" i="54"/>
  <c r="E21" i="54"/>
  <c r="E292" i="54" s="1"/>
  <c r="E291" i="54" s="1"/>
  <c r="D21" i="54"/>
  <c r="D292" i="54" s="1"/>
  <c r="D291" i="54" s="1"/>
  <c r="N20" i="54"/>
  <c r="L31" i="54" l="1"/>
  <c r="C31" i="54" s="1"/>
  <c r="C162" i="54"/>
  <c r="C180" i="54"/>
  <c r="I187" i="54"/>
  <c r="C234" i="54"/>
  <c r="H259" i="54"/>
  <c r="N259" i="54"/>
  <c r="C279" i="54"/>
  <c r="C287" i="54"/>
  <c r="O55" i="54"/>
  <c r="H54" i="54"/>
  <c r="H53" i="54" s="1"/>
  <c r="C74" i="54"/>
  <c r="C79" i="54"/>
  <c r="C150" i="54"/>
  <c r="O151" i="54"/>
  <c r="I179" i="54"/>
  <c r="M187" i="54"/>
  <c r="C203" i="54"/>
  <c r="M231" i="54"/>
  <c r="C261" i="54"/>
  <c r="M270" i="54"/>
  <c r="M269" i="54" s="1"/>
  <c r="C107" i="54"/>
  <c r="C134" i="54"/>
  <c r="H20" i="54"/>
  <c r="E55" i="54"/>
  <c r="E54" i="54" s="1"/>
  <c r="E53" i="54" s="1"/>
  <c r="C101" i="54"/>
  <c r="G130" i="54"/>
  <c r="C211" i="54"/>
  <c r="C218" i="54"/>
  <c r="C258" i="54"/>
  <c r="J54" i="54"/>
  <c r="J53" i="54" s="1"/>
  <c r="G76" i="54"/>
  <c r="C132" i="54"/>
  <c r="C133" i="54"/>
  <c r="O131" i="54"/>
  <c r="K130" i="54"/>
  <c r="C156" i="54"/>
  <c r="C168" i="54"/>
  <c r="C172" i="54"/>
  <c r="C190" i="54"/>
  <c r="J231" i="54"/>
  <c r="J230" i="54" s="1"/>
  <c r="C255" i="54"/>
  <c r="C257" i="54"/>
  <c r="C266" i="54"/>
  <c r="D20" i="54"/>
  <c r="I76" i="54"/>
  <c r="C110" i="54"/>
  <c r="I131" i="54"/>
  <c r="C138" i="54"/>
  <c r="C170" i="54"/>
  <c r="J174" i="54"/>
  <c r="J173" i="54" s="1"/>
  <c r="L187" i="54"/>
  <c r="O216" i="54"/>
  <c r="C299" i="54"/>
  <c r="K26" i="54"/>
  <c r="C91" i="54"/>
  <c r="C106" i="54"/>
  <c r="O122" i="54"/>
  <c r="C142" i="54"/>
  <c r="C206" i="54"/>
  <c r="C214" i="54"/>
  <c r="F216" i="54"/>
  <c r="G204" i="54"/>
  <c r="G195" i="54" s="1"/>
  <c r="C242" i="54"/>
  <c r="F260" i="54"/>
  <c r="C294" i="54"/>
  <c r="C295" i="54"/>
  <c r="N54" i="54"/>
  <c r="O58" i="54"/>
  <c r="F69" i="54"/>
  <c r="F67" i="54" s="1"/>
  <c r="C73" i="54"/>
  <c r="C86" i="54"/>
  <c r="C160" i="54"/>
  <c r="O166" i="54"/>
  <c r="O165" i="54" s="1"/>
  <c r="C185" i="54"/>
  <c r="C239" i="54"/>
  <c r="C62" i="54"/>
  <c r="K83" i="54"/>
  <c r="K75" i="54" s="1"/>
  <c r="G20" i="54"/>
  <c r="C22" i="54"/>
  <c r="D54" i="54"/>
  <c r="D53" i="54" s="1"/>
  <c r="C59" i="54"/>
  <c r="N53" i="54"/>
  <c r="C71" i="54"/>
  <c r="E83" i="54"/>
  <c r="I84" i="54"/>
  <c r="F89" i="54"/>
  <c r="C93" i="54"/>
  <c r="N83" i="54"/>
  <c r="C99" i="54"/>
  <c r="I103" i="54"/>
  <c r="C108" i="54"/>
  <c r="C109" i="54"/>
  <c r="C127" i="54"/>
  <c r="L131" i="54"/>
  <c r="C148" i="54"/>
  <c r="C149" i="54"/>
  <c r="C158" i="54"/>
  <c r="C169" i="54"/>
  <c r="C171" i="54"/>
  <c r="E174" i="54"/>
  <c r="E173" i="54" s="1"/>
  <c r="N174" i="54"/>
  <c r="N173" i="54" s="1"/>
  <c r="O179" i="54"/>
  <c r="O174" i="54" s="1"/>
  <c r="O173" i="54" s="1"/>
  <c r="L179" i="54"/>
  <c r="C193" i="54"/>
  <c r="C202" i="54"/>
  <c r="C212" i="54"/>
  <c r="C213" i="54"/>
  <c r="C222" i="54"/>
  <c r="C223" i="54"/>
  <c r="K204" i="54"/>
  <c r="C228" i="54"/>
  <c r="C229" i="54"/>
  <c r="G231" i="54"/>
  <c r="G230" i="54" s="1"/>
  <c r="G194" i="54" s="1"/>
  <c r="C240" i="54"/>
  <c r="I270" i="54"/>
  <c r="I269" i="54" s="1"/>
  <c r="C278" i="54"/>
  <c r="F286" i="54"/>
  <c r="I293" i="54"/>
  <c r="C300" i="54"/>
  <c r="K53" i="54"/>
  <c r="C63" i="54"/>
  <c r="C68" i="54"/>
  <c r="C70" i="54"/>
  <c r="O69" i="54"/>
  <c r="O67" i="54" s="1"/>
  <c r="E76" i="54"/>
  <c r="O80" i="54"/>
  <c r="O76" i="54" s="1"/>
  <c r="I89" i="54"/>
  <c r="C96" i="54"/>
  <c r="C97" i="54"/>
  <c r="O95" i="54"/>
  <c r="O112" i="54"/>
  <c r="C120" i="54"/>
  <c r="C121" i="54"/>
  <c r="C124" i="54"/>
  <c r="C135" i="54"/>
  <c r="D130" i="54"/>
  <c r="C143" i="54"/>
  <c r="I144" i="54"/>
  <c r="C152" i="54"/>
  <c r="C153" i="54"/>
  <c r="I238" i="54"/>
  <c r="I264" i="54"/>
  <c r="L293" i="54"/>
  <c r="C155" i="54"/>
  <c r="C161" i="54"/>
  <c r="C176" i="54"/>
  <c r="I184" i="54"/>
  <c r="C186" i="54"/>
  <c r="H195" i="54"/>
  <c r="D204" i="54"/>
  <c r="I216" i="54"/>
  <c r="N204" i="54"/>
  <c r="N195" i="54" s="1"/>
  <c r="E231" i="54"/>
  <c r="E230" i="54" s="1"/>
  <c r="K231" i="54"/>
  <c r="C236" i="54"/>
  <c r="C237" i="54"/>
  <c r="C250" i="54"/>
  <c r="O272" i="54"/>
  <c r="C275" i="54"/>
  <c r="I286" i="54"/>
  <c r="I151" i="54"/>
  <c r="O21" i="54"/>
  <c r="O292" i="54" s="1"/>
  <c r="O291" i="54" s="1"/>
  <c r="C44" i="54"/>
  <c r="L55" i="54"/>
  <c r="I55" i="54"/>
  <c r="I58" i="54"/>
  <c r="C65" i="54"/>
  <c r="M53" i="54"/>
  <c r="I69" i="54"/>
  <c r="C78" i="54"/>
  <c r="C88" i="54"/>
  <c r="C90" i="54"/>
  <c r="O89" i="54"/>
  <c r="J83" i="54"/>
  <c r="J75" i="54" s="1"/>
  <c r="J52" i="54" s="1"/>
  <c r="C104" i="54"/>
  <c r="C105" i="54"/>
  <c r="O103" i="54"/>
  <c r="C111" i="54"/>
  <c r="G83" i="54"/>
  <c r="E130" i="54"/>
  <c r="L151" i="54"/>
  <c r="C157" i="54"/>
  <c r="C159" i="54"/>
  <c r="C164" i="54"/>
  <c r="C167" i="54"/>
  <c r="M174" i="54"/>
  <c r="M173" i="54" s="1"/>
  <c r="J187" i="54"/>
  <c r="E187" i="54"/>
  <c r="D195" i="54"/>
  <c r="C210" i="54"/>
  <c r="C215" i="54"/>
  <c r="J204" i="54"/>
  <c r="J195" i="54" s="1"/>
  <c r="C217" i="54"/>
  <c r="C243" i="54"/>
  <c r="L252" i="54"/>
  <c r="L251" i="54" s="1"/>
  <c r="M259" i="54"/>
  <c r="C265" i="54"/>
  <c r="O264" i="54"/>
  <c r="O259" i="54" s="1"/>
  <c r="C274" i="54"/>
  <c r="L276" i="54"/>
  <c r="L270" i="54" s="1"/>
  <c r="L269" i="54" s="1"/>
  <c r="C298" i="54"/>
  <c r="I292" i="54"/>
  <c r="I20" i="54"/>
  <c r="K20" i="54"/>
  <c r="C23" i="54"/>
  <c r="F55" i="54"/>
  <c r="C57" i="54"/>
  <c r="C85" i="54"/>
  <c r="F84" i="54"/>
  <c r="C125" i="54"/>
  <c r="F122" i="54"/>
  <c r="F165" i="54"/>
  <c r="C241" i="54"/>
  <c r="F238" i="54"/>
  <c r="O54" i="54"/>
  <c r="O53" i="54" s="1"/>
  <c r="F103" i="54"/>
  <c r="C117" i="54"/>
  <c r="F116" i="54"/>
  <c r="I122" i="54"/>
  <c r="I83" i="54" s="1"/>
  <c r="I130" i="54"/>
  <c r="L136" i="54"/>
  <c r="C139" i="54"/>
  <c r="F259" i="54"/>
  <c r="M20" i="54"/>
  <c r="M292" i="54"/>
  <c r="M291" i="54" s="1"/>
  <c r="C28" i="54"/>
  <c r="L27" i="54"/>
  <c r="C46" i="54"/>
  <c r="O45" i="54"/>
  <c r="G53" i="54"/>
  <c r="C56" i="54"/>
  <c r="H83" i="54"/>
  <c r="H75" i="54" s="1"/>
  <c r="H52" i="54" s="1"/>
  <c r="M83" i="54"/>
  <c r="F95" i="54"/>
  <c r="L103" i="54"/>
  <c r="L112" i="54"/>
  <c r="C115" i="54"/>
  <c r="C123" i="54"/>
  <c r="L122" i="54"/>
  <c r="M130" i="54"/>
  <c r="M75" i="54" s="1"/>
  <c r="M52" i="54" s="1"/>
  <c r="C137" i="54"/>
  <c r="F136" i="54"/>
  <c r="H130" i="54"/>
  <c r="L141" i="54"/>
  <c r="C141" i="54" s="1"/>
  <c r="O144" i="54"/>
  <c r="O130" i="54" s="1"/>
  <c r="L144" i="54"/>
  <c r="C147" i="54"/>
  <c r="K230" i="54"/>
  <c r="K289" i="54" s="1"/>
  <c r="F292" i="54"/>
  <c r="C21" i="54"/>
  <c r="C61" i="54"/>
  <c r="F58" i="54"/>
  <c r="L116" i="54"/>
  <c r="C119" i="54"/>
  <c r="C178" i="54"/>
  <c r="I175" i="54"/>
  <c r="I174" i="54" s="1"/>
  <c r="I173" i="54" s="1"/>
  <c r="C247" i="54"/>
  <c r="L246" i="54"/>
  <c r="L231" i="54" s="1"/>
  <c r="C301" i="54"/>
  <c r="C77" i="54"/>
  <c r="G75" i="54"/>
  <c r="F131" i="54"/>
  <c r="C177" i="54"/>
  <c r="L175" i="54"/>
  <c r="L174" i="54" s="1"/>
  <c r="F188" i="54"/>
  <c r="C189" i="54"/>
  <c r="J20" i="54"/>
  <c r="L292" i="54"/>
  <c r="C34" i="54"/>
  <c r="L33" i="54"/>
  <c r="C33" i="54" s="1"/>
  <c r="C64" i="54"/>
  <c r="I67" i="54"/>
  <c r="E20" i="54"/>
  <c r="C37" i="54"/>
  <c r="L36" i="54"/>
  <c r="C36" i="54" s="1"/>
  <c r="C42" i="54"/>
  <c r="F41" i="54"/>
  <c r="C41" i="54" s="1"/>
  <c r="F43" i="54"/>
  <c r="C43" i="54" s="1"/>
  <c r="L58" i="54"/>
  <c r="L54" i="54" s="1"/>
  <c r="L69" i="54"/>
  <c r="L67" i="54" s="1"/>
  <c r="C72" i="54"/>
  <c r="C81" i="54"/>
  <c r="F80" i="54"/>
  <c r="C80" i="54" s="1"/>
  <c r="D83" i="54"/>
  <c r="D75" i="54" s="1"/>
  <c r="D52" i="54" s="1"/>
  <c r="O84" i="54"/>
  <c r="O83" i="54" s="1"/>
  <c r="L84" i="54"/>
  <c r="C87" i="54"/>
  <c r="L89" i="54"/>
  <c r="C89" i="54" s="1"/>
  <c r="C92" i="54"/>
  <c r="L95" i="54"/>
  <c r="C113" i="54"/>
  <c r="F112" i="54"/>
  <c r="C112" i="54" s="1"/>
  <c r="C129" i="54"/>
  <c r="F128" i="54"/>
  <c r="C128" i="54" s="1"/>
  <c r="N130" i="54"/>
  <c r="N75" i="54" s="1"/>
  <c r="N52" i="54" s="1"/>
  <c r="C140" i="54"/>
  <c r="C145" i="54"/>
  <c r="F144" i="54"/>
  <c r="F151" i="54"/>
  <c r="C151" i="54" s="1"/>
  <c r="C175" i="54"/>
  <c r="F174" i="54"/>
  <c r="C200" i="54"/>
  <c r="I198" i="54"/>
  <c r="C179" i="54"/>
  <c r="I291" i="54"/>
  <c r="C163" i="54"/>
  <c r="C182" i="54"/>
  <c r="L184" i="54"/>
  <c r="C184" i="54" s="1"/>
  <c r="C191" i="54"/>
  <c r="C192" i="54"/>
  <c r="E195" i="54"/>
  <c r="F196" i="54"/>
  <c r="O196" i="54"/>
  <c r="C207" i="54"/>
  <c r="L205" i="54"/>
  <c r="C254" i="54"/>
  <c r="F252" i="54"/>
  <c r="L264" i="54"/>
  <c r="C264" i="54" s="1"/>
  <c r="C267" i="54"/>
  <c r="C277" i="54"/>
  <c r="O276" i="54"/>
  <c r="C276" i="54" s="1"/>
  <c r="C282" i="54"/>
  <c r="C288" i="54"/>
  <c r="C293" i="54"/>
  <c r="C199" i="54"/>
  <c r="L198" i="54"/>
  <c r="L196" i="54" s="1"/>
  <c r="C208" i="54"/>
  <c r="I205" i="54"/>
  <c r="I204" i="54" s="1"/>
  <c r="C227" i="54"/>
  <c r="C235" i="54"/>
  <c r="C284" i="54"/>
  <c r="F283" i="54"/>
  <c r="C283" i="54" s="1"/>
  <c r="I166" i="54"/>
  <c r="I165" i="54" s="1"/>
  <c r="L166" i="54"/>
  <c r="L165" i="54" s="1"/>
  <c r="C183" i="54"/>
  <c r="G187" i="54"/>
  <c r="G289" i="54" s="1"/>
  <c r="K187" i="54"/>
  <c r="K52" i="54" s="1"/>
  <c r="O188" i="54"/>
  <c r="O187" i="54" s="1"/>
  <c r="I196" i="54"/>
  <c r="K195" i="54"/>
  <c r="K194" i="54" s="1"/>
  <c r="O205" i="54"/>
  <c r="O204" i="54" s="1"/>
  <c r="L216" i="54"/>
  <c r="C216" i="54" s="1"/>
  <c r="C219" i="54"/>
  <c r="N230" i="54"/>
  <c r="N194" i="54" s="1"/>
  <c r="O238" i="54"/>
  <c r="O231" i="54" s="1"/>
  <c r="C248" i="54"/>
  <c r="I246" i="54"/>
  <c r="I231" i="54" s="1"/>
  <c r="I259" i="54"/>
  <c r="L260" i="54"/>
  <c r="L259" i="54" s="1"/>
  <c r="C263" i="54"/>
  <c r="C273" i="54"/>
  <c r="F272" i="54"/>
  <c r="C281" i="54"/>
  <c r="C286" i="54"/>
  <c r="F205" i="54"/>
  <c r="C224" i="54"/>
  <c r="H231" i="54"/>
  <c r="H230" i="54" s="1"/>
  <c r="H194" i="54" s="1"/>
  <c r="C233" i="54"/>
  <c r="C256" i="54"/>
  <c r="E270" i="54"/>
  <c r="E269" i="54" s="1"/>
  <c r="C280" i="54"/>
  <c r="C296" i="54"/>
  <c r="C297" i="54"/>
  <c r="L291" i="54"/>
  <c r="C197" i="54"/>
  <c r="C201" i="54"/>
  <c r="C209" i="54"/>
  <c r="C220" i="54"/>
  <c r="C221" i="54"/>
  <c r="C232" i="54"/>
  <c r="D231" i="54"/>
  <c r="D230" i="54" s="1"/>
  <c r="D194" i="54" s="1"/>
  <c r="M230" i="54"/>
  <c r="M194" i="54" s="1"/>
  <c r="C244" i="54"/>
  <c r="C245" i="54"/>
  <c r="C249" i="54"/>
  <c r="F246" i="54"/>
  <c r="C253" i="54"/>
  <c r="O252" i="54"/>
  <c r="O251" i="54" s="1"/>
  <c r="C268" i="54"/>
  <c r="J270" i="54"/>
  <c r="J269" i="54" s="1"/>
  <c r="J289" i="54" s="1"/>
  <c r="C285" i="54"/>
  <c r="I230" i="54" l="1"/>
  <c r="L173" i="54"/>
  <c r="H51" i="54"/>
  <c r="N51" i="54"/>
  <c r="N290" i="54" s="1"/>
  <c r="K51" i="54"/>
  <c r="K50" i="54" s="1"/>
  <c r="O195" i="54"/>
  <c r="L204" i="54"/>
  <c r="L195" i="54" s="1"/>
  <c r="L130" i="54"/>
  <c r="O75" i="54"/>
  <c r="M51" i="54"/>
  <c r="M290" i="54" s="1"/>
  <c r="C292" i="54"/>
  <c r="I75" i="54"/>
  <c r="I54" i="54"/>
  <c r="O230" i="54"/>
  <c r="O270" i="54"/>
  <c r="O269" i="54" s="1"/>
  <c r="L53" i="54"/>
  <c r="E75" i="54"/>
  <c r="E52" i="54" s="1"/>
  <c r="M50" i="54"/>
  <c r="N50" i="54"/>
  <c r="D51" i="54"/>
  <c r="C67" i="54"/>
  <c r="H290" i="54"/>
  <c r="H50" i="54"/>
  <c r="N289" i="54"/>
  <c r="F270" i="54"/>
  <c r="C272" i="54"/>
  <c r="C252" i="54"/>
  <c r="F251" i="54"/>
  <c r="C251" i="54" s="1"/>
  <c r="C58" i="54"/>
  <c r="C45" i="54"/>
  <c r="C260" i="54"/>
  <c r="H289" i="54"/>
  <c r="E194" i="54"/>
  <c r="E51" i="54" s="1"/>
  <c r="C69" i="54"/>
  <c r="C188" i="54"/>
  <c r="F187" i="54"/>
  <c r="C187" i="54" s="1"/>
  <c r="C136" i="54"/>
  <c r="C116" i="54"/>
  <c r="C122" i="54"/>
  <c r="C196" i="54"/>
  <c r="D289" i="54"/>
  <c r="C238" i="54"/>
  <c r="F231" i="54"/>
  <c r="C166" i="54"/>
  <c r="C205" i="54"/>
  <c r="F204" i="54"/>
  <c r="C204" i="54" s="1"/>
  <c r="C144" i="54"/>
  <c r="F76" i="54"/>
  <c r="F291" i="54"/>
  <c r="C291" i="54" s="1"/>
  <c r="C95" i="54"/>
  <c r="C27" i="54"/>
  <c r="L26" i="54"/>
  <c r="O52" i="54"/>
  <c r="J194" i="54"/>
  <c r="J51" i="54" s="1"/>
  <c r="I53" i="54"/>
  <c r="I52" i="54" s="1"/>
  <c r="F130" i="54"/>
  <c r="C130" i="54" s="1"/>
  <c r="C131" i="54"/>
  <c r="C246" i="54"/>
  <c r="M289" i="54"/>
  <c r="I195" i="54"/>
  <c r="I194" i="54" s="1"/>
  <c r="L230" i="54"/>
  <c r="C198" i="54"/>
  <c r="C174" i="54"/>
  <c r="F173" i="54"/>
  <c r="C173" i="54" s="1"/>
  <c r="L83" i="54"/>
  <c r="L75" i="54" s="1"/>
  <c r="L52" i="54" s="1"/>
  <c r="F20" i="54"/>
  <c r="G52" i="54"/>
  <c r="G51" i="54" s="1"/>
  <c r="C259" i="54"/>
  <c r="C103" i="54"/>
  <c r="O20" i="54"/>
  <c r="C165" i="54"/>
  <c r="C84" i="54"/>
  <c r="F83" i="54"/>
  <c r="C83" i="54" s="1"/>
  <c r="F54" i="54"/>
  <c r="C55" i="54"/>
  <c r="K290" i="54"/>
  <c r="O289" i="54" l="1"/>
  <c r="O194" i="54"/>
  <c r="F195" i="54"/>
  <c r="C195" i="54" s="1"/>
  <c r="E289" i="54"/>
  <c r="C26" i="54"/>
  <c r="L20" i="54"/>
  <c r="C76" i="54"/>
  <c r="F75" i="54"/>
  <c r="C75" i="54" s="1"/>
  <c r="G50" i="54"/>
  <c r="G290" i="54"/>
  <c r="I51" i="54"/>
  <c r="E290" i="54"/>
  <c r="E50" i="54"/>
  <c r="C54" i="54"/>
  <c r="F53" i="54"/>
  <c r="C20" i="54"/>
  <c r="J50" i="54"/>
  <c r="J290" i="54"/>
  <c r="F230" i="54"/>
  <c r="C230" i="54" s="1"/>
  <c r="C231" i="54"/>
  <c r="F269" i="54"/>
  <c r="C270" i="54"/>
  <c r="D290" i="54"/>
  <c r="D50" i="54"/>
  <c r="L289" i="54"/>
  <c r="O51" i="54"/>
  <c r="L194" i="54"/>
  <c r="L51" i="54" s="1"/>
  <c r="I289" i="54"/>
  <c r="L50" i="54" l="1"/>
  <c r="L290" i="54"/>
  <c r="C269" i="54"/>
  <c r="F289" i="54"/>
  <c r="C289" i="54" s="1"/>
  <c r="I290" i="54"/>
  <c r="I50" i="54"/>
  <c r="C53" i="54"/>
  <c r="F52" i="54"/>
  <c r="F194" i="54"/>
  <c r="C194" i="54" s="1"/>
  <c r="O50" i="54"/>
  <c r="O290" i="54"/>
  <c r="F51" i="54" l="1"/>
  <c r="C52" i="54"/>
  <c r="F290" i="54" l="1"/>
  <c r="C290" i="54" s="1"/>
  <c r="F50" i="54"/>
  <c r="C50" i="54" s="1"/>
  <c r="C51" i="54"/>
  <c r="O301" i="53" l="1"/>
  <c r="L301" i="53"/>
  <c r="I301" i="53"/>
  <c r="F301" i="53"/>
  <c r="O300" i="53"/>
  <c r="L300" i="53"/>
  <c r="I300" i="53"/>
  <c r="F300" i="53"/>
  <c r="O299" i="53"/>
  <c r="L299" i="53"/>
  <c r="I299" i="53"/>
  <c r="F299" i="53"/>
  <c r="O298" i="53"/>
  <c r="L298" i="53"/>
  <c r="I298" i="53"/>
  <c r="F298" i="53"/>
  <c r="O297" i="53"/>
  <c r="L297" i="53"/>
  <c r="I297" i="53"/>
  <c r="F297" i="53"/>
  <c r="O296" i="53"/>
  <c r="L296" i="53"/>
  <c r="I296" i="53"/>
  <c r="F296" i="53"/>
  <c r="O295" i="53"/>
  <c r="L295" i="53"/>
  <c r="I295" i="53"/>
  <c r="F295" i="53"/>
  <c r="O294" i="53"/>
  <c r="O293" i="53" s="1"/>
  <c r="L294" i="53"/>
  <c r="I294" i="53"/>
  <c r="F294" i="53"/>
  <c r="N293" i="53"/>
  <c r="M293" i="53"/>
  <c r="K293" i="53"/>
  <c r="J293" i="53"/>
  <c r="H293" i="53"/>
  <c r="G293" i="53"/>
  <c r="E293" i="53"/>
  <c r="D293" i="53"/>
  <c r="O288" i="53"/>
  <c r="L288" i="53"/>
  <c r="I288" i="53"/>
  <c r="F288" i="53"/>
  <c r="O287" i="53"/>
  <c r="L287" i="53"/>
  <c r="L286" i="53" s="1"/>
  <c r="I287" i="53"/>
  <c r="F287" i="53"/>
  <c r="F286" i="53" s="1"/>
  <c r="O286" i="53"/>
  <c r="N286" i="53"/>
  <c r="M286" i="53"/>
  <c r="K286" i="53"/>
  <c r="J286" i="53"/>
  <c r="H286" i="53"/>
  <c r="G286" i="53"/>
  <c r="E286" i="53"/>
  <c r="D286" i="53"/>
  <c r="O285" i="53"/>
  <c r="L285" i="53"/>
  <c r="L284" i="53" s="1"/>
  <c r="L283" i="53" s="1"/>
  <c r="I285" i="53"/>
  <c r="I284" i="53" s="1"/>
  <c r="I283" i="53" s="1"/>
  <c r="F285" i="53"/>
  <c r="O284" i="53"/>
  <c r="O283" i="53" s="1"/>
  <c r="N284" i="53"/>
  <c r="M284" i="53"/>
  <c r="M283" i="53" s="1"/>
  <c r="K284" i="53"/>
  <c r="K283" i="53" s="1"/>
  <c r="J284" i="53"/>
  <c r="J283" i="53" s="1"/>
  <c r="H284" i="53"/>
  <c r="H283" i="53" s="1"/>
  <c r="G284" i="53"/>
  <c r="G283" i="53" s="1"/>
  <c r="E284" i="53"/>
  <c r="E283" i="53" s="1"/>
  <c r="D284" i="53"/>
  <c r="D283" i="53" s="1"/>
  <c r="N283" i="53"/>
  <c r="O282" i="53"/>
  <c r="O281" i="53" s="1"/>
  <c r="L282" i="53"/>
  <c r="L281" i="53" s="1"/>
  <c r="I282" i="53"/>
  <c r="I281" i="53" s="1"/>
  <c r="F282" i="53"/>
  <c r="N281" i="53"/>
  <c r="M281" i="53"/>
  <c r="K281" i="53"/>
  <c r="J281" i="53"/>
  <c r="H281" i="53"/>
  <c r="G281" i="53"/>
  <c r="F281" i="53"/>
  <c r="E281" i="53"/>
  <c r="D281" i="53"/>
  <c r="O280" i="53"/>
  <c r="L280" i="53"/>
  <c r="I280" i="53"/>
  <c r="F280" i="53"/>
  <c r="O279" i="53"/>
  <c r="L279" i="53"/>
  <c r="I279" i="53"/>
  <c r="F279" i="53"/>
  <c r="O278" i="53"/>
  <c r="L278" i="53"/>
  <c r="I278" i="53"/>
  <c r="F278" i="53"/>
  <c r="O277" i="53"/>
  <c r="L277" i="53"/>
  <c r="I277" i="53"/>
  <c r="F277" i="53"/>
  <c r="N276" i="53"/>
  <c r="M276" i="53"/>
  <c r="K276" i="53"/>
  <c r="J276" i="53"/>
  <c r="I276" i="53"/>
  <c r="H276" i="53"/>
  <c r="G276" i="53"/>
  <c r="E276" i="53"/>
  <c r="D276" i="53"/>
  <c r="O275" i="53"/>
  <c r="L275" i="53"/>
  <c r="I275" i="53"/>
  <c r="F275" i="53"/>
  <c r="O274" i="53"/>
  <c r="L274" i="53"/>
  <c r="I274" i="53"/>
  <c r="F274" i="53"/>
  <c r="O273" i="53"/>
  <c r="L273" i="53"/>
  <c r="I273" i="53"/>
  <c r="I272" i="53" s="1"/>
  <c r="F273" i="53"/>
  <c r="N272" i="53"/>
  <c r="M272" i="53"/>
  <c r="L272" i="53"/>
  <c r="K272" i="53"/>
  <c r="K270" i="53" s="1"/>
  <c r="K269" i="53" s="1"/>
  <c r="J272" i="53"/>
  <c r="J270" i="53" s="1"/>
  <c r="J269" i="53" s="1"/>
  <c r="H272" i="53"/>
  <c r="G272" i="53"/>
  <c r="G270" i="53" s="1"/>
  <c r="G269" i="53" s="1"/>
  <c r="E272" i="53"/>
  <c r="D272" i="53"/>
  <c r="O271" i="53"/>
  <c r="L271" i="53"/>
  <c r="I271" i="53"/>
  <c r="F271" i="53"/>
  <c r="H270" i="53"/>
  <c r="O268" i="53"/>
  <c r="L268" i="53"/>
  <c r="I268" i="53"/>
  <c r="F268" i="53"/>
  <c r="O267" i="53"/>
  <c r="L267" i="53"/>
  <c r="I267" i="53"/>
  <c r="F267" i="53"/>
  <c r="O266" i="53"/>
  <c r="L266" i="53"/>
  <c r="I266" i="53"/>
  <c r="F266" i="53"/>
  <c r="O265" i="53"/>
  <c r="L265" i="53"/>
  <c r="I265" i="53"/>
  <c r="I264" i="53" s="1"/>
  <c r="F265" i="53"/>
  <c r="N264" i="53"/>
  <c r="M264" i="53"/>
  <c r="K264" i="53"/>
  <c r="J264" i="53"/>
  <c r="H264" i="53"/>
  <c r="G264" i="53"/>
  <c r="E264" i="53"/>
  <c r="D264" i="53"/>
  <c r="O263" i="53"/>
  <c r="L263" i="53"/>
  <c r="I263" i="53"/>
  <c r="F263" i="53"/>
  <c r="O262" i="53"/>
  <c r="L262" i="53"/>
  <c r="I262" i="53"/>
  <c r="F262" i="53"/>
  <c r="O261" i="53"/>
  <c r="L261" i="53"/>
  <c r="I261" i="53"/>
  <c r="F261" i="53"/>
  <c r="N260" i="53"/>
  <c r="M260" i="53"/>
  <c r="M259" i="53" s="1"/>
  <c r="K260" i="53"/>
  <c r="J260" i="53"/>
  <c r="H260" i="53"/>
  <c r="H259" i="53" s="1"/>
  <c r="G260" i="53"/>
  <c r="G259" i="53" s="1"/>
  <c r="E260" i="53"/>
  <c r="D260" i="53"/>
  <c r="D259" i="53" s="1"/>
  <c r="N259" i="53"/>
  <c r="J259" i="53"/>
  <c r="O258" i="53"/>
  <c r="L258" i="53"/>
  <c r="I258" i="53"/>
  <c r="F258" i="53"/>
  <c r="O257" i="53"/>
  <c r="L257" i="53"/>
  <c r="I257" i="53"/>
  <c r="F257" i="53"/>
  <c r="O256" i="53"/>
  <c r="L256" i="53"/>
  <c r="I256" i="53"/>
  <c r="F256" i="53"/>
  <c r="O255" i="53"/>
  <c r="L255" i="53"/>
  <c r="I255" i="53"/>
  <c r="F255" i="53"/>
  <c r="O254" i="53"/>
  <c r="L254" i="53"/>
  <c r="I254" i="53"/>
  <c r="F254" i="53"/>
  <c r="O253" i="53"/>
  <c r="L253" i="53"/>
  <c r="I253" i="53"/>
  <c r="I252" i="53" s="1"/>
  <c r="I251" i="53" s="1"/>
  <c r="F253" i="53"/>
  <c r="N252" i="53"/>
  <c r="N251" i="53" s="1"/>
  <c r="M252" i="53"/>
  <c r="M251" i="53" s="1"/>
  <c r="K252" i="53"/>
  <c r="J252" i="53"/>
  <c r="H252" i="53"/>
  <c r="H251" i="53" s="1"/>
  <c r="G252" i="53"/>
  <c r="E252" i="53"/>
  <c r="E251" i="53" s="1"/>
  <c r="D252" i="53"/>
  <c r="D251" i="53" s="1"/>
  <c r="K251" i="53"/>
  <c r="J251" i="53"/>
  <c r="G251" i="53"/>
  <c r="O250" i="53"/>
  <c r="L250" i="53"/>
  <c r="I250" i="53"/>
  <c r="F250" i="53"/>
  <c r="O249" i="53"/>
  <c r="L249" i="53"/>
  <c r="I249" i="53"/>
  <c r="F249" i="53"/>
  <c r="O248" i="53"/>
  <c r="L248" i="53"/>
  <c r="I248" i="53"/>
  <c r="F248" i="53"/>
  <c r="O247" i="53"/>
  <c r="L247" i="53"/>
  <c r="I247" i="53"/>
  <c r="F247" i="53"/>
  <c r="N246" i="53"/>
  <c r="M246" i="53"/>
  <c r="K246" i="53"/>
  <c r="J246" i="53"/>
  <c r="H246" i="53"/>
  <c r="G246" i="53"/>
  <c r="E246" i="53"/>
  <c r="D246" i="53"/>
  <c r="O245" i="53"/>
  <c r="L245" i="53"/>
  <c r="I245" i="53"/>
  <c r="F245" i="53"/>
  <c r="O244" i="53"/>
  <c r="L244" i="53"/>
  <c r="I244" i="53"/>
  <c r="F244" i="53"/>
  <c r="O243" i="53"/>
  <c r="L243" i="53"/>
  <c r="I243" i="53"/>
  <c r="F243" i="53"/>
  <c r="O242" i="53"/>
  <c r="L242" i="53"/>
  <c r="I242" i="53"/>
  <c r="F242" i="53"/>
  <c r="O241" i="53"/>
  <c r="L241" i="53"/>
  <c r="I241" i="53"/>
  <c r="F241" i="53"/>
  <c r="O240" i="53"/>
  <c r="L240" i="53"/>
  <c r="I240" i="53"/>
  <c r="F240" i="53"/>
  <c r="O239" i="53"/>
  <c r="L239" i="53"/>
  <c r="I239" i="53"/>
  <c r="F239" i="53"/>
  <c r="N238" i="53"/>
  <c r="M238" i="53"/>
  <c r="K238" i="53"/>
  <c r="J238" i="53"/>
  <c r="H238" i="53"/>
  <c r="G238" i="53"/>
  <c r="E238" i="53"/>
  <c r="D238" i="53"/>
  <c r="O237" i="53"/>
  <c r="L237" i="53"/>
  <c r="I237" i="53"/>
  <c r="F237" i="53"/>
  <c r="O236" i="53"/>
  <c r="O235" i="53" s="1"/>
  <c r="L236" i="53"/>
  <c r="I236" i="53"/>
  <c r="I235" i="53" s="1"/>
  <c r="F236" i="53"/>
  <c r="N235" i="53"/>
  <c r="M235" i="53"/>
  <c r="L235" i="53"/>
  <c r="K235" i="53"/>
  <c r="J235" i="53"/>
  <c r="H235" i="53"/>
  <c r="G235" i="53"/>
  <c r="F235" i="53"/>
  <c r="E235" i="53"/>
  <c r="D235" i="53"/>
  <c r="O234" i="53"/>
  <c r="O233" i="53" s="1"/>
  <c r="L234" i="53"/>
  <c r="L233" i="53" s="1"/>
  <c r="I234" i="53"/>
  <c r="I233" i="53" s="1"/>
  <c r="F234" i="53"/>
  <c r="N233" i="53"/>
  <c r="M233" i="53"/>
  <c r="M231" i="53" s="1"/>
  <c r="K233" i="53"/>
  <c r="J233" i="53"/>
  <c r="H233" i="53"/>
  <c r="G233" i="53"/>
  <c r="F233" i="53"/>
  <c r="E233" i="53"/>
  <c r="D233" i="53"/>
  <c r="D231" i="53" s="1"/>
  <c r="O232" i="53"/>
  <c r="L232" i="53"/>
  <c r="I232" i="53"/>
  <c r="F232" i="53"/>
  <c r="E231" i="53"/>
  <c r="O229" i="53"/>
  <c r="L229" i="53"/>
  <c r="I229" i="53"/>
  <c r="F229" i="53"/>
  <c r="O228" i="53"/>
  <c r="O227" i="53" s="1"/>
  <c r="L228" i="53"/>
  <c r="I228" i="53"/>
  <c r="I227" i="53" s="1"/>
  <c r="F228" i="53"/>
  <c r="N227" i="53"/>
  <c r="M227" i="53"/>
  <c r="L227" i="53"/>
  <c r="K227" i="53"/>
  <c r="J227" i="53"/>
  <c r="H227" i="53"/>
  <c r="G227" i="53"/>
  <c r="F227" i="53"/>
  <c r="E227" i="53"/>
  <c r="D227" i="53"/>
  <c r="O226" i="53"/>
  <c r="L226" i="53"/>
  <c r="C226" i="53" s="1"/>
  <c r="I226" i="53"/>
  <c r="F226" i="53"/>
  <c r="O225" i="53"/>
  <c r="L225" i="53"/>
  <c r="I225" i="53"/>
  <c r="F225" i="53"/>
  <c r="O224" i="53"/>
  <c r="L224" i="53"/>
  <c r="I224" i="53"/>
  <c r="F224" i="53"/>
  <c r="O223" i="53"/>
  <c r="L223" i="53"/>
  <c r="I223" i="53"/>
  <c r="F223" i="53"/>
  <c r="O222" i="53"/>
  <c r="L222" i="53"/>
  <c r="I222" i="53"/>
  <c r="F222" i="53"/>
  <c r="O221" i="53"/>
  <c r="L221" i="53"/>
  <c r="I221" i="53"/>
  <c r="F221" i="53"/>
  <c r="O220" i="53"/>
  <c r="L220" i="53"/>
  <c r="I220" i="53"/>
  <c r="F220" i="53"/>
  <c r="O219" i="53"/>
  <c r="L219" i="53"/>
  <c r="I219" i="53"/>
  <c r="F219" i="53"/>
  <c r="O218" i="53"/>
  <c r="L218" i="53"/>
  <c r="I218" i="53"/>
  <c r="F218" i="53"/>
  <c r="O217" i="53"/>
  <c r="L217" i="53"/>
  <c r="I217" i="53"/>
  <c r="F217" i="53"/>
  <c r="N216" i="53"/>
  <c r="M216" i="53"/>
  <c r="K216" i="53"/>
  <c r="J216" i="53"/>
  <c r="H216" i="53"/>
  <c r="G216" i="53"/>
  <c r="E216" i="53"/>
  <c r="D216" i="53"/>
  <c r="O215" i="53"/>
  <c r="L215" i="53"/>
  <c r="I215" i="53"/>
  <c r="F215" i="53"/>
  <c r="O214" i="53"/>
  <c r="L214" i="53"/>
  <c r="I214" i="53"/>
  <c r="F214" i="53"/>
  <c r="O213" i="53"/>
  <c r="L213" i="53"/>
  <c r="I213" i="53"/>
  <c r="F213" i="53"/>
  <c r="O212" i="53"/>
  <c r="L212" i="53"/>
  <c r="I212" i="53"/>
  <c r="F212" i="53"/>
  <c r="O211" i="53"/>
  <c r="L211" i="53"/>
  <c r="I211" i="53"/>
  <c r="F211" i="53"/>
  <c r="O210" i="53"/>
  <c r="L210" i="53"/>
  <c r="I210" i="53"/>
  <c r="F210" i="53"/>
  <c r="O209" i="53"/>
  <c r="L209" i="53"/>
  <c r="I209" i="53"/>
  <c r="F209" i="53"/>
  <c r="O208" i="53"/>
  <c r="L208" i="53"/>
  <c r="I208" i="53"/>
  <c r="F208" i="53"/>
  <c r="O207" i="53"/>
  <c r="L207" i="53"/>
  <c r="I207" i="53"/>
  <c r="F207" i="53"/>
  <c r="O206" i="53"/>
  <c r="L206" i="53"/>
  <c r="I206" i="53"/>
  <c r="F206" i="53"/>
  <c r="N205" i="53"/>
  <c r="M205" i="53"/>
  <c r="K205" i="53"/>
  <c r="K204" i="53" s="1"/>
  <c r="J205" i="53"/>
  <c r="H205" i="53"/>
  <c r="H204" i="53" s="1"/>
  <c r="G205" i="53"/>
  <c r="E205" i="53"/>
  <c r="D205" i="53"/>
  <c r="D204" i="53" s="1"/>
  <c r="O203" i="53"/>
  <c r="L203" i="53"/>
  <c r="I203" i="53"/>
  <c r="F203" i="53"/>
  <c r="O202" i="53"/>
  <c r="L202" i="53"/>
  <c r="I202" i="53"/>
  <c r="F202" i="53"/>
  <c r="O201" i="53"/>
  <c r="L201" i="53"/>
  <c r="I201" i="53"/>
  <c r="F201" i="53"/>
  <c r="O200" i="53"/>
  <c r="L200" i="53"/>
  <c r="I200" i="53"/>
  <c r="F200" i="53"/>
  <c r="O199" i="53"/>
  <c r="L199" i="53"/>
  <c r="L198" i="53" s="1"/>
  <c r="I199" i="53"/>
  <c r="F199" i="53"/>
  <c r="F198" i="53" s="1"/>
  <c r="O198" i="53"/>
  <c r="N198" i="53"/>
  <c r="N196" i="53" s="1"/>
  <c r="M198" i="53"/>
  <c r="K198" i="53"/>
  <c r="K196" i="53" s="1"/>
  <c r="J198" i="53"/>
  <c r="J196" i="53" s="1"/>
  <c r="H198" i="53"/>
  <c r="H196" i="53" s="1"/>
  <c r="H195" i="53" s="1"/>
  <c r="G198" i="53"/>
  <c r="G196" i="53" s="1"/>
  <c r="E198" i="53"/>
  <c r="D198" i="53"/>
  <c r="D196" i="53" s="1"/>
  <c r="D195" i="53" s="1"/>
  <c r="O197" i="53"/>
  <c r="L197" i="53"/>
  <c r="I197" i="53"/>
  <c r="F197" i="53"/>
  <c r="M196" i="53"/>
  <c r="E196" i="53"/>
  <c r="O193" i="53"/>
  <c r="O192" i="53" s="1"/>
  <c r="L193" i="53"/>
  <c r="I193" i="53"/>
  <c r="F193" i="53"/>
  <c r="F192" i="53" s="1"/>
  <c r="N192" i="53"/>
  <c r="M192" i="53"/>
  <c r="L192" i="53"/>
  <c r="L191" i="53" s="1"/>
  <c r="K192" i="53"/>
  <c r="K191" i="53" s="1"/>
  <c r="J192" i="53"/>
  <c r="I192" i="53"/>
  <c r="H192" i="53"/>
  <c r="H191" i="53" s="1"/>
  <c r="G192" i="53"/>
  <c r="E192" i="53"/>
  <c r="E191" i="53" s="1"/>
  <c r="D192" i="53"/>
  <c r="N191" i="53"/>
  <c r="M191" i="53"/>
  <c r="J191" i="53"/>
  <c r="I191" i="53"/>
  <c r="G191" i="53"/>
  <c r="F191" i="53"/>
  <c r="D191" i="53"/>
  <c r="O190" i="53"/>
  <c r="L190" i="53"/>
  <c r="I190" i="53"/>
  <c r="F190" i="53"/>
  <c r="O189" i="53"/>
  <c r="O188" i="53" s="1"/>
  <c r="L189" i="53"/>
  <c r="L188" i="53" s="1"/>
  <c r="L187" i="53" s="1"/>
  <c r="I189" i="53"/>
  <c r="I188" i="53" s="1"/>
  <c r="F189" i="53"/>
  <c r="N188" i="53"/>
  <c r="N187" i="53" s="1"/>
  <c r="M188" i="53"/>
  <c r="K188" i="53"/>
  <c r="J188" i="53"/>
  <c r="J187" i="53" s="1"/>
  <c r="H188" i="53"/>
  <c r="G188" i="53"/>
  <c r="F188" i="53"/>
  <c r="E188" i="53"/>
  <c r="D188" i="53"/>
  <c r="D187" i="53" s="1"/>
  <c r="G187" i="53"/>
  <c r="O186" i="53"/>
  <c r="L186" i="53"/>
  <c r="I186" i="53"/>
  <c r="F186" i="53"/>
  <c r="O185" i="53"/>
  <c r="O184" i="53" s="1"/>
  <c r="L185" i="53"/>
  <c r="L184" i="53" s="1"/>
  <c r="I185" i="53"/>
  <c r="I184" i="53" s="1"/>
  <c r="F185" i="53"/>
  <c r="N184" i="53"/>
  <c r="M184" i="53"/>
  <c r="K184" i="53"/>
  <c r="J184" i="53"/>
  <c r="H184" i="53"/>
  <c r="G184" i="53"/>
  <c r="E184" i="53"/>
  <c r="D184" i="53"/>
  <c r="O183" i="53"/>
  <c r="L183" i="53"/>
  <c r="I183" i="53"/>
  <c r="F183" i="53"/>
  <c r="O182" i="53"/>
  <c r="L182" i="53"/>
  <c r="I182" i="53"/>
  <c r="F182" i="53"/>
  <c r="O181" i="53"/>
  <c r="L181" i="53"/>
  <c r="I181" i="53"/>
  <c r="F181" i="53"/>
  <c r="O180" i="53"/>
  <c r="L180" i="53"/>
  <c r="L179" i="53" s="1"/>
  <c r="I180" i="53"/>
  <c r="F180" i="53"/>
  <c r="N179" i="53"/>
  <c r="M179" i="53"/>
  <c r="K179" i="53"/>
  <c r="J179" i="53"/>
  <c r="H179" i="53"/>
  <c r="G179" i="53"/>
  <c r="E179" i="53"/>
  <c r="D179" i="53"/>
  <c r="O178" i="53"/>
  <c r="L178" i="53"/>
  <c r="I178" i="53"/>
  <c r="F178" i="53"/>
  <c r="O177" i="53"/>
  <c r="L177" i="53"/>
  <c r="I177" i="53"/>
  <c r="F177" i="53"/>
  <c r="O176" i="53"/>
  <c r="L176" i="53"/>
  <c r="L175" i="53" s="1"/>
  <c r="L174" i="53" s="1"/>
  <c r="I176" i="53"/>
  <c r="F176" i="53"/>
  <c r="N175" i="53"/>
  <c r="M175" i="53"/>
  <c r="M174" i="53" s="1"/>
  <c r="M173" i="53" s="1"/>
  <c r="K175" i="53"/>
  <c r="K174" i="53" s="1"/>
  <c r="J175" i="53"/>
  <c r="J174" i="53" s="1"/>
  <c r="J173" i="53" s="1"/>
  <c r="I175" i="53"/>
  <c r="H175" i="53"/>
  <c r="G175" i="53"/>
  <c r="G174" i="53" s="1"/>
  <c r="E175" i="53"/>
  <c r="D175" i="53"/>
  <c r="H174" i="53"/>
  <c r="H173" i="53" s="1"/>
  <c r="D174" i="53"/>
  <c r="D173" i="53" s="1"/>
  <c r="K173" i="53"/>
  <c r="O172" i="53"/>
  <c r="L172" i="53"/>
  <c r="I172" i="53"/>
  <c r="F172" i="53"/>
  <c r="O171" i="53"/>
  <c r="L171" i="53"/>
  <c r="I171" i="53"/>
  <c r="F171" i="53"/>
  <c r="O170" i="53"/>
  <c r="L170" i="53"/>
  <c r="I170" i="53"/>
  <c r="F170" i="53"/>
  <c r="O169" i="53"/>
  <c r="L169" i="53"/>
  <c r="I169" i="53"/>
  <c r="F169" i="53"/>
  <c r="O168" i="53"/>
  <c r="L168" i="53"/>
  <c r="I168" i="53"/>
  <c r="F168" i="53"/>
  <c r="O167" i="53"/>
  <c r="O166" i="53" s="1"/>
  <c r="O165" i="53" s="1"/>
  <c r="L167" i="53"/>
  <c r="I167" i="53"/>
  <c r="F167" i="53"/>
  <c r="N166" i="53"/>
  <c r="N165" i="53" s="1"/>
  <c r="M166" i="53"/>
  <c r="K166" i="53"/>
  <c r="J166" i="53"/>
  <c r="J165" i="53" s="1"/>
  <c r="H166" i="53"/>
  <c r="H165" i="53" s="1"/>
  <c r="G166" i="53"/>
  <c r="G165" i="53" s="1"/>
  <c r="F166" i="53"/>
  <c r="E166" i="53"/>
  <c r="D166" i="53"/>
  <c r="D165" i="53" s="1"/>
  <c r="M165" i="53"/>
  <c r="K165" i="53"/>
  <c r="E165" i="53"/>
  <c r="O164" i="53"/>
  <c r="L164" i="53"/>
  <c r="I164" i="53"/>
  <c r="F164" i="53"/>
  <c r="C164" i="53" s="1"/>
  <c r="O163" i="53"/>
  <c r="L163" i="53"/>
  <c r="I163" i="53"/>
  <c r="F163" i="53"/>
  <c r="O162" i="53"/>
  <c r="L162" i="53"/>
  <c r="I162" i="53"/>
  <c r="F162" i="53"/>
  <c r="C162" i="53" s="1"/>
  <c r="O161" i="53"/>
  <c r="O160" i="53" s="1"/>
  <c r="L161" i="53"/>
  <c r="I161" i="53"/>
  <c r="I160" i="53" s="1"/>
  <c r="F161" i="53"/>
  <c r="C161" i="53" s="1"/>
  <c r="N160" i="53"/>
  <c r="M160" i="53"/>
  <c r="L160" i="53"/>
  <c r="K160" i="53"/>
  <c r="J160" i="53"/>
  <c r="H160" i="53"/>
  <c r="G160" i="53"/>
  <c r="E160" i="53"/>
  <c r="D160" i="53"/>
  <c r="O159" i="53"/>
  <c r="L159" i="53"/>
  <c r="I159" i="53"/>
  <c r="F159" i="53"/>
  <c r="O158" i="53"/>
  <c r="L158" i="53"/>
  <c r="I158" i="53"/>
  <c r="F158" i="53"/>
  <c r="O157" i="53"/>
  <c r="L157" i="53"/>
  <c r="I157" i="53"/>
  <c r="F157" i="53"/>
  <c r="O156" i="53"/>
  <c r="L156" i="53"/>
  <c r="I156" i="53"/>
  <c r="F156" i="53"/>
  <c r="O155" i="53"/>
  <c r="L155" i="53"/>
  <c r="I155" i="53"/>
  <c r="F155" i="53"/>
  <c r="O154" i="53"/>
  <c r="L154" i="53"/>
  <c r="I154" i="53"/>
  <c r="F154" i="53"/>
  <c r="O153" i="53"/>
  <c r="L153" i="53"/>
  <c r="I153" i="53"/>
  <c r="F153" i="53"/>
  <c r="O152" i="53"/>
  <c r="L152" i="53"/>
  <c r="I152" i="53"/>
  <c r="I151" i="53" s="1"/>
  <c r="F152" i="53"/>
  <c r="N151" i="53"/>
  <c r="M151" i="53"/>
  <c r="K151" i="53"/>
  <c r="J151" i="53"/>
  <c r="H151" i="53"/>
  <c r="G151" i="53"/>
  <c r="E151" i="53"/>
  <c r="D151" i="53"/>
  <c r="O150" i="53"/>
  <c r="L150" i="53"/>
  <c r="I150" i="53"/>
  <c r="F150" i="53"/>
  <c r="O149" i="53"/>
  <c r="L149" i="53"/>
  <c r="I149" i="53"/>
  <c r="F149" i="53"/>
  <c r="O148" i="53"/>
  <c r="L148" i="53"/>
  <c r="I148" i="53"/>
  <c r="F148" i="53"/>
  <c r="O147" i="53"/>
  <c r="L147" i="53"/>
  <c r="I147" i="53"/>
  <c r="F147" i="53"/>
  <c r="O146" i="53"/>
  <c r="L146" i="53"/>
  <c r="I146" i="53"/>
  <c r="F146" i="53"/>
  <c r="O145" i="53"/>
  <c r="O144" i="53" s="1"/>
  <c r="L145" i="53"/>
  <c r="I145" i="53"/>
  <c r="I144" i="53" s="1"/>
  <c r="F145" i="53"/>
  <c r="C145" i="53"/>
  <c r="N144" i="53"/>
  <c r="M144" i="53"/>
  <c r="K144" i="53"/>
  <c r="J144" i="53"/>
  <c r="H144" i="53"/>
  <c r="G144" i="53"/>
  <c r="F144" i="53"/>
  <c r="E144" i="53"/>
  <c r="D144" i="53"/>
  <c r="O143" i="53"/>
  <c r="L143" i="53"/>
  <c r="I143" i="53"/>
  <c r="C143" i="53" s="1"/>
  <c r="F143" i="53"/>
  <c r="O142" i="53"/>
  <c r="L142" i="53"/>
  <c r="L141" i="53" s="1"/>
  <c r="I142" i="53"/>
  <c r="I141" i="53" s="1"/>
  <c r="F142" i="53"/>
  <c r="O141" i="53"/>
  <c r="N141" i="53"/>
  <c r="M141" i="53"/>
  <c r="K141" i="53"/>
  <c r="J141" i="53"/>
  <c r="H141" i="53"/>
  <c r="G141" i="53"/>
  <c r="E141" i="53"/>
  <c r="D141" i="53"/>
  <c r="O140" i="53"/>
  <c r="L140" i="53"/>
  <c r="I140" i="53"/>
  <c r="F140" i="53"/>
  <c r="O139" i="53"/>
  <c r="L139" i="53"/>
  <c r="I139" i="53"/>
  <c r="F139" i="53"/>
  <c r="O138" i="53"/>
  <c r="L138" i="53"/>
  <c r="I138" i="53"/>
  <c r="F138" i="53"/>
  <c r="O137" i="53"/>
  <c r="O136" i="53" s="1"/>
  <c r="L137" i="53"/>
  <c r="I137" i="53"/>
  <c r="I136" i="53" s="1"/>
  <c r="F137" i="53"/>
  <c r="N136" i="53"/>
  <c r="M136" i="53"/>
  <c r="K136" i="53"/>
  <c r="J136" i="53"/>
  <c r="H136" i="53"/>
  <c r="G136" i="53"/>
  <c r="F136" i="53"/>
  <c r="E136" i="53"/>
  <c r="D136" i="53"/>
  <c r="O135" i="53"/>
  <c r="L135" i="53"/>
  <c r="I135" i="53"/>
  <c r="F135" i="53"/>
  <c r="O134" i="53"/>
  <c r="L134" i="53"/>
  <c r="I134" i="53"/>
  <c r="F134" i="53"/>
  <c r="O133" i="53"/>
  <c r="L133" i="53"/>
  <c r="I133" i="53"/>
  <c r="F133" i="53"/>
  <c r="O132" i="53"/>
  <c r="L132" i="53"/>
  <c r="I132" i="53"/>
  <c r="I131" i="53" s="1"/>
  <c r="I130" i="53" s="1"/>
  <c r="F132" i="53"/>
  <c r="N131" i="53"/>
  <c r="M131" i="53"/>
  <c r="K131" i="53"/>
  <c r="K130" i="53" s="1"/>
  <c r="J131" i="53"/>
  <c r="J130" i="53" s="1"/>
  <c r="H131" i="53"/>
  <c r="G131" i="53"/>
  <c r="G130" i="53" s="1"/>
  <c r="E131" i="53"/>
  <c r="D131" i="53"/>
  <c r="O129" i="53"/>
  <c r="O128" i="53" s="1"/>
  <c r="L129" i="53"/>
  <c r="L128" i="53" s="1"/>
  <c r="I129" i="53"/>
  <c r="I128" i="53" s="1"/>
  <c r="F129" i="53"/>
  <c r="N128" i="53"/>
  <c r="M128" i="53"/>
  <c r="K128" i="53"/>
  <c r="J128" i="53"/>
  <c r="H128" i="53"/>
  <c r="G128" i="53"/>
  <c r="F128" i="53"/>
  <c r="E128" i="53"/>
  <c r="D128" i="53"/>
  <c r="O127" i="53"/>
  <c r="L127" i="53"/>
  <c r="I127" i="53"/>
  <c r="F127" i="53"/>
  <c r="O126" i="53"/>
  <c r="L126" i="53"/>
  <c r="I126" i="53"/>
  <c r="F126" i="53"/>
  <c r="O125" i="53"/>
  <c r="L125" i="53"/>
  <c r="I125" i="53"/>
  <c r="F125" i="53"/>
  <c r="O124" i="53"/>
  <c r="L124" i="53"/>
  <c r="I124" i="53"/>
  <c r="F124" i="53"/>
  <c r="O123" i="53"/>
  <c r="L123" i="53"/>
  <c r="I123" i="53"/>
  <c r="F123" i="53"/>
  <c r="N122" i="53"/>
  <c r="M122" i="53"/>
  <c r="K122" i="53"/>
  <c r="J122" i="53"/>
  <c r="H122" i="53"/>
  <c r="G122" i="53"/>
  <c r="E122" i="53"/>
  <c r="D122" i="53"/>
  <c r="O121" i="53"/>
  <c r="L121" i="53"/>
  <c r="I121" i="53"/>
  <c r="F121" i="53"/>
  <c r="O120" i="53"/>
  <c r="L120" i="53"/>
  <c r="I120" i="53"/>
  <c r="F120" i="53"/>
  <c r="O119" i="53"/>
  <c r="L119" i="53"/>
  <c r="I119" i="53"/>
  <c r="F119" i="53"/>
  <c r="O118" i="53"/>
  <c r="L118" i="53"/>
  <c r="I118" i="53"/>
  <c r="F118" i="53"/>
  <c r="O117" i="53"/>
  <c r="O116" i="53" s="1"/>
  <c r="L117" i="53"/>
  <c r="I117" i="53"/>
  <c r="F117" i="53"/>
  <c r="N116" i="53"/>
  <c r="M116" i="53"/>
  <c r="K116" i="53"/>
  <c r="J116" i="53"/>
  <c r="H116" i="53"/>
  <c r="G116" i="53"/>
  <c r="F116" i="53"/>
  <c r="E116" i="53"/>
  <c r="D116" i="53"/>
  <c r="O115" i="53"/>
  <c r="L115" i="53"/>
  <c r="I115" i="53"/>
  <c r="F115" i="53"/>
  <c r="O114" i="53"/>
  <c r="L114" i="53"/>
  <c r="I114" i="53"/>
  <c r="F114" i="53"/>
  <c r="O113" i="53"/>
  <c r="O112" i="53" s="1"/>
  <c r="L113" i="53"/>
  <c r="I113" i="53"/>
  <c r="I112" i="53" s="1"/>
  <c r="F113" i="53"/>
  <c r="N112" i="53"/>
  <c r="M112" i="53"/>
  <c r="L112" i="53"/>
  <c r="K112" i="53"/>
  <c r="J112" i="53"/>
  <c r="H112" i="53"/>
  <c r="G112" i="53"/>
  <c r="F112" i="53"/>
  <c r="E112" i="53"/>
  <c r="D112" i="53"/>
  <c r="O111" i="53"/>
  <c r="L111" i="53"/>
  <c r="I111" i="53"/>
  <c r="F111" i="53"/>
  <c r="C111" i="53"/>
  <c r="O110" i="53"/>
  <c r="L110" i="53"/>
  <c r="I110" i="53"/>
  <c r="F110" i="53"/>
  <c r="C110" i="53" s="1"/>
  <c r="O109" i="53"/>
  <c r="L109" i="53"/>
  <c r="I109" i="53"/>
  <c r="F109" i="53"/>
  <c r="O108" i="53"/>
  <c r="L108" i="53"/>
  <c r="I108" i="53"/>
  <c r="F108" i="53"/>
  <c r="C108" i="53" s="1"/>
  <c r="O107" i="53"/>
  <c r="L107" i="53"/>
  <c r="I107" i="53"/>
  <c r="F107" i="53"/>
  <c r="C107" i="53" s="1"/>
  <c r="O106" i="53"/>
  <c r="L106" i="53"/>
  <c r="I106" i="53"/>
  <c r="F106" i="53"/>
  <c r="O105" i="53"/>
  <c r="L105" i="53"/>
  <c r="I105" i="53"/>
  <c r="F105" i="53"/>
  <c r="O104" i="53"/>
  <c r="L104" i="53"/>
  <c r="L103" i="53" s="1"/>
  <c r="I104" i="53"/>
  <c r="F104" i="53"/>
  <c r="N103" i="53"/>
  <c r="M103" i="53"/>
  <c r="K103" i="53"/>
  <c r="J103" i="53"/>
  <c r="H103" i="53"/>
  <c r="G103" i="53"/>
  <c r="E103" i="53"/>
  <c r="D103" i="53"/>
  <c r="O102" i="53"/>
  <c r="L102" i="53"/>
  <c r="I102" i="53"/>
  <c r="F102" i="53"/>
  <c r="O101" i="53"/>
  <c r="L101" i="53"/>
  <c r="I101" i="53"/>
  <c r="F101" i="53"/>
  <c r="O100" i="53"/>
  <c r="L100" i="53"/>
  <c r="I100" i="53"/>
  <c r="F100" i="53"/>
  <c r="O99" i="53"/>
  <c r="L99" i="53"/>
  <c r="I99" i="53"/>
  <c r="F99" i="53"/>
  <c r="C99" i="53" s="1"/>
  <c r="O98" i="53"/>
  <c r="L98" i="53"/>
  <c r="I98" i="53"/>
  <c r="F98" i="53"/>
  <c r="O97" i="53"/>
  <c r="L97" i="53"/>
  <c r="I97" i="53"/>
  <c r="F97" i="53"/>
  <c r="O96" i="53"/>
  <c r="L96" i="53"/>
  <c r="I96" i="53"/>
  <c r="F96" i="53"/>
  <c r="F95" i="53" s="1"/>
  <c r="O95" i="53"/>
  <c r="N95" i="53"/>
  <c r="M95" i="53"/>
  <c r="K95" i="53"/>
  <c r="J95" i="53"/>
  <c r="H95" i="53"/>
  <c r="G95" i="53"/>
  <c r="E95" i="53"/>
  <c r="D95" i="53"/>
  <c r="O94" i="53"/>
  <c r="L94" i="53"/>
  <c r="I94" i="53"/>
  <c r="F94" i="53"/>
  <c r="O93" i="53"/>
  <c r="L93" i="53"/>
  <c r="I93" i="53"/>
  <c r="F93" i="53"/>
  <c r="O92" i="53"/>
  <c r="L92" i="53"/>
  <c r="I92" i="53"/>
  <c r="F92" i="53"/>
  <c r="O91" i="53"/>
  <c r="L91" i="53"/>
  <c r="I91" i="53"/>
  <c r="F91" i="53"/>
  <c r="O90" i="53"/>
  <c r="L90" i="53"/>
  <c r="L89" i="53" s="1"/>
  <c r="I90" i="53"/>
  <c r="I89" i="53" s="1"/>
  <c r="F90" i="53"/>
  <c r="N89" i="53"/>
  <c r="M89" i="53"/>
  <c r="K89" i="53"/>
  <c r="J89" i="53"/>
  <c r="H89" i="53"/>
  <c r="G89" i="53"/>
  <c r="E89" i="53"/>
  <c r="D89" i="53"/>
  <c r="O88" i="53"/>
  <c r="L88" i="53"/>
  <c r="I88" i="53"/>
  <c r="F88" i="53"/>
  <c r="O87" i="53"/>
  <c r="L87" i="53"/>
  <c r="I87" i="53"/>
  <c r="F87" i="53"/>
  <c r="O86" i="53"/>
  <c r="L86" i="53"/>
  <c r="I86" i="53"/>
  <c r="F86" i="53"/>
  <c r="O85" i="53"/>
  <c r="O84" i="53" s="1"/>
  <c r="L85" i="53"/>
  <c r="I85" i="53"/>
  <c r="I84" i="53" s="1"/>
  <c r="F85" i="53"/>
  <c r="F84" i="53" s="1"/>
  <c r="N84" i="53"/>
  <c r="M84" i="53"/>
  <c r="K84" i="53"/>
  <c r="K83" i="53" s="1"/>
  <c r="J84" i="53"/>
  <c r="H84" i="53"/>
  <c r="G84" i="53"/>
  <c r="G83" i="53" s="1"/>
  <c r="E84" i="53"/>
  <c r="D84" i="53"/>
  <c r="O82" i="53"/>
  <c r="L82" i="53"/>
  <c r="I82" i="53"/>
  <c r="F82" i="53"/>
  <c r="O81" i="53"/>
  <c r="O80" i="53" s="1"/>
  <c r="L81" i="53"/>
  <c r="I81" i="53"/>
  <c r="I80" i="53" s="1"/>
  <c r="F81" i="53"/>
  <c r="N80" i="53"/>
  <c r="M80" i="53"/>
  <c r="L80" i="53"/>
  <c r="K80" i="53"/>
  <c r="J80" i="53"/>
  <c r="H80" i="53"/>
  <c r="G80" i="53"/>
  <c r="F80" i="53"/>
  <c r="E80" i="53"/>
  <c r="D80" i="53"/>
  <c r="O79" i="53"/>
  <c r="L79" i="53"/>
  <c r="I79" i="53"/>
  <c r="F79" i="53"/>
  <c r="O78" i="53"/>
  <c r="L78" i="53"/>
  <c r="L77" i="53" s="1"/>
  <c r="I78" i="53"/>
  <c r="I77" i="53" s="1"/>
  <c r="I76" i="53" s="1"/>
  <c r="F78" i="53"/>
  <c r="N77" i="53"/>
  <c r="M77" i="53"/>
  <c r="K77" i="53"/>
  <c r="K76" i="53" s="1"/>
  <c r="J77" i="53"/>
  <c r="J76" i="53" s="1"/>
  <c r="H77" i="53"/>
  <c r="H76" i="53" s="1"/>
  <c r="G77" i="53"/>
  <c r="E77" i="53"/>
  <c r="E76" i="53" s="1"/>
  <c r="D77" i="53"/>
  <c r="N76" i="53"/>
  <c r="O74" i="53"/>
  <c r="L74" i="53"/>
  <c r="I74" i="53"/>
  <c r="F74" i="53"/>
  <c r="O73" i="53"/>
  <c r="L73" i="53"/>
  <c r="I73" i="53"/>
  <c r="F73" i="53"/>
  <c r="O72" i="53"/>
  <c r="L72" i="53"/>
  <c r="I72" i="53"/>
  <c r="F72" i="53"/>
  <c r="O71" i="53"/>
  <c r="L71" i="53"/>
  <c r="I71" i="53"/>
  <c r="F71" i="53"/>
  <c r="O70" i="53"/>
  <c r="L70" i="53"/>
  <c r="L69" i="53" s="1"/>
  <c r="I70" i="53"/>
  <c r="I69" i="53" s="1"/>
  <c r="F70" i="53"/>
  <c r="N69" i="53"/>
  <c r="M69" i="53"/>
  <c r="M67" i="53" s="1"/>
  <c r="K69" i="53"/>
  <c r="J69" i="53"/>
  <c r="H69" i="53"/>
  <c r="H67" i="53" s="1"/>
  <c r="G69" i="53"/>
  <c r="G67" i="53" s="1"/>
  <c r="E69" i="53"/>
  <c r="E67" i="53" s="1"/>
  <c r="D69" i="53"/>
  <c r="O68" i="53"/>
  <c r="L68" i="53"/>
  <c r="I68" i="53"/>
  <c r="F68" i="53"/>
  <c r="N67" i="53"/>
  <c r="K67" i="53"/>
  <c r="J67" i="53"/>
  <c r="D67" i="53"/>
  <c r="O66" i="53"/>
  <c r="L66" i="53"/>
  <c r="I66" i="53"/>
  <c r="F66" i="53"/>
  <c r="O65" i="53"/>
  <c r="L65" i="53"/>
  <c r="I65" i="53"/>
  <c r="F65" i="53"/>
  <c r="O64" i="53"/>
  <c r="L64" i="53"/>
  <c r="I64" i="53"/>
  <c r="F64" i="53"/>
  <c r="O63" i="53"/>
  <c r="L63" i="53"/>
  <c r="I63" i="53"/>
  <c r="F63" i="53"/>
  <c r="O62" i="53"/>
  <c r="L62" i="53"/>
  <c r="I62" i="53"/>
  <c r="F62" i="53"/>
  <c r="O61" i="53"/>
  <c r="L61" i="53"/>
  <c r="I61" i="53"/>
  <c r="F61" i="53"/>
  <c r="O60" i="53"/>
  <c r="L60" i="53"/>
  <c r="I60" i="53"/>
  <c r="F60" i="53"/>
  <c r="O59" i="53"/>
  <c r="O58" i="53" s="1"/>
  <c r="L59" i="53"/>
  <c r="I59" i="53"/>
  <c r="I58" i="53" s="1"/>
  <c r="F59" i="53"/>
  <c r="N58" i="53"/>
  <c r="M58" i="53"/>
  <c r="L58" i="53"/>
  <c r="K58" i="53"/>
  <c r="J58" i="53"/>
  <c r="H58" i="53"/>
  <c r="G58" i="53"/>
  <c r="E58" i="53"/>
  <c r="D58" i="53"/>
  <c r="O57" i="53"/>
  <c r="L57" i="53"/>
  <c r="I57" i="53"/>
  <c r="F57" i="53"/>
  <c r="O56" i="53"/>
  <c r="L56" i="53"/>
  <c r="L55" i="53" s="1"/>
  <c r="L54" i="53" s="1"/>
  <c r="I56" i="53"/>
  <c r="F56" i="53"/>
  <c r="F55" i="53" s="1"/>
  <c r="O55" i="53"/>
  <c r="O54" i="53" s="1"/>
  <c r="N55" i="53"/>
  <c r="M55" i="53"/>
  <c r="K55" i="53"/>
  <c r="K54" i="53" s="1"/>
  <c r="J55" i="53"/>
  <c r="J54" i="53" s="1"/>
  <c r="J53" i="53" s="1"/>
  <c r="H55" i="53"/>
  <c r="H54" i="53" s="1"/>
  <c r="G55" i="53"/>
  <c r="E55" i="53"/>
  <c r="E54" i="53" s="1"/>
  <c r="D55" i="53"/>
  <c r="D54" i="53" s="1"/>
  <c r="N54" i="53"/>
  <c r="N53" i="53" s="1"/>
  <c r="O47" i="53"/>
  <c r="C47" i="53" s="1"/>
  <c r="O46" i="53"/>
  <c r="C46" i="53" s="1"/>
  <c r="N45" i="53"/>
  <c r="M45" i="53"/>
  <c r="L44" i="53"/>
  <c r="L43" i="53" s="1"/>
  <c r="I44" i="53"/>
  <c r="F44" i="53"/>
  <c r="F43" i="53" s="1"/>
  <c r="K43" i="53"/>
  <c r="J43" i="53"/>
  <c r="I43" i="53"/>
  <c r="H43" i="53"/>
  <c r="G43" i="53"/>
  <c r="E43" i="53"/>
  <c r="D43" i="53"/>
  <c r="F42" i="53"/>
  <c r="C42" i="53" s="1"/>
  <c r="E41" i="53"/>
  <c r="D41" i="53"/>
  <c r="L40" i="53"/>
  <c r="C40" i="53" s="1"/>
  <c r="L39" i="53"/>
  <c r="C39" i="53" s="1"/>
  <c r="L38" i="53"/>
  <c r="C38" i="53" s="1"/>
  <c r="L37" i="53"/>
  <c r="C37" i="53" s="1"/>
  <c r="K36" i="53"/>
  <c r="J36" i="53"/>
  <c r="L35" i="53"/>
  <c r="C35" i="53" s="1"/>
  <c r="L34" i="53"/>
  <c r="C34" i="53" s="1"/>
  <c r="K33" i="53"/>
  <c r="J33" i="53"/>
  <c r="L32" i="53"/>
  <c r="C32" i="53" s="1"/>
  <c r="K31" i="53"/>
  <c r="J31" i="53"/>
  <c r="J26" i="53" s="1"/>
  <c r="L30" i="53"/>
  <c r="C30" i="53" s="1"/>
  <c r="L29" i="53"/>
  <c r="C29" i="53" s="1"/>
  <c r="L28" i="53"/>
  <c r="C28" i="53" s="1"/>
  <c r="K27" i="53"/>
  <c r="K26" i="53" s="1"/>
  <c r="J27" i="53"/>
  <c r="F25" i="53"/>
  <c r="C25" i="53" s="1"/>
  <c r="I24" i="53"/>
  <c r="F24" i="53"/>
  <c r="O23" i="53"/>
  <c r="L23" i="53"/>
  <c r="I23" i="53"/>
  <c r="F23" i="53"/>
  <c r="O22" i="53"/>
  <c r="O21" i="53" s="1"/>
  <c r="L22" i="53"/>
  <c r="L21" i="53" s="1"/>
  <c r="L292" i="53" s="1"/>
  <c r="I22" i="53"/>
  <c r="I21" i="53" s="1"/>
  <c r="F22" i="53"/>
  <c r="N21" i="53"/>
  <c r="N292" i="53" s="1"/>
  <c r="N291" i="53" s="1"/>
  <c r="M21" i="53"/>
  <c r="M292" i="53" s="1"/>
  <c r="M291" i="53" s="1"/>
  <c r="K21" i="53"/>
  <c r="K292" i="53" s="1"/>
  <c r="K291" i="53" s="1"/>
  <c r="J21" i="53"/>
  <c r="J292" i="53" s="1"/>
  <c r="J291" i="53" s="1"/>
  <c r="H21" i="53"/>
  <c r="H292" i="53" s="1"/>
  <c r="H291" i="53" s="1"/>
  <c r="G21" i="53"/>
  <c r="G292" i="53" s="1"/>
  <c r="G291" i="53" s="1"/>
  <c r="F21" i="53"/>
  <c r="F292" i="53" s="1"/>
  <c r="E21" i="53"/>
  <c r="E292" i="53" s="1"/>
  <c r="E291" i="53" s="1"/>
  <c r="D21" i="53"/>
  <c r="D292" i="53" s="1"/>
  <c r="D291" i="53" s="1"/>
  <c r="M20" i="53"/>
  <c r="G20" i="53"/>
  <c r="O103" i="53" l="1"/>
  <c r="C117" i="53"/>
  <c r="C185" i="53"/>
  <c r="C186" i="53"/>
  <c r="C202" i="53"/>
  <c r="C234" i="53"/>
  <c r="C294" i="53"/>
  <c r="C78" i="53"/>
  <c r="C133" i="53"/>
  <c r="C153" i="53"/>
  <c r="C154" i="53"/>
  <c r="E270" i="53"/>
  <c r="E269" i="53" s="1"/>
  <c r="C274" i="53"/>
  <c r="L31" i="53"/>
  <c r="C31" i="53" s="1"/>
  <c r="C177" i="53"/>
  <c r="C210" i="53"/>
  <c r="C214" i="53"/>
  <c r="C222" i="53"/>
  <c r="C224" i="53"/>
  <c r="C225" i="53"/>
  <c r="C242" i="53"/>
  <c r="C63" i="53"/>
  <c r="C64" i="53"/>
  <c r="C66" i="53"/>
  <c r="C149" i="53"/>
  <c r="C169" i="53"/>
  <c r="O175" i="53"/>
  <c r="N174" i="53"/>
  <c r="N173" i="53" s="1"/>
  <c r="C218" i="53"/>
  <c r="C239" i="53"/>
  <c r="O238" i="53"/>
  <c r="C254" i="53"/>
  <c r="K20" i="53"/>
  <c r="C61" i="53"/>
  <c r="I67" i="53"/>
  <c r="C73" i="53"/>
  <c r="O77" i="53"/>
  <c r="O76" i="53" s="1"/>
  <c r="C91" i="53"/>
  <c r="C92" i="53"/>
  <c r="C94" i="53"/>
  <c r="C127" i="53"/>
  <c r="C157" i="53"/>
  <c r="M187" i="53"/>
  <c r="K187" i="53"/>
  <c r="C193" i="53"/>
  <c r="G204" i="53"/>
  <c r="M204" i="53"/>
  <c r="M195" i="53" s="1"/>
  <c r="C262" i="53"/>
  <c r="C266" i="53"/>
  <c r="C278" i="53"/>
  <c r="C282" i="53"/>
  <c r="D76" i="53"/>
  <c r="D130" i="53"/>
  <c r="H130" i="53"/>
  <c r="N130" i="53"/>
  <c r="C156" i="53"/>
  <c r="C206" i="53"/>
  <c r="C207" i="53"/>
  <c r="C258" i="53"/>
  <c r="I260" i="53"/>
  <c r="K259" i="53"/>
  <c r="O272" i="53"/>
  <c r="C298" i="53"/>
  <c r="C105" i="53"/>
  <c r="J231" i="53"/>
  <c r="J230" i="53" s="1"/>
  <c r="C250" i="53"/>
  <c r="D270" i="53"/>
  <c r="N270" i="53"/>
  <c r="N269" i="53" s="1"/>
  <c r="C43" i="53"/>
  <c r="H53" i="53"/>
  <c r="K195" i="53"/>
  <c r="C79" i="53"/>
  <c r="L84" i="53"/>
  <c r="L166" i="53"/>
  <c r="L165" i="53" s="1"/>
  <c r="O179" i="53"/>
  <c r="E20" i="53"/>
  <c r="C24" i="53"/>
  <c r="G54" i="53"/>
  <c r="G53" i="53" s="1"/>
  <c r="M54" i="53"/>
  <c r="M53" i="53" s="1"/>
  <c r="I55" i="53"/>
  <c r="I54" i="53" s="1"/>
  <c r="I53" i="53" s="1"/>
  <c r="C60" i="53"/>
  <c r="C62" i="53"/>
  <c r="C70" i="53"/>
  <c r="C72" i="53"/>
  <c r="C74" i="53"/>
  <c r="C80" i="53"/>
  <c r="C82" i="53"/>
  <c r="E83" i="53"/>
  <c r="C90" i="53"/>
  <c r="O89" i="53"/>
  <c r="L95" i="53"/>
  <c r="C101" i="53"/>
  <c r="F103" i="53"/>
  <c r="C106" i="53"/>
  <c r="C112" i="53"/>
  <c r="C114" i="53"/>
  <c r="L116" i="53"/>
  <c r="L122" i="53"/>
  <c r="O131" i="53"/>
  <c r="L136" i="53"/>
  <c r="L144" i="53"/>
  <c r="F160" i="53"/>
  <c r="C171" i="53"/>
  <c r="F184" i="53"/>
  <c r="E187" i="53"/>
  <c r="G195" i="53"/>
  <c r="O205" i="53"/>
  <c r="L205" i="53"/>
  <c r="E204" i="53"/>
  <c r="E195" i="53" s="1"/>
  <c r="C219" i="53"/>
  <c r="C221" i="53"/>
  <c r="C229" i="53"/>
  <c r="C237" i="53"/>
  <c r="L246" i="53"/>
  <c r="M230" i="53"/>
  <c r="C256" i="53"/>
  <c r="C263" i="53"/>
  <c r="L264" i="53"/>
  <c r="C279" i="53"/>
  <c r="D269" i="53"/>
  <c r="H269" i="53"/>
  <c r="I293" i="53"/>
  <c r="C296" i="53"/>
  <c r="C299" i="53"/>
  <c r="O264" i="53"/>
  <c r="C280" i="53"/>
  <c r="L293" i="53"/>
  <c r="L291" i="53" s="1"/>
  <c r="I216" i="53"/>
  <c r="L252" i="53"/>
  <c r="L251" i="53" s="1"/>
  <c r="C22" i="53"/>
  <c r="D53" i="53"/>
  <c r="C65" i="53"/>
  <c r="G76" i="53"/>
  <c r="G75" i="53" s="1"/>
  <c r="K75" i="53"/>
  <c r="D83" i="53"/>
  <c r="D75" i="53" s="1"/>
  <c r="H83" i="53"/>
  <c r="N83" i="53"/>
  <c r="C87" i="53"/>
  <c r="M83" i="53"/>
  <c r="C93" i="53"/>
  <c r="C98" i="53"/>
  <c r="C109" i="53"/>
  <c r="F122" i="53"/>
  <c r="C126" i="53"/>
  <c r="L131" i="53"/>
  <c r="C135" i="53"/>
  <c r="C148" i="53"/>
  <c r="C155" i="53"/>
  <c r="C163" i="53"/>
  <c r="C168" i="53"/>
  <c r="G173" i="53"/>
  <c r="C178" i="53"/>
  <c r="C189" i="53"/>
  <c r="O196" i="53"/>
  <c r="I205" i="53"/>
  <c r="I204" i="53" s="1"/>
  <c r="C212" i="53"/>
  <c r="C213" i="53"/>
  <c r="G231" i="53"/>
  <c r="G230" i="53" s="1"/>
  <c r="I238" i="53"/>
  <c r="C244" i="53"/>
  <c r="C245" i="53"/>
  <c r="C247" i="53"/>
  <c r="O246" i="53"/>
  <c r="O252" i="53"/>
  <c r="L260" i="53"/>
  <c r="L276" i="53"/>
  <c r="C23" i="53"/>
  <c r="C44" i="53"/>
  <c r="K53" i="53"/>
  <c r="O69" i="53"/>
  <c r="O67" i="53" s="1"/>
  <c r="O53" i="53" s="1"/>
  <c r="M76" i="53"/>
  <c r="L76" i="53"/>
  <c r="J83" i="53"/>
  <c r="J75" i="53" s="1"/>
  <c r="J52" i="53" s="1"/>
  <c r="C86" i="53"/>
  <c r="C88" i="53"/>
  <c r="C97" i="53"/>
  <c r="C100" i="53"/>
  <c r="C102" i="53"/>
  <c r="C115" i="53"/>
  <c r="C119" i="53"/>
  <c r="C121" i="53"/>
  <c r="C123" i="53"/>
  <c r="C125" i="53"/>
  <c r="C139" i="53"/>
  <c r="C147" i="53"/>
  <c r="C159" i="53"/>
  <c r="C170" i="53"/>
  <c r="C172" i="53"/>
  <c r="L173" i="53"/>
  <c r="C183" i="53"/>
  <c r="C190" i="53"/>
  <c r="C201" i="53"/>
  <c r="C232" i="53"/>
  <c r="D230" i="53"/>
  <c r="H231" i="53"/>
  <c r="H230" i="53" s="1"/>
  <c r="H194" i="53" s="1"/>
  <c r="N231" i="53"/>
  <c r="N230" i="53" s="1"/>
  <c r="C257" i="53"/>
  <c r="O260" i="53"/>
  <c r="C268" i="53"/>
  <c r="O276" i="53"/>
  <c r="O270" i="53" s="1"/>
  <c r="O269" i="53" s="1"/>
  <c r="L67" i="53"/>
  <c r="L53" i="53" s="1"/>
  <c r="H75" i="53"/>
  <c r="L83" i="53"/>
  <c r="I20" i="53"/>
  <c r="O292" i="53"/>
  <c r="O291" i="53" s="1"/>
  <c r="E53" i="53"/>
  <c r="K52" i="53"/>
  <c r="C55" i="53"/>
  <c r="N75" i="53"/>
  <c r="N52" i="53" s="1"/>
  <c r="C71" i="53"/>
  <c r="C144" i="53"/>
  <c r="C181" i="53"/>
  <c r="C217" i="53"/>
  <c r="F216" i="53"/>
  <c r="C249" i="53"/>
  <c r="F246" i="53"/>
  <c r="C301" i="53"/>
  <c r="J20" i="53"/>
  <c r="N20" i="53"/>
  <c r="C56" i="53"/>
  <c r="C68" i="53"/>
  <c r="F69" i="53"/>
  <c r="C69" i="53" s="1"/>
  <c r="F77" i="53"/>
  <c r="C84" i="53"/>
  <c r="F89" i="53"/>
  <c r="C89" i="53" s="1"/>
  <c r="C96" i="53"/>
  <c r="C104" i="53"/>
  <c r="C118" i="53"/>
  <c r="O122" i="53"/>
  <c r="O83" i="53" s="1"/>
  <c r="M130" i="53"/>
  <c r="M75" i="53" s="1"/>
  <c r="M52" i="53" s="1"/>
  <c r="C134" i="53"/>
  <c r="C138" i="53"/>
  <c r="F141" i="53"/>
  <c r="C141" i="53" s="1"/>
  <c r="C142" i="53"/>
  <c r="C146" i="53"/>
  <c r="L151" i="53"/>
  <c r="L130" i="53" s="1"/>
  <c r="L75" i="53" s="1"/>
  <c r="C158" i="53"/>
  <c r="C182" i="53"/>
  <c r="H187" i="53"/>
  <c r="C59" i="53"/>
  <c r="C137" i="53"/>
  <c r="F165" i="53"/>
  <c r="I166" i="53"/>
  <c r="I165" i="53" s="1"/>
  <c r="C167" i="53"/>
  <c r="C180" i="53"/>
  <c r="F179" i="53"/>
  <c r="L27" i="53"/>
  <c r="F41" i="53"/>
  <c r="C41" i="53" s="1"/>
  <c r="O45" i="53"/>
  <c r="O20" i="53" s="1"/>
  <c r="C57" i="53"/>
  <c r="C81" i="53"/>
  <c r="C85" i="53"/>
  <c r="I95" i="53"/>
  <c r="C95" i="53" s="1"/>
  <c r="I103" i="53"/>
  <c r="C103" i="53" s="1"/>
  <c r="C113" i="53"/>
  <c r="I116" i="53"/>
  <c r="C116" i="53" s="1"/>
  <c r="C120" i="53"/>
  <c r="C124" i="53"/>
  <c r="C128" i="53"/>
  <c r="C129" i="53"/>
  <c r="C140" i="53"/>
  <c r="C150" i="53"/>
  <c r="E174" i="53"/>
  <c r="E173" i="53" s="1"/>
  <c r="C176" i="53"/>
  <c r="F175" i="53"/>
  <c r="O174" i="53"/>
  <c r="O173" i="53" s="1"/>
  <c r="I187" i="53"/>
  <c r="C132" i="53"/>
  <c r="F131" i="53"/>
  <c r="C136" i="53"/>
  <c r="L33" i="53"/>
  <c r="C33" i="53" s="1"/>
  <c r="L36" i="53"/>
  <c r="C36" i="53" s="1"/>
  <c r="F58" i="53"/>
  <c r="C58" i="53" s="1"/>
  <c r="D20" i="53"/>
  <c r="H20" i="53"/>
  <c r="C21" i="53"/>
  <c r="I122" i="53"/>
  <c r="C122" i="53" s="1"/>
  <c r="E130" i="53"/>
  <c r="E75" i="53" s="1"/>
  <c r="C152" i="53"/>
  <c r="F151" i="53"/>
  <c r="O151" i="53"/>
  <c r="O130" i="53" s="1"/>
  <c r="C160" i="53"/>
  <c r="I179" i="53"/>
  <c r="I174" i="53" s="1"/>
  <c r="I173" i="53" s="1"/>
  <c r="C184" i="53"/>
  <c r="C188" i="53"/>
  <c r="O191" i="53"/>
  <c r="C191" i="53" s="1"/>
  <c r="C192" i="53"/>
  <c r="F187" i="53"/>
  <c r="D194" i="53"/>
  <c r="L196" i="53"/>
  <c r="C208" i="53"/>
  <c r="C209" i="53"/>
  <c r="F205" i="53"/>
  <c r="C220" i="53"/>
  <c r="C227" i="53"/>
  <c r="C228" i="53"/>
  <c r="O231" i="53"/>
  <c r="K231" i="53"/>
  <c r="K230" i="53" s="1"/>
  <c r="K289" i="53" s="1"/>
  <c r="C240" i="53"/>
  <c r="C241" i="53"/>
  <c r="F238" i="53"/>
  <c r="C248" i="53"/>
  <c r="I246" i="53"/>
  <c r="C253" i="53"/>
  <c r="F252" i="53"/>
  <c r="O251" i="53"/>
  <c r="C265" i="53"/>
  <c r="F264" i="53"/>
  <c r="C264" i="53" s="1"/>
  <c r="L270" i="53"/>
  <c r="L269" i="53" s="1"/>
  <c r="C273" i="53"/>
  <c r="F272" i="53"/>
  <c r="G289" i="53"/>
  <c r="C288" i="53"/>
  <c r="I286" i="53"/>
  <c r="C286" i="53" s="1"/>
  <c r="C300" i="53"/>
  <c r="C200" i="53"/>
  <c r="I198" i="53"/>
  <c r="I196" i="53" s="1"/>
  <c r="I195" i="53" s="1"/>
  <c r="C203" i="53"/>
  <c r="C211" i="53"/>
  <c r="C223" i="53"/>
  <c r="C233" i="53"/>
  <c r="C243" i="53"/>
  <c r="C255" i="53"/>
  <c r="I259" i="53"/>
  <c r="L259" i="53"/>
  <c r="C267" i="53"/>
  <c r="C275" i="53"/>
  <c r="C281" i="53"/>
  <c r="C285" i="53"/>
  <c r="F284" i="53"/>
  <c r="C197" i="53"/>
  <c r="F196" i="53"/>
  <c r="J204" i="53"/>
  <c r="J195" i="53" s="1"/>
  <c r="N204" i="53"/>
  <c r="N195" i="53" s="1"/>
  <c r="N194" i="53" s="1"/>
  <c r="C215" i="53"/>
  <c r="O216" i="53"/>
  <c r="O204" i="53" s="1"/>
  <c r="O195" i="53" s="1"/>
  <c r="L216" i="53"/>
  <c r="L204" i="53" s="1"/>
  <c r="I231" i="53"/>
  <c r="C235" i="53"/>
  <c r="C236" i="53"/>
  <c r="L238" i="53"/>
  <c r="L231" i="53" s="1"/>
  <c r="L230" i="53" s="1"/>
  <c r="E259" i="53"/>
  <c r="E230" i="53" s="1"/>
  <c r="C261" i="53"/>
  <c r="F260" i="53"/>
  <c r="O259" i="53"/>
  <c r="C271" i="53"/>
  <c r="I270" i="53"/>
  <c r="I269" i="53" s="1"/>
  <c r="M270" i="53"/>
  <c r="M269" i="53" s="1"/>
  <c r="C277" i="53"/>
  <c r="F276" i="53"/>
  <c r="C276" i="53" s="1"/>
  <c r="C295" i="53"/>
  <c r="C297" i="53"/>
  <c r="F293" i="53"/>
  <c r="C293" i="53" s="1"/>
  <c r="C199" i="53"/>
  <c r="C287" i="53"/>
  <c r="H289" i="53" l="1"/>
  <c r="M289" i="53"/>
  <c r="C179" i="53"/>
  <c r="C166" i="53"/>
  <c r="K194" i="53"/>
  <c r="K51" i="53" s="1"/>
  <c r="D52" i="53"/>
  <c r="D51" i="53" s="1"/>
  <c r="D50" i="53" s="1"/>
  <c r="D289" i="53"/>
  <c r="O187" i="53"/>
  <c r="O75" i="53"/>
  <c r="I292" i="53"/>
  <c r="G194" i="53"/>
  <c r="G52" i="53"/>
  <c r="G51" i="53" s="1"/>
  <c r="C151" i="53"/>
  <c r="N51" i="53"/>
  <c r="N290" i="53" s="1"/>
  <c r="H52" i="53"/>
  <c r="H51" i="53" s="1"/>
  <c r="H290" i="53" s="1"/>
  <c r="E194" i="53"/>
  <c r="E289" i="53"/>
  <c r="N50" i="53"/>
  <c r="J194" i="53"/>
  <c r="J51" i="53" s="1"/>
  <c r="J289" i="53"/>
  <c r="H50" i="53"/>
  <c r="C284" i="53"/>
  <c r="F283" i="53"/>
  <c r="C283" i="53" s="1"/>
  <c r="C27" i="53"/>
  <c r="L26" i="53"/>
  <c r="F291" i="53"/>
  <c r="D290" i="53"/>
  <c r="C260" i="53"/>
  <c r="F259" i="53"/>
  <c r="C259" i="53" s="1"/>
  <c r="C196" i="53"/>
  <c r="F270" i="53"/>
  <c r="C272" i="53"/>
  <c r="C205" i="53"/>
  <c r="F204" i="53"/>
  <c r="C204" i="53" s="1"/>
  <c r="M194" i="53"/>
  <c r="M51" i="53" s="1"/>
  <c r="C216" i="53"/>
  <c r="F67" i="53"/>
  <c r="C67" i="53" s="1"/>
  <c r="E52" i="53"/>
  <c r="E51" i="53" s="1"/>
  <c r="F83" i="53"/>
  <c r="I83" i="53"/>
  <c r="I75" i="53" s="1"/>
  <c r="I52" i="53" s="1"/>
  <c r="L195" i="53"/>
  <c r="L194" i="53" s="1"/>
  <c r="C187" i="53"/>
  <c r="F130" i="53"/>
  <c r="C130" i="53" s="1"/>
  <c r="C131" i="53"/>
  <c r="C175" i="53"/>
  <c r="F174" i="53"/>
  <c r="C45" i="53"/>
  <c r="L52" i="53"/>
  <c r="O230" i="53"/>
  <c r="O289" i="53" s="1"/>
  <c r="I230" i="53"/>
  <c r="I194" i="53" s="1"/>
  <c r="N289" i="53"/>
  <c r="C252" i="53"/>
  <c r="F251" i="53"/>
  <c r="C251" i="53" s="1"/>
  <c r="C238" i="53"/>
  <c r="F231" i="53"/>
  <c r="C165" i="53"/>
  <c r="C77" i="53"/>
  <c r="F76" i="53"/>
  <c r="F20" i="53"/>
  <c r="C246" i="53"/>
  <c r="C198" i="53"/>
  <c r="F54" i="53"/>
  <c r="L51" i="53" l="1"/>
  <c r="L50" i="53" s="1"/>
  <c r="C292" i="53"/>
  <c r="I291" i="53"/>
  <c r="C291" i="53" s="1"/>
  <c r="O52" i="53"/>
  <c r="L289" i="53"/>
  <c r="G50" i="53"/>
  <c r="G290" i="53"/>
  <c r="F230" i="53"/>
  <c r="C230" i="53" s="1"/>
  <c r="C231" i="53"/>
  <c r="I51" i="53"/>
  <c r="C26" i="53"/>
  <c r="L20" i="53"/>
  <c r="C20" i="53" s="1"/>
  <c r="M50" i="53"/>
  <c r="M290" i="53"/>
  <c r="C54" i="53"/>
  <c r="F53" i="53"/>
  <c r="F75" i="53"/>
  <c r="C75" i="53" s="1"/>
  <c r="C76" i="53"/>
  <c r="C83" i="53"/>
  <c r="F269" i="53"/>
  <c r="C270" i="53"/>
  <c r="F195" i="53"/>
  <c r="O194" i="53"/>
  <c r="O51" i="53" s="1"/>
  <c r="J50" i="53"/>
  <c r="J290" i="53"/>
  <c r="F173" i="53"/>
  <c r="C173" i="53" s="1"/>
  <c r="C174" i="53"/>
  <c r="E290" i="53"/>
  <c r="E50" i="53"/>
  <c r="I289" i="53"/>
  <c r="K50" i="53"/>
  <c r="K290" i="53"/>
  <c r="L290" i="53" l="1"/>
  <c r="C195" i="53"/>
  <c r="F194" i="53"/>
  <c r="C194" i="53" s="1"/>
  <c r="I290" i="53"/>
  <c r="I50" i="53"/>
  <c r="C269" i="53"/>
  <c r="F289" i="53"/>
  <c r="C289" i="53" s="1"/>
  <c r="F52" i="53"/>
  <c r="C53" i="53"/>
  <c r="O50" i="53"/>
  <c r="O290" i="53"/>
  <c r="F51" i="53" l="1"/>
  <c r="C52" i="53"/>
  <c r="F290" i="53" l="1"/>
  <c r="C290" i="53" s="1"/>
  <c r="F50" i="53"/>
  <c r="C50" i="53" s="1"/>
  <c r="C51" i="53"/>
  <c r="O301" i="52" l="1"/>
  <c r="L301" i="52"/>
  <c r="I301" i="52"/>
  <c r="F301" i="52"/>
  <c r="O300" i="52"/>
  <c r="L300" i="52"/>
  <c r="I300" i="52"/>
  <c r="F300" i="52"/>
  <c r="O299" i="52"/>
  <c r="L299" i="52"/>
  <c r="I299" i="52"/>
  <c r="F299" i="52"/>
  <c r="O298" i="52"/>
  <c r="L298" i="52"/>
  <c r="I298" i="52"/>
  <c r="F298" i="52"/>
  <c r="O297" i="52"/>
  <c r="L297" i="52"/>
  <c r="I297" i="52"/>
  <c r="F297" i="52"/>
  <c r="O296" i="52"/>
  <c r="L296" i="52"/>
  <c r="I296" i="52"/>
  <c r="F296" i="52"/>
  <c r="O295" i="52"/>
  <c r="L295" i="52"/>
  <c r="I295" i="52"/>
  <c r="F295" i="52"/>
  <c r="O294" i="52"/>
  <c r="O293" i="52" s="1"/>
  <c r="L294" i="52"/>
  <c r="I294" i="52"/>
  <c r="F294" i="52"/>
  <c r="N293" i="52"/>
  <c r="M293" i="52"/>
  <c r="K293" i="52"/>
  <c r="J293" i="52"/>
  <c r="H293" i="52"/>
  <c r="G293" i="52"/>
  <c r="E293" i="52"/>
  <c r="D293" i="52"/>
  <c r="O288" i="52"/>
  <c r="L288" i="52"/>
  <c r="I288" i="52"/>
  <c r="F288" i="52"/>
  <c r="O287" i="52"/>
  <c r="L287" i="52"/>
  <c r="L286" i="52" s="1"/>
  <c r="I287" i="52"/>
  <c r="F287" i="52"/>
  <c r="O286" i="52"/>
  <c r="N286" i="52"/>
  <c r="M286" i="52"/>
  <c r="K286" i="52"/>
  <c r="J286" i="52"/>
  <c r="H286" i="52"/>
  <c r="G286" i="52"/>
  <c r="F286" i="52"/>
  <c r="E286" i="52"/>
  <c r="D286" i="52"/>
  <c r="O285" i="52"/>
  <c r="L285" i="52"/>
  <c r="L284" i="52" s="1"/>
  <c r="L283" i="52" s="1"/>
  <c r="I285" i="52"/>
  <c r="I284" i="52" s="1"/>
  <c r="I283" i="52" s="1"/>
  <c r="F285" i="52"/>
  <c r="O284" i="52"/>
  <c r="O283" i="52" s="1"/>
  <c r="N284" i="52"/>
  <c r="N283" i="52" s="1"/>
  <c r="M284" i="52"/>
  <c r="M283" i="52" s="1"/>
  <c r="K284" i="52"/>
  <c r="K283" i="52" s="1"/>
  <c r="J284" i="52"/>
  <c r="J283" i="52" s="1"/>
  <c r="H284" i="52"/>
  <c r="G284" i="52"/>
  <c r="E284" i="52"/>
  <c r="E283" i="52" s="1"/>
  <c r="D284" i="52"/>
  <c r="D283" i="52" s="1"/>
  <c r="H283" i="52"/>
  <c r="G283" i="52"/>
  <c r="O282" i="52"/>
  <c r="O281" i="52" s="1"/>
  <c r="L282" i="52"/>
  <c r="I282" i="52"/>
  <c r="I281" i="52" s="1"/>
  <c r="F282" i="52"/>
  <c r="N281" i="52"/>
  <c r="M281" i="52"/>
  <c r="L281" i="52"/>
  <c r="K281" i="52"/>
  <c r="J281" i="52"/>
  <c r="H281" i="52"/>
  <c r="G281" i="52"/>
  <c r="F281" i="52"/>
  <c r="E281" i="52"/>
  <c r="D281" i="52"/>
  <c r="O280" i="52"/>
  <c r="L280" i="52"/>
  <c r="I280" i="52"/>
  <c r="F280" i="52"/>
  <c r="O279" i="52"/>
  <c r="L279" i="52"/>
  <c r="I279" i="52"/>
  <c r="F279" i="52"/>
  <c r="O278" i="52"/>
  <c r="O276" i="52" s="1"/>
  <c r="L278" i="52"/>
  <c r="I278" i="52"/>
  <c r="F278" i="52"/>
  <c r="C278" i="52"/>
  <c r="O277" i="52"/>
  <c r="L277" i="52"/>
  <c r="I277" i="52"/>
  <c r="F277" i="52"/>
  <c r="N276" i="52"/>
  <c r="M276" i="52"/>
  <c r="K276" i="52"/>
  <c r="J276" i="52"/>
  <c r="H276" i="52"/>
  <c r="G276" i="52"/>
  <c r="E276" i="52"/>
  <c r="D276" i="52"/>
  <c r="O275" i="52"/>
  <c r="L275" i="52"/>
  <c r="I275" i="52"/>
  <c r="F275" i="52"/>
  <c r="O274" i="52"/>
  <c r="L274" i="52"/>
  <c r="I274" i="52"/>
  <c r="F274" i="52"/>
  <c r="O273" i="52"/>
  <c r="L273" i="52"/>
  <c r="L272" i="52" s="1"/>
  <c r="I273" i="52"/>
  <c r="I272" i="52" s="1"/>
  <c r="F273" i="52"/>
  <c r="N272" i="52"/>
  <c r="M272" i="52"/>
  <c r="M270" i="52" s="1"/>
  <c r="M269" i="52" s="1"/>
  <c r="K272" i="52"/>
  <c r="J272" i="52"/>
  <c r="J270" i="52" s="1"/>
  <c r="J269" i="52" s="1"/>
  <c r="H272" i="52"/>
  <c r="G272" i="52"/>
  <c r="E272" i="52"/>
  <c r="D272" i="52"/>
  <c r="D270" i="52" s="1"/>
  <c r="D269" i="52" s="1"/>
  <c r="O271" i="52"/>
  <c r="L271" i="52"/>
  <c r="I271" i="52"/>
  <c r="F271" i="52"/>
  <c r="N270" i="52"/>
  <c r="K270" i="52"/>
  <c r="K269" i="52" s="1"/>
  <c r="H270" i="52"/>
  <c r="H269" i="52" s="1"/>
  <c r="G270" i="52"/>
  <c r="N269" i="52"/>
  <c r="O268" i="52"/>
  <c r="L268" i="52"/>
  <c r="I268" i="52"/>
  <c r="F268" i="52"/>
  <c r="O267" i="52"/>
  <c r="L267" i="52"/>
  <c r="I267" i="52"/>
  <c r="F267" i="52"/>
  <c r="O266" i="52"/>
  <c r="L266" i="52"/>
  <c r="I266" i="52"/>
  <c r="F266" i="52"/>
  <c r="C266" i="52" s="1"/>
  <c r="O265" i="52"/>
  <c r="L265" i="52"/>
  <c r="I265" i="52"/>
  <c r="F265" i="52"/>
  <c r="N264" i="52"/>
  <c r="M264" i="52"/>
  <c r="K264" i="52"/>
  <c r="J264" i="52"/>
  <c r="H264" i="52"/>
  <c r="G264" i="52"/>
  <c r="E264" i="52"/>
  <c r="D264" i="52"/>
  <c r="O263" i="52"/>
  <c r="L263" i="52"/>
  <c r="I263" i="52"/>
  <c r="F263" i="52"/>
  <c r="O262" i="52"/>
  <c r="L262" i="52"/>
  <c r="I262" i="52"/>
  <c r="F262" i="52"/>
  <c r="O261" i="52"/>
  <c r="L261" i="52"/>
  <c r="I261" i="52"/>
  <c r="F261" i="52"/>
  <c r="N260" i="52"/>
  <c r="N259" i="52" s="1"/>
  <c r="M260" i="52"/>
  <c r="K260" i="52"/>
  <c r="J260" i="52"/>
  <c r="I260" i="52"/>
  <c r="H260" i="52"/>
  <c r="G260" i="52"/>
  <c r="E260" i="52"/>
  <c r="E259" i="52" s="1"/>
  <c r="D260" i="52"/>
  <c r="D259" i="52" s="1"/>
  <c r="K259" i="52"/>
  <c r="J259" i="52"/>
  <c r="H259" i="52"/>
  <c r="G259" i="52"/>
  <c r="O258" i="52"/>
  <c r="L258" i="52"/>
  <c r="I258" i="52"/>
  <c r="F258" i="52"/>
  <c r="C258" i="52" s="1"/>
  <c r="O257" i="52"/>
  <c r="L257" i="52"/>
  <c r="I257" i="52"/>
  <c r="F257" i="52"/>
  <c r="O256" i="52"/>
  <c r="L256" i="52"/>
  <c r="I256" i="52"/>
  <c r="F256" i="52"/>
  <c r="O255" i="52"/>
  <c r="L255" i="52"/>
  <c r="I255" i="52"/>
  <c r="F255" i="52"/>
  <c r="O254" i="52"/>
  <c r="L254" i="52"/>
  <c r="I254" i="52"/>
  <c r="F254" i="52"/>
  <c r="O253" i="52"/>
  <c r="L253" i="52"/>
  <c r="I253" i="52"/>
  <c r="F253" i="52"/>
  <c r="N252" i="52"/>
  <c r="M252" i="52"/>
  <c r="M251" i="52" s="1"/>
  <c r="K252" i="52"/>
  <c r="J252" i="52"/>
  <c r="H252" i="52"/>
  <c r="H251" i="52" s="1"/>
  <c r="G252" i="52"/>
  <c r="G251" i="52" s="1"/>
  <c r="E252" i="52"/>
  <c r="E251" i="52" s="1"/>
  <c r="D252" i="52"/>
  <c r="N251" i="52"/>
  <c r="K251" i="52"/>
  <c r="J251" i="52"/>
  <c r="D251" i="52"/>
  <c r="O250" i="52"/>
  <c r="L250" i="52"/>
  <c r="I250" i="52"/>
  <c r="F250" i="52"/>
  <c r="C250" i="52" s="1"/>
  <c r="O249" i="52"/>
  <c r="L249" i="52"/>
  <c r="I249" i="52"/>
  <c r="F249" i="52"/>
  <c r="O248" i="52"/>
  <c r="L248" i="52"/>
  <c r="I248" i="52"/>
  <c r="F248" i="52"/>
  <c r="O247" i="52"/>
  <c r="L247" i="52"/>
  <c r="L246" i="52" s="1"/>
  <c r="I247" i="52"/>
  <c r="F247" i="52"/>
  <c r="O246" i="52"/>
  <c r="N246" i="52"/>
  <c r="M246" i="52"/>
  <c r="K246" i="52"/>
  <c r="J246" i="52"/>
  <c r="H246" i="52"/>
  <c r="G246" i="52"/>
  <c r="E246" i="52"/>
  <c r="D246" i="52"/>
  <c r="O245" i="52"/>
  <c r="L245" i="52"/>
  <c r="I245" i="52"/>
  <c r="F245" i="52"/>
  <c r="O244" i="52"/>
  <c r="L244" i="52"/>
  <c r="I244" i="52"/>
  <c r="F244" i="52"/>
  <c r="O243" i="52"/>
  <c r="L243" i="52"/>
  <c r="I243" i="52"/>
  <c r="F243" i="52"/>
  <c r="O242" i="52"/>
  <c r="L242" i="52"/>
  <c r="I242" i="52"/>
  <c r="F242" i="52"/>
  <c r="C242" i="52" s="1"/>
  <c r="O241" i="52"/>
  <c r="L241" i="52"/>
  <c r="I241" i="52"/>
  <c r="F241" i="52"/>
  <c r="O240" i="52"/>
  <c r="L240" i="52"/>
  <c r="I240" i="52"/>
  <c r="F240" i="52"/>
  <c r="O239" i="52"/>
  <c r="L239" i="52"/>
  <c r="L238" i="52" s="1"/>
  <c r="I239" i="52"/>
  <c r="F239" i="52"/>
  <c r="N238" i="52"/>
  <c r="M238" i="52"/>
  <c r="M231" i="52" s="1"/>
  <c r="K238" i="52"/>
  <c r="J238" i="52"/>
  <c r="H238" i="52"/>
  <c r="G238" i="52"/>
  <c r="E238" i="52"/>
  <c r="D238" i="52"/>
  <c r="O237" i="52"/>
  <c r="L237" i="52"/>
  <c r="I237" i="52"/>
  <c r="F237" i="52"/>
  <c r="O236" i="52"/>
  <c r="L236" i="52"/>
  <c r="L235" i="52" s="1"/>
  <c r="I236" i="52"/>
  <c r="I235" i="52" s="1"/>
  <c r="F236" i="52"/>
  <c r="O235" i="52"/>
  <c r="N235" i="52"/>
  <c r="M235" i="52"/>
  <c r="K235" i="52"/>
  <c r="J235" i="52"/>
  <c r="J231" i="52" s="1"/>
  <c r="H235" i="52"/>
  <c r="G235" i="52"/>
  <c r="E235" i="52"/>
  <c r="D235" i="52"/>
  <c r="O234" i="52"/>
  <c r="O233" i="52" s="1"/>
  <c r="L234" i="52"/>
  <c r="I234" i="52"/>
  <c r="F234" i="52"/>
  <c r="F233" i="52" s="1"/>
  <c r="N233" i="52"/>
  <c r="M233" i="52"/>
  <c r="L233" i="52"/>
  <c r="K233" i="52"/>
  <c r="J233" i="52"/>
  <c r="I233" i="52"/>
  <c r="H233" i="52"/>
  <c r="H231" i="52" s="1"/>
  <c r="G233" i="52"/>
  <c r="E233" i="52"/>
  <c r="E231" i="52" s="1"/>
  <c r="D233" i="52"/>
  <c r="O232" i="52"/>
  <c r="L232" i="52"/>
  <c r="I232" i="52"/>
  <c r="F232" i="52"/>
  <c r="N231" i="52"/>
  <c r="O229" i="52"/>
  <c r="L229" i="52"/>
  <c r="I229" i="52"/>
  <c r="F229" i="52"/>
  <c r="O228" i="52"/>
  <c r="L228" i="52"/>
  <c r="L227" i="52" s="1"/>
  <c r="I228" i="52"/>
  <c r="I227" i="52" s="1"/>
  <c r="F228" i="52"/>
  <c r="F227" i="52" s="1"/>
  <c r="O227" i="52"/>
  <c r="N227" i="52"/>
  <c r="M227" i="52"/>
  <c r="K227" i="52"/>
  <c r="J227" i="52"/>
  <c r="H227" i="52"/>
  <c r="G227" i="52"/>
  <c r="E227" i="52"/>
  <c r="D227" i="52"/>
  <c r="O226" i="52"/>
  <c r="L226" i="52"/>
  <c r="I226" i="52"/>
  <c r="F226" i="52"/>
  <c r="O225" i="52"/>
  <c r="L225" i="52"/>
  <c r="I225" i="52"/>
  <c r="F225" i="52"/>
  <c r="O224" i="52"/>
  <c r="L224" i="52"/>
  <c r="I224" i="52"/>
  <c r="F224" i="52"/>
  <c r="O223" i="52"/>
  <c r="L223" i="52"/>
  <c r="I223" i="52"/>
  <c r="F223" i="52"/>
  <c r="O222" i="52"/>
  <c r="L222" i="52"/>
  <c r="I222" i="52"/>
  <c r="F222" i="52"/>
  <c r="O221" i="52"/>
  <c r="L221" i="52"/>
  <c r="I221" i="52"/>
  <c r="F221" i="52"/>
  <c r="O220" i="52"/>
  <c r="L220" i="52"/>
  <c r="I220" i="52"/>
  <c r="F220" i="52"/>
  <c r="O219" i="52"/>
  <c r="L219" i="52"/>
  <c r="I219" i="52"/>
  <c r="F219" i="52"/>
  <c r="O218" i="52"/>
  <c r="L218" i="52"/>
  <c r="I218" i="52"/>
  <c r="F218" i="52"/>
  <c r="O217" i="52"/>
  <c r="L217" i="52"/>
  <c r="I217" i="52"/>
  <c r="F217" i="52"/>
  <c r="N216" i="52"/>
  <c r="M216" i="52"/>
  <c r="K216" i="52"/>
  <c r="K204" i="52" s="1"/>
  <c r="J216" i="52"/>
  <c r="H216" i="52"/>
  <c r="G216" i="52"/>
  <c r="E216" i="52"/>
  <c r="E204" i="52" s="1"/>
  <c r="D216" i="52"/>
  <c r="O215" i="52"/>
  <c r="L215" i="52"/>
  <c r="I215" i="52"/>
  <c r="F215" i="52"/>
  <c r="O214" i="52"/>
  <c r="L214" i="52"/>
  <c r="I214" i="52"/>
  <c r="C214" i="52" s="1"/>
  <c r="F214" i="52"/>
  <c r="O213" i="52"/>
  <c r="L213" i="52"/>
  <c r="I213" i="52"/>
  <c r="F213" i="52"/>
  <c r="O212" i="52"/>
  <c r="L212" i="52"/>
  <c r="I212" i="52"/>
  <c r="F212" i="52"/>
  <c r="O211" i="52"/>
  <c r="L211" i="52"/>
  <c r="I211" i="52"/>
  <c r="F211" i="52"/>
  <c r="O210" i="52"/>
  <c r="L210" i="52"/>
  <c r="I210" i="52"/>
  <c r="F210" i="52"/>
  <c r="O209" i="52"/>
  <c r="L209" i="52"/>
  <c r="I209" i="52"/>
  <c r="F209" i="52"/>
  <c r="O208" i="52"/>
  <c r="L208" i="52"/>
  <c r="I208" i="52"/>
  <c r="F208" i="52"/>
  <c r="O207" i="52"/>
  <c r="L207" i="52"/>
  <c r="I207" i="52"/>
  <c r="F207" i="52"/>
  <c r="O206" i="52"/>
  <c r="L206" i="52"/>
  <c r="I206" i="52"/>
  <c r="F206" i="52"/>
  <c r="N205" i="52"/>
  <c r="M205" i="52"/>
  <c r="L205" i="52"/>
  <c r="K205" i="52"/>
  <c r="J205" i="52"/>
  <c r="H205" i="52"/>
  <c r="H204" i="52" s="1"/>
  <c r="G205" i="52"/>
  <c r="E205" i="52"/>
  <c r="D205" i="52"/>
  <c r="D204" i="52" s="1"/>
  <c r="G204" i="52"/>
  <c r="O203" i="52"/>
  <c r="L203" i="52"/>
  <c r="I203" i="52"/>
  <c r="F203" i="52"/>
  <c r="O202" i="52"/>
  <c r="L202" i="52"/>
  <c r="I202" i="52"/>
  <c r="F202" i="52"/>
  <c r="O201" i="52"/>
  <c r="L201" i="52"/>
  <c r="I201" i="52"/>
  <c r="F201" i="52"/>
  <c r="O200" i="52"/>
  <c r="L200" i="52"/>
  <c r="I200" i="52"/>
  <c r="F200" i="52"/>
  <c r="O199" i="52"/>
  <c r="L199" i="52"/>
  <c r="L198" i="52" s="1"/>
  <c r="I199" i="52"/>
  <c r="F199" i="52"/>
  <c r="F198" i="52" s="1"/>
  <c r="O198" i="52"/>
  <c r="N198" i="52"/>
  <c r="M198" i="52"/>
  <c r="K198" i="52"/>
  <c r="K196" i="52" s="1"/>
  <c r="J198" i="52"/>
  <c r="H198" i="52"/>
  <c r="G198" i="52"/>
  <c r="G196" i="52" s="1"/>
  <c r="G195" i="52" s="1"/>
  <c r="E198" i="52"/>
  <c r="E196" i="52" s="1"/>
  <c r="D198" i="52"/>
  <c r="O197" i="52"/>
  <c r="L197" i="52"/>
  <c r="L196" i="52" s="1"/>
  <c r="I197" i="52"/>
  <c r="F197" i="52"/>
  <c r="N196" i="52"/>
  <c r="M196" i="52"/>
  <c r="J196" i="52"/>
  <c r="H196" i="52"/>
  <c r="D196" i="52"/>
  <c r="O193" i="52"/>
  <c r="L193" i="52"/>
  <c r="L192" i="52" s="1"/>
  <c r="L191" i="52" s="1"/>
  <c r="I193" i="52"/>
  <c r="F193" i="52"/>
  <c r="O192" i="52"/>
  <c r="O191" i="52" s="1"/>
  <c r="N192" i="52"/>
  <c r="N191" i="52" s="1"/>
  <c r="M192" i="52"/>
  <c r="M191" i="52" s="1"/>
  <c r="K192" i="52"/>
  <c r="J192" i="52"/>
  <c r="J191" i="52" s="1"/>
  <c r="J187" i="52" s="1"/>
  <c r="I192" i="52"/>
  <c r="I191" i="52" s="1"/>
  <c r="H192" i="52"/>
  <c r="G192" i="52"/>
  <c r="E192" i="52"/>
  <c r="E191" i="52" s="1"/>
  <c r="D192" i="52"/>
  <c r="D191" i="52" s="1"/>
  <c r="K191" i="52"/>
  <c r="H191" i="52"/>
  <c r="G191" i="52"/>
  <c r="O190" i="52"/>
  <c r="L190" i="52"/>
  <c r="I190" i="52"/>
  <c r="F190" i="52"/>
  <c r="O189" i="52"/>
  <c r="L189" i="52"/>
  <c r="I189" i="52"/>
  <c r="I188" i="52" s="1"/>
  <c r="I187" i="52" s="1"/>
  <c r="F189" i="52"/>
  <c r="N188" i="52"/>
  <c r="M188" i="52"/>
  <c r="M187" i="52" s="1"/>
  <c r="L188" i="52"/>
  <c r="K188" i="52"/>
  <c r="K187" i="52" s="1"/>
  <c r="J188" i="52"/>
  <c r="H188" i="52"/>
  <c r="G188" i="52"/>
  <c r="G187" i="52" s="1"/>
  <c r="E188" i="52"/>
  <c r="D188" i="52"/>
  <c r="O186" i="52"/>
  <c r="L186" i="52"/>
  <c r="I186" i="52"/>
  <c r="F186" i="52"/>
  <c r="O185" i="52"/>
  <c r="O184" i="52" s="1"/>
  <c r="L185" i="52"/>
  <c r="L184" i="52" s="1"/>
  <c r="I185" i="52"/>
  <c r="F185" i="52"/>
  <c r="N184" i="52"/>
  <c r="M184" i="52"/>
  <c r="K184" i="52"/>
  <c r="J184" i="52"/>
  <c r="H184" i="52"/>
  <c r="G184" i="52"/>
  <c r="F184" i="52"/>
  <c r="E184" i="52"/>
  <c r="D184" i="52"/>
  <c r="O183" i="52"/>
  <c r="L183" i="52"/>
  <c r="I183" i="52"/>
  <c r="F183" i="52"/>
  <c r="O182" i="52"/>
  <c r="L182" i="52"/>
  <c r="I182" i="52"/>
  <c r="F182" i="52"/>
  <c r="O181" i="52"/>
  <c r="L181" i="52"/>
  <c r="I181" i="52"/>
  <c r="F181" i="52"/>
  <c r="O180" i="52"/>
  <c r="L180" i="52"/>
  <c r="I180" i="52"/>
  <c r="I179" i="52" s="1"/>
  <c r="F180" i="52"/>
  <c r="N179" i="52"/>
  <c r="M179" i="52"/>
  <c r="K179" i="52"/>
  <c r="J179" i="52"/>
  <c r="H179" i="52"/>
  <c r="G179" i="52"/>
  <c r="G174" i="52" s="1"/>
  <c r="G173" i="52" s="1"/>
  <c r="F179" i="52"/>
  <c r="E179" i="52"/>
  <c r="D179" i="52"/>
  <c r="O178" i="52"/>
  <c r="L178" i="52"/>
  <c r="I178" i="52"/>
  <c r="F178" i="52"/>
  <c r="O177" i="52"/>
  <c r="L177" i="52"/>
  <c r="I177" i="52"/>
  <c r="F177" i="52"/>
  <c r="O176" i="52"/>
  <c r="L176" i="52"/>
  <c r="L175" i="52" s="1"/>
  <c r="I176" i="52"/>
  <c r="I175" i="52" s="1"/>
  <c r="I174" i="52" s="1"/>
  <c r="F176" i="52"/>
  <c r="N175" i="52"/>
  <c r="N174" i="52" s="1"/>
  <c r="M175" i="52"/>
  <c r="K175" i="52"/>
  <c r="K174" i="52" s="1"/>
  <c r="J175" i="52"/>
  <c r="J174" i="52" s="1"/>
  <c r="H175" i="52"/>
  <c r="H174" i="52" s="1"/>
  <c r="H173" i="52" s="1"/>
  <c r="G175" i="52"/>
  <c r="F175" i="52"/>
  <c r="F174" i="52" s="1"/>
  <c r="E175" i="52"/>
  <c r="E174" i="52" s="1"/>
  <c r="D175" i="52"/>
  <c r="D174" i="52" s="1"/>
  <c r="D173" i="52" s="1"/>
  <c r="E173" i="52"/>
  <c r="O172" i="52"/>
  <c r="L172" i="52"/>
  <c r="I172" i="52"/>
  <c r="F172" i="52"/>
  <c r="O171" i="52"/>
  <c r="L171" i="52"/>
  <c r="I171" i="52"/>
  <c r="F171" i="52"/>
  <c r="O170" i="52"/>
  <c r="L170" i="52"/>
  <c r="I170" i="52"/>
  <c r="F170" i="52"/>
  <c r="O169" i="52"/>
  <c r="L169" i="52"/>
  <c r="I169" i="52"/>
  <c r="F169" i="52"/>
  <c r="O168" i="52"/>
  <c r="L168" i="52"/>
  <c r="I168" i="52"/>
  <c r="F168" i="52"/>
  <c r="O167" i="52"/>
  <c r="L167" i="52"/>
  <c r="I167" i="52"/>
  <c r="I166" i="52" s="1"/>
  <c r="F167" i="52"/>
  <c r="O166" i="52"/>
  <c r="O165" i="52" s="1"/>
  <c r="N166" i="52"/>
  <c r="N165" i="52" s="1"/>
  <c r="M166" i="52"/>
  <c r="K166" i="52"/>
  <c r="K165" i="52" s="1"/>
  <c r="J166" i="52"/>
  <c r="J165" i="52" s="1"/>
  <c r="H166" i="52"/>
  <c r="H165" i="52" s="1"/>
  <c r="G166" i="52"/>
  <c r="G165" i="52" s="1"/>
  <c r="E166" i="52"/>
  <c r="D166" i="52"/>
  <c r="M165" i="52"/>
  <c r="I165" i="52"/>
  <c r="E165" i="52"/>
  <c r="D165" i="52"/>
  <c r="O164" i="52"/>
  <c r="L164" i="52"/>
  <c r="I164" i="52"/>
  <c r="F164" i="52"/>
  <c r="O163" i="52"/>
  <c r="L163" i="52"/>
  <c r="I163" i="52"/>
  <c r="F163" i="52"/>
  <c r="O162" i="52"/>
  <c r="L162" i="52"/>
  <c r="I162" i="52"/>
  <c r="F162" i="52"/>
  <c r="O161" i="52"/>
  <c r="O160" i="52" s="1"/>
  <c r="L161" i="52"/>
  <c r="I161" i="52"/>
  <c r="F161" i="52"/>
  <c r="F160" i="52" s="1"/>
  <c r="N160" i="52"/>
  <c r="M160" i="52"/>
  <c r="L160" i="52"/>
  <c r="K160" i="52"/>
  <c r="J160" i="52"/>
  <c r="I160" i="52"/>
  <c r="H160" i="52"/>
  <c r="G160" i="52"/>
  <c r="E160" i="52"/>
  <c r="D160" i="52"/>
  <c r="O159" i="52"/>
  <c r="L159" i="52"/>
  <c r="I159" i="52"/>
  <c r="F159" i="52"/>
  <c r="O158" i="52"/>
  <c r="L158" i="52"/>
  <c r="I158" i="52"/>
  <c r="F158" i="52"/>
  <c r="O157" i="52"/>
  <c r="L157" i="52"/>
  <c r="I157" i="52"/>
  <c r="F157" i="52"/>
  <c r="O156" i="52"/>
  <c r="L156" i="52"/>
  <c r="I156" i="52"/>
  <c r="F156" i="52"/>
  <c r="O155" i="52"/>
  <c r="L155" i="52"/>
  <c r="I155" i="52"/>
  <c r="F155" i="52"/>
  <c r="O154" i="52"/>
  <c r="L154" i="52"/>
  <c r="I154" i="52"/>
  <c r="F154" i="52"/>
  <c r="O153" i="52"/>
  <c r="L153" i="52"/>
  <c r="I153" i="52"/>
  <c r="F153" i="52"/>
  <c r="O152" i="52"/>
  <c r="L152" i="52"/>
  <c r="L151" i="52" s="1"/>
  <c r="I152" i="52"/>
  <c r="I151" i="52" s="1"/>
  <c r="F152" i="52"/>
  <c r="N151" i="52"/>
  <c r="M151" i="52"/>
  <c r="K151" i="52"/>
  <c r="J151" i="52"/>
  <c r="H151" i="52"/>
  <c r="G151" i="52"/>
  <c r="E151" i="52"/>
  <c r="D151" i="52"/>
  <c r="O150" i="52"/>
  <c r="L150" i="52"/>
  <c r="I150" i="52"/>
  <c r="F150" i="52"/>
  <c r="O149" i="52"/>
  <c r="L149" i="52"/>
  <c r="I149" i="52"/>
  <c r="F149" i="52"/>
  <c r="O148" i="52"/>
  <c r="L148" i="52"/>
  <c r="I148" i="52"/>
  <c r="F148" i="52"/>
  <c r="O147" i="52"/>
  <c r="L147" i="52"/>
  <c r="I147" i="52"/>
  <c r="F147" i="52"/>
  <c r="O146" i="52"/>
  <c r="L146" i="52"/>
  <c r="I146" i="52"/>
  <c r="F146" i="52"/>
  <c r="C146" i="52" s="1"/>
  <c r="O145" i="52"/>
  <c r="L145" i="52"/>
  <c r="I145" i="52"/>
  <c r="I144" i="52" s="1"/>
  <c r="F145" i="52"/>
  <c r="N144" i="52"/>
  <c r="M144" i="52"/>
  <c r="K144" i="52"/>
  <c r="J144" i="52"/>
  <c r="H144" i="52"/>
  <c r="G144" i="52"/>
  <c r="E144" i="52"/>
  <c r="D144" i="52"/>
  <c r="O143" i="52"/>
  <c r="L143" i="52"/>
  <c r="I143" i="52"/>
  <c r="F143" i="52"/>
  <c r="O142" i="52"/>
  <c r="O141" i="52" s="1"/>
  <c r="L142" i="52"/>
  <c r="I142" i="52"/>
  <c r="F142" i="52"/>
  <c r="F141" i="52" s="1"/>
  <c r="N141" i="52"/>
  <c r="M141" i="52"/>
  <c r="K141" i="52"/>
  <c r="J141" i="52"/>
  <c r="I141" i="52"/>
  <c r="H141" i="52"/>
  <c r="G141" i="52"/>
  <c r="E141" i="52"/>
  <c r="D141" i="52"/>
  <c r="O140" i="52"/>
  <c r="L140" i="52"/>
  <c r="I140" i="52"/>
  <c r="F140" i="52"/>
  <c r="O139" i="52"/>
  <c r="L139" i="52"/>
  <c r="I139" i="52"/>
  <c r="F139" i="52"/>
  <c r="O138" i="52"/>
  <c r="L138" i="52"/>
  <c r="I138" i="52"/>
  <c r="F138" i="52"/>
  <c r="C138" i="52" s="1"/>
  <c r="O137" i="52"/>
  <c r="L137" i="52"/>
  <c r="I137" i="52"/>
  <c r="F137" i="52"/>
  <c r="C137" i="52" s="1"/>
  <c r="N136" i="52"/>
  <c r="M136" i="52"/>
  <c r="K136" i="52"/>
  <c r="J136" i="52"/>
  <c r="I136" i="52"/>
  <c r="H136" i="52"/>
  <c r="G136" i="52"/>
  <c r="F136" i="52"/>
  <c r="E136" i="52"/>
  <c r="D136" i="52"/>
  <c r="O135" i="52"/>
  <c r="L135" i="52"/>
  <c r="I135" i="52"/>
  <c r="F135" i="52"/>
  <c r="O134" i="52"/>
  <c r="L134" i="52"/>
  <c r="I134" i="52"/>
  <c r="F134" i="52"/>
  <c r="O133" i="52"/>
  <c r="L133" i="52"/>
  <c r="I133" i="52"/>
  <c r="F133" i="52"/>
  <c r="O132" i="52"/>
  <c r="L132" i="52"/>
  <c r="I132" i="52"/>
  <c r="F132" i="52"/>
  <c r="O131" i="52"/>
  <c r="N131" i="52"/>
  <c r="M131" i="52"/>
  <c r="K131" i="52"/>
  <c r="K130" i="52" s="1"/>
  <c r="J131" i="52"/>
  <c r="J130" i="52" s="1"/>
  <c r="H131" i="52"/>
  <c r="H130" i="52" s="1"/>
  <c r="G131" i="52"/>
  <c r="F131" i="52"/>
  <c r="E131" i="52"/>
  <c r="D131" i="52"/>
  <c r="D130" i="52" s="1"/>
  <c r="O129" i="52"/>
  <c r="L129" i="52"/>
  <c r="I129" i="52"/>
  <c r="F129" i="52"/>
  <c r="F128" i="52" s="1"/>
  <c r="O128" i="52"/>
  <c r="N128" i="52"/>
  <c r="M128" i="52"/>
  <c r="L128" i="52"/>
  <c r="K128" i="52"/>
  <c r="J128" i="52"/>
  <c r="I128" i="52"/>
  <c r="H128" i="52"/>
  <c r="G128" i="52"/>
  <c r="E128" i="52"/>
  <c r="D128" i="52"/>
  <c r="O127" i="52"/>
  <c r="L127" i="52"/>
  <c r="I127" i="52"/>
  <c r="F127" i="52"/>
  <c r="O126" i="52"/>
  <c r="L126" i="52"/>
  <c r="I126" i="52"/>
  <c r="F126" i="52"/>
  <c r="O125" i="52"/>
  <c r="L125" i="52"/>
  <c r="I125" i="52"/>
  <c r="F125" i="52"/>
  <c r="O124" i="52"/>
  <c r="L124" i="52"/>
  <c r="I124" i="52"/>
  <c r="F124" i="52"/>
  <c r="O123" i="52"/>
  <c r="L123" i="52"/>
  <c r="I123" i="52"/>
  <c r="F123" i="52"/>
  <c r="N122" i="52"/>
  <c r="M122" i="52"/>
  <c r="L122" i="52"/>
  <c r="K122" i="52"/>
  <c r="J122" i="52"/>
  <c r="H122" i="52"/>
  <c r="G122" i="52"/>
  <c r="E122" i="52"/>
  <c r="D122" i="52"/>
  <c r="O121" i="52"/>
  <c r="L121" i="52"/>
  <c r="I121" i="52"/>
  <c r="F121" i="52"/>
  <c r="O120" i="52"/>
  <c r="L120" i="52"/>
  <c r="I120" i="52"/>
  <c r="F120" i="52"/>
  <c r="O119" i="52"/>
  <c r="L119" i="52"/>
  <c r="I119" i="52"/>
  <c r="F119" i="52"/>
  <c r="O118" i="52"/>
  <c r="L118" i="52"/>
  <c r="I118" i="52"/>
  <c r="F118" i="52"/>
  <c r="O117" i="52"/>
  <c r="L117" i="52"/>
  <c r="I117" i="52"/>
  <c r="I116" i="52" s="1"/>
  <c r="F117" i="52"/>
  <c r="N116" i="52"/>
  <c r="M116" i="52"/>
  <c r="K116" i="52"/>
  <c r="J116" i="52"/>
  <c r="H116" i="52"/>
  <c r="G116" i="52"/>
  <c r="E116" i="52"/>
  <c r="D116" i="52"/>
  <c r="O115" i="52"/>
  <c r="L115" i="52"/>
  <c r="I115" i="52"/>
  <c r="F115" i="52"/>
  <c r="O114" i="52"/>
  <c r="L114" i="52"/>
  <c r="I114" i="52"/>
  <c r="F114" i="52"/>
  <c r="O113" i="52"/>
  <c r="L113" i="52"/>
  <c r="I113" i="52"/>
  <c r="F113" i="52"/>
  <c r="N112" i="52"/>
  <c r="M112" i="52"/>
  <c r="K112" i="52"/>
  <c r="J112" i="52"/>
  <c r="H112" i="52"/>
  <c r="G112" i="52"/>
  <c r="E112" i="52"/>
  <c r="D112" i="52"/>
  <c r="O111" i="52"/>
  <c r="L111" i="52"/>
  <c r="I111" i="52"/>
  <c r="F111" i="52"/>
  <c r="O110" i="52"/>
  <c r="L110" i="52"/>
  <c r="I110" i="52"/>
  <c r="F110" i="52"/>
  <c r="O109" i="52"/>
  <c r="L109" i="52"/>
  <c r="I109" i="52"/>
  <c r="F109" i="52"/>
  <c r="O108" i="52"/>
  <c r="L108" i="52"/>
  <c r="I108" i="52"/>
  <c r="F108" i="52"/>
  <c r="O107" i="52"/>
  <c r="L107" i="52"/>
  <c r="I107" i="52"/>
  <c r="F107" i="52"/>
  <c r="O106" i="52"/>
  <c r="L106" i="52"/>
  <c r="I106" i="52"/>
  <c r="F106" i="52"/>
  <c r="O105" i="52"/>
  <c r="L105" i="52"/>
  <c r="I105" i="52"/>
  <c r="F105" i="52"/>
  <c r="O104" i="52"/>
  <c r="L104" i="52"/>
  <c r="I104" i="52"/>
  <c r="F104" i="52"/>
  <c r="O103" i="52"/>
  <c r="N103" i="52"/>
  <c r="M103" i="52"/>
  <c r="K103" i="52"/>
  <c r="J103" i="52"/>
  <c r="H103" i="52"/>
  <c r="G103" i="52"/>
  <c r="E103" i="52"/>
  <c r="D103" i="52"/>
  <c r="O102" i="52"/>
  <c r="L102" i="52"/>
  <c r="I102" i="52"/>
  <c r="F102" i="52"/>
  <c r="C102" i="52" s="1"/>
  <c r="O101" i="52"/>
  <c r="L101" i="52"/>
  <c r="I101" i="52"/>
  <c r="F101" i="52"/>
  <c r="O100" i="52"/>
  <c r="L100" i="52"/>
  <c r="I100" i="52"/>
  <c r="F100" i="52"/>
  <c r="O99" i="52"/>
  <c r="L99" i="52"/>
  <c r="I99" i="52"/>
  <c r="F99" i="52"/>
  <c r="O98" i="52"/>
  <c r="L98" i="52"/>
  <c r="I98" i="52"/>
  <c r="F98" i="52"/>
  <c r="O97" i="52"/>
  <c r="L97" i="52"/>
  <c r="I97" i="52"/>
  <c r="F97" i="52"/>
  <c r="O96" i="52"/>
  <c r="L96" i="52"/>
  <c r="L95" i="52" s="1"/>
  <c r="I96" i="52"/>
  <c r="F96" i="52"/>
  <c r="N95" i="52"/>
  <c r="M95" i="52"/>
  <c r="K95" i="52"/>
  <c r="J95" i="52"/>
  <c r="H95" i="52"/>
  <c r="G95" i="52"/>
  <c r="E95" i="52"/>
  <c r="D95" i="52"/>
  <c r="O94" i="52"/>
  <c r="L94" i="52"/>
  <c r="I94" i="52"/>
  <c r="F94" i="52"/>
  <c r="O93" i="52"/>
  <c r="L93" i="52"/>
  <c r="I93" i="52"/>
  <c r="F93" i="52"/>
  <c r="O92" i="52"/>
  <c r="L92" i="52"/>
  <c r="I92" i="52"/>
  <c r="F92" i="52"/>
  <c r="O91" i="52"/>
  <c r="L91" i="52"/>
  <c r="I91" i="52"/>
  <c r="F91" i="52"/>
  <c r="O90" i="52"/>
  <c r="O89" i="52" s="1"/>
  <c r="L90" i="52"/>
  <c r="I90" i="52"/>
  <c r="F90" i="52"/>
  <c r="N89" i="52"/>
  <c r="M89" i="52"/>
  <c r="K89" i="52"/>
  <c r="J89" i="52"/>
  <c r="H89" i="52"/>
  <c r="G89" i="52"/>
  <c r="E89" i="52"/>
  <c r="D89" i="52"/>
  <c r="O88" i="52"/>
  <c r="L88" i="52"/>
  <c r="I88" i="52"/>
  <c r="F88" i="52"/>
  <c r="O87" i="52"/>
  <c r="L87" i="52"/>
  <c r="I87" i="52"/>
  <c r="F87" i="52"/>
  <c r="O86" i="52"/>
  <c r="L86" i="52"/>
  <c r="I86" i="52"/>
  <c r="F86" i="52"/>
  <c r="O85" i="52"/>
  <c r="L85" i="52"/>
  <c r="I85" i="52"/>
  <c r="F85" i="52"/>
  <c r="N84" i="52"/>
  <c r="M84" i="52"/>
  <c r="K84" i="52"/>
  <c r="J84" i="52"/>
  <c r="J83" i="52" s="1"/>
  <c r="I84" i="52"/>
  <c r="H84" i="52"/>
  <c r="G84" i="52"/>
  <c r="F84" i="52"/>
  <c r="E84" i="52"/>
  <c r="E83" i="52" s="1"/>
  <c r="D84" i="52"/>
  <c r="D83" i="52" s="1"/>
  <c r="O82" i="52"/>
  <c r="L82" i="52"/>
  <c r="I82" i="52"/>
  <c r="F82" i="52"/>
  <c r="O81" i="52"/>
  <c r="L81" i="52"/>
  <c r="I81" i="52"/>
  <c r="F81" i="52"/>
  <c r="F80" i="52" s="1"/>
  <c r="O80" i="52"/>
  <c r="N80" i="52"/>
  <c r="M80" i="52"/>
  <c r="K80" i="52"/>
  <c r="J80" i="52"/>
  <c r="H80" i="52"/>
  <c r="G80" i="52"/>
  <c r="E80" i="52"/>
  <c r="D80" i="52"/>
  <c r="O79" i="52"/>
  <c r="L79" i="52"/>
  <c r="I79" i="52"/>
  <c r="F79" i="52"/>
  <c r="O78" i="52"/>
  <c r="L78" i="52"/>
  <c r="L77" i="52" s="1"/>
  <c r="I78" i="52"/>
  <c r="I77" i="52" s="1"/>
  <c r="F78" i="52"/>
  <c r="O77" i="52"/>
  <c r="O76" i="52" s="1"/>
  <c r="N77" i="52"/>
  <c r="M77" i="52"/>
  <c r="M76" i="52" s="1"/>
  <c r="K77" i="52"/>
  <c r="K76" i="52" s="1"/>
  <c r="J77" i="52"/>
  <c r="H77" i="52"/>
  <c r="G77" i="52"/>
  <c r="G76" i="52" s="1"/>
  <c r="F77" i="52"/>
  <c r="E77" i="52"/>
  <c r="D77" i="52"/>
  <c r="H76" i="52"/>
  <c r="E76" i="52"/>
  <c r="O74" i="52"/>
  <c r="L74" i="52"/>
  <c r="I74" i="52"/>
  <c r="F74" i="52"/>
  <c r="O73" i="52"/>
  <c r="L73" i="52"/>
  <c r="I73" i="52"/>
  <c r="F73" i="52"/>
  <c r="O72" i="52"/>
  <c r="L72" i="52"/>
  <c r="I72" i="52"/>
  <c r="F72" i="52"/>
  <c r="O71" i="52"/>
  <c r="L71" i="52"/>
  <c r="I71" i="52"/>
  <c r="F71" i="52"/>
  <c r="O70" i="52"/>
  <c r="L70" i="52"/>
  <c r="L69" i="52" s="1"/>
  <c r="I70" i="52"/>
  <c r="I69" i="52" s="1"/>
  <c r="F70" i="52"/>
  <c r="F69" i="52" s="1"/>
  <c r="N69" i="52"/>
  <c r="N67" i="52" s="1"/>
  <c r="M69" i="52"/>
  <c r="K69" i="52"/>
  <c r="K67" i="52" s="1"/>
  <c r="J69" i="52"/>
  <c r="J67" i="52" s="1"/>
  <c r="H69" i="52"/>
  <c r="H67" i="52" s="1"/>
  <c r="G69" i="52"/>
  <c r="G67" i="52" s="1"/>
  <c r="E69" i="52"/>
  <c r="D69" i="52"/>
  <c r="D67" i="52" s="1"/>
  <c r="O68" i="52"/>
  <c r="L68" i="52"/>
  <c r="I68" i="52"/>
  <c r="E68" i="52"/>
  <c r="F68" i="52" s="1"/>
  <c r="M67" i="52"/>
  <c r="O66" i="52"/>
  <c r="L66" i="52"/>
  <c r="I66" i="52"/>
  <c r="F66" i="52"/>
  <c r="O65" i="52"/>
  <c r="L65" i="52"/>
  <c r="I65" i="52"/>
  <c r="F65" i="52"/>
  <c r="O64" i="52"/>
  <c r="L64" i="52"/>
  <c r="I64" i="52"/>
  <c r="F64" i="52"/>
  <c r="O63" i="52"/>
  <c r="L63" i="52"/>
  <c r="I63" i="52"/>
  <c r="F63" i="52"/>
  <c r="O62" i="52"/>
  <c r="L62" i="52"/>
  <c r="I62" i="52"/>
  <c r="F62" i="52"/>
  <c r="O61" i="52"/>
  <c r="L61" i="52"/>
  <c r="I61" i="52"/>
  <c r="F61" i="52"/>
  <c r="O60" i="52"/>
  <c r="L60" i="52"/>
  <c r="I60" i="52"/>
  <c r="F60" i="52"/>
  <c r="O59" i="52"/>
  <c r="L59" i="52"/>
  <c r="I59" i="52"/>
  <c r="I58" i="52" s="1"/>
  <c r="F59" i="52"/>
  <c r="F58" i="52" s="1"/>
  <c r="N58" i="52"/>
  <c r="M58" i="52"/>
  <c r="K58" i="52"/>
  <c r="J58" i="52"/>
  <c r="H58" i="52"/>
  <c r="G58" i="52"/>
  <c r="E58" i="52"/>
  <c r="D58" i="52"/>
  <c r="O57" i="52"/>
  <c r="L57" i="52"/>
  <c r="I57" i="52"/>
  <c r="F57" i="52"/>
  <c r="O56" i="52"/>
  <c r="L56" i="52"/>
  <c r="L55" i="52" s="1"/>
  <c r="I56" i="52"/>
  <c r="I55" i="52" s="1"/>
  <c r="I54" i="52" s="1"/>
  <c r="F56" i="52"/>
  <c r="N55" i="52"/>
  <c r="M55" i="52"/>
  <c r="M54" i="52" s="1"/>
  <c r="M53" i="52" s="1"/>
  <c r="K55" i="52"/>
  <c r="J55" i="52"/>
  <c r="H55" i="52"/>
  <c r="H54" i="52" s="1"/>
  <c r="G55" i="52"/>
  <c r="E55" i="52"/>
  <c r="D55" i="52"/>
  <c r="N54" i="52"/>
  <c r="K54" i="52"/>
  <c r="G54" i="52"/>
  <c r="D54" i="52"/>
  <c r="O47" i="52"/>
  <c r="C47" i="52" s="1"/>
  <c r="O46" i="52"/>
  <c r="C46" i="52" s="1"/>
  <c r="N45" i="52"/>
  <c r="M45" i="52"/>
  <c r="L44" i="52"/>
  <c r="I44" i="52"/>
  <c r="F44" i="52"/>
  <c r="K43" i="52"/>
  <c r="J43" i="52"/>
  <c r="I43" i="52"/>
  <c r="H43" i="52"/>
  <c r="G43" i="52"/>
  <c r="F43" i="52"/>
  <c r="E43" i="52"/>
  <c r="D43" i="52"/>
  <c r="F42" i="52"/>
  <c r="F41" i="52" s="1"/>
  <c r="C41" i="52" s="1"/>
  <c r="C42" i="52"/>
  <c r="E41" i="52"/>
  <c r="D41" i="52"/>
  <c r="L40" i="52"/>
  <c r="C40" i="52" s="1"/>
  <c r="L39" i="52"/>
  <c r="C39" i="52" s="1"/>
  <c r="L38" i="52"/>
  <c r="C38" i="52" s="1"/>
  <c r="L37" i="52"/>
  <c r="L36" i="52" s="1"/>
  <c r="C36" i="52" s="1"/>
  <c r="K36" i="52"/>
  <c r="J36" i="52"/>
  <c r="L35" i="52"/>
  <c r="C35" i="52" s="1"/>
  <c r="L34" i="52"/>
  <c r="C34" i="52" s="1"/>
  <c r="K33" i="52"/>
  <c r="J33" i="52"/>
  <c r="L32" i="52"/>
  <c r="C32" i="52" s="1"/>
  <c r="K31" i="52"/>
  <c r="J31" i="52"/>
  <c r="L30" i="52"/>
  <c r="C30" i="52" s="1"/>
  <c r="L29" i="52"/>
  <c r="C29" i="52" s="1"/>
  <c r="L28" i="52"/>
  <c r="C28" i="52" s="1"/>
  <c r="K27" i="52"/>
  <c r="J27" i="52"/>
  <c r="F25" i="52"/>
  <c r="C25" i="52" s="1"/>
  <c r="I24" i="52"/>
  <c r="F24" i="52"/>
  <c r="O23" i="52"/>
  <c r="L23" i="52"/>
  <c r="I23" i="52"/>
  <c r="F23" i="52"/>
  <c r="O22" i="52"/>
  <c r="L22" i="52"/>
  <c r="L21" i="52" s="1"/>
  <c r="I22" i="52"/>
  <c r="I21" i="52" s="1"/>
  <c r="F22" i="52"/>
  <c r="O21" i="52"/>
  <c r="O292" i="52" s="1"/>
  <c r="O291" i="52" s="1"/>
  <c r="N21" i="52"/>
  <c r="N292" i="52" s="1"/>
  <c r="N291" i="52" s="1"/>
  <c r="M21" i="52"/>
  <c r="M292" i="52" s="1"/>
  <c r="M291" i="52" s="1"/>
  <c r="K21" i="52"/>
  <c r="K292" i="52" s="1"/>
  <c r="K291" i="52" s="1"/>
  <c r="J21" i="52"/>
  <c r="J292" i="52" s="1"/>
  <c r="J291" i="52" s="1"/>
  <c r="H21" i="52"/>
  <c r="H292" i="52" s="1"/>
  <c r="H291" i="52" s="1"/>
  <c r="G21" i="52"/>
  <c r="F21" i="52"/>
  <c r="F292" i="52" s="1"/>
  <c r="E21" i="52"/>
  <c r="E292" i="52" s="1"/>
  <c r="E291" i="52" s="1"/>
  <c r="D21" i="52"/>
  <c r="D292" i="52" s="1"/>
  <c r="D291" i="52" s="1"/>
  <c r="M20" i="52"/>
  <c r="G20" i="52"/>
  <c r="O45" i="52" l="1"/>
  <c r="C45" i="52" s="1"/>
  <c r="C57" i="52"/>
  <c r="C60" i="52"/>
  <c r="C115" i="52"/>
  <c r="C124" i="52"/>
  <c r="C126" i="52"/>
  <c r="H187" i="52"/>
  <c r="D231" i="52"/>
  <c r="D230" i="52" s="1"/>
  <c r="C254" i="52"/>
  <c r="C255" i="52"/>
  <c r="C257" i="52"/>
  <c r="C262" i="52"/>
  <c r="C274" i="52"/>
  <c r="I276" i="52"/>
  <c r="C24" i="52"/>
  <c r="C154" i="52"/>
  <c r="C155" i="52"/>
  <c r="C158" i="52"/>
  <c r="C170" i="52"/>
  <c r="C172" i="52"/>
  <c r="F173" i="52"/>
  <c r="K173" i="52"/>
  <c r="C236" i="52"/>
  <c r="C86" i="52"/>
  <c r="M174" i="52"/>
  <c r="M173" i="52" s="1"/>
  <c r="E187" i="52"/>
  <c r="E195" i="52"/>
  <c r="K195" i="52"/>
  <c r="C201" i="52"/>
  <c r="C202" i="52"/>
  <c r="C206" i="52"/>
  <c r="C207" i="52"/>
  <c r="C234" i="52"/>
  <c r="G269" i="52"/>
  <c r="H230" i="52"/>
  <c r="N187" i="52"/>
  <c r="C65" i="52"/>
  <c r="C66" i="52"/>
  <c r="C91" i="52"/>
  <c r="C134" i="52"/>
  <c r="C162" i="52"/>
  <c r="C164" i="52"/>
  <c r="D187" i="52"/>
  <c r="O188" i="52"/>
  <c r="O187" i="52" s="1"/>
  <c r="F235" i="52"/>
  <c r="C85" i="52"/>
  <c r="O84" i="52"/>
  <c r="H83" i="52"/>
  <c r="H75" i="52" s="1"/>
  <c r="F188" i="52"/>
  <c r="C211" i="52"/>
  <c r="C212" i="52"/>
  <c r="C213" i="52"/>
  <c r="C218" i="52"/>
  <c r="C222" i="52"/>
  <c r="C226" i="52"/>
  <c r="O264" i="52"/>
  <c r="C271" i="52"/>
  <c r="C298" i="52"/>
  <c r="J54" i="52"/>
  <c r="J53" i="52" s="1"/>
  <c r="C111" i="52"/>
  <c r="C178" i="52"/>
  <c r="C182" i="52"/>
  <c r="C294" i="52"/>
  <c r="J26" i="52"/>
  <c r="C44" i="52"/>
  <c r="C71" i="52"/>
  <c r="D76" i="52"/>
  <c r="D75" i="52" s="1"/>
  <c r="N76" i="52"/>
  <c r="C90" i="52"/>
  <c r="C104" i="52"/>
  <c r="C105" i="52"/>
  <c r="C106" i="52"/>
  <c r="C119" i="52"/>
  <c r="C159" i="52"/>
  <c r="C186" i="52"/>
  <c r="C227" i="52"/>
  <c r="C37" i="52"/>
  <c r="E20" i="52"/>
  <c r="O58" i="52"/>
  <c r="D53" i="52"/>
  <c r="H53" i="52"/>
  <c r="H52" i="52" s="1"/>
  <c r="O69" i="52"/>
  <c r="F76" i="52"/>
  <c r="C79" i="52"/>
  <c r="N83" i="52"/>
  <c r="L84" i="52"/>
  <c r="C92" i="52"/>
  <c r="I95" i="52"/>
  <c r="C100" i="52"/>
  <c r="C107" i="52"/>
  <c r="C120" i="52"/>
  <c r="C121" i="52"/>
  <c r="O122" i="52"/>
  <c r="C127" i="52"/>
  <c r="E130" i="52"/>
  <c r="E75" i="52" s="1"/>
  <c r="L136" i="52"/>
  <c r="L144" i="52"/>
  <c r="G130" i="52"/>
  <c r="C167" i="52"/>
  <c r="C180" i="52"/>
  <c r="C181" i="52"/>
  <c r="O179" i="52"/>
  <c r="I184" i="52"/>
  <c r="C189" i="52"/>
  <c r="C190" i="52"/>
  <c r="H195" i="52"/>
  <c r="H194" i="52" s="1"/>
  <c r="J204" i="52"/>
  <c r="J195" i="52" s="1"/>
  <c r="N204" i="52"/>
  <c r="N195" i="52" s="1"/>
  <c r="G231" i="52"/>
  <c r="G230" i="52" s="1"/>
  <c r="G194" i="52" s="1"/>
  <c r="O260" i="52"/>
  <c r="O259" i="52" s="1"/>
  <c r="L264" i="52"/>
  <c r="C275" i="52"/>
  <c r="L276" i="52"/>
  <c r="C281" i="52"/>
  <c r="I293" i="52"/>
  <c r="C299" i="52"/>
  <c r="C300" i="52"/>
  <c r="C64" i="52"/>
  <c r="G83" i="52"/>
  <c r="K83" i="52"/>
  <c r="K75" i="52" s="1"/>
  <c r="L112" i="52"/>
  <c r="C135" i="52"/>
  <c r="O136" i="52"/>
  <c r="C145" i="52"/>
  <c r="O144" i="52"/>
  <c r="C171" i="52"/>
  <c r="L187" i="52"/>
  <c r="D195" i="52"/>
  <c r="C219" i="52"/>
  <c r="C221" i="52"/>
  <c r="I252" i="52"/>
  <c r="I251" i="52" s="1"/>
  <c r="L293" i="52"/>
  <c r="C23" i="52"/>
  <c r="K26" i="52"/>
  <c r="C63" i="52"/>
  <c r="E67" i="52"/>
  <c r="K53" i="52"/>
  <c r="I67" i="52"/>
  <c r="I53" i="52" s="1"/>
  <c r="C74" i="52"/>
  <c r="C82" i="52"/>
  <c r="O95" i="52"/>
  <c r="C110" i="52"/>
  <c r="C114" i="52"/>
  <c r="L116" i="52"/>
  <c r="I122" i="52"/>
  <c r="C133" i="52"/>
  <c r="C143" i="52"/>
  <c r="C150" i="52"/>
  <c r="O151" i="52"/>
  <c r="C163" i="52"/>
  <c r="C176" i="52"/>
  <c r="C177" i="52"/>
  <c r="O175" i="52"/>
  <c r="C203" i="52"/>
  <c r="C210" i="52"/>
  <c r="M204" i="52"/>
  <c r="C223" i="52"/>
  <c r="C224" i="52"/>
  <c r="C225" i="52"/>
  <c r="C228" i="52"/>
  <c r="C229" i="52"/>
  <c r="C237" i="52"/>
  <c r="O238" i="52"/>
  <c r="L252" i="52"/>
  <c r="L251" i="52" s="1"/>
  <c r="C268" i="52"/>
  <c r="C287" i="52"/>
  <c r="O20" i="52"/>
  <c r="D20" i="52"/>
  <c r="H20" i="52"/>
  <c r="E54" i="52"/>
  <c r="C56" i="52"/>
  <c r="O55" i="52"/>
  <c r="O54" i="52" s="1"/>
  <c r="L58" i="52"/>
  <c r="L54" i="52" s="1"/>
  <c r="C62" i="52"/>
  <c r="G53" i="52"/>
  <c r="L67" i="52"/>
  <c r="C73" i="52"/>
  <c r="J76" i="52"/>
  <c r="J75" i="52" s="1"/>
  <c r="C81" i="52"/>
  <c r="C94" i="52"/>
  <c r="C98" i="52"/>
  <c r="C101" i="52"/>
  <c r="C108" i="52"/>
  <c r="I112" i="52"/>
  <c r="C118" i="52"/>
  <c r="C142" i="52"/>
  <c r="C156" i="52"/>
  <c r="C157" i="52"/>
  <c r="C161" i="52"/>
  <c r="C183" i="52"/>
  <c r="C185" i="52"/>
  <c r="K231" i="52"/>
  <c r="K230" i="52" s="1"/>
  <c r="K194" i="52" s="1"/>
  <c r="I238" i="52"/>
  <c r="C243" i="52"/>
  <c r="C244" i="52"/>
  <c r="C245" i="52"/>
  <c r="O252" i="52"/>
  <c r="L260" i="52"/>
  <c r="L259" i="52" s="1"/>
  <c r="C267" i="52"/>
  <c r="I264" i="52"/>
  <c r="I259" i="52" s="1"/>
  <c r="O272" i="52"/>
  <c r="O270" i="52" s="1"/>
  <c r="O269" i="52" s="1"/>
  <c r="C280" i="52"/>
  <c r="I286" i="52"/>
  <c r="I292" i="52" s="1"/>
  <c r="L292" i="52"/>
  <c r="L291" i="52" s="1"/>
  <c r="H289" i="52"/>
  <c r="N53" i="52"/>
  <c r="G75" i="52"/>
  <c r="O130" i="52"/>
  <c r="K20" i="52"/>
  <c r="C69" i="52"/>
  <c r="O174" i="52"/>
  <c r="O173" i="52" s="1"/>
  <c r="D289" i="52"/>
  <c r="C68" i="52"/>
  <c r="F67" i="52"/>
  <c r="I20" i="52"/>
  <c r="O67" i="52"/>
  <c r="I173" i="52"/>
  <c r="L27" i="52"/>
  <c r="L43" i="52"/>
  <c r="C43" i="52" s="1"/>
  <c r="C61" i="52"/>
  <c r="C72" i="52"/>
  <c r="C99" i="52"/>
  <c r="C123" i="52"/>
  <c r="C220" i="52"/>
  <c r="I216" i="52"/>
  <c r="G289" i="52"/>
  <c r="C21" i="52"/>
  <c r="G292" i="52"/>
  <c r="G291" i="52" s="1"/>
  <c r="F55" i="52"/>
  <c r="L80" i="52"/>
  <c r="L76" i="52" s="1"/>
  <c r="C84" i="52"/>
  <c r="F103" i="52"/>
  <c r="C125" i="52"/>
  <c r="F122" i="52"/>
  <c r="C122" i="52" s="1"/>
  <c r="C128" i="52"/>
  <c r="C136" i="52"/>
  <c r="F144" i="52"/>
  <c r="C144" i="52" s="1"/>
  <c r="C160" i="52"/>
  <c r="L166" i="52"/>
  <c r="L165" i="52" s="1"/>
  <c r="C175" i="52"/>
  <c r="C193" i="52"/>
  <c r="F192" i="52"/>
  <c r="C208" i="52"/>
  <c r="I205" i="52"/>
  <c r="C235" i="52"/>
  <c r="I270" i="52"/>
  <c r="I269" i="52" s="1"/>
  <c r="C277" i="52"/>
  <c r="F276" i="52"/>
  <c r="C276" i="52" s="1"/>
  <c r="L33" i="52"/>
  <c r="C33" i="52" s="1"/>
  <c r="C184" i="52"/>
  <c r="C209" i="52"/>
  <c r="F205" i="52"/>
  <c r="C301" i="52"/>
  <c r="C22" i="52"/>
  <c r="L31" i="52"/>
  <c r="C31" i="52" s="1"/>
  <c r="C59" i="52"/>
  <c r="C70" i="52"/>
  <c r="C78" i="52"/>
  <c r="I80" i="52"/>
  <c r="I76" i="52" s="1"/>
  <c r="C87" i="52"/>
  <c r="L89" i="52"/>
  <c r="F89" i="52"/>
  <c r="I103" i="52"/>
  <c r="I131" i="52"/>
  <c r="I130" i="52" s="1"/>
  <c r="C132" i="52"/>
  <c r="C139" i="52"/>
  <c r="L141" i="52"/>
  <c r="C141" i="52" s="1"/>
  <c r="C147" i="52"/>
  <c r="C168" i="52"/>
  <c r="C169" i="52"/>
  <c r="F166" i="52"/>
  <c r="N173" i="52"/>
  <c r="L179" i="52"/>
  <c r="L174" i="52" s="1"/>
  <c r="M195" i="52"/>
  <c r="C200" i="52"/>
  <c r="I198" i="52"/>
  <c r="I196" i="52" s="1"/>
  <c r="N230" i="52"/>
  <c r="O231" i="52"/>
  <c r="C282" i="52"/>
  <c r="C285" i="52"/>
  <c r="F284" i="52"/>
  <c r="C77" i="52"/>
  <c r="F20" i="52"/>
  <c r="J20" i="52"/>
  <c r="N20" i="52"/>
  <c r="M83" i="52"/>
  <c r="C88" i="52"/>
  <c r="I89" i="52"/>
  <c r="I83" i="52" s="1"/>
  <c r="C93" i="52"/>
  <c r="F95" i="52"/>
  <c r="C95" i="52" s="1"/>
  <c r="C96" i="52"/>
  <c r="C97" i="52"/>
  <c r="L103" i="52"/>
  <c r="C109" i="52"/>
  <c r="F112" i="52"/>
  <c r="C113" i="52"/>
  <c r="O112" i="52"/>
  <c r="F116" i="52"/>
  <c r="C117" i="52"/>
  <c r="O116" i="52"/>
  <c r="C129" i="52"/>
  <c r="N130" i="52"/>
  <c r="N75" i="52" s="1"/>
  <c r="L131" i="52"/>
  <c r="M130" i="52"/>
  <c r="C140" i="52"/>
  <c r="C148" i="52"/>
  <c r="C149" i="52"/>
  <c r="F151" i="52"/>
  <c r="C151" i="52" s="1"/>
  <c r="C152" i="52"/>
  <c r="C153" i="52"/>
  <c r="J173" i="52"/>
  <c r="C188" i="52"/>
  <c r="C256" i="52"/>
  <c r="C261" i="52"/>
  <c r="F260" i="52"/>
  <c r="C288" i="52"/>
  <c r="N194" i="52"/>
  <c r="C197" i="52"/>
  <c r="F196" i="52"/>
  <c r="D194" i="52"/>
  <c r="C215" i="52"/>
  <c r="L216" i="52"/>
  <c r="L204" i="52" s="1"/>
  <c r="L195" i="52" s="1"/>
  <c r="C232" i="52"/>
  <c r="C233" i="52"/>
  <c r="L231" i="52"/>
  <c r="L230" i="52" s="1"/>
  <c r="C247" i="52"/>
  <c r="C249" i="52"/>
  <c r="F246" i="52"/>
  <c r="C263" i="52"/>
  <c r="E270" i="52"/>
  <c r="E269" i="52" s="1"/>
  <c r="C279" i="52"/>
  <c r="O196" i="52"/>
  <c r="O205" i="52"/>
  <c r="C217" i="52"/>
  <c r="F216" i="52"/>
  <c r="O216" i="52"/>
  <c r="J230" i="52"/>
  <c r="C239" i="52"/>
  <c r="C240" i="52"/>
  <c r="C241" i="52"/>
  <c r="F238" i="52"/>
  <c r="C238" i="52" s="1"/>
  <c r="C248" i="52"/>
  <c r="I246" i="52"/>
  <c r="I231" i="52" s="1"/>
  <c r="E230" i="52"/>
  <c r="C253" i="52"/>
  <c r="F252" i="52"/>
  <c r="O251" i="52"/>
  <c r="M259" i="52"/>
  <c r="M230" i="52" s="1"/>
  <c r="C265" i="52"/>
  <c r="F264" i="52"/>
  <c r="C264" i="52" s="1"/>
  <c r="L270" i="52"/>
  <c r="L269" i="52" s="1"/>
  <c r="C273" i="52"/>
  <c r="F272" i="52"/>
  <c r="C295" i="52"/>
  <c r="C296" i="52"/>
  <c r="C297" i="52"/>
  <c r="F293" i="52"/>
  <c r="C293" i="52" s="1"/>
  <c r="C199" i="52"/>
  <c r="G52" i="52" l="1"/>
  <c r="G51" i="52" s="1"/>
  <c r="E194" i="52"/>
  <c r="L53" i="52"/>
  <c r="J194" i="52"/>
  <c r="K289" i="52"/>
  <c r="D51" i="52"/>
  <c r="D50" i="52" s="1"/>
  <c r="D52" i="52"/>
  <c r="L130" i="52"/>
  <c r="C112" i="52"/>
  <c r="I204" i="52"/>
  <c r="I195" i="52" s="1"/>
  <c r="C58" i="52"/>
  <c r="N289" i="52"/>
  <c r="I291" i="52"/>
  <c r="C292" i="52"/>
  <c r="C216" i="52"/>
  <c r="C246" i="52"/>
  <c r="O83" i="52"/>
  <c r="O75" i="52" s="1"/>
  <c r="C89" i="52"/>
  <c r="E53" i="52"/>
  <c r="E52" i="52" s="1"/>
  <c r="I230" i="52"/>
  <c r="K52" i="52"/>
  <c r="K51" i="52" s="1"/>
  <c r="C198" i="52"/>
  <c r="C80" i="52"/>
  <c r="C286" i="52"/>
  <c r="J289" i="52"/>
  <c r="C116" i="52"/>
  <c r="M75" i="52"/>
  <c r="M52" i="52" s="1"/>
  <c r="O230" i="52"/>
  <c r="H51" i="52"/>
  <c r="L194" i="52"/>
  <c r="D290" i="52"/>
  <c r="L173" i="52"/>
  <c r="C173" i="52" s="1"/>
  <c r="C174" i="52"/>
  <c r="I75" i="52"/>
  <c r="I52" i="52" s="1"/>
  <c r="C76" i="52"/>
  <c r="F130" i="52"/>
  <c r="C130" i="52" s="1"/>
  <c r="C103" i="52"/>
  <c r="C27" i="52"/>
  <c r="L26" i="52"/>
  <c r="C179" i="52"/>
  <c r="C252" i="52"/>
  <c r="F251" i="52"/>
  <c r="C251" i="52" s="1"/>
  <c r="C284" i="52"/>
  <c r="F283" i="52"/>
  <c r="C283" i="52" s="1"/>
  <c r="G50" i="52"/>
  <c r="G290" i="52"/>
  <c r="F270" i="52"/>
  <c r="C272" i="52"/>
  <c r="O204" i="52"/>
  <c r="O195" i="52" s="1"/>
  <c r="O194" i="52" s="1"/>
  <c r="M194" i="52"/>
  <c r="M51" i="52" s="1"/>
  <c r="F165" i="52"/>
  <c r="C165" i="52" s="1"/>
  <c r="C166" i="52"/>
  <c r="L83" i="52"/>
  <c r="L75" i="52" s="1"/>
  <c r="L52" i="52" s="1"/>
  <c r="L51" i="52" s="1"/>
  <c r="L50" i="52" s="1"/>
  <c r="C192" i="52"/>
  <c r="F191" i="52"/>
  <c r="O53" i="52"/>
  <c r="O52" i="52" s="1"/>
  <c r="N52" i="52"/>
  <c r="N51" i="52" s="1"/>
  <c r="F83" i="52"/>
  <c r="C55" i="52"/>
  <c r="F54" i="52"/>
  <c r="J52" i="52"/>
  <c r="J51" i="52" s="1"/>
  <c r="C196" i="52"/>
  <c r="F231" i="52"/>
  <c r="C260" i="52"/>
  <c r="F259" i="52"/>
  <c r="C259" i="52" s="1"/>
  <c r="C131" i="52"/>
  <c r="F291" i="52"/>
  <c r="C291" i="52" s="1"/>
  <c r="C205" i="52"/>
  <c r="F204" i="52"/>
  <c r="E51" i="52"/>
  <c r="C67" i="52"/>
  <c r="I194" i="52" l="1"/>
  <c r="I51" i="52" s="1"/>
  <c r="E289" i="52"/>
  <c r="C204" i="52"/>
  <c r="H50" i="52"/>
  <c r="H290" i="52"/>
  <c r="M289" i="52"/>
  <c r="K50" i="52"/>
  <c r="K290" i="52"/>
  <c r="I289" i="52"/>
  <c r="M50" i="52"/>
  <c r="M290" i="52"/>
  <c r="E290" i="52"/>
  <c r="E50" i="52"/>
  <c r="C83" i="52"/>
  <c r="F75" i="52"/>
  <c r="C75" i="52" s="1"/>
  <c r="L290" i="52"/>
  <c r="C26" i="52"/>
  <c r="L20" i="52"/>
  <c r="C20" i="52" s="1"/>
  <c r="O289" i="52"/>
  <c r="F230" i="52"/>
  <c r="C230" i="52" s="1"/>
  <c r="C231" i="52"/>
  <c r="J50" i="52"/>
  <c r="J290" i="52"/>
  <c r="N50" i="52"/>
  <c r="N290" i="52"/>
  <c r="F53" i="52"/>
  <c r="C54" i="52"/>
  <c r="O51" i="52"/>
  <c r="L289" i="52"/>
  <c r="F195" i="52"/>
  <c r="C191" i="52"/>
  <c r="F187" i="52"/>
  <c r="C187" i="52" s="1"/>
  <c r="F269" i="52"/>
  <c r="C270" i="52"/>
  <c r="O50" i="52" l="1"/>
  <c r="O290" i="52"/>
  <c r="F194" i="52"/>
  <c r="C194" i="52" s="1"/>
  <c r="C195" i="52"/>
  <c r="F52" i="52"/>
  <c r="C53" i="52"/>
  <c r="C269" i="52"/>
  <c r="F289" i="52"/>
  <c r="C289" i="52" s="1"/>
  <c r="I290" i="52"/>
  <c r="I50" i="52"/>
  <c r="C52" i="52" l="1"/>
  <c r="F51" i="52"/>
  <c r="F290" i="52" l="1"/>
  <c r="C290" i="52" s="1"/>
  <c r="F50" i="52"/>
  <c r="C50" i="52" s="1"/>
  <c r="C51" i="52"/>
  <c r="O301" i="51" l="1"/>
  <c r="L301" i="51"/>
  <c r="I301" i="51"/>
  <c r="F301" i="51"/>
  <c r="O300" i="51"/>
  <c r="L300" i="51"/>
  <c r="I300" i="51"/>
  <c r="F300" i="51"/>
  <c r="O299" i="51"/>
  <c r="L299" i="51"/>
  <c r="I299" i="51"/>
  <c r="F299" i="51"/>
  <c r="O298" i="51"/>
  <c r="L298" i="51"/>
  <c r="I298" i="51"/>
  <c r="F298" i="51"/>
  <c r="O297" i="51"/>
  <c r="L297" i="51"/>
  <c r="I297" i="51"/>
  <c r="F297" i="51"/>
  <c r="O296" i="51"/>
  <c r="L296" i="51"/>
  <c r="I296" i="51"/>
  <c r="F296" i="51"/>
  <c r="O295" i="51"/>
  <c r="L295" i="51"/>
  <c r="I295" i="51"/>
  <c r="F295" i="51"/>
  <c r="O294" i="51"/>
  <c r="L294" i="51"/>
  <c r="I294" i="51"/>
  <c r="F294" i="51"/>
  <c r="N293" i="51"/>
  <c r="M293" i="51"/>
  <c r="L293" i="51"/>
  <c r="K293" i="51"/>
  <c r="J293" i="51"/>
  <c r="H293" i="51"/>
  <c r="G293" i="51"/>
  <c r="E293" i="51"/>
  <c r="D293" i="51"/>
  <c r="O288" i="51"/>
  <c r="L288" i="51"/>
  <c r="I288" i="51"/>
  <c r="F288" i="51"/>
  <c r="O287" i="51"/>
  <c r="L287" i="51"/>
  <c r="L286" i="51" s="1"/>
  <c r="I287" i="51"/>
  <c r="F287" i="51"/>
  <c r="O286" i="51"/>
  <c r="N286" i="51"/>
  <c r="M286" i="51"/>
  <c r="K286" i="51"/>
  <c r="J286" i="51"/>
  <c r="H286" i="51"/>
  <c r="G286" i="51"/>
  <c r="F286" i="51"/>
  <c r="E286" i="51"/>
  <c r="D286" i="51"/>
  <c r="O285" i="51"/>
  <c r="L285" i="51"/>
  <c r="L284" i="51" s="1"/>
  <c r="L283" i="51" s="1"/>
  <c r="I285" i="51"/>
  <c r="F285" i="51"/>
  <c r="O284" i="51"/>
  <c r="N284" i="51"/>
  <c r="N283" i="51" s="1"/>
  <c r="M284" i="51"/>
  <c r="M283" i="51" s="1"/>
  <c r="K284" i="51"/>
  <c r="J284" i="51"/>
  <c r="J283" i="51" s="1"/>
  <c r="I284" i="51"/>
  <c r="I283" i="51" s="1"/>
  <c r="H284" i="51"/>
  <c r="H283" i="51" s="1"/>
  <c r="G284" i="51"/>
  <c r="E284" i="51"/>
  <c r="E283" i="51" s="1"/>
  <c r="D284" i="51"/>
  <c r="D283" i="51" s="1"/>
  <c r="O283" i="51"/>
  <c r="K283" i="51"/>
  <c r="G283" i="51"/>
  <c r="O282" i="51"/>
  <c r="O281" i="51" s="1"/>
  <c r="L282" i="51"/>
  <c r="I282" i="51"/>
  <c r="I281" i="51" s="1"/>
  <c r="F282" i="51"/>
  <c r="N281" i="51"/>
  <c r="M281" i="51"/>
  <c r="L281" i="51"/>
  <c r="K281" i="51"/>
  <c r="J281" i="51"/>
  <c r="H281" i="51"/>
  <c r="G281" i="51"/>
  <c r="E281" i="51"/>
  <c r="D281" i="51"/>
  <c r="O280" i="51"/>
  <c r="L280" i="51"/>
  <c r="I280" i="51"/>
  <c r="F280" i="51"/>
  <c r="O279" i="51"/>
  <c r="L279" i="51"/>
  <c r="I279" i="51"/>
  <c r="F279" i="51"/>
  <c r="O278" i="51"/>
  <c r="L278" i="51"/>
  <c r="I278" i="51"/>
  <c r="F278" i="51"/>
  <c r="C278" i="51" s="1"/>
  <c r="O277" i="51"/>
  <c r="L277" i="51"/>
  <c r="I277" i="51"/>
  <c r="I276" i="51" s="1"/>
  <c r="F277" i="51"/>
  <c r="N276" i="51"/>
  <c r="M276" i="51"/>
  <c r="K276" i="51"/>
  <c r="J276" i="51"/>
  <c r="H276" i="51"/>
  <c r="G276" i="51"/>
  <c r="E276" i="51"/>
  <c r="D276" i="51"/>
  <c r="O275" i="51"/>
  <c r="L275" i="51"/>
  <c r="I275" i="51"/>
  <c r="F275" i="51"/>
  <c r="O274" i="51"/>
  <c r="L274" i="51"/>
  <c r="I274" i="51"/>
  <c r="F274" i="51"/>
  <c r="O273" i="51"/>
  <c r="L273" i="51"/>
  <c r="I273" i="51"/>
  <c r="F273" i="51"/>
  <c r="N272" i="51"/>
  <c r="N270" i="51" s="1"/>
  <c r="M272" i="51"/>
  <c r="M270" i="51" s="1"/>
  <c r="M269" i="51" s="1"/>
  <c r="K272" i="51"/>
  <c r="J272" i="51"/>
  <c r="J270" i="51" s="1"/>
  <c r="J269" i="51" s="1"/>
  <c r="I272" i="51"/>
  <c r="H272" i="51"/>
  <c r="H270" i="51" s="1"/>
  <c r="H269" i="51" s="1"/>
  <c r="G272" i="51"/>
  <c r="E272" i="51"/>
  <c r="D272" i="51"/>
  <c r="O271" i="51"/>
  <c r="L271" i="51"/>
  <c r="I271" i="51"/>
  <c r="F271" i="51"/>
  <c r="O268" i="51"/>
  <c r="L268" i="51"/>
  <c r="I268" i="51"/>
  <c r="F268" i="51"/>
  <c r="O267" i="51"/>
  <c r="L267" i="51"/>
  <c r="I267" i="51"/>
  <c r="F267" i="51"/>
  <c r="O266" i="51"/>
  <c r="L266" i="51"/>
  <c r="I266" i="51"/>
  <c r="F266" i="51"/>
  <c r="O265" i="51"/>
  <c r="L265" i="51"/>
  <c r="I265" i="51"/>
  <c r="F265" i="51"/>
  <c r="N264" i="51"/>
  <c r="M264" i="51"/>
  <c r="K264" i="51"/>
  <c r="J264" i="51"/>
  <c r="H264" i="51"/>
  <c r="G264" i="51"/>
  <c r="E264" i="51"/>
  <c r="D264" i="51"/>
  <c r="O263" i="51"/>
  <c r="L263" i="51"/>
  <c r="I263" i="51"/>
  <c r="F263" i="51"/>
  <c r="O262" i="51"/>
  <c r="L262" i="51"/>
  <c r="I262" i="51"/>
  <c r="F262" i="51"/>
  <c r="O261" i="51"/>
  <c r="L261" i="51"/>
  <c r="I261" i="51"/>
  <c r="I260" i="51" s="1"/>
  <c r="F261" i="51"/>
  <c r="N260" i="51"/>
  <c r="M260" i="51"/>
  <c r="K260" i="51"/>
  <c r="J260" i="51"/>
  <c r="H260" i="51"/>
  <c r="G260" i="51"/>
  <c r="G259" i="51" s="1"/>
  <c r="E260" i="51"/>
  <c r="E259" i="51" s="1"/>
  <c r="D260" i="51"/>
  <c r="N259" i="51"/>
  <c r="K259" i="51"/>
  <c r="H259" i="51"/>
  <c r="D259" i="51"/>
  <c r="O258" i="51"/>
  <c r="L258" i="51"/>
  <c r="I258" i="51"/>
  <c r="F258" i="51"/>
  <c r="O257" i="51"/>
  <c r="L257" i="51"/>
  <c r="I257" i="51"/>
  <c r="F257" i="51"/>
  <c r="O256" i="51"/>
  <c r="L256" i="51"/>
  <c r="I256" i="51"/>
  <c r="F256" i="51"/>
  <c r="O255" i="51"/>
  <c r="L255" i="51"/>
  <c r="I255" i="51"/>
  <c r="F255" i="51"/>
  <c r="O254" i="51"/>
  <c r="L254" i="51"/>
  <c r="I254" i="51"/>
  <c r="F254" i="51"/>
  <c r="O253" i="51"/>
  <c r="L253" i="51"/>
  <c r="I253" i="51"/>
  <c r="F253" i="51"/>
  <c r="N252" i="51"/>
  <c r="M252" i="51"/>
  <c r="M251" i="51" s="1"/>
  <c r="K252" i="51"/>
  <c r="J252" i="51"/>
  <c r="H252" i="51"/>
  <c r="G252" i="51"/>
  <c r="G251" i="51" s="1"/>
  <c r="E252" i="51"/>
  <c r="E251" i="51" s="1"/>
  <c r="D252" i="51"/>
  <c r="D251" i="51" s="1"/>
  <c r="N251" i="51"/>
  <c r="K251" i="51"/>
  <c r="J251" i="51"/>
  <c r="H251" i="51"/>
  <c r="O250" i="51"/>
  <c r="L250" i="51"/>
  <c r="I250" i="51"/>
  <c r="F250" i="51"/>
  <c r="O249" i="51"/>
  <c r="L249" i="51"/>
  <c r="I249" i="51"/>
  <c r="F249" i="51"/>
  <c r="O248" i="51"/>
  <c r="L248" i="51"/>
  <c r="I248" i="51"/>
  <c r="F248" i="51"/>
  <c r="O247" i="51"/>
  <c r="L247" i="51"/>
  <c r="L246" i="51" s="1"/>
  <c r="I247" i="51"/>
  <c r="F247" i="51"/>
  <c r="O246" i="51"/>
  <c r="N246" i="51"/>
  <c r="M246" i="51"/>
  <c r="K246" i="51"/>
  <c r="J246" i="51"/>
  <c r="H246" i="51"/>
  <c r="G246" i="51"/>
  <c r="E246" i="51"/>
  <c r="D246" i="51"/>
  <c r="O245" i="51"/>
  <c r="L245" i="51"/>
  <c r="I245" i="51"/>
  <c r="F245" i="51"/>
  <c r="O244" i="51"/>
  <c r="L244" i="51"/>
  <c r="I244" i="51"/>
  <c r="F244" i="51"/>
  <c r="O243" i="51"/>
  <c r="L243" i="51"/>
  <c r="I243" i="51"/>
  <c r="F243" i="51"/>
  <c r="O242" i="51"/>
  <c r="L242" i="51"/>
  <c r="I242" i="51"/>
  <c r="F242" i="51"/>
  <c r="O241" i="51"/>
  <c r="L241" i="51"/>
  <c r="I241" i="51"/>
  <c r="F241" i="51"/>
  <c r="O240" i="51"/>
  <c r="L240" i="51"/>
  <c r="I240" i="51"/>
  <c r="F240" i="51"/>
  <c r="O239" i="51"/>
  <c r="L239" i="51"/>
  <c r="I239" i="51"/>
  <c r="F239" i="51"/>
  <c r="N238" i="51"/>
  <c r="M238" i="51"/>
  <c r="K238" i="51"/>
  <c r="J238" i="51"/>
  <c r="H238" i="51"/>
  <c r="G238" i="51"/>
  <c r="E238" i="51"/>
  <c r="D238" i="51"/>
  <c r="O237" i="51"/>
  <c r="L237" i="51"/>
  <c r="I237" i="51"/>
  <c r="F237" i="51"/>
  <c r="O236" i="51"/>
  <c r="L236" i="51"/>
  <c r="L235" i="51" s="1"/>
  <c r="I236" i="51"/>
  <c r="I235" i="51" s="1"/>
  <c r="F236" i="51"/>
  <c r="O235" i="51"/>
  <c r="N235" i="51"/>
  <c r="M235" i="51"/>
  <c r="K235" i="51"/>
  <c r="J235" i="51"/>
  <c r="H235" i="51"/>
  <c r="G235" i="51"/>
  <c r="E235" i="51"/>
  <c r="D235" i="51"/>
  <c r="O234" i="51"/>
  <c r="O233" i="51" s="1"/>
  <c r="L234" i="51"/>
  <c r="I234" i="51"/>
  <c r="I233" i="51" s="1"/>
  <c r="F234" i="51"/>
  <c r="F233" i="51" s="1"/>
  <c r="N233" i="51"/>
  <c r="M233" i="51"/>
  <c r="M231" i="51" s="1"/>
  <c r="L233" i="51"/>
  <c r="K233" i="51"/>
  <c r="J233" i="51"/>
  <c r="H233" i="51"/>
  <c r="G233" i="51"/>
  <c r="E233" i="51"/>
  <c r="D233" i="51"/>
  <c r="D231" i="51" s="1"/>
  <c r="O232" i="51"/>
  <c r="L232" i="51"/>
  <c r="I232" i="51"/>
  <c r="F232" i="51"/>
  <c r="J231" i="51"/>
  <c r="O229" i="51"/>
  <c r="L229" i="51"/>
  <c r="I229" i="51"/>
  <c r="F229" i="51"/>
  <c r="O228" i="51"/>
  <c r="L228" i="51"/>
  <c r="L227" i="51" s="1"/>
  <c r="I228" i="51"/>
  <c r="I227" i="51" s="1"/>
  <c r="F228" i="51"/>
  <c r="O227" i="51"/>
  <c r="N227" i="51"/>
  <c r="M227" i="51"/>
  <c r="K227" i="51"/>
  <c r="J227" i="51"/>
  <c r="H227" i="51"/>
  <c r="G227" i="51"/>
  <c r="F227" i="51"/>
  <c r="E227" i="51"/>
  <c r="D227" i="51"/>
  <c r="O226" i="51"/>
  <c r="L226" i="51"/>
  <c r="I226" i="51"/>
  <c r="F226" i="51"/>
  <c r="O225" i="51"/>
  <c r="L225" i="51"/>
  <c r="I225" i="51"/>
  <c r="F225" i="51"/>
  <c r="O224" i="51"/>
  <c r="L224" i="51"/>
  <c r="I224" i="51"/>
  <c r="F224" i="51"/>
  <c r="O223" i="51"/>
  <c r="L223" i="51"/>
  <c r="I223" i="51"/>
  <c r="F223" i="51"/>
  <c r="O222" i="51"/>
  <c r="L222" i="51"/>
  <c r="I222" i="51"/>
  <c r="F222" i="51"/>
  <c r="O221" i="51"/>
  <c r="L221" i="51"/>
  <c r="I221" i="51"/>
  <c r="F221" i="51"/>
  <c r="O220" i="51"/>
  <c r="L220" i="51"/>
  <c r="I220" i="51"/>
  <c r="F220" i="51"/>
  <c r="O219" i="51"/>
  <c r="L219" i="51"/>
  <c r="I219" i="51"/>
  <c r="F219" i="51"/>
  <c r="O218" i="51"/>
  <c r="L218" i="51"/>
  <c r="I218" i="51"/>
  <c r="F218" i="51"/>
  <c r="O217" i="51"/>
  <c r="L217" i="51"/>
  <c r="I217" i="51"/>
  <c r="I216" i="51" s="1"/>
  <c r="F217" i="51"/>
  <c r="N216" i="51"/>
  <c r="M216" i="51"/>
  <c r="K216" i="51"/>
  <c r="J216" i="51"/>
  <c r="H216" i="51"/>
  <c r="G216" i="51"/>
  <c r="E216" i="51"/>
  <c r="D216" i="51"/>
  <c r="O215" i="51"/>
  <c r="L215" i="51"/>
  <c r="I215" i="51"/>
  <c r="F215" i="51"/>
  <c r="O214" i="51"/>
  <c r="L214" i="51"/>
  <c r="I214" i="51"/>
  <c r="F214" i="51"/>
  <c r="O213" i="51"/>
  <c r="L213" i="51"/>
  <c r="I213" i="51"/>
  <c r="F213" i="51"/>
  <c r="O212" i="51"/>
  <c r="L212" i="51"/>
  <c r="I212" i="51"/>
  <c r="F212" i="51"/>
  <c r="O211" i="51"/>
  <c r="L211" i="51"/>
  <c r="I211" i="51"/>
  <c r="F211" i="51"/>
  <c r="O210" i="51"/>
  <c r="L210" i="51"/>
  <c r="I210" i="51"/>
  <c r="C210" i="51" s="1"/>
  <c r="F210" i="51"/>
  <c r="O209" i="51"/>
  <c r="L209" i="51"/>
  <c r="I209" i="51"/>
  <c r="F209" i="51"/>
  <c r="O208" i="51"/>
  <c r="L208" i="51"/>
  <c r="I208" i="51"/>
  <c r="F208" i="51"/>
  <c r="O207" i="51"/>
  <c r="L207" i="51"/>
  <c r="C207" i="51" s="1"/>
  <c r="I207" i="51"/>
  <c r="F207" i="51"/>
  <c r="O206" i="51"/>
  <c r="L206" i="51"/>
  <c r="L205" i="51" s="1"/>
  <c r="I206" i="51"/>
  <c r="F206" i="51"/>
  <c r="N205" i="51"/>
  <c r="M205" i="51"/>
  <c r="K205" i="51"/>
  <c r="J205" i="51"/>
  <c r="H205" i="51"/>
  <c r="G205" i="51"/>
  <c r="G204" i="51" s="1"/>
  <c r="E205" i="51"/>
  <c r="D205" i="51"/>
  <c r="D204" i="51" s="1"/>
  <c r="M204" i="51"/>
  <c r="K204" i="51"/>
  <c r="O203" i="51"/>
  <c r="L203" i="51"/>
  <c r="I203" i="51"/>
  <c r="F203" i="51"/>
  <c r="O202" i="51"/>
  <c r="L202" i="51"/>
  <c r="I202" i="51"/>
  <c r="C202" i="51" s="1"/>
  <c r="F202" i="51"/>
  <c r="O201" i="51"/>
  <c r="L201" i="51"/>
  <c r="I201" i="51"/>
  <c r="F201" i="51"/>
  <c r="O200" i="51"/>
  <c r="L200" i="51"/>
  <c r="I200" i="51"/>
  <c r="F200" i="51"/>
  <c r="O199" i="51"/>
  <c r="L199" i="51"/>
  <c r="L198" i="51" s="1"/>
  <c r="I199" i="51"/>
  <c r="F199" i="51"/>
  <c r="F198" i="51" s="1"/>
  <c r="O198" i="51"/>
  <c r="N198" i="51"/>
  <c r="M198" i="51"/>
  <c r="K198" i="51"/>
  <c r="K196" i="51" s="1"/>
  <c r="K195" i="51" s="1"/>
  <c r="J198" i="51"/>
  <c r="H198" i="51"/>
  <c r="H196" i="51" s="1"/>
  <c r="G198" i="51"/>
  <c r="G196" i="51" s="1"/>
  <c r="E198" i="51"/>
  <c r="E196" i="51" s="1"/>
  <c r="D198" i="51"/>
  <c r="O197" i="51"/>
  <c r="L197" i="51"/>
  <c r="L196" i="51" s="1"/>
  <c r="I197" i="51"/>
  <c r="F197" i="51"/>
  <c r="N196" i="51"/>
  <c r="M196" i="51"/>
  <c r="M195" i="51" s="1"/>
  <c r="J196" i="51"/>
  <c r="D196" i="51"/>
  <c r="O193" i="51"/>
  <c r="L193" i="51"/>
  <c r="L192" i="51" s="1"/>
  <c r="L191" i="51" s="1"/>
  <c r="I193" i="51"/>
  <c r="F193" i="51"/>
  <c r="O192" i="51"/>
  <c r="N192" i="51"/>
  <c r="N191" i="51" s="1"/>
  <c r="N187" i="51" s="1"/>
  <c r="M192" i="51"/>
  <c r="M191" i="51" s="1"/>
  <c r="K192" i="51"/>
  <c r="J192" i="51"/>
  <c r="J191" i="51" s="1"/>
  <c r="I192" i="51"/>
  <c r="I191" i="51" s="1"/>
  <c r="H192" i="51"/>
  <c r="H191" i="51" s="1"/>
  <c r="G192" i="51"/>
  <c r="G191" i="51" s="1"/>
  <c r="E192" i="51"/>
  <c r="E191" i="51" s="1"/>
  <c r="D192" i="51"/>
  <c r="O191" i="51"/>
  <c r="K191" i="51"/>
  <c r="D191" i="51"/>
  <c r="O190" i="51"/>
  <c r="O188" i="51" s="1"/>
  <c r="L190" i="51"/>
  <c r="I190" i="51"/>
  <c r="F190" i="51"/>
  <c r="C190" i="51" s="1"/>
  <c r="O189" i="51"/>
  <c r="L189" i="51"/>
  <c r="I189" i="51"/>
  <c r="F189" i="51"/>
  <c r="F188" i="51" s="1"/>
  <c r="N188" i="51"/>
  <c r="M188" i="51"/>
  <c r="M187" i="51" s="1"/>
  <c r="L188" i="51"/>
  <c r="K188" i="51"/>
  <c r="K187" i="51" s="1"/>
  <c r="J188" i="51"/>
  <c r="I188" i="51"/>
  <c r="I187" i="51" s="1"/>
  <c r="H188" i="51"/>
  <c r="H187" i="51" s="1"/>
  <c r="G188" i="51"/>
  <c r="E188" i="51"/>
  <c r="E187" i="51" s="1"/>
  <c r="D188" i="51"/>
  <c r="D187" i="51"/>
  <c r="O186" i="51"/>
  <c r="L186" i="51"/>
  <c r="I186" i="51"/>
  <c r="F186" i="51"/>
  <c r="O185" i="51"/>
  <c r="L185" i="51"/>
  <c r="L184" i="51" s="1"/>
  <c r="I185" i="51"/>
  <c r="F185" i="51"/>
  <c r="O184" i="51"/>
  <c r="N184" i="51"/>
  <c r="M184" i="51"/>
  <c r="K184" i="51"/>
  <c r="J184" i="51"/>
  <c r="H184" i="51"/>
  <c r="G184" i="51"/>
  <c r="E184" i="51"/>
  <c r="D184" i="51"/>
  <c r="O183" i="51"/>
  <c r="L183" i="51"/>
  <c r="I183" i="51"/>
  <c r="F183" i="51"/>
  <c r="O182" i="51"/>
  <c r="L182" i="51"/>
  <c r="I182" i="51"/>
  <c r="F182" i="51"/>
  <c r="O181" i="51"/>
  <c r="L181" i="51"/>
  <c r="I181" i="51"/>
  <c r="F181" i="51"/>
  <c r="O180" i="51"/>
  <c r="O179" i="51" s="1"/>
  <c r="L180" i="51"/>
  <c r="I180" i="51"/>
  <c r="F180" i="51"/>
  <c r="N179" i="51"/>
  <c r="M179" i="51"/>
  <c r="K179" i="51"/>
  <c r="J179" i="51"/>
  <c r="H179" i="51"/>
  <c r="G179" i="51"/>
  <c r="F179" i="51"/>
  <c r="E179" i="51"/>
  <c r="D179" i="51"/>
  <c r="O178" i="51"/>
  <c r="L178" i="51"/>
  <c r="I178" i="51"/>
  <c r="F178" i="51"/>
  <c r="O177" i="51"/>
  <c r="L177" i="51"/>
  <c r="I177" i="51"/>
  <c r="F177" i="51"/>
  <c r="O176" i="51"/>
  <c r="L176" i="51"/>
  <c r="I176" i="51"/>
  <c r="F176" i="51"/>
  <c r="F175" i="51" s="1"/>
  <c r="N175" i="51"/>
  <c r="N174" i="51" s="1"/>
  <c r="N173" i="51" s="1"/>
  <c r="M175" i="51"/>
  <c r="K175" i="51"/>
  <c r="K174" i="51" s="1"/>
  <c r="J175" i="51"/>
  <c r="H175" i="51"/>
  <c r="H174" i="51" s="1"/>
  <c r="H173" i="51" s="1"/>
  <c r="G175" i="51"/>
  <c r="E175" i="51"/>
  <c r="E174" i="51" s="1"/>
  <c r="D175" i="51"/>
  <c r="D174" i="51" s="1"/>
  <c r="D173" i="51" s="1"/>
  <c r="G174" i="51"/>
  <c r="G173" i="51" s="1"/>
  <c r="O172" i="51"/>
  <c r="L172" i="51"/>
  <c r="I172" i="51"/>
  <c r="F172" i="51"/>
  <c r="O171" i="51"/>
  <c r="L171" i="51"/>
  <c r="I171" i="51"/>
  <c r="F171" i="51"/>
  <c r="O170" i="51"/>
  <c r="L170" i="51"/>
  <c r="I170" i="51"/>
  <c r="F170" i="51"/>
  <c r="O169" i="51"/>
  <c r="L169" i="51"/>
  <c r="I169" i="51"/>
  <c r="F169" i="51"/>
  <c r="O168" i="51"/>
  <c r="L168" i="51"/>
  <c r="I168" i="51"/>
  <c r="F168" i="51"/>
  <c r="O167" i="51"/>
  <c r="L167" i="51"/>
  <c r="I167" i="51"/>
  <c r="F167" i="51"/>
  <c r="N166" i="51"/>
  <c r="M166" i="51"/>
  <c r="M165" i="51" s="1"/>
  <c r="K166" i="51"/>
  <c r="K165" i="51" s="1"/>
  <c r="J166" i="51"/>
  <c r="J165" i="51" s="1"/>
  <c r="H166" i="51"/>
  <c r="H165" i="51" s="1"/>
  <c r="G166" i="51"/>
  <c r="G165" i="51" s="1"/>
  <c r="E166" i="51"/>
  <c r="E165" i="51" s="1"/>
  <c r="D166" i="51"/>
  <c r="D165" i="51" s="1"/>
  <c r="N165" i="51"/>
  <c r="O164" i="51"/>
  <c r="L164" i="51"/>
  <c r="I164" i="51"/>
  <c r="F164" i="51"/>
  <c r="O163" i="51"/>
  <c r="L163" i="51"/>
  <c r="I163" i="51"/>
  <c r="F163" i="51"/>
  <c r="O162" i="51"/>
  <c r="L162" i="51"/>
  <c r="I162" i="51"/>
  <c r="F162" i="51"/>
  <c r="O161" i="51"/>
  <c r="L161" i="51"/>
  <c r="L160" i="51" s="1"/>
  <c r="I161" i="51"/>
  <c r="F161" i="51"/>
  <c r="N160" i="51"/>
  <c r="M160" i="51"/>
  <c r="K160" i="51"/>
  <c r="J160" i="51"/>
  <c r="H160" i="51"/>
  <c r="G160" i="51"/>
  <c r="E160" i="51"/>
  <c r="D160" i="51"/>
  <c r="O159" i="51"/>
  <c r="L159" i="51"/>
  <c r="I159" i="51"/>
  <c r="F159" i="51"/>
  <c r="O158" i="51"/>
  <c r="L158" i="51"/>
  <c r="I158" i="51"/>
  <c r="F158" i="51"/>
  <c r="O157" i="51"/>
  <c r="L157" i="51"/>
  <c r="I157" i="51"/>
  <c r="F157" i="51"/>
  <c r="O156" i="51"/>
  <c r="L156" i="51"/>
  <c r="I156" i="51"/>
  <c r="F156" i="51"/>
  <c r="O155" i="51"/>
  <c r="L155" i="51"/>
  <c r="I155" i="51"/>
  <c r="F155" i="51"/>
  <c r="O154" i="51"/>
  <c r="L154" i="51"/>
  <c r="I154" i="51"/>
  <c r="F154" i="51"/>
  <c r="O153" i="51"/>
  <c r="L153" i="51"/>
  <c r="I153" i="51"/>
  <c r="F153" i="51"/>
  <c r="O152" i="51"/>
  <c r="L152" i="51"/>
  <c r="I152" i="51"/>
  <c r="F152" i="51"/>
  <c r="N151" i="51"/>
  <c r="M151" i="51"/>
  <c r="K151" i="51"/>
  <c r="J151" i="51"/>
  <c r="H151" i="51"/>
  <c r="G151" i="51"/>
  <c r="F151" i="51"/>
  <c r="E151" i="51"/>
  <c r="D151" i="51"/>
  <c r="O150" i="51"/>
  <c r="L150" i="51"/>
  <c r="I150" i="51"/>
  <c r="F150" i="51"/>
  <c r="O149" i="51"/>
  <c r="L149" i="51"/>
  <c r="I149" i="51"/>
  <c r="F149" i="51"/>
  <c r="O148" i="51"/>
  <c r="L148" i="51"/>
  <c r="I148" i="51"/>
  <c r="F148" i="51"/>
  <c r="O147" i="51"/>
  <c r="L147" i="51"/>
  <c r="I147" i="51"/>
  <c r="F147" i="51"/>
  <c r="O146" i="51"/>
  <c r="L146" i="51"/>
  <c r="I146" i="51"/>
  <c r="F146" i="51"/>
  <c r="C146" i="51"/>
  <c r="O145" i="51"/>
  <c r="L145" i="51"/>
  <c r="I145" i="51"/>
  <c r="F145" i="51"/>
  <c r="N144" i="51"/>
  <c r="M144" i="51"/>
  <c r="K144" i="51"/>
  <c r="J144" i="51"/>
  <c r="H144" i="51"/>
  <c r="G144" i="51"/>
  <c r="E144" i="51"/>
  <c r="D144" i="51"/>
  <c r="O143" i="51"/>
  <c r="L143" i="51"/>
  <c r="I143" i="51"/>
  <c r="F143" i="51"/>
  <c r="C143" i="51" s="1"/>
  <c r="O142" i="51"/>
  <c r="O141" i="51" s="1"/>
  <c r="L142" i="51"/>
  <c r="I142" i="51"/>
  <c r="I141" i="51" s="1"/>
  <c r="F142" i="51"/>
  <c r="C142" i="51" s="1"/>
  <c r="N141" i="51"/>
  <c r="M141" i="51"/>
  <c r="L141" i="51"/>
  <c r="K141" i="51"/>
  <c r="J141" i="51"/>
  <c r="H141" i="51"/>
  <c r="G141" i="51"/>
  <c r="E141" i="51"/>
  <c r="D141" i="51"/>
  <c r="O140" i="51"/>
  <c r="L140" i="51"/>
  <c r="I140" i="51"/>
  <c r="F140" i="51"/>
  <c r="O139" i="51"/>
  <c r="L139" i="51"/>
  <c r="I139" i="51"/>
  <c r="F139" i="51"/>
  <c r="O138" i="51"/>
  <c r="L138" i="51"/>
  <c r="I138" i="51"/>
  <c r="F138" i="51"/>
  <c r="O137" i="51"/>
  <c r="L137" i="51"/>
  <c r="I137" i="51"/>
  <c r="I136" i="51" s="1"/>
  <c r="F137" i="51"/>
  <c r="N136" i="51"/>
  <c r="M136" i="51"/>
  <c r="K136" i="51"/>
  <c r="J136" i="51"/>
  <c r="H136" i="51"/>
  <c r="G136" i="51"/>
  <c r="E136" i="51"/>
  <c r="D136" i="51"/>
  <c r="O135" i="51"/>
  <c r="L135" i="51"/>
  <c r="I135" i="51"/>
  <c r="F135" i="51"/>
  <c r="O134" i="51"/>
  <c r="L134" i="51"/>
  <c r="I134" i="51"/>
  <c r="F134" i="51"/>
  <c r="O133" i="51"/>
  <c r="L133" i="51"/>
  <c r="I133" i="51"/>
  <c r="F133" i="51"/>
  <c r="O132" i="51"/>
  <c r="L132" i="51"/>
  <c r="I132" i="51"/>
  <c r="F132" i="51"/>
  <c r="N131" i="51"/>
  <c r="M131" i="51"/>
  <c r="L131" i="51"/>
  <c r="K131" i="51"/>
  <c r="J131" i="51"/>
  <c r="H131" i="51"/>
  <c r="G131" i="51"/>
  <c r="G130" i="51" s="1"/>
  <c r="E131" i="51"/>
  <c r="D131" i="51"/>
  <c r="E130" i="51"/>
  <c r="O129" i="51"/>
  <c r="L129" i="51"/>
  <c r="L128" i="51" s="1"/>
  <c r="I129" i="51"/>
  <c r="F129" i="51"/>
  <c r="O128" i="51"/>
  <c r="N128" i="51"/>
  <c r="M128" i="51"/>
  <c r="K128" i="51"/>
  <c r="J128" i="51"/>
  <c r="I128" i="51"/>
  <c r="H128" i="51"/>
  <c r="G128" i="51"/>
  <c r="E128" i="51"/>
  <c r="D128" i="51"/>
  <c r="O127" i="51"/>
  <c r="L127" i="51"/>
  <c r="I127" i="51"/>
  <c r="F127" i="51"/>
  <c r="O126" i="51"/>
  <c r="L126" i="51"/>
  <c r="I126" i="51"/>
  <c r="F126" i="51"/>
  <c r="O125" i="51"/>
  <c r="L125" i="51"/>
  <c r="I125" i="51"/>
  <c r="F125" i="51"/>
  <c r="O124" i="51"/>
  <c r="L124" i="51"/>
  <c r="I124" i="51"/>
  <c r="F124" i="51"/>
  <c r="O123" i="51"/>
  <c r="L123" i="51"/>
  <c r="I123" i="51"/>
  <c r="I122" i="51" s="1"/>
  <c r="F123" i="51"/>
  <c r="N122" i="51"/>
  <c r="M122" i="51"/>
  <c r="K122" i="51"/>
  <c r="J122" i="51"/>
  <c r="H122" i="51"/>
  <c r="G122" i="51"/>
  <c r="E122" i="51"/>
  <c r="D122" i="51"/>
  <c r="O121" i="51"/>
  <c r="L121" i="51"/>
  <c r="I121" i="51"/>
  <c r="F121" i="51"/>
  <c r="O120" i="51"/>
  <c r="L120" i="51"/>
  <c r="I120" i="51"/>
  <c r="F120" i="51"/>
  <c r="O119" i="51"/>
  <c r="L119" i="51"/>
  <c r="I119" i="51"/>
  <c r="F119" i="51"/>
  <c r="O118" i="51"/>
  <c r="L118" i="51"/>
  <c r="I118" i="51"/>
  <c r="C118" i="51" s="1"/>
  <c r="F118" i="51"/>
  <c r="O117" i="51"/>
  <c r="L117" i="51"/>
  <c r="I117" i="51"/>
  <c r="F117" i="51"/>
  <c r="N116" i="51"/>
  <c r="M116" i="51"/>
  <c r="K116" i="51"/>
  <c r="J116" i="51"/>
  <c r="H116" i="51"/>
  <c r="G116" i="51"/>
  <c r="E116" i="51"/>
  <c r="D116" i="51"/>
  <c r="O115" i="51"/>
  <c r="L115" i="51"/>
  <c r="I115" i="51"/>
  <c r="F115" i="51"/>
  <c r="O114" i="51"/>
  <c r="L114" i="51"/>
  <c r="I114" i="51"/>
  <c r="F114" i="51"/>
  <c r="O113" i="51"/>
  <c r="L113" i="51"/>
  <c r="I113" i="51"/>
  <c r="I112" i="51" s="1"/>
  <c r="F113" i="51"/>
  <c r="O112" i="51"/>
  <c r="N112" i="51"/>
  <c r="M112" i="51"/>
  <c r="K112" i="51"/>
  <c r="J112" i="51"/>
  <c r="H112" i="51"/>
  <c r="G112" i="51"/>
  <c r="E112" i="51"/>
  <c r="D112" i="51"/>
  <c r="O111" i="51"/>
  <c r="L111" i="51"/>
  <c r="I111" i="51"/>
  <c r="F111" i="51"/>
  <c r="O110" i="51"/>
  <c r="L110" i="51"/>
  <c r="I110" i="51"/>
  <c r="F110" i="51"/>
  <c r="O109" i="51"/>
  <c r="L109" i="51"/>
  <c r="I109" i="51"/>
  <c r="F109" i="51"/>
  <c r="O108" i="51"/>
  <c r="L108" i="51"/>
  <c r="I108" i="51"/>
  <c r="F108" i="51"/>
  <c r="O107" i="51"/>
  <c r="L107" i="51"/>
  <c r="I107" i="51"/>
  <c r="F107" i="51"/>
  <c r="O106" i="51"/>
  <c r="L106" i="51"/>
  <c r="I106" i="51"/>
  <c r="F106" i="51"/>
  <c r="O105" i="51"/>
  <c r="L105" i="51"/>
  <c r="I105" i="51"/>
  <c r="F105" i="51"/>
  <c r="O104" i="51"/>
  <c r="L104" i="51"/>
  <c r="L103" i="51" s="1"/>
  <c r="I104" i="51"/>
  <c r="F104" i="51"/>
  <c r="N103" i="51"/>
  <c r="M103" i="51"/>
  <c r="K103" i="51"/>
  <c r="J103" i="51"/>
  <c r="H103" i="51"/>
  <c r="G103" i="51"/>
  <c r="F103" i="51"/>
  <c r="E103" i="51"/>
  <c r="D103" i="51"/>
  <c r="O102" i="51"/>
  <c r="L102" i="51"/>
  <c r="I102" i="51"/>
  <c r="F102" i="51"/>
  <c r="O101" i="51"/>
  <c r="L101" i="51"/>
  <c r="I101" i="51"/>
  <c r="F101" i="51"/>
  <c r="O100" i="51"/>
  <c r="L100" i="51"/>
  <c r="I100" i="51"/>
  <c r="F100" i="51"/>
  <c r="O99" i="51"/>
  <c r="L99" i="51"/>
  <c r="I99" i="51"/>
  <c r="F99" i="51"/>
  <c r="O98" i="51"/>
  <c r="L98" i="51"/>
  <c r="I98" i="51"/>
  <c r="F98" i="51"/>
  <c r="O97" i="51"/>
  <c r="L97" i="51"/>
  <c r="I97" i="51"/>
  <c r="F97" i="51"/>
  <c r="O96" i="51"/>
  <c r="L96" i="51"/>
  <c r="L95" i="51" s="1"/>
  <c r="I96" i="51"/>
  <c r="F96" i="51"/>
  <c r="O95" i="51"/>
  <c r="N95" i="51"/>
  <c r="M95" i="51"/>
  <c r="K95" i="51"/>
  <c r="J95" i="51"/>
  <c r="H95" i="51"/>
  <c r="G95" i="51"/>
  <c r="E95" i="51"/>
  <c r="D95" i="51"/>
  <c r="O94" i="51"/>
  <c r="L94" i="51"/>
  <c r="I94" i="51"/>
  <c r="F94" i="51"/>
  <c r="O93" i="51"/>
  <c r="L93" i="51"/>
  <c r="I93" i="51"/>
  <c r="F93" i="51"/>
  <c r="O92" i="51"/>
  <c r="L92" i="51"/>
  <c r="I92" i="51"/>
  <c r="F92" i="51"/>
  <c r="O91" i="51"/>
  <c r="L91" i="51"/>
  <c r="I91" i="51"/>
  <c r="F91" i="51"/>
  <c r="O90" i="51"/>
  <c r="L90" i="51"/>
  <c r="I90" i="51"/>
  <c r="F90" i="51"/>
  <c r="F89" i="51" s="1"/>
  <c r="N89" i="51"/>
  <c r="M89" i="51"/>
  <c r="K89" i="51"/>
  <c r="J89" i="51"/>
  <c r="I89" i="51"/>
  <c r="H89" i="51"/>
  <c r="G89" i="51"/>
  <c r="E89" i="51"/>
  <c r="D89" i="51"/>
  <c r="O88" i="51"/>
  <c r="L88" i="51"/>
  <c r="I88" i="51"/>
  <c r="F88" i="51"/>
  <c r="O87" i="51"/>
  <c r="L87" i="51"/>
  <c r="I87" i="51"/>
  <c r="F87" i="51"/>
  <c r="O86" i="51"/>
  <c r="L86" i="51"/>
  <c r="I86" i="51"/>
  <c r="F86" i="51"/>
  <c r="O85" i="51"/>
  <c r="L85" i="51"/>
  <c r="L84" i="51" s="1"/>
  <c r="I85" i="51"/>
  <c r="F85" i="51"/>
  <c r="N84" i="51"/>
  <c r="M84" i="51"/>
  <c r="K84" i="51"/>
  <c r="K83" i="51" s="1"/>
  <c r="J84" i="51"/>
  <c r="H84" i="51"/>
  <c r="G84" i="51"/>
  <c r="G83" i="51" s="1"/>
  <c r="E84" i="51"/>
  <c r="D84" i="51"/>
  <c r="O82" i="51"/>
  <c r="L82" i="51"/>
  <c r="I82" i="51"/>
  <c r="F82" i="51"/>
  <c r="O81" i="51"/>
  <c r="O80" i="51" s="1"/>
  <c r="L81" i="51"/>
  <c r="L80" i="51" s="1"/>
  <c r="I81" i="51"/>
  <c r="I80" i="51" s="1"/>
  <c r="F81" i="51"/>
  <c r="N80" i="51"/>
  <c r="M80" i="51"/>
  <c r="K80" i="51"/>
  <c r="J80" i="51"/>
  <c r="H80" i="51"/>
  <c r="G80" i="51"/>
  <c r="E80" i="51"/>
  <c r="D80" i="51"/>
  <c r="O79" i="51"/>
  <c r="L79" i="51"/>
  <c r="I79" i="51"/>
  <c r="F79" i="51"/>
  <c r="O78" i="51"/>
  <c r="L78" i="51"/>
  <c r="L77" i="51" s="1"/>
  <c r="I78" i="51"/>
  <c r="I77" i="51" s="1"/>
  <c r="I76" i="51" s="1"/>
  <c r="F78" i="51"/>
  <c r="O77" i="51"/>
  <c r="N77" i="51"/>
  <c r="M77" i="51"/>
  <c r="M76" i="51" s="1"/>
  <c r="K77" i="51"/>
  <c r="K76" i="51" s="1"/>
  <c r="J77" i="51"/>
  <c r="H77" i="51"/>
  <c r="H76" i="51" s="1"/>
  <c r="G77" i="51"/>
  <c r="G76" i="51" s="1"/>
  <c r="G75" i="51" s="1"/>
  <c r="E77" i="51"/>
  <c r="E76" i="51" s="1"/>
  <c r="D77" i="51"/>
  <c r="J76" i="51"/>
  <c r="O74" i="51"/>
  <c r="L74" i="51"/>
  <c r="I74" i="51"/>
  <c r="F74" i="51"/>
  <c r="O73" i="51"/>
  <c r="L73" i="51"/>
  <c r="I73" i="51"/>
  <c r="F73" i="51"/>
  <c r="O72" i="51"/>
  <c r="L72" i="51"/>
  <c r="I72" i="51"/>
  <c r="F72" i="51"/>
  <c r="O71" i="51"/>
  <c r="L71" i="51"/>
  <c r="I71" i="51"/>
  <c r="F71" i="51"/>
  <c r="O70" i="51"/>
  <c r="L70" i="51"/>
  <c r="I70" i="51"/>
  <c r="F70" i="51"/>
  <c r="N69" i="51"/>
  <c r="N67" i="51" s="1"/>
  <c r="M69" i="51"/>
  <c r="K69" i="51"/>
  <c r="K67" i="51" s="1"/>
  <c r="J69" i="51"/>
  <c r="J67" i="51" s="1"/>
  <c r="H69" i="51"/>
  <c r="H67" i="51" s="1"/>
  <c r="G69" i="51"/>
  <c r="E69" i="51"/>
  <c r="E67" i="51" s="1"/>
  <c r="D69" i="51"/>
  <c r="O68" i="51"/>
  <c r="L68" i="51"/>
  <c r="I68" i="51"/>
  <c r="F68" i="51"/>
  <c r="M67" i="51"/>
  <c r="G67" i="51"/>
  <c r="D67" i="51"/>
  <c r="O66" i="51"/>
  <c r="L66" i="51"/>
  <c r="I66" i="51"/>
  <c r="F66" i="51"/>
  <c r="O65" i="51"/>
  <c r="L65" i="51"/>
  <c r="C65" i="51" s="1"/>
  <c r="I65" i="51"/>
  <c r="F65" i="51"/>
  <c r="O64" i="51"/>
  <c r="L64" i="51"/>
  <c r="I64" i="51"/>
  <c r="F64" i="51"/>
  <c r="O63" i="51"/>
  <c r="L63" i="51"/>
  <c r="I63" i="51"/>
  <c r="F63" i="51"/>
  <c r="O62" i="51"/>
  <c r="L62" i="51"/>
  <c r="I62" i="51"/>
  <c r="F62" i="51"/>
  <c r="O61" i="51"/>
  <c r="L61" i="51"/>
  <c r="I61" i="51"/>
  <c r="F61" i="51"/>
  <c r="O60" i="51"/>
  <c r="L60" i="51"/>
  <c r="I60" i="51"/>
  <c r="F60" i="51"/>
  <c r="O59" i="51"/>
  <c r="L59" i="51"/>
  <c r="L58" i="51" s="1"/>
  <c r="I59" i="51"/>
  <c r="F59" i="51"/>
  <c r="N58" i="51"/>
  <c r="M58" i="51"/>
  <c r="K58" i="51"/>
  <c r="J58" i="51"/>
  <c r="H58" i="51"/>
  <c r="G58" i="51"/>
  <c r="E58" i="51"/>
  <c r="D58" i="51"/>
  <c r="O57" i="51"/>
  <c r="L57" i="51"/>
  <c r="I57" i="51"/>
  <c r="F57" i="51"/>
  <c r="O56" i="51"/>
  <c r="L56" i="51"/>
  <c r="L55" i="51" s="1"/>
  <c r="I56" i="51"/>
  <c r="F56" i="51"/>
  <c r="F55" i="51" s="1"/>
  <c r="N55" i="51"/>
  <c r="M55" i="51"/>
  <c r="K55" i="51"/>
  <c r="K54" i="51" s="1"/>
  <c r="J55" i="51"/>
  <c r="J54" i="51" s="1"/>
  <c r="J53" i="51" s="1"/>
  <c r="H55" i="51"/>
  <c r="H54" i="51" s="1"/>
  <c r="G55" i="51"/>
  <c r="E55" i="51"/>
  <c r="E54" i="51" s="1"/>
  <c r="E53" i="51" s="1"/>
  <c r="D55" i="51"/>
  <c r="M54" i="51"/>
  <c r="M53" i="51" s="1"/>
  <c r="O47" i="51"/>
  <c r="C47" i="51" s="1"/>
  <c r="O46" i="51"/>
  <c r="C46" i="51" s="1"/>
  <c r="N45" i="51"/>
  <c r="M45" i="51"/>
  <c r="L44" i="51"/>
  <c r="L43" i="51" s="1"/>
  <c r="I44" i="51"/>
  <c r="F44" i="51"/>
  <c r="K43" i="51"/>
  <c r="J43" i="51"/>
  <c r="I43" i="51"/>
  <c r="H43" i="51"/>
  <c r="G43" i="51"/>
  <c r="E43" i="51"/>
  <c r="D43" i="51"/>
  <c r="F42" i="51"/>
  <c r="C42" i="51" s="1"/>
  <c r="E41" i="51"/>
  <c r="D41" i="51"/>
  <c r="L40" i="51"/>
  <c r="C40" i="51" s="1"/>
  <c r="L39" i="51"/>
  <c r="C39" i="51" s="1"/>
  <c r="L38" i="51"/>
  <c r="C38" i="51" s="1"/>
  <c r="L37" i="51"/>
  <c r="C37" i="51" s="1"/>
  <c r="K36" i="51"/>
  <c r="J36" i="51"/>
  <c r="L35" i="51"/>
  <c r="C35" i="51" s="1"/>
  <c r="L34" i="51"/>
  <c r="C34" i="51" s="1"/>
  <c r="K33" i="51"/>
  <c r="J33" i="51"/>
  <c r="L32" i="51"/>
  <c r="C32" i="51" s="1"/>
  <c r="K31" i="51"/>
  <c r="J31" i="51"/>
  <c r="L30" i="51"/>
  <c r="C30" i="51" s="1"/>
  <c r="L29" i="51"/>
  <c r="C29" i="51" s="1"/>
  <c r="L28" i="51"/>
  <c r="C28" i="51" s="1"/>
  <c r="K27" i="51"/>
  <c r="J27" i="51"/>
  <c r="F25" i="51"/>
  <c r="C25" i="51" s="1"/>
  <c r="I24" i="51"/>
  <c r="H24" i="51"/>
  <c r="F24" i="51"/>
  <c r="O23" i="51"/>
  <c r="L23" i="51"/>
  <c r="I23" i="51"/>
  <c r="F23" i="51"/>
  <c r="O22" i="51"/>
  <c r="L22" i="51"/>
  <c r="L21" i="51" s="1"/>
  <c r="I22" i="51"/>
  <c r="F22" i="51"/>
  <c r="F21" i="51" s="1"/>
  <c r="O21" i="51"/>
  <c r="N21" i="51"/>
  <c r="N292" i="51" s="1"/>
  <c r="N291" i="51" s="1"/>
  <c r="M21" i="51"/>
  <c r="K21" i="51"/>
  <c r="K292" i="51" s="1"/>
  <c r="K291" i="51" s="1"/>
  <c r="J21" i="51"/>
  <c r="H21" i="51"/>
  <c r="H292" i="51" s="1"/>
  <c r="G21" i="51"/>
  <c r="G292" i="51" s="1"/>
  <c r="G291" i="51" s="1"/>
  <c r="E21" i="51"/>
  <c r="E292" i="51" s="1"/>
  <c r="E291" i="51" s="1"/>
  <c r="D21" i="51"/>
  <c r="D292" i="51" s="1"/>
  <c r="D291" i="51" s="1"/>
  <c r="N20" i="51"/>
  <c r="D20" i="51"/>
  <c r="C60" i="51" l="1"/>
  <c r="C93" i="51"/>
  <c r="C294" i="51"/>
  <c r="C298" i="51"/>
  <c r="C299" i="51"/>
  <c r="C300" i="51"/>
  <c r="L54" i="51"/>
  <c r="C87" i="51"/>
  <c r="C88" i="51"/>
  <c r="C106" i="51"/>
  <c r="C108" i="51"/>
  <c r="C162" i="51"/>
  <c r="C176" i="51"/>
  <c r="C180" i="51"/>
  <c r="C182" i="51"/>
  <c r="C201" i="51"/>
  <c r="C212" i="51"/>
  <c r="C222" i="51"/>
  <c r="E231" i="51"/>
  <c r="E230" i="51" s="1"/>
  <c r="C262" i="51"/>
  <c r="M174" i="51"/>
  <c r="M173" i="51" s="1"/>
  <c r="G195" i="51"/>
  <c r="D270" i="51"/>
  <c r="D269" i="51" s="1"/>
  <c r="N269" i="51"/>
  <c r="C100" i="51"/>
  <c r="C114" i="51"/>
  <c r="C148" i="51"/>
  <c r="C170" i="51"/>
  <c r="J187" i="51"/>
  <c r="D54" i="51"/>
  <c r="D53" i="51" s="1"/>
  <c r="N54" i="51"/>
  <c r="O69" i="51"/>
  <c r="C134" i="51"/>
  <c r="C135" i="51"/>
  <c r="C152" i="51"/>
  <c r="C157" i="51"/>
  <c r="C164" i="51"/>
  <c r="L166" i="51"/>
  <c r="L165" i="51" s="1"/>
  <c r="N231" i="51"/>
  <c r="N230" i="51" s="1"/>
  <c r="L272" i="51"/>
  <c r="G270" i="51"/>
  <c r="G269" i="51" s="1"/>
  <c r="C282" i="51"/>
  <c r="L36" i="51"/>
  <c r="C36" i="51" s="1"/>
  <c r="C64" i="51"/>
  <c r="L76" i="51"/>
  <c r="L112" i="51"/>
  <c r="G187" i="51"/>
  <c r="D195" i="51"/>
  <c r="C214" i="51"/>
  <c r="C234" i="51"/>
  <c r="N76" i="51"/>
  <c r="O76" i="51"/>
  <c r="M83" i="51"/>
  <c r="C97" i="51"/>
  <c r="C124" i="51"/>
  <c r="C169" i="51"/>
  <c r="L187" i="51"/>
  <c r="C218" i="51"/>
  <c r="C226" i="51"/>
  <c r="C250" i="51"/>
  <c r="O260" i="51"/>
  <c r="O264" i="51"/>
  <c r="C274" i="51"/>
  <c r="C24" i="51"/>
  <c r="C79" i="51"/>
  <c r="D76" i="51"/>
  <c r="O89" i="51"/>
  <c r="C120" i="51"/>
  <c r="C138" i="51"/>
  <c r="C158" i="51"/>
  <c r="O160" i="51"/>
  <c r="C172" i="51"/>
  <c r="C242" i="51"/>
  <c r="I246" i="51"/>
  <c r="C254" i="51"/>
  <c r="C258" i="51"/>
  <c r="J259" i="51"/>
  <c r="K270" i="51"/>
  <c r="K269" i="51" s="1"/>
  <c r="O187" i="51"/>
  <c r="C188" i="51"/>
  <c r="H53" i="51"/>
  <c r="N204" i="51"/>
  <c r="N195" i="51" s="1"/>
  <c r="C266" i="51"/>
  <c r="I293" i="51"/>
  <c r="H20" i="51"/>
  <c r="M20" i="51"/>
  <c r="C23" i="51"/>
  <c r="C44" i="51"/>
  <c r="C56" i="51"/>
  <c r="C63" i="51"/>
  <c r="C70" i="51"/>
  <c r="C72" i="51"/>
  <c r="C81" i="51"/>
  <c r="E83" i="51"/>
  <c r="E75" i="51" s="1"/>
  <c r="C92" i="51"/>
  <c r="I116" i="51"/>
  <c r="O122" i="51"/>
  <c r="H130" i="51"/>
  <c r="O136" i="51"/>
  <c r="C140" i="51"/>
  <c r="C147" i="51"/>
  <c r="C154" i="51"/>
  <c r="C156" i="51"/>
  <c r="C159" i="51"/>
  <c r="I160" i="51"/>
  <c r="C168" i="51"/>
  <c r="C171" i="51"/>
  <c r="K173" i="51"/>
  <c r="L179" i="51"/>
  <c r="C186" i="51"/>
  <c r="C206" i="51"/>
  <c r="C211" i="51"/>
  <c r="E204" i="51"/>
  <c r="E195" i="51" s="1"/>
  <c r="J204" i="51"/>
  <c r="J195" i="51" s="1"/>
  <c r="C236" i="51"/>
  <c r="O238" i="51"/>
  <c r="L252" i="51"/>
  <c r="L251" i="51" s="1"/>
  <c r="C267" i="51"/>
  <c r="O272" i="51"/>
  <c r="C287" i="51"/>
  <c r="C288" i="51"/>
  <c r="O67" i="51"/>
  <c r="J26" i="51"/>
  <c r="J20" i="51" s="1"/>
  <c r="O45" i="51"/>
  <c r="C45" i="51" s="1"/>
  <c r="N53" i="51"/>
  <c r="C61" i="51"/>
  <c r="K53" i="51"/>
  <c r="C73" i="51"/>
  <c r="H83" i="51"/>
  <c r="C91" i="51"/>
  <c r="C101" i="51"/>
  <c r="C105" i="51"/>
  <c r="C110" i="51"/>
  <c r="O116" i="51"/>
  <c r="D130" i="51"/>
  <c r="K130" i="51"/>
  <c r="K75" i="51" s="1"/>
  <c r="C139" i="51"/>
  <c r="L151" i="51"/>
  <c r="C178" i="51"/>
  <c r="C219" i="51"/>
  <c r="C221" i="51"/>
  <c r="C227" i="51"/>
  <c r="C228" i="51"/>
  <c r="C229" i="51"/>
  <c r="O231" i="51"/>
  <c r="K231" i="51"/>
  <c r="K230" i="51" s="1"/>
  <c r="K194" i="51" s="1"/>
  <c r="I238" i="51"/>
  <c r="C243" i="51"/>
  <c r="C245" i="51"/>
  <c r="O252" i="51"/>
  <c r="L260" i="51"/>
  <c r="I264" i="51"/>
  <c r="C275" i="51"/>
  <c r="L276" i="51"/>
  <c r="F281" i="51"/>
  <c r="I286" i="51"/>
  <c r="O175" i="51"/>
  <c r="L27" i="51"/>
  <c r="C27" i="51" s="1"/>
  <c r="J292" i="51"/>
  <c r="J291" i="51" s="1"/>
  <c r="O292" i="51"/>
  <c r="K26" i="51"/>
  <c r="L33" i="51"/>
  <c r="C33" i="51" s="1"/>
  <c r="F41" i="51"/>
  <c r="C41" i="51" s="1"/>
  <c r="F43" i="51"/>
  <c r="C43" i="51" s="1"/>
  <c r="G54" i="51"/>
  <c r="G53" i="51" s="1"/>
  <c r="C57" i="51"/>
  <c r="C59" i="51"/>
  <c r="D83" i="51"/>
  <c r="D75" i="51" s="1"/>
  <c r="D52" i="51" s="1"/>
  <c r="C86" i="51"/>
  <c r="O84" i="51"/>
  <c r="L89" i="51"/>
  <c r="C96" i="51"/>
  <c r="C99" i="51"/>
  <c r="I103" i="51"/>
  <c r="C109" i="51"/>
  <c r="C119" i="51"/>
  <c r="L122" i="51"/>
  <c r="C126" i="51"/>
  <c r="I144" i="51"/>
  <c r="C150" i="51"/>
  <c r="O151" i="51"/>
  <c r="C163" i="51"/>
  <c r="L175" i="51"/>
  <c r="H204" i="51"/>
  <c r="H195" i="51" s="1"/>
  <c r="C213" i="51"/>
  <c r="C220" i="51"/>
  <c r="C225" i="51"/>
  <c r="D230" i="51"/>
  <c r="D194" i="51" s="1"/>
  <c r="H231" i="51"/>
  <c r="H230" i="51" s="1"/>
  <c r="G231" i="51"/>
  <c r="G230" i="51" s="1"/>
  <c r="G194" i="51" s="1"/>
  <c r="L238" i="51"/>
  <c r="C255" i="51"/>
  <c r="C257" i="51"/>
  <c r="O259" i="51"/>
  <c r="L264" i="51"/>
  <c r="C271" i="51"/>
  <c r="I270" i="51"/>
  <c r="I269" i="51" s="1"/>
  <c r="O276" i="51"/>
  <c r="O270" i="51" s="1"/>
  <c r="O269" i="51" s="1"/>
  <c r="C295" i="51"/>
  <c r="C89" i="51"/>
  <c r="L292" i="51"/>
  <c r="L291" i="51" s="1"/>
  <c r="F292" i="51"/>
  <c r="F20" i="51"/>
  <c r="C71" i="51"/>
  <c r="C117" i="51"/>
  <c r="F116" i="51"/>
  <c r="C161" i="51"/>
  <c r="F160" i="51"/>
  <c r="C160" i="51" s="1"/>
  <c r="C193" i="51"/>
  <c r="F192" i="51"/>
  <c r="M292" i="51"/>
  <c r="M291" i="51" s="1"/>
  <c r="C301" i="51"/>
  <c r="E20" i="51"/>
  <c r="H291" i="51"/>
  <c r="C22" i="51"/>
  <c r="O55" i="51"/>
  <c r="I58" i="51"/>
  <c r="C66" i="51"/>
  <c r="C82" i="51"/>
  <c r="J83" i="51"/>
  <c r="N83" i="51"/>
  <c r="I84" i="51"/>
  <c r="C94" i="51"/>
  <c r="C104" i="51"/>
  <c r="C111" i="51"/>
  <c r="C113" i="51"/>
  <c r="F112" i="51"/>
  <c r="C112" i="51" s="1"/>
  <c r="I131" i="51"/>
  <c r="C132" i="51"/>
  <c r="M130" i="51"/>
  <c r="M75" i="51" s="1"/>
  <c r="M52" i="51" s="1"/>
  <c r="C145" i="51"/>
  <c r="F144" i="51"/>
  <c r="O144" i="51"/>
  <c r="E173" i="51"/>
  <c r="E52" i="51" s="1"/>
  <c r="D289" i="51"/>
  <c r="I184" i="51"/>
  <c r="N194" i="51"/>
  <c r="C197" i="51"/>
  <c r="F196" i="51"/>
  <c r="C133" i="51"/>
  <c r="F131" i="51"/>
  <c r="I69" i="51"/>
  <c r="I67" i="51" s="1"/>
  <c r="L69" i="51"/>
  <c r="L67" i="51" s="1"/>
  <c r="L53" i="51" s="1"/>
  <c r="F84" i="51"/>
  <c r="C90" i="51"/>
  <c r="I95" i="51"/>
  <c r="F95" i="51"/>
  <c r="C102" i="51"/>
  <c r="C115" i="51"/>
  <c r="J174" i="51"/>
  <c r="J173" i="51" s="1"/>
  <c r="O174" i="51"/>
  <c r="O173" i="51" s="1"/>
  <c r="F122" i="51"/>
  <c r="C122" i="51" s="1"/>
  <c r="C123" i="51"/>
  <c r="I21" i="51"/>
  <c r="C21" i="51" s="1"/>
  <c r="L31" i="51"/>
  <c r="F58" i="51"/>
  <c r="C62" i="51"/>
  <c r="F77" i="51"/>
  <c r="G20" i="51"/>
  <c r="K20" i="51"/>
  <c r="I55" i="51"/>
  <c r="O58" i="51"/>
  <c r="C68" i="51"/>
  <c r="F69" i="51"/>
  <c r="C74" i="51"/>
  <c r="C78" i="51"/>
  <c r="F80" i="51"/>
  <c r="C80" i="51" s="1"/>
  <c r="C85" i="51"/>
  <c r="C98" i="51"/>
  <c r="C107" i="51"/>
  <c r="C137" i="51"/>
  <c r="F136" i="51"/>
  <c r="F141" i="51"/>
  <c r="C141" i="51" s="1"/>
  <c r="I166" i="51"/>
  <c r="I165" i="51" s="1"/>
  <c r="O166" i="51"/>
  <c r="O165" i="51" s="1"/>
  <c r="F174" i="51"/>
  <c r="O103" i="51"/>
  <c r="C103" i="51" s="1"/>
  <c r="L116" i="51"/>
  <c r="L83" i="51" s="1"/>
  <c r="C121" i="51"/>
  <c r="C125" i="51"/>
  <c r="C129" i="51"/>
  <c r="F128" i="51"/>
  <c r="C128" i="51" s="1"/>
  <c r="J130" i="51"/>
  <c r="N130" i="51"/>
  <c r="L136" i="51"/>
  <c r="L130" i="51" s="1"/>
  <c r="L144" i="51"/>
  <c r="C149" i="51"/>
  <c r="C153" i="51"/>
  <c r="C177" i="51"/>
  <c r="C181" i="51"/>
  <c r="C185" i="51"/>
  <c r="F184" i="51"/>
  <c r="C261" i="51"/>
  <c r="F260" i="51"/>
  <c r="C127" i="51"/>
  <c r="O131" i="51"/>
  <c r="O130" i="51" s="1"/>
  <c r="I151" i="51"/>
  <c r="C151" i="51" s="1"/>
  <c r="C155" i="51"/>
  <c r="F166" i="51"/>
  <c r="C167" i="51"/>
  <c r="I175" i="51"/>
  <c r="I174" i="51" s="1"/>
  <c r="I173" i="51" s="1"/>
  <c r="I179" i="51"/>
  <c r="C183" i="51"/>
  <c r="C209" i="51"/>
  <c r="F205" i="51"/>
  <c r="C237" i="51"/>
  <c r="F235" i="51"/>
  <c r="C256" i="51"/>
  <c r="I252" i="51"/>
  <c r="I251" i="51" s="1"/>
  <c r="C277" i="51"/>
  <c r="F276" i="51"/>
  <c r="C276" i="51" s="1"/>
  <c r="C200" i="51"/>
  <c r="I198" i="51"/>
  <c r="I196" i="51" s="1"/>
  <c r="C203" i="51"/>
  <c r="H194" i="51"/>
  <c r="C208" i="51"/>
  <c r="I205" i="51"/>
  <c r="I204" i="51" s="1"/>
  <c r="C223" i="51"/>
  <c r="C224" i="51"/>
  <c r="C232" i="51"/>
  <c r="C233" i="51"/>
  <c r="L231" i="51"/>
  <c r="C247" i="51"/>
  <c r="C248" i="51"/>
  <c r="C249" i="51"/>
  <c r="F246" i="51"/>
  <c r="C246" i="51" s="1"/>
  <c r="C263" i="51"/>
  <c r="E270" i="51"/>
  <c r="E269" i="51" s="1"/>
  <c r="C279" i="51"/>
  <c r="C280" i="51"/>
  <c r="C281" i="51"/>
  <c r="C285" i="51"/>
  <c r="F284" i="51"/>
  <c r="C286" i="51"/>
  <c r="C215" i="51"/>
  <c r="L216" i="51"/>
  <c r="L204" i="51" s="1"/>
  <c r="L195" i="51" s="1"/>
  <c r="J230" i="51"/>
  <c r="I231" i="51"/>
  <c r="C239" i="51"/>
  <c r="C240" i="51"/>
  <c r="C241" i="51"/>
  <c r="F238" i="51"/>
  <c r="C238" i="51" s="1"/>
  <c r="C253" i="51"/>
  <c r="F252" i="51"/>
  <c r="O251" i="51"/>
  <c r="M259" i="51"/>
  <c r="M230" i="51" s="1"/>
  <c r="C265" i="51"/>
  <c r="F264" i="51"/>
  <c r="C264" i="51" s="1"/>
  <c r="L270" i="51"/>
  <c r="L269" i="51" s="1"/>
  <c r="C273" i="51"/>
  <c r="F272" i="51"/>
  <c r="O293" i="51"/>
  <c r="C189" i="51"/>
  <c r="O196" i="51"/>
  <c r="O205" i="51"/>
  <c r="C217" i="51"/>
  <c r="F216" i="51"/>
  <c r="O216" i="51"/>
  <c r="C244" i="51"/>
  <c r="I259" i="51"/>
  <c r="C268" i="51"/>
  <c r="C296" i="51"/>
  <c r="C297" i="51"/>
  <c r="F293" i="51"/>
  <c r="C199" i="51"/>
  <c r="H75" i="51" l="1"/>
  <c r="H52" i="51" s="1"/>
  <c r="H51" i="51" s="1"/>
  <c r="J75" i="51"/>
  <c r="J52" i="51" s="1"/>
  <c r="O230" i="51"/>
  <c r="I230" i="51"/>
  <c r="G52" i="51"/>
  <c r="G51" i="51" s="1"/>
  <c r="G289" i="51"/>
  <c r="E289" i="51"/>
  <c r="E194" i="51"/>
  <c r="E51" i="51" s="1"/>
  <c r="D51" i="51"/>
  <c r="K52" i="51"/>
  <c r="K51" i="51" s="1"/>
  <c r="K50" i="51" s="1"/>
  <c r="K289" i="51"/>
  <c r="C216" i="51"/>
  <c r="C184" i="51"/>
  <c r="F291" i="51"/>
  <c r="L174" i="51"/>
  <c r="L173" i="51" s="1"/>
  <c r="J289" i="51"/>
  <c r="O291" i="51"/>
  <c r="C179" i="51"/>
  <c r="O20" i="51"/>
  <c r="N75" i="51"/>
  <c r="N52" i="51" s="1"/>
  <c r="N51" i="51" s="1"/>
  <c r="C116" i="51"/>
  <c r="L259" i="51"/>
  <c r="L230" i="51" s="1"/>
  <c r="L75" i="51"/>
  <c r="L52" i="51" s="1"/>
  <c r="C144" i="51"/>
  <c r="O54" i="51"/>
  <c r="O53" i="51" s="1"/>
  <c r="N289" i="51"/>
  <c r="M194" i="51"/>
  <c r="M51" i="51" s="1"/>
  <c r="M289" i="51"/>
  <c r="C58" i="51"/>
  <c r="F54" i="51"/>
  <c r="I130" i="51"/>
  <c r="C284" i="51"/>
  <c r="F283" i="51"/>
  <c r="C283" i="51" s="1"/>
  <c r="C235" i="51"/>
  <c r="F231" i="51"/>
  <c r="J194" i="51"/>
  <c r="J51" i="51" s="1"/>
  <c r="F173" i="51"/>
  <c r="C173" i="51" s="1"/>
  <c r="C174" i="51"/>
  <c r="C192" i="51"/>
  <c r="F191" i="51"/>
  <c r="C55" i="51"/>
  <c r="I54" i="51"/>
  <c r="I53" i="51" s="1"/>
  <c r="O83" i="51"/>
  <c r="O75" i="51" s="1"/>
  <c r="C136" i="51"/>
  <c r="C69" i="51"/>
  <c r="C77" i="51"/>
  <c r="F76" i="51"/>
  <c r="F130" i="51"/>
  <c r="C130" i="51" s="1"/>
  <c r="C131" i="51"/>
  <c r="C293" i="51"/>
  <c r="O204" i="51"/>
  <c r="O195" i="51" s="1"/>
  <c r="C252" i="51"/>
  <c r="F251" i="51"/>
  <c r="C251" i="51" s="1"/>
  <c r="F165" i="51"/>
  <c r="C165" i="51" s="1"/>
  <c r="C166" i="51"/>
  <c r="C31" i="51"/>
  <c r="L26" i="51"/>
  <c r="C198" i="51"/>
  <c r="F83" i="51"/>
  <c r="C84" i="51"/>
  <c r="C175" i="51"/>
  <c r="I195" i="51"/>
  <c r="I194" i="51" s="1"/>
  <c r="F270" i="51"/>
  <c r="C272" i="51"/>
  <c r="C205" i="51"/>
  <c r="F204" i="51"/>
  <c r="C260" i="51"/>
  <c r="F259" i="51"/>
  <c r="C259" i="51" s="1"/>
  <c r="H289" i="51"/>
  <c r="I292" i="51"/>
  <c r="I291" i="51" s="1"/>
  <c r="I20" i="51"/>
  <c r="F67" i="51"/>
  <c r="C67" i="51" s="1"/>
  <c r="C95" i="51"/>
  <c r="C196" i="51"/>
  <c r="I83" i="51"/>
  <c r="I75" i="51" s="1"/>
  <c r="H290" i="51" l="1"/>
  <c r="H50" i="51"/>
  <c r="I289" i="51"/>
  <c r="O52" i="51"/>
  <c r="E290" i="51"/>
  <c r="E50" i="51"/>
  <c r="L289" i="51"/>
  <c r="L194" i="51"/>
  <c r="L51" i="51" s="1"/>
  <c r="C83" i="51"/>
  <c r="C291" i="51"/>
  <c r="C204" i="51"/>
  <c r="K290" i="51"/>
  <c r="D290" i="51"/>
  <c r="D50" i="51"/>
  <c r="G290" i="51"/>
  <c r="G50" i="51"/>
  <c r="O194" i="51"/>
  <c r="O51" i="51" s="1"/>
  <c r="O289" i="51"/>
  <c r="F75" i="51"/>
  <c r="C75" i="51" s="1"/>
  <c r="C76" i="51"/>
  <c r="C292" i="51"/>
  <c r="M50" i="51"/>
  <c r="M290" i="51"/>
  <c r="C191" i="51"/>
  <c r="F187" i="51"/>
  <c r="C187" i="51" s="1"/>
  <c r="C26" i="51"/>
  <c r="L20" i="51"/>
  <c r="C20" i="51" s="1"/>
  <c r="I52" i="51"/>
  <c r="I51" i="51" s="1"/>
  <c r="F230" i="51"/>
  <c r="C230" i="51" s="1"/>
  <c r="C231" i="51"/>
  <c r="J50" i="51"/>
  <c r="J290" i="51"/>
  <c r="F195" i="51"/>
  <c r="F269" i="51"/>
  <c r="C270" i="51"/>
  <c r="C54" i="51"/>
  <c r="F53" i="51"/>
  <c r="N50" i="51"/>
  <c r="N290" i="51"/>
  <c r="L50" i="51" l="1"/>
  <c r="L290" i="51"/>
  <c r="O50" i="51"/>
  <c r="O290" i="51"/>
  <c r="C269" i="51"/>
  <c r="F289" i="51"/>
  <c r="C289" i="51" s="1"/>
  <c r="C53" i="51"/>
  <c r="F52" i="51"/>
  <c r="F194" i="51"/>
  <c r="C194" i="51" s="1"/>
  <c r="C195" i="51"/>
  <c r="I290" i="51"/>
  <c r="I50" i="51"/>
  <c r="C52" i="51" l="1"/>
  <c r="F51" i="51"/>
  <c r="F290" i="51" l="1"/>
  <c r="C290" i="51" s="1"/>
  <c r="C51" i="51"/>
  <c r="F50" i="51"/>
  <c r="C50" i="51" s="1"/>
  <c r="O301" i="50" l="1"/>
  <c r="L301" i="50"/>
  <c r="I301" i="50"/>
  <c r="F301" i="50"/>
  <c r="O300" i="50"/>
  <c r="L300" i="50"/>
  <c r="I300" i="50"/>
  <c r="F300" i="50"/>
  <c r="O299" i="50"/>
  <c r="L299" i="50"/>
  <c r="I299" i="50"/>
  <c r="F299" i="50"/>
  <c r="O298" i="50"/>
  <c r="L298" i="50"/>
  <c r="I298" i="50"/>
  <c r="F298" i="50"/>
  <c r="O297" i="50"/>
  <c r="L297" i="50"/>
  <c r="I297" i="50"/>
  <c r="F297" i="50"/>
  <c r="O296" i="50"/>
  <c r="L296" i="50"/>
  <c r="I296" i="50"/>
  <c r="F296" i="50"/>
  <c r="O295" i="50"/>
  <c r="L295" i="50"/>
  <c r="I295" i="50"/>
  <c r="F295" i="50"/>
  <c r="O294" i="50"/>
  <c r="L294" i="50"/>
  <c r="L293" i="50" s="1"/>
  <c r="I294" i="50"/>
  <c r="F294" i="50"/>
  <c r="N293" i="50"/>
  <c r="M293" i="50"/>
  <c r="K293" i="50"/>
  <c r="J293" i="50"/>
  <c r="H293" i="50"/>
  <c r="G293" i="50"/>
  <c r="E293" i="50"/>
  <c r="D293" i="50"/>
  <c r="O288" i="50"/>
  <c r="L288" i="50"/>
  <c r="I288" i="50"/>
  <c r="F288" i="50"/>
  <c r="O287" i="50"/>
  <c r="L287" i="50"/>
  <c r="L286" i="50" s="1"/>
  <c r="I287" i="50"/>
  <c r="I286" i="50" s="1"/>
  <c r="F287" i="50"/>
  <c r="O286" i="50"/>
  <c r="N286" i="50"/>
  <c r="M286" i="50"/>
  <c r="K286" i="50"/>
  <c r="J286" i="50"/>
  <c r="H286" i="50"/>
  <c r="G286" i="50"/>
  <c r="F286" i="50"/>
  <c r="E286" i="50"/>
  <c r="D286" i="50"/>
  <c r="O285" i="50"/>
  <c r="O284" i="50" s="1"/>
  <c r="O283" i="50" s="1"/>
  <c r="L285" i="50"/>
  <c r="L284" i="50" s="1"/>
  <c r="L283" i="50" s="1"/>
  <c r="I285" i="50"/>
  <c r="I284" i="50" s="1"/>
  <c r="I283" i="50" s="1"/>
  <c r="F285" i="50"/>
  <c r="N284" i="50"/>
  <c r="M284" i="50"/>
  <c r="M283" i="50" s="1"/>
  <c r="K284" i="50"/>
  <c r="J284" i="50"/>
  <c r="H284" i="50"/>
  <c r="H283" i="50" s="1"/>
  <c r="G284" i="50"/>
  <c r="G283" i="50" s="1"/>
  <c r="E284" i="50"/>
  <c r="E283" i="50" s="1"/>
  <c r="D284" i="50"/>
  <c r="D283" i="50" s="1"/>
  <c r="N283" i="50"/>
  <c r="K283" i="50"/>
  <c r="J283" i="50"/>
  <c r="O282" i="50"/>
  <c r="O281" i="50" s="1"/>
  <c r="L282" i="50"/>
  <c r="I282" i="50"/>
  <c r="I281" i="50" s="1"/>
  <c r="F282" i="50"/>
  <c r="N281" i="50"/>
  <c r="M281" i="50"/>
  <c r="L281" i="50"/>
  <c r="K281" i="50"/>
  <c r="J281" i="50"/>
  <c r="H281" i="50"/>
  <c r="G281" i="50"/>
  <c r="E281" i="50"/>
  <c r="D281" i="50"/>
  <c r="O280" i="50"/>
  <c r="L280" i="50"/>
  <c r="I280" i="50"/>
  <c r="F280" i="50"/>
  <c r="O279" i="50"/>
  <c r="L279" i="50"/>
  <c r="I279" i="50"/>
  <c r="F279" i="50"/>
  <c r="O278" i="50"/>
  <c r="L278" i="50"/>
  <c r="I278" i="50"/>
  <c r="F278" i="50"/>
  <c r="O277" i="50"/>
  <c r="O276" i="50" s="1"/>
  <c r="L277" i="50"/>
  <c r="I277" i="50"/>
  <c r="I276" i="50" s="1"/>
  <c r="F277" i="50"/>
  <c r="N276" i="50"/>
  <c r="M276" i="50"/>
  <c r="K276" i="50"/>
  <c r="J276" i="50"/>
  <c r="H276" i="50"/>
  <c r="G276" i="50"/>
  <c r="E276" i="50"/>
  <c r="D276" i="50"/>
  <c r="O275" i="50"/>
  <c r="L275" i="50"/>
  <c r="I275" i="50"/>
  <c r="F275" i="50"/>
  <c r="O274" i="50"/>
  <c r="L274" i="50"/>
  <c r="I274" i="50"/>
  <c r="F274" i="50"/>
  <c r="O273" i="50"/>
  <c r="L273" i="50"/>
  <c r="I273" i="50"/>
  <c r="I272" i="50" s="1"/>
  <c r="F273" i="50"/>
  <c r="N272" i="50"/>
  <c r="N270" i="50" s="1"/>
  <c r="N269" i="50" s="1"/>
  <c r="M272" i="50"/>
  <c r="K272" i="50"/>
  <c r="J272" i="50"/>
  <c r="H272" i="50"/>
  <c r="H270" i="50" s="1"/>
  <c r="G272" i="50"/>
  <c r="E272" i="50"/>
  <c r="E270" i="50" s="1"/>
  <c r="E269" i="50" s="1"/>
  <c r="D272" i="50"/>
  <c r="O271" i="50"/>
  <c r="L271" i="50"/>
  <c r="I271" i="50"/>
  <c r="F271" i="50"/>
  <c r="J270" i="50"/>
  <c r="J269" i="50" s="1"/>
  <c r="O268" i="50"/>
  <c r="L268" i="50"/>
  <c r="I268" i="50"/>
  <c r="F268" i="50"/>
  <c r="O267" i="50"/>
  <c r="L267" i="50"/>
  <c r="I267" i="50"/>
  <c r="F267" i="50"/>
  <c r="O266" i="50"/>
  <c r="L266" i="50"/>
  <c r="I266" i="50"/>
  <c r="F266" i="50"/>
  <c r="O265" i="50"/>
  <c r="O264" i="50" s="1"/>
  <c r="L265" i="50"/>
  <c r="I265" i="50"/>
  <c r="F265" i="50"/>
  <c r="N264" i="50"/>
  <c r="M264" i="50"/>
  <c r="K264" i="50"/>
  <c r="J264" i="50"/>
  <c r="I264" i="50"/>
  <c r="H264" i="50"/>
  <c r="G264" i="50"/>
  <c r="E264" i="50"/>
  <c r="D264" i="50"/>
  <c r="O263" i="50"/>
  <c r="L263" i="50"/>
  <c r="I263" i="50"/>
  <c r="F263" i="50"/>
  <c r="O262" i="50"/>
  <c r="L262" i="50"/>
  <c r="I262" i="50"/>
  <c r="F262" i="50"/>
  <c r="O261" i="50"/>
  <c r="O260" i="50" s="1"/>
  <c r="L261" i="50"/>
  <c r="I261" i="50"/>
  <c r="I260" i="50" s="1"/>
  <c r="F261" i="50"/>
  <c r="N260" i="50"/>
  <c r="M260" i="50"/>
  <c r="K260" i="50"/>
  <c r="K259" i="50" s="1"/>
  <c r="J260" i="50"/>
  <c r="J259" i="50" s="1"/>
  <c r="H260" i="50"/>
  <c r="H259" i="50" s="1"/>
  <c r="G260" i="50"/>
  <c r="G259" i="50" s="1"/>
  <c r="E260" i="50"/>
  <c r="D260" i="50"/>
  <c r="O258" i="50"/>
  <c r="L258" i="50"/>
  <c r="I258" i="50"/>
  <c r="F258" i="50"/>
  <c r="O257" i="50"/>
  <c r="L257" i="50"/>
  <c r="I257" i="50"/>
  <c r="F257" i="50"/>
  <c r="O256" i="50"/>
  <c r="L256" i="50"/>
  <c r="I256" i="50"/>
  <c r="F256" i="50"/>
  <c r="O255" i="50"/>
  <c r="L255" i="50"/>
  <c r="I255" i="50"/>
  <c r="F255" i="50"/>
  <c r="O254" i="50"/>
  <c r="L254" i="50"/>
  <c r="I254" i="50"/>
  <c r="F254" i="50"/>
  <c r="O253" i="50"/>
  <c r="L253" i="50"/>
  <c r="I253" i="50"/>
  <c r="F253" i="50"/>
  <c r="N252" i="50"/>
  <c r="M252" i="50"/>
  <c r="M251" i="50" s="1"/>
  <c r="K252" i="50"/>
  <c r="K251" i="50" s="1"/>
  <c r="J252" i="50"/>
  <c r="J251" i="50" s="1"/>
  <c r="H252" i="50"/>
  <c r="H251" i="50" s="1"/>
  <c r="G252" i="50"/>
  <c r="G251" i="50" s="1"/>
  <c r="E252" i="50"/>
  <c r="E251" i="50" s="1"/>
  <c r="D252" i="50"/>
  <c r="D251" i="50" s="1"/>
  <c r="N251" i="50"/>
  <c r="O250" i="50"/>
  <c r="L250" i="50"/>
  <c r="I250" i="50"/>
  <c r="F250" i="50"/>
  <c r="O249" i="50"/>
  <c r="L249" i="50"/>
  <c r="I249" i="50"/>
  <c r="F249" i="50"/>
  <c r="O248" i="50"/>
  <c r="L248" i="50"/>
  <c r="I248" i="50"/>
  <c r="F248" i="50"/>
  <c r="O247" i="50"/>
  <c r="L247" i="50"/>
  <c r="L246" i="50" s="1"/>
  <c r="I247" i="50"/>
  <c r="F247" i="50"/>
  <c r="N246" i="50"/>
  <c r="M246" i="50"/>
  <c r="K246" i="50"/>
  <c r="J246" i="50"/>
  <c r="H246" i="50"/>
  <c r="G246" i="50"/>
  <c r="E246" i="50"/>
  <c r="D246" i="50"/>
  <c r="O245" i="50"/>
  <c r="L245" i="50"/>
  <c r="I245" i="50"/>
  <c r="F245" i="50"/>
  <c r="O244" i="50"/>
  <c r="L244" i="50"/>
  <c r="I244" i="50"/>
  <c r="F244" i="50"/>
  <c r="O243" i="50"/>
  <c r="L243" i="50"/>
  <c r="I243" i="50"/>
  <c r="F243" i="50"/>
  <c r="O242" i="50"/>
  <c r="L242" i="50"/>
  <c r="I242" i="50"/>
  <c r="F242" i="50"/>
  <c r="O241" i="50"/>
  <c r="L241" i="50"/>
  <c r="I241" i="50"/>
  <c r="F241" i="50"/>
  <c r="O240" i="50"/>
  <c r="L240" i="50"/>
  <c r="I240" i="50"/>
  <c r="F240" i="50"/>
  <c r="O239" i="50"/>
  <c r="L239" i="50"/>
  <c r="I239" i="50"/>
  <c r="F239" i="50"/>
  <c r="N238" i="50"/>
  <c r="M238" i="50"/>
  <c r="K238" i="50"/>
  <c r="J238" i="50"/>
  <c r="H238" i="50"/>
  <c r="G238" i="50"/>
  <c r="E238" i="50"/>
  <c r="D238" i="50"/>
  <c r="O237" i="50"/>
  <c r="L237" i="50"/>
  <c r="I237" i="50"/>
  <c r="F237" i="50"/>
  <c r="O236" i="50"/>
  <c r="L236" i="50"/>
  <c r="L235" i="50" s="1"/>
  <c r="I236" i="50"/>
  <c r="I235" i="50" s="1"/>
  <c r="F236" i="50"/>
  <c r="O235" i="50"/>
  <c r="N235" i="50"/>
  <c r="M235" i="50"/>
  <c r="K235" i="50"/>
  <c r="J235" i="50"/>
  <c r="H235" i="50"/>
  <c r="G235" i="50"/>
  <c r="F235" i="50"/>
  <c r="E235" i="50"/>
  <c r="D235" i="50"/>
  <c r="O234" i="50"/>
  <c r="O233" i="50" s="1"/>
  <c r="L234" i="50"/>
  <c r="L233" i="50" s="1"/>
  <c r="I234" i="50"/>
  <c r="I233" i="50" s="1"/>
  <c r="F234" i="50"/>
  <c r="N233" i="50"/>
  <c r="M233" i="50"/>
  <c r="K233" i="50"/>
  <c r="J233" i="50"/>
  <c r="H233" i="50"/>
  <c r="G233" i="50"/>
  <c r="F233" i="50"/>
  <c r="E233" i="50"/>
  <c r="D233" i="50"/>
  <c r="D231" i="50" s="1"/>
  <c r="O232" i="50"/>
  <c r="L232" i="50"/>
  <c r="I232" i="50"/>
  <c r="F232" i="50"/>
  <c r="J231" i="50"/>
  <c r="O229" i="50"/>
  <c r="L229" i="50"/>
  <c r="I229" i="50"/>
  <c r="F229" i="50"/>
  <c r="O228" i="50"/>
  <c r="O227" i="50" s="1"/>
  <c r="L228" i="50"/>
  <c r="L227" i="50" s="1"/>
  <c r="I228" i="50"/>
  <c r="I227" i="50" s="1"/>
  <c r="F228" i="50"/>
  <c r="F227" i="50" s="1"/>
  <c r="N227" i="50"/>
  <c r="M227" i="50"/>
  <c r="K227" i="50"/>
  <c r="J227" i="50"/>
  <c r="H227" i="50"/>
  <c r="G227" i="50"/>
  <c r="E227" i="50"/>
  <c r="D227" i="50"/>
  <c r="O226" i="50"/>
  <c r="L226" i="50"/>
  <c r="I226" i="50"/>
  <c r="F226" i="50"/>
  <c r="C226" i="50" s="1"/>
  <c r="O225" i="50"/>
  <c r="L225" i="50"/>
  <c r="I225" i="50"/>
  <c r="F225" i="50"/>
  <c r="O224" i="50"/>
  <c r="L224" i="50"/>
  <c r="I224" i="50"/>
  <c r="F224" i="50"/>
  <c r="O223" i="50"/>
  <c r="L223" i="50"/>
  <c r="I223" i="50"/>
  <c r="F223" i="50"/>
  <c r="O222" i="50"/>
  <c r="L222" i="50"/>
  <c r="I222" i="50"/>
  <c r="F222" i="50"/>
  <c r="O221" i="50"/>
  <c r="L221" i="50"/>
  <c r="I221" i="50"/>
  <c r="F221" i="50"/>
  <c r="O220" i="50"/>
  <c r="L220" i="50"/>
  <c r="I220" i="50"/>
  <c r="F220" i="50"/>
  <c r="O219" i="50"/>
  <c r="L219" i="50"/>
  <c r="I219" i="50"/>
  <c r="F219" i="50"/>
  <c r="O218" i="50"/>
  <c r="L218" i="50"/>
  <c r="I218" i="50"/>
  <c r="F218" i="50"/>
  <c r="O217" i="50"/>
  <c r="L217" i="50"/>
  <c r="I217" i="50"/>
  <c r="F217" i="50"/>
  <c r="N216" i="50"/>
  <c r="M216" i="50"/>
  <c r="K216" i="50"/>
  <c r="J216" i="50"/>
  <c r="H216" i="50"/>
  <c r="G216" i="50"/>
  <c r="E216" i="50"/>
  <c r="D216" i="50"/>
  <c r="O215" i="50"/>
  <c r="L215" i="50"/>
  <c r="I215" i="50"/>
  <c r="F215" i="50"/>
  <c r="O214" i="50"/>
  <c r="L214" i="50"/>
  <c r="I214" i="50"/>
  <c r="F214" i="50"/>
  <c r="O213" i="50"/>
  <c r="L213" i="50"/>
  <c r="I213" i="50"/>
  <c r="F213" i="50"/>
  <c r="O212" i="50"/>
  <c r="L212" i="50"/>
  <c r="I212" i="50"/>
  <c r="F212" i="50"/>
  <c r="C212" i="50" s="1"/>
  <c r="O211" i="50"/>
  <c r="L211" i="50"/>
  <c r="I211" i="50"/>
  <c r="F211" i="50"/>
  <c r="O210" i="50"/>
  <c r="L210" i="50"/>
  <c r="I210" i="50"/>
  <c r="F210" i="50"/>
  <c r="C210" i="50" s="1"/>
  <c r="O209" i="50"/>
  <c r="L209" i="50"/>
  <c r="I209" i="50"/>
  <c r="F209" i="50"/>
  <c r="O208" i="50"/>
  <c r="L208" i="50"/>
  <c r="I208" i="50"/>
  <c r="F208" i="50"/>
  <c r="O207" i="50"/>
  <c r="L207" i="50"/>
  <c r="I207" i="50"/>
  <c r="F207" i="50"/>
  <c r="O206" i="50"/>
  <c r="L206" i="50"/>
  <c r="I206" i="50"/>
  <c r="F206" i="50"/>
  <c r="N205" i="50"/>
  <c r="M205" i="50"/>
  <c r="M204" i="50" s="1"/>
  <c r="K205" i="50"/>
  <c r="K204" i="50" s="1"/>
  <c r="J205" i="50"/>
  <c r="H205" i="50"/>
  <c r="G205" i="50"/>
  <c r="G204" i="50" s="1"/>
  <c r="E205" i="50"/>
  <c r="D205" i="50"/>
  <c r="O203" i="50"/>
  <c r="L203" i="50"/>
  <c r="I203" i="50"/>
  <c r="F203" i="50"/>
  <c r="O202" i="50"/>
  <c r="L202" i="50"/>
  <c r="I202" i="50"/>
  <c r="F202" i="50"/>
  <c r="O201" i="50"/>
  <c r="L201" i="50"/>
  <c r="I201" i="50"/>
  <c r="F201" i="50"/>
  <c r="O200" i="50"/>
  <c r="L200" i="50"/>
  <c r="I200" i="50"/>
  <c r="F200" i="50"/>
  <c r="O199" i="50"/>
  <c r="L199" i="50"/>
  <c r="L198" i="50" s="1"/>
  <c r="I199" i="50"/>
  <c r="F199" i="50"/>
  <c r="F198" i="50" s="1"/>
  <c r="O198" i="50"/>
  <c r="N198" i="50"/>
  <c r="M198" i="50"/>
  <c r="K198" i="50"/>
  <c r="K196" i="50" s="1"/>
  <c r="J198" i="50"/>
  <c r="H198" i="50"/>
  <c r="H196" i="50" s="1"/>
  <c r="G198" i="50"/>
  <c r="G196" i="50" s="1"/>
  <c r="E198" i="50"/>
  <c r="E196" i="50" s="1"/>
  <c r="D198" i="50"/>
  <c r="O197" i="50"/>
  <c r="L197" i="50"/>
  <c r="I197" i="50"/>
  <c r="F197" i="50"/>
  <c r="N196" i="50"/>
  <c r="M196" i="50"/>
  <c r="J196" i="50"/>
  <c r="D196" i="50"/>
  <c r="O193" i="50"/>
  <c r="L193" i="50"/>
  <c r="L192" i="50" s="1"/>
  <c r="L191" i="50" s="1"/>
  <c r="I193" i="50"/>
  <c r="F193" i="50"/>
  <c r="O192" i="50"/>
  <c r="O191" i="50" s="1"/>
  <c r="N192" i="50"/>
  <c r="N191" i="50" s="1"/>
  <c r="M192" i="50"/>
  <c r="M191" i="50" s="1"/>
  <c r="K192" i="50"/>
  <c r="J192" i="50"/>
  <c r="J191" i="50" s="1"/>
  <c r="I192" i="50"/>
  <c r="I191" i="50" s="1"/>
  <c r="H192" i="50"/>
  <c r="H191" i="50" s="1"/>
  <c r="G192" i="50"/>
  <c r="E192" i="50"/>
  <c r="E191" i="50" s="1"/>
  <c r="D192" i="50"/>
  <c r="K191" i="50"/>
  <c r="G191" i="50"/>
  <c r="D191" i="50"/>
  <c r="O190" i="50"/>
  <c r="L190" i="50"/>
  <c r="I190" i="50"/>
  <c r="F190" i="50"/>
  <c r="O189" i="50"/>
  <c r="L189" i="50"/>
  <c r="L188" i="50" s="1"/>
  <c r="I189" i="50"/>
  <c r="I188" i="50" s="1"/>
  <c r="I187" i="50" s="1"/>
  <c r="F189" i="50"/>
  <c r="N188" i="50"/>
  <c r="M188" i="50"/>
  <c r="M187" i="50" s="1"/>
  <c r="K188" i="50"/>
  <c r="K187" i="50" s="1"/>
  <c r="J188" i="50"/>
  <c r="H188" i="50"/>
  <c r="G188" i="50"/>
  <c r="E188" i="50"/>
  <c r="D188" i="50"/>
  <c r="G187" i="50"/>
  <c r="O186" i="50"/>
  <c r="L186" i="50"/>
  <c r="I186" i="50"/>
  <c r="F186" i="50"/>
  <c r="O185" i="50"/>
  <c r="O184" i="50" s="1"/>
  <c r="L185" i="50"/>
  <c r="I185" i="50"/>
  <c r="I184" i="50" s="1"/>
  <c r="F185" i="50"/>
  <c r="F184" i="50" s="1"/>
  <c r="N184" i="50"/>
  <c r="M184" i="50"/>
  <c r="K184" i="50"/>
  <c r="J184" i="50"/>
  <c r="H184" i="50"/>
  <c r="G184" i="50"/>
  <c r="E184" i="50"/>
  <c r="D184" i="50"/>
  <c r="O183" i="50"/>
  <c r="L183" i="50"/>
  <c r="I183" i="50"/>
  <c r="F183" i="50"/>
  <c r="O182" i="50"/>
  <c r="L182" i="50"/>
  <c r="I182" i="50"/>
  <c r="F182" i="50"/>
  <c r="O181" i="50"/>
  <c r="L181" i="50"/>
  <c r="I181" i="50"/>
  <c r="F181" i="50"/>
  <c r="C181" i="50" s="1"/>
  <c r="O180" i="50"/>
  <c r="L180" i="50"/>
  <c r="L179" i="50" s="1"/>
  <c r="I180" i="50"/>
  <c r="F180" i="50"/>
  <c r="N179" i="50"/>
  <c r="M179" i="50"/>
  <c r="K179" i="50"/>
  <c r="J179" i="50"/>
  <c r="H179" i="50"/>
  <c r="G179" i="50"/>
  <c r="E179" i="50"/>
  <c r="D179" i="50"/>
  <c r="O178" i="50"/>
  <c r="L178" i="50"/>
  <c r="I178" i="50"/>
  <c r="F178" i="50"/>
  <c r="O177" i="50"/>
  <c r="L177" i="50"/>
  <c r="I177" i="50"/>
  <c r="F177" i="50"/>
  <c r="O176" i="50"/>
  <c r="L176" i="50"/>
  <c r="I176" i="50"/>
  <c r="I175" i="50" s="1"/>
  <c r="F176" i="50"/>
  <c r="N175" i="50"/>
  <c r="N174" i="50" s="1"/>
  <c r="M175" i="50"/>
  <c r="K175" i="50"/>
  <c r="K174" i="50" s="1"/>
  <c r="K173" i="50" s="1"/>
  <c r="J175" i="50"/>
  <c r="H175" i="50"/>
  <c r="G175" i="50"/>
  <c r="G174" i="50" s="1"/>
  <c r="E175" i="50"/>
  <c r="E174" i="50" s="1"/>
  <c r="D175" i="50"/>
  <c r="J174" i="50"/>
  <c r="H174" i="50"/>
  <c r="G173" i="50"/>
  <c r="O172" i="50"/>
  <c r="L172" i="50"/>
  <c r="I172" i="50"/>
  <c r="F172" i="50"/>
  <c r="C172" i="50" s="1"/>
  <c r="O171" i="50"/>
  <c r="L171" i="50"/>
  <c r="I171" i="50"/>
  <c r="F171" i="50"/>
  <c r="O170" i="50"/>
  <c r="L170" i="50"/>
  <c r="I170" i="50"/>
  <c r="F170" i="50"/>
  <c r="O169" i="50"/>
  <c r="L169" i="50"/>
  <c r="I169" i="50"/>
  <c r="F169" i="50"/>
  <c r="O168" i="50"/>
  <c r="L168" i="50"/>
  <c r="I168" i="50"/>
  <c r="F168" i="50"/>
  <c r="O167" i="50"/>
  <c r="O166" i="50" s="1"/>
  <c r="O165" i="50" s="1"/>
  <c r="L167" i="50"/>
  <c r="I167" i="50"/>
  <c r="F167" i="50"/>
  <c r="F166" i="50" s="1"/>
  <c r="N166" i="50"/>
  <c r="N165" i="50" s="1"/>
  <c r="M166" i="50"/>
  <c r="K166" i="50"/>
  <c r="K165" i="50" s="1"/>
  <c r="J166" i="50"/>
  <c r="J165" i="50" s="1"/>
  <c r="H166" i="50"/>
  <c r="H165" i="50" s="1"/>
  <c r="G166" i="50"/>
  <c r="E166" i="50"/>
  <c r="E165" i="50" s="1"/>
  <c r="D166" i="50"/>
  <c r="D165" i="50" s="1"/>
  <c r="M165" i="50"/>
  <c r="G165" i="50"/>
  <c r="O164" i="50"/>
  <c r="L164" i="50"/>
  <c r="I164" i="50"/>
  <c r="F164" i="50"/>
  <c r="O163" i="50"/>
  <c r="L163" i="50"/>
  <c r="I163" i="50"/>
  <c r="F163" i="50"/>
  <c r="O162" i="50"/>
  <c r="L162" i="50"/>
  <c r="I162" i="50"/>
  <c r="F162" i="50"/>
  <c r="O161" i="50"/>
  <c r="O160" i="50" s="1"/>
  <c r="L161" i="50"/>
  <c r="I161" i="50"/>
  <c r="I160" i="50" s="1"/>
  <c r="F161" i="50"/>
  <c r="F160" i="50" s="1"/>
  <c r="N160" i="50"/>
  <c r="N130" i="50" s="1"/>
  <c r="M160" i="50"/>
  <c r="K160" i="50"/>
  <c r="J160" i="50"/>
  <c r="H160" i="50"/>
  <c r="G160" i="50"/>
  <c r="E160" i="50"/>
  <c r="D160" i="50"/>
  <c r="O159" i="50"/>
  <c r="L159" i="50"/>
  <c r="I159" i="50"/>
  <c r="F159" i="50"/>
  <c r="O158" i="50"/>
  <c r="L158" i="50"/>
  <c r="I158" i="50"/>
  <c r="F158" i="50"/>
  <c r="O157" i="50"/>
  <c r="L157" i="50"/>
  <c r="I157" i="50"/>
  <c r="F157" i="50"/>
  <c r="O156" i="50"/>
  <c r="L156" i="50"/>
  <c r="I156" i="50"/>
  <c r="F156" i="50"/>
  <c r="O155" i="50"/>
  <c r="L155" i="50"/>
  <c r="I155" i="50"/>
  <c r="F155" i="50"/>
  <c r="O154" i="50"/>
  <c r="L154" i="50"/>
  <c r="I154" i="50"/>
  <c r="F154" i="50"/>
  <c r="O153" i="50"/>
  <c r="L153" i="50"/>
  <c r="I153" i="50"/>
  <c r="F153" i="50"/>
  <c r="O152" i="50"/>
  <c r="L152" i="50"/>
  <c r="I152" i="50"/>
  <c r="F152" i="50"/>
  <c r="N151" i="50"/>
  <c r="M151" i="50"/>
  <c r="K151" i="50"/>
  <c r="J151" i="50"/>
  <c r="H151" i="50"/>
  <c r="G151" i="50"/>
  <c r="E151" i="50"/>
  <c r="D151" i="50"/>
  <c r="O150" i="50"/>
  <c r="L150" i="50"/>
  <c r="I150" i="50"/>
  <c r="F150" i="50"/>
  <c r="O149" i="50"/>
  <c r="L149" i="50"/>
  <c r="I149" i="50"/>
  <c r="F149" i="50"/>
  <c r="C149" i="50" s="1"/>
  <c r="O148" i="50"/>
  <c r="L148" i="50"/>
  <c r="I148" i="50"/>
  <c r="F148" i="50"/>
  <c r="O147" i="50"/>
  <c r="L147" i="50"/>
  <c r="I147" i="50"/>
  <c r="F147" i="50"/>
  <c r="O146" i="50"/>
  <c r="L146" i="50"/>
  <c r="I146" i="50"/>
  <c r="F146" i="50"/>
  <c r="C146" i="50" s="1"/>
  <c r="O145" i="50"/>
  <c r="L145" i="50"/>
  <c r="L144" i="50" s="1"/>
  <c r="I145" i="50"/>
  <c r="F145" i="50"/>
  <c r="N144" i="50"/>
  <c r="M144" i="50"/>
  <c r="K144" i="50"/>
  <c r="J144" i="50"/>
  <c r="H144" i="50"/>
  <c r="G144" i="50"/>
  <c r="E144" i="50"/>
  <c r="D144" i="50"/>
  <c r="O143" i="50"/>
  <c r="L143" i="50"/>
  <c r="I143" i="50"/>
  <c r="F143" i="50"/>
  <c r="O142" i="50"/>
  <c r="L142" i="50"/>
  <c r="L141" i="50" s="1"/>
  <c r="I142" i="50"/>
  <c r="F142" i="50"/>
  <c r="N141" i="50"/>
  <c r="M141" i="50"/>
  <c r="K141" i="50"/>
  <c r="J141" i="50"/>
  <c r="H141" i="50"/>
  <c r="G141" i="50"/>
  <c r="E141" i="50"/>
  <c r="D141" i="50"/>
  <c r="D130" i="50" s="1"/>
  <c r="O140" i="50"/>
  <c r="L140" i="50"/>
  <c r="I140" i="50"/>
  <c r="F140" i="50"/>
  <c r="O139" i="50"/>
  <c r="L139" i="50"/>
  <c r="I139" i="50"/>
  <c r="F139" i="50"/>
  <c r="C139" i="50" s="1"/>
  <c r="O138" i="50"/>
  <c r="L138" i="50"/>
  <c r="I138" i="50"/>
  <c r="F138" i="50"/>
  <c r="O137" i="50"/>
  <c r="L137" i="50"/>
  <c r="L136" i="50" s="1"/>
  <c r="I137" i="50"/>
  <c r="F137" i="50"/>
  <c r="N136" i="50"/>
  <c r="M136" i="50"/>
  <c r="K136" i="50"/>
  <c r="J136" i="50"/>
  <c r="H136" i="50"/>
  <c r="G136" i="50"/>
  <c r="E136" i="50"/>
  <c r="D136" i="50"/>
  <c r="O135" i="50"/>
  <c r="L135" i="50"/>
  <c r="I135" i="50"/>
  <c r="F135" i="50"/>
  <c r="O134" i="50"/>
  <c r="L134" i="50"/>
  <c r="I134" i="50"/>
  <c r="F134" i="50"/>
  <c r="O133" i="50"/>
  <c r="L133" i="50"/>
  <c r="I133" i="50"/>
  <c r="F133" i="50"/>
  <c r="O132" i="50"/>
  <c r="L132" i="50"/>
  <c r="L131" i="50" s="1"/>
  <c r="I132" i="50"/>
  <c r="F132" i="50"/>
  <c r="N131" i="50"/>
  <c r="M131" i="50"/>
  <c r="K131" i="50"/>
  <c r="J131" i="50"/>
  <c r="H131" i="50"/>
  <c r="G131" i="50"/>
  <c r="G130" i="50" s="1"/>
  <c r="E131" i="50"/>
  <c r="D131" i="50"/>
  <c r="O129" i="50"/>
  <c r="O128" i="50" s="1"/>
  <c r="L129" i="50"/>
  <c r="L128" i="50" s="1"/>
  <c r="I129" i="50"/>
  <c r="I128" i="50" s="1"/>
  <c r="F129" i="50"/>
  <c r="F128" i="50" s="1"/>
  <c r="C128" i="50" s="1"/>
  <c r="N128" i="50"/>
  <c r="M128" i="50"/>
  <c r="K128" i="50"/>
  <c r="J128" i="50"/>
  <c r="H128" i="50"/>
  <c r="G128" i="50"/>
  <c r="E128" i="50"/>
  <c r="D128" i="50"/>
  <c r="O127" i="50"/>
  <c r="L127" i="50"/>
  <c r="I127" i="50"/>
  <c r="F127" i="50"/>
  <c r="O126" i="50"/>
  <c r="L126" i="50"/>
  <c r="I126" i="50"/>
  <c r="F126" i="50"/>
  <c r="O125" i="50"/>
  <c r="L125" i="50"/>
  <c r="I125" i="50"/>
  <c r="F125" i="50"/>
  <c r="O124" i="50"/>
  <c r="L124" i="50"/>
  <c r="I124" i="50"/>
  <c r="F124" i="50"/>
  <c r="O123" i="50"/>
  <c r="O122" i="50" s="1"/>
  <c r="L123" i="50"/>
  <c r="I123" i="50"/>
  <c r="F123" i="50"/>
  <c r="N122" i="50"/>
  <c r="M122" i="50"/>
  <c r="K122" i="50"/>
  <c r="J122" i="50"/>
  <c r="H122" i="50"/>
  <c r="G122" i="50"/>
  <c r="E122" i="50"/>
  <c r="D122" i="50"/>
  <c r="O121" i="50"/>
  <c r="L121" i="50"/>
  <c r="I121" i="50"/>
  <c r="F121" i="50"/>
  <c r="C121" i="50" s="1"/>
  <c r="O120" i="50"/>
  <c r="L120" i="50"/>
  <c r="I120" i="50"/>
  <c r="F120" i="50"/>
  <c r="O119" i="50"/>
  <c r="L119" i="50"/>
  <c r="I119" i="50"/>
  <c r="F119" i="50"/>
  <c r="O118" i="50"/>
  <c r="L118" i="50"/>
  <c r="I118" i="50"/>
  <c r="F118" i="50"/>
  <c r="O117" i="50"/>
  <c r="L117" i="50"/>
  <c r="I117" i="50"/>
  <c r="F117" i="50"/>
  <c r="N116" i="50"/>
  <c r="M116" i="50"/>
  <c r="K116" i="50"/>
  <c r="J116" i="50"/>
  <c r="H116" i="50"/>
  <c r="G116" i="50"/>
  <c r="E116" i="50"/>
  <c r="D116" i="50"/>
  <c r="O115" i="50"/>
  <c r="L115" i="50"/>
  <c r="I115" i="50"/>
  <c r="F115" i="50"/>
  <c r="O114" i="50"/>
  <c r="L114" i="50"/>
  <c r="I114" i="50"/>
  <c r="F114" i="50"/>
  <c r="O113" i="50"/>
  <c r="L113" i="50"/>
  <c r="L112" i="50" s="1"/>
  <c r="I113" i="50"/>
  <c r="F113" i="50"/>
  <c r="N112" i="50"/>
  <c r="M112" i="50"/>
  <c r="K112" i="50"/>
  <c r="J112" i="50"/>
  <c r="H112" i="50"/>
  <c r="G112" i="50"/>
  <c r="E112" i="50"/>
  <c r="D112" i="50"/>
  <c r="O111" i="50"/>
  <c r="L111" i="50"/>
  <c r="I111" i="50"/>
  <c r="F111" i="50"/>
  <c r="O110" i="50"/>
  <c r="L110" i="50"/>
  <c r="I110" i="50"/>
  <c r="F110" i="50"/>
  <c r="O109" i="50"/>
  <c r="L109" i="50"/>
  <c r="I109" i="50"/>
  <c r="F109" i="50"/>
  <c r="O108" i="50"/>
  <c r="L108" i="50"/>
  <c r="I108" i="50"/>
  <c r="F108" i="50"/>
  <c r="O107" i="50"/>
  <c r="L107" i="50"/>
  <c r="I107" i="50"/>
  <c r="F107" i="50"/>
  <c r="O106" i="50"/>
  <c r="L106" i="50"/>
  <c r="I106" i="50"/>
  <c r="F106" i="50"/>
  <c r="O105" i="50"/>
  <c r="L105" i="50"/>
  <c r="I105" i="50"/>
  <c r="F105" i="50"/>
  <c r="O104" i="50"/>
  <c r="L104" i="50"/>
  <c r="I104" i="50"/>
  <c r="F104" i="50"/>
  <c r="N103" i="50"/>
  <c r="M103" i="50"/>
  <c r="L103" i="50"/>
  <c r="K103" i="50"/>
  <c r="J103" i="50"/>
  <c r="H103" i="50"/>
  <c r="G103" i="50"/>
  <c r="E103" i="50"/>
  <c r="D103" i="50"/>
  <c r="O102" i="50"/>
  <c r="L102" i="50"/>
  <c r="I102" i="50"/>
  <c r="F102" i="50"/>
  <c r="O101" i="50"/>
  <c r="L101" i="50"/>
  <c r="I101" i="50"/>
  <c r="F101" i="50"/>
  <c r="O100" i="50"/>
  <c r="L100" i="50"/>
  <c r="I100" i="50"/>
  <c r="F100" i="50"/>
  <c r="O99" i="50"/>
  <c r="L99" i="50"/>
  <c r="I99" i="50"/>
  <c r="F99" i="50"/>
  <c r="O98" i="50"/>
  <c r="L98" i="50"/>
  <c r="I98" i="50"/>
  <c r="F98" i="50"/>
  <c r="O97" i="50"/>
  <c r="L97" i="50"/>
  <c r="I97" i="50"/>
  <c r="F97" i="50"/>
  <c r="O96" i="50"/>
  <c r="L96" i="50"/>
  <c r="I96" i="50"/>
  <c r="F96" i="50"/>
  <c r="N95" i="50"/>
  <c r="M95" i="50"/>
  <c r="K95" i="50"/>
  <c r="J95" i="50"/>
  <c r="H95" i="50"/>
  <c r="G95" i="50"/>
  <c r="E95" i="50"/>
  <c r="D95" i="50"/>
  <c r="O94" i="50"/>
  <c r="L94" i="50"/>
  <c r="I94" i="50"/>
  <c r="C94" i="50" s="1"/>
  <c r="F94" i="50"/>
  <c r="O93" i="50"/>
  <c r="L93" i="50"/>
  <c r="I93" i="50"/>
  <c r="F93" i="50"/>
  <c r="O92" i="50"/>
  <c r="L92" i="50"/>
  <c r="I92" i="50"/>
  <c r="F92" i="50"/>
  <c r="O91" i="50"/>
  <c r="L91" i="50"/>
  <c r="I91" i="50"/>
  <c r="F91" i="50"/>
  <c r="O90" i="50"/>
  <c r="L90" i="50"/>
  <c r="I90" i="50"/>
  <c r="I89" i="50" s="1"/>
  <c r="F90" i="50"/>
  <c r="N89" i="50"/>
  <c r="M89" i="50"/>
  <c r="K89" i="50"/>
  <c r="J89" i="50"/>
  <c r="H89" i="50"/>
  <c r="G89" i="50"/>
  <c r="E89" i="50"/>
  <c r="D89" i="50"/>
  <c r="O88" i="50"/>
  <c r="L88" i="50"/>
  <c r="I88" i="50"/>
  <c r="F88" i="50"/>
  <c r="O87" i="50"/>
  <c r="L87" i="50"/>
  <c r="I87" i="50"/>
  <c r="F87" i="50"/>
  <c r="O86" i="50"/>
  <c r="L86" i="50"/>
  <c r="I86" i="50"/>
  <c r="F86" i="50"/>
  <c r="O85" i="50"/>
  <c r="L85" i="50"/>
  <c r="I85" i="50"/>
  <c r="I84" i="50" s="1"/>
  <c r="F85" i="50"/>
  <c r="F84" i="50" s="1"/>
  <c r="N84" i="50"/>
  <c r="M84" i="50"/>
  <c r="K84" i="50"/>
  <c r="J84" i="50"/>
  <c r="H84" i="50"/>
  <c r="G84" i="50"/>
  <c r="E84" i="50"/>
  <c r="D84" i="50"/>
  <c r="O82" i="50"/>
  <c r="L82" i="50"/>
  <c r="I82" i="50"/>
  <c r="F82" i="50"/>
  <c r="O81" i="50"/>
  <c r="L81" i="50"/>
  <c r="L80" i="50" s="1"/>
  <c r="I81" i="50"/>
  <c r="I80" i="50" s="1"/>
  <c r="F81" i="50"/>
  <c r="N80" i="50"/>
  <c r="M80" i="50"/>
  <c r="K80" i="50"/>
  <c r="J80" i="50"/>
  <c r="H80" i="50"/>
  <c r="G80" i="50"/>
  <c r="E80" i="50"/>
  <c r="D80" i="50"/>
  <c r="O79" i="50"/>
  <c r="L79" i="50"/>
  <c r="I79" i="50"/>
  <c r="I77" i="50" s="1"/>
  <c r="F79" i="50"/>
  <c r="C79" i="50"/>
  <c r="O78" i="50"/>
  <c r="L78" i="50"/>
  <c r="L77" i="50" s="1"/>
  <c r="I78" i="50"/>
  <c r="F78" i="50"/>
  <c r="F77" i="50" s="1"/>
  <c r="N77" i="50"/>
  <c r="N76" i="50" s="1"/>
  <c r="M77" i="50"/>
  <c r="K77" i="50"/>
  <c r="K76" i="50" s="1"/>
  <c r="J77" i="50"/>
  <c r="J76" i="50" s="1"/>
  <c r="H77" i="50"/>
  <c r="G77" i="50"/>
  <c r="G76" i="50" s="1"/>
  <c r="E77" i="50"/>
  <c r="E76" i="50" s="1"/>
  <c r="D77" i="50"/>
  <c r="D76" i="50" s="1"/>
  <c r="O74" i="50"/>
  <c r="L74" i="50"/>
  <c r="I74" i="50"/>
  <c r="F74" i="50"/>
  <c r="O73" i="50"/>
  <c r="L73" i="50"/>
  <c r="I73" i="50"/>
  <c r="F73" i="50"/>
  <c r="O72" i="50"/>
  <c r="L72" i="50"/>
  <c r="I72" i="50"/>
  <c r="F72" i="50"/>
  <c r="O71" i="50"/>
  <c r="L71" i="50"/>
  <c r="I71" i="50"/>
  <c r="F71" i="50"/>
  <c r="O70" i="50"/>
  <c r="L70" i="50"/>
  <c r="L69" i="50" s="1"/>
  <c r="I70" i="50"/>
  <c r="F70" i="50"/>
  <c r="O69" i="50"/>
  <c r="N69" i="50"/>
  <c r="N67" i="50" s="1"/>
  <c r="M69" i="50"/>
  <c r="M67" i="50" s="1"/>
  <c r="K69" i="50"/>
  <c r="K67" i="50" s="1"/>
  <c r="J69" i="50"/>
  <c r="H69" i="50"/>
  <c r="H67" i="50" s="1"/>
  <c r="G69" i="50"/>
  <c r="G67" i="50" s="1"/>
  <c r="E69" i="50"/>
  <c r="D69" i="50"/>
  <c r="D67" i="50" s="1"/>
  <c r="O68" i="50"/>
  <c r="L68" i="50"/>
  <c r="I68" i="50"/>
  <c r="F68" i="50"/>
  <c r="O67" i="50"/>
  <c r="J67" i="50"/>
  <c r="E67" i="50"/>
  <c r="O66" i="50"/>
  <c r="L66" i="50"/>
  <c r="I66" i="50"/>
  <c r="F66" i="50"/>
  <c r="O65" i="50"/>
  <c r="L65" i="50"/>
  <c r="I65" i="50"/>
  <c r="F65" i="50"/>
  <c r="O64" i="50"/>
  <c r="L64" i="50"/>
  <c r="I64" i="50"/>
  <c r="F64" i="50"/>
  <c r="O63" i="50"/>
  <c r="L63" i="50"/>
  <c r="I63" i="50"/>
  <c r="F63" i="50"/>
  <c r="O62" i="50"/>
  <c r="L62" i="50"/>
  <c r="I62" i="50"/>
  <c r="F62" i="50"/>
  <c r="O61" i="50"/>
  <c r="L61" i="50"/>
  <c r="I61" i="50"/>
  <c r="F61" i="50"/>
  <c r="O60" i="50"/>
  <c r="L60" i="50"/>
  <c r="I60" i="50"/>
  <c r="F60" i="50"/>
  <c r="O59" i="50"/>
  <c r="L59" i="50"/>
  <c r="L58" i="50" s="1"/>
  <c r="I59" i="50"/>
  <c r="F59" i="50"/>
  <c r="O58" i="50"/>
  <c r="N58" i="50"/>
  <c r="M58" i="50"/>
  <c r="K58" i="50"/>
  <c r="J58" i="50"/>
  <c r="H58" i="50"/>
  <c r="G58" i="50"/>
  <c r="E58" i="50"/>
  <c r="D58" i="50"/>
  <c r="O57" i="50"/>
  <c r="L57" i="50"/>
  <c r="I57" i="50"/>
  <c r="F57" i="50"/>
  <c r="O56" i="50"/>
  <c r="L56" i="50"/>
  <c r="L55" i="50" s="1"/>
  <c r="I56" i="50"/>
  <c r="F56" i="50"/>
  <c r="N55" i="50"/>
  <c r="M55" i="50"/>
  <c r="K55" i="50"/>
  <c r="J55" i="50"/>
  <c r="J54" i="50" s="1"/>
  <c r="H55" i="50"/>
  <c r="H54" i="50" s="1"/>
  <c r="H53" i="50" s="1"/>
  <c r="G55" i="50"/>
  <c r="E55" i="50"/>
  <c r="E54" i="50" s="1"/>
  <c r="D55" i="50"/>
  <c r="N54" i="50"/>
  <c r="K54" i="50"/>
  <c r="K53" i="50" s="1"/>
  <c r="O47" i="50"/>
  <c r="C47" i="50" s="1"/>
  <c r="O46" i="50"/>
  <c r="C46" i="50" s="1"/>
  <c r="N45" i="50"/>
  <c r="M45" i="50"/>
  <c r="L44" i="50"/>
  <c r="L43" i="50" s="1"/>
  <c r="I44" i="50"/>
  <c r="F44" i="50"/>
  <c r="F43" i="50" s="1"/>
  <c r="K43" i="50"/>
  <c r="J43" i="50"/>
  <c r="I43" i="50"/>
  <c r="H43" i="50"/>
  <c r="G43" i="50"/>
  <c r="E43" i="50"/>
  <c r="D43" i="50"/>
  <c r="F42" i="50"/>
  <c r="C42" i="50" s="1"/>
  <c r="E41" i="50"/>
  <c r="D41" i="50"/>
  <c r="L40" i="50"/>
  <c r="C40" i="50" s="1"/>
  <c r="L39" i="50"/>
  <c r="C39" i="50" s="1"/>
  <c r="L38" i="50"/>
  <c r="C38" i="50" s="1"/>
  <c r="L37" i="50"/>
  <c r="C37" i="50" s="1"/>
  <c r="K36" i="50"/>
  <c r="J36" i="50"/>
  <c r="L35" i="50"/>
  <c r="C35" i="50" s="1"/>
  <c r="L34" i="50"/>
  <c r="C34" i="50" s="1"/>
  <c r="K33" i="50"/>
  <c r="J33" i="50"/>
  <c r="L32" i="50"/>
  <c r="C32" i="50" s="1"/>
  <c r="K31" i="50"/>
  <c r="J31" i="50"/>
  <c r="L30" i="50"/>
  <c r="C30" i="50" s="1"/>
  <c r="L29" i="50"/>
  <c r="C29" i="50" s="1"/>
  <c r="L28" i="50"/>
  <c r="C28" i="50" s="1"/>
  <c r="K27" i="50"/>
  <c r="J27" i="50"/>
  <c r="F25" i="50"/>
  <c r="C25" i="50" s="1"/>
  <c r="I24" i="50"/>
  <c r="F24" i="50"/>
  <c r="C24" i="50" s="1"/>
  <c r="O23" i="50"/>
  <c r="L23" i="50"/>
  <c r="I23" i="50"/>
  <c r="F23" i="50"/>
  <c r="O22" i="50"/>
  <c r="L22" i="50"/>
  <c r="L21" i="50" s="1"/>
  <c r="I22" i="50"/>
  <c r="F22" i="50"/>
  <c r="O21" i="50"/>
  <c r="O292" i="50" s="1"/>
  <c r="N21" i="50"/>
  <c r="N292" i="50" s="1"/>
  <c r="M21" i="50"/>
  <c r="K21" i="50"/>
  <c r="J21" i="50"/>
  <c r="J292" i="50" s="1"/>
  <c r="J291" i="50" s="1"/>
  <c r="I21" i="50"/>
  <c r="I292" i="50" s="1"/>
  <c r="H21" i="50"/>
  <c r="H292" i="50" s="1"/>
  <c r="H291" i="50" s="1"/>
  <c r="G21" i="50"/>
  <c r="G292" i="50" s="1"/>
  <c r="G291" i="50" s="1"/>
  <c r="E21" i="50"/>
  <c r="E292" i="50" s="1"/>
  <c r="E291" i="50" s="1"/>
  <c r="D21" i="50"/>
  <c r="D292" i="50" s="1"/>
  <c r="H20" i="50"/>
  <c r="C57" i="50" l="1"/>
  <c r="C63" i="50"/>
  <c r="C66" i="50"/>
  <c r="C74" i="50"/>
  <c r="C82" i="50"/>
  <c r="J83" i="50"/>
  <c r="J75" i="50" s="1"/>
  <c r="J289" i="50" s="1"/>
  <c r="C86" i="50"/>
  <c r="C88" i="50"/>
  <c r="J173" i="50"/>
  <c r="N173" i="50"/>
  <c r="C287" i="50"/>
  <c r="C288" i="50"/>
  <c r="C294" i="50"/>
  <c r="D20" i="50"/>
  <c r="N20" i="50"/>
  <c r="C59" i="50"/>
  <c r="C98" i="50"/>
  <c r="C177" i="50"/>
  <c r="D187" i="50"/>
  <c r="C234" i="50"/>
  <c r="N259" i="50"/>
  <c r="I252" i="50"/>
  <c r="I251" i="50" s="1"/>
  <c r="C44" i="50"/>
  <c r="C56" i="50"/>
  <c r="C115" i="50"/>
  <c r="C129" i="50"/>
  <c r="C157" i="50"/>
  <c r="C159" i="50"/>
  <c r="H173" i="50"/>
  <c r="C190" i="50"/>
  <c r="C214" i="50"/>
  <c r="I259" i="50"/>
  <c r="K26" i="50"/>
  <c r="O55" i="50"/>
  <c r="O54" i="50" s="1"/>
  <c r="O53" i="50" s="1"/>
  <c r="N83" i="50"/>
  <c r="G83" i="50"/>
  <c r="C135" i="50"/>
  <c r="D174" i="50"/>
  <c r="O179" i="50"/>
  <c r="O188" i="50"/>
  <c r="O187" i="50" s="1"/>
  <c r="E204" i="50"/>
  <c r="C222" i="50"/>
  <c r="J230" i="50"/>
  <c r="K270" i="50"/>
  <c r="K269" i="50" s="1"/>
  <c r="L31" i="50"/>
  <c r="C31" i="50" s="1"/>
  <c r="F41" i="50"/>
  <c r="C41" i="50" s="1"/>
  <c r="I55" i="50"/>
  <c r="D54" i="50"/>
  <c r="D53" i="50" s="1"/>
  <c r="I69" i="50"/>
  <c r="C90" i="50"/>
  <c r="C96" i="50"/>
  <c r="C97" i="50"/>
  <c r="O95" i="50"/>
  <c r="C143" i="50"/>
  <c r="C153" i="50"/>
  <c r="C169" i="50"/>
  <c r="O246" i="50"/>
  <c r="C262" i="50"/>
  <c r="L272" i="50"/>
  <c r="G270" i="50"/>
  <c r="G269" i="50" s="1"/>
  <c r="C282" i="50"/>
  <c r="C298" i="50"/>
  <c r="C65" i="50"/>
  <c r="C102" i="50"/>
  <c r="C109" i="50"/>
  <c r="O131" i="50"/>
  <c r="M130" i="50"/>
  <c r="J130" i="50"/>
  <c r="E187" i="50"/>
  <c r="C202" i="50"/>
  <c r="C213" i="50"/>
  <c r="C242" i="50"/>
  <c r="C254" i="50"/>
  <c r="C266" i="50"/>
  <c r="C61" i="50"/>
  <c r="I76" i="50"/>
  <c r="C91" i="50"/>
  <c r="C104" i="50"/>
  <c r="C108" i="50"/>
  <c r="O141" i="50"/>
  <c r="C206" i="50"/>
  <c r="C218" i="50"/>
  <c r="M231" i="50"/>
  <c r="E231" i="50"/>
  <c r="C250" i="50"/>
  <c r="C258" i="50"/>
  <c r="M259" i="50"/>
  <c r="C274" i="50"/>
  <c r="C278" i="50"/>
  <c r="L187" i="50"/>
  <c r="G75" i="50"/>
  <c r="C233" i="50"/>
  <c r="L264" i="50"/>
  <c r="K292" i="50"/>
  <c r="K291" i="50" s="1"/>
  <c r="C22" i="50"/>
  <c r="C23" i="50"/>
  <c r="J26" i="50"/>
  <c r="J20" i="50" s="1"/>
  <c r="G54" i="50"/>
  <c r="G53" i="50" s="1"/>
  <c r="E53" i="50"/>
  <c r="N75" i="50"/>
  <c r="H76" i="50"/>
  <c r="L76" i="50"/>
  <c r="M76" i="50"/>
  <c r="M75" i="50" s="1"/>
  <c r="M83" i="50"/>
  <c r="F95" i="50"/>
  <c r="K83" i="50"/>
  <c r="C101" i="50"/>
  <c r="C117" i="50"/>
  <c r="C127" i="50"/>
  <c r="C140" i="50"/>
  <c r="I141" i="50"/>
  <c r="C147" i="50"/>
  <c r="C150" i="50"/>
  <c r="C164" i="50"/>
  <c r="C171" i="50"/>
  <c r="C182" i="50"/>
  <c r="L184" i="50"/>
  <c r="C184" i="50" s="1"/>
  <c r="J187" i="50"/>
  <c r="N187" i="50"/>
  <c r="O196" i="50"/>
  <c r="H204" i="50"/>
  <c r="H195" i="50" s="1"/>
  <c r="H289" i="50" s="1"/>
  <c r="C215" i="50"/>
  <c r="O216" i="50"/>
  <c r="J204" i="50"/>
  <c r="J195" i="50" s="1"/>
  <c r="J194" i="50" s="1"/>
  <c r="N204" i="50"/>
  <c r="N195" i="50" s="1"/>
  <c r="C237" i="50"/>
  <c r="C239" i="50"/>
  <c r="O238" i="50"/>
  <c r="C257" i="50"/>
  <c r="O293" i="50"/>
  <c r="C161" i="50"/>
  <c r="M20" i="50"/>
  <c r="N53" i="50"/>
  <c r="N52" i="50" s="1"/>
  <c r="M54" i="50"/>
  <c r="M53" i="50" s="1"/>
  <c r="D83" i="50"/>
  <c r="H83" i="50"/>
  <c r="L84" i="50"/>
  <c r="C92" i="50"/>
  <c r="C93" i="50"/>
  <c r="E130" i="50"/>
  <c r="K130" i="50"/>
  <c r="C132" i="50"/>
  <c r="C134" i="50"/>
  <c r="H130" i="50"/>
  <c r="C156" i="50"/>
  <c r="C163" i="50"/>
  <c r="L166" i="50"/>
  <c r="L165" i="50" s="1"/>
  <c r="C185" i="50"/>
  <c r="K195" i="50"/>
  <c r="K194" i="50" s="1"/>
  <c r="C201" i="50"/>
  <c r="D204" i="50"/>
  <c r="D195" i="50" s="1"/>
  <c r="O205" i="50"/>
  <c r="C221" i="50"/>
  <c r="C229" i="50"/>
  <c r="H231" i="50"/>
  <c r="H230" i="50" s="1"/>
  <c r="K231" i="50"/>
  <c r="K230" i="50" s="1"/>
  <c r="I238" i="50"/>
  <c r="C243" i="50"/>
  <c r="C244" i="50"/>
  <c r="C245" i="50"/>
  <c r="M230" i="50"/>
  <c r="D259" i="50"/>
  <c r="O259" i="50"/>
  <c r="L260" i="50"/>
  <c r="C268" i="50"/>
  <c r="H269" i="50"/>
  <c r="C275" i="50"/>
  <c r="L276" i="50"/>
  <c r="F281" i="50"/>
  <c r="C297" i="50"/>
  <c r="C123" i="50"/>
  <c r="I205" i="50"/>
  <c r="C281" i="50"/>
  <c r="D291" i="50"/>
  <c r="N291" i="50"/>
  <c r="F58" i="50"/>
  <c r="C62" i="50"/>
  <c r="I67" i="50"/>
  <c r="C70" i="50"/>
  <c r="C73" i="50"/>
  <c r="E75" i="50"/>
  <c r="C81" i="50"/>
  <c r="E83" i="50"/>
  <c r="C85" i="50"/>
  <c r="C99" i="50"/>
  <c r="O103" i="50"/>
  <c r="C119" i="50"/>
  <c r="C120" i="50"/>
  <c r="O116" i="50"/>
  <c r="C124" i="50"/>
  <c r="L151" i="50"/>
  <c r="C155" i="50"/>
  <c r="C158" i="50"/>
  <c r="L160" i="50"/>
  <c r="C168" i="50"/>
  <c r="E173" i="50"/>
  <c r="O175" i="50"/>
  <c r="O174" i="50" s="1"/>
  <c r="O173" i="50" s="1"/>
  <c r="H187" i="50"/>
  <c r="G195" i="50"/>
  <c r="C220" i="50"/>
  <c r="C224" i="50"/>
  <c r="C225" i="50"/>
  <c r="N231" i="50"/>
  <c r="N230" i="50" s="1"/>
  <c r="G231" i="50"/>
  <c r="G230" i="50" s="1"/>
  <c r="I246" i="50"/>
  <c r="O252" i="50"/>
  <c r="O251" i="50" s="1"/>
  <c r="L252" i="50"/>
  <c r="L251" i="50" s="1"/>
  <c r="D270" i="50"/>
  <c r="D269" i="50" s="1"/>
  <c r="C295" i="50"/>
  <c r="I293" i="50"/>
  <c r="C299" i="50"/>
  <c r="C300" i="50"/>
  <c r="L292" i="50"/>
  <c r="L291" i="50" s="1"/>
  <c r="L54" i="50"/>
  <c r="H75" i="50"/>
  <c r="H52" i="50" s="1"/>
  <c r="C105" i="50"/>
  <c r="I103" i="50"/>
  <c r="C133" i="50"/>
  <c r="I131" i="50"/>
  <c r="F141" i="50"/>
  <c r="C141" i="50" s="1"/>
  <c r="C142" i="50"/>
  <c r="M292" i="50"/>
  <c r="M291" i="50" s="1"/>
  <c r="C301" i="50"/>
  <c r="G20" i="50"/>
  <c r="K20" i="50"/>
  <c r="F21" i="50"/>
  <c r="C43" i="50"/>
  <c r="C64" i="50"/>
  <c r="C68" i="50"/>
  <c r="D75" i="50"/>
  <c r="O84" i="50"/>
  <c r="I95" i="50"/>
  <c r="C111" i="50"/>
  <c r="O112" i="50"/>
  <c r="C125" i="50"/>
  <c r="I122" i="50"/>
  <c r="L130" i="50"/>
  <c r="C138" i="50"/>
  <c r="F136" i="50"/>
  <c r="L27" i="50"/>
  <c r="C71" i="50"/>
  <c r="C114" i="50"/>
  <c r="F112" i="50"/>
  <c r="F116" i="50"/>
  <c r="I136" i="50"/>
  <c r="C137" i="50"/>
  <c r="C148" i="50"/>
  <c r="F144" i="50"/>
  <c r="C183" i="50"/>
  <c r="I179" i="50"/>
  <c r="I174" i="50" s="1"/>
  <c r="I173" i="50" s="1"/>
  <c r="L36" i="50"/>
  <c r="C36" i="50" s="1"/>
  <c r="C60" i="50"/>
  <c r="F69" i="50"/>
  <c r="O89" i="50"/>
  <c r="L95" i="50"/>
  <c r="C100" i="50"/>
  <c r="E20" i="50"/>
  <c r="I20" i="50"/>
  <c r="L33" i="50"/>
  <c r="C33" i="50" s="1"/>
  <c r="O45" i="50"/>
  <c r="O20" i="50" s="1"/>
  <c r="J53" i="50"/>
  <c r="F55" i="50"/>
  <c r="I58" i="50"/>
  <c r="I54" i="50" s="1"/>
  <c r="I53" i="50" s="1"/>
  <c r="L67" i="50"/>
  <c r="C72" i="50"/>
  <c r="C78" i="50"/>
  <c r="O77" i="50"/>
  <c r="O76" i="50" s="1"/>
  <c r="F80" i="50"/>
  <c r="O80" i="50"/>
  <c r="C87" i="50"/>
  <c r="L89" i="50"/>
  <c r="L83" i="50" s="1"/>
  <c r="L75" i="50" s="1"/>
  <c r="F89" i="50"/>
  <c r="C107" i="50"/>
  <c r="I112" i="50"/>
  <c r="C113" i="50"/>
  <c r="L116" i="50"/>
  <c r="L122" i="50"/>
  <c r="F122" i="50"/>
  <c r="I144" i="50"/>
  <c r="C145" i="50"/>
  <c r="I151" i="50"/>
  <c r="C176" i="50"/>
  <c r="F175" i="50"/>
  <c r="F103" i="50"/>
  <c r="C110" i="50"/>
  <c r="C118" i="50"/>
  <c r="C152" i="50"/>
  <c r="F151" i="50"/>
  <c r="O151" i="50"/>
  <c r="C160" i="50"/>
  <c r="C178" i="50"/>
  <c r="C189" i="50"/>
  <c r="F188" i="50"/>
  <c r="G194" i="50"/>
  <c r="C106" i="50"/>
  <c r="I116" i="50"/>
  <c r="C126" i="50"/>
  <c r="F131" i="50"/>
  <c r="O136" i="50"/>
  <c r="O144" i="50"/>
  <c r="C154" i="50"/>
  <c r="C162" i="50"/>
  <c r="F165" i="50"/>
  <c r="I166" i="50"/>
  <c r="I165" i="50" s="1"/>
  <c r="C167" i="50"/>
  <c r="C170" i="50"/>
  <c r="D173" i="50"/>
  <c r="D52" i="50" s="1"/>
  <c r="M174" i="50"/>
  <c r="M173" i="50" s="1"/>
  <c r="L175" i="50"/>
  <c r="L174" i="50" s="1"/>
  <c r="C180" i="50"/>
  <c r="F179" i="50"/>
  <c r="C179" i="50" s="1"/>
  <c r="C186" i="50"/>
  <c r="L205" i="50"/>
  <c r="C217" i="50"/>
  <c r="F216" i="50"/>
  <c r="C235" i="50"/>
  <c r="C193" i="50"/>
  <c r="F192" i="50"/>
  <c r="E195" i="50"/>
  <c r="M195" i="50"/>
  <c r="L196" i="50"/>
  <c r="C207" i="50"/>
  <c r="C208" i="50"/>
  <c r="C209" i="50"/>
  <c r="F205" i="50"/>
  <c r="C219" i="50"/>
  <c r="C227" i="50"/>
  <c r="C228" i="50"/>
  <c r="O231" i="50"/>
  <c r="O230" i="50" s="1"/>
  <c r="C236" i="50"/>
  <c r="L238" i="50"/>
  <c r="L231" i="50" s="1"/>
  <c r="C253" i="50"/>
  <c r="F252" i="50"/>
  <c r="E259" i="50"/>
  <c r="E230" i="50" s="1"/>
  <c r="C261" i="50"/>
  <c r="F260" i="50"/>
  <c r="C267" i="50"/>
  <c r="C271" i="50"/>
  <c r="M270" i="50"/>
  <c r="M269" i="50" s="1"/>
  <c r="C277" i="50"/>
  <c r="F276" i="50"/>
  <c r="C276" i="50" s="1"/>
  <c r="C285" i="50"/>
  <c r="F284" i="50"/>
  <c r="C286" i="50"/>
  <c r="G289" i="50"/>
  <c r="I291" i="50"/>
  <c r="C200" i="50"/>
  <c r="I198" i="50"/>
  <c r="C203" i="50"/>
  <c r="H194" i="50"/>
  <c r="C211" i="50"/>
  <c r="C223" i="50"/>
  <c r="D230" i="50"/>
  <c r="D289" i="50" s="1"/>
  <c r="C247" i="50"/>
  <c r="C248" i="50"/>
  <c r="C249" i="50"/>
  <c r="F246" i="50"/>
  <c r="C246" i="50" s="1"/>
  <c r="C255" i="50"/>
  <c r="C256" i="50"/>
  <c r="C263" i="50"/>
  <c r="I270" i="50"/>
  <c r="I269" i="50" s="1"/>
  <c r="O272" i="50"/>
  <c r="O270" i="50" s="1"/>
  <c r="O269" i="50" s="1"/>
  <c r="C279" i="50"/>
  <c r="C280" i="50"/>
  <c r="N289" i="50"/>
  <c r="C197" i="50"/>
  <c r="F196" i="50"/>
  <c r="I216" i="50"/>
  <c r="I204" i="50" s="1"/>
  <c r="L216" i="50"/>
  <c r="I231" i="50"/>
  <c r="I230" i="50" s="1"/>
  <c r="C232" i="50"/>
  <c r="C240" i="50"/>
  <c r="C241" i="50"/>
  <c r="F238" i="50"/>
  <c r="C265" i="50"/>
  <c r="F264" i="50"/>
  <c r="C264" i="50" s="1"/>
  <c r="L270" i="50"/>
  <c r="L269" i="50" s="1"/>
  <c r="C273" i="50"/>
  <c r="F272" i="50"/>
  <c r="C296" i="50"/>
  <c r="O291" i="50"/>
  <c r="C199" i="50"/>
  <c r="F293" i="50"/>
  <c r="C293" i="50" s="1"/>
  <c r="J52" i="50" l="1"/>
  <c r="J51" i="50" s="1"/>
  <c r="J50" i="50" s="1"/>
  <c r="F231" i="50"/>
  <c r="D194" i="50"/>
  <c r="D51" i="50" s="1"/>
  <c r="L173" i="50"/>
  <c r="L259" i="50"/>
  <c r="L230" i="50" s="1"/>
  <c r="O130" i="50"/>
  <c r="G52" i="50"/>
  <c r="G51" i="50"/>
  <c r="G50" i="50" s="1"/>
  <c r="H51" i="50"/>
  <c r="E52" i="50"/>
  <c r="C238" i="50"/>
  <c r="C151" i="50"/>
  <c r="C103" i="50"/>
  <c r="C95" i="50"/>
  <c r="L53" i="50"/>
  <c r="L52" i="50" s="1"/>
  <c r="K75" i="50"/>
  <c r="N194" i="50"/>
  <c r="N51" i="50" s="1"/>
  <c r="E289" i="50"/>
  <c r="M289" i="50"/>
  <c r="O204" i="50"/>
  <c r="O195" i="50" s="1"/>
  <c r="H290" i="50"/>
  <c r="H50" i="50"/>
  <c r="G290" i="50"/>
  <c r="C192" i="50"/>
  <c r="F191" i="50"/>
  <c r="C191" i="50" s="1"/>
  <c r="L204" i="50"/>
  <c r="C252" i="50"/>
  <c r="F251" i="50"/>
  <c r="C251" i="50" s="1"/>
  <c r="C231" i="50"/>
  <c r="C175" i="50"/>
  <c r="F174" i="50"/>
  <c r="C27" i="50"/>
  <c r="L26" i="50"/>
  <c r="F292" i="50"/>
  <c r="C21" i="50"/>
  <c r="F20" i="50"/>
  <c r="C260" i="50"/>
  <c r="F259" i="50"/>
  <c r="C259" i="50" s="1"/>
  <c r="C205" i="50"/>
  <c r="F204" i="50"/>
  <c r="L195" i="50"/>
  <c r="O194" i="50"/>
  <c r="C122" i="50"/>
  <c r="F54" i="50"/>
  <c r="C55" i="50"/>
  <c r="C144" i="50"/>
  <c r="C136" i="50"/>
  <c r="O83" i="50"/>
  <c r="O75" i="50" s="1"/>
  <c r="O52" i="50" s="1"/>
  <c r="I130" i="50"/>
  <c r="C77" i="50"/>
  <c r="F270" i="50"/>
  <c r="C272" i="50"/>
  <c r="C284" i="50"/>
  <c r="F283" i="50"/>
  <c r="C283" i="50" s="1"/>
  <c r="M194" i="50"/>
  <c r="C216" i="50"/>
  <c r="C166" i="50"/>
  <c r="C188" i="50"/>
  <c r="F187" i="50"/>
  <c r="C187" i="50" s="1"/>
  <c r="C84" i="50"/>
  <c r="C116" i="50"/>
  <c r="M52" i="50"/>
  <c r="I83" i="50"/>
  <c r="F130" i="50"/>
  <c r="C131" i="50"/>
  <c r="C58" i="50"/>
  <c r="C198" i="50"/>
  <c r="I196" i="50"/>
  <c r="I195" i="50" s="1"/>
  <c r="I194" i="50" s="1"/>
  <c r="E194" i="50"/>
  <c r="E51" i="50" s="1"/>
  <c r="C165" i="50"/>
  <c r="C89" i="50"/>
  <c r="F83" i="50"/>
  <c r="C83" i="50" s="1"/>
  <c r="C80" i="50"/>
  <c r="F76" i="50"/>
  <c r="C45" i="50"/>
  <c r="C69" i="50"/>
  <c r="F67" i="50"/>
  <c r="C67" i="50" s="1"/>
  <c r="C112" i="50"/>
  <c r="D290" i="50" l="1"/>
  <c r="D50" i="50"/>
  <c r="O51" i="50"/>
  <c r="C204" i="50"/>
  <c r="J290" i="50"/>
  <c r="L194" i="50"/>
  <c r="C196" i="50"/>
  <c r="O50" i="50"/>
  <c r="O290" i="50"/>
  <c r="N50" i="50"/>
  <c r="N290" i="50"/>
  <c r="M51" i="50"/>
  <c r="F195" i="50"/>
  <c r="C195" i="50" s="1"/>
  <c r="K289" i="50"/>
  <c r="K52" i="50"/>
  <c r="K51" i="50" s="1"/>
  <c r="M50" i="50"/>
  <c r="M290" i="50"/>
  <c r="C76" i="50"/>
  <c r="F75" i="50"/>
  <c r="O289" i="50"/>
  <c r="E290" i="50"/>
  <c r="E50" i="50"/>
  <c r="C130" i="50"/>
  <c r="F53" i="50"/>
  <c r="C54" i="50"/>
  <c r="L51" i="50"/>
  <c r="L50" i="50" s="1"/>
  <c r="C26" i="50"/>
  <c r="L20" i="50"/>
  <c r="C20" i="50" s="1"/>
  <c r="L289" i="50"/>
  <c r="C292" i="50"/>
  <c r="F291" i="50"/>
  <c r="C291" i="50" s="1"/>
  <c r="I75" i="50"/>
  <c r="F269" i="50"/>
  <c r="C270" i="50"/>
  <c r="F230" i="50"/>
  <c r="C230" i="50" s="1"/>
  <c r="F173" i="50"/>
  <c r="C173" i="50" s="1"/>
  <c r="C174" i="50"/>
  <c r="K50" i="50" l="1"/>
  <c r="K290" i="50"/>
  <c r="C269" i="50"/>
  <c r="F289" i="50"/>
  <c r="F194" i="50"/>
  <c r="C194" i="50" s="1"/>
  <c r="I289" i="50"/>
  <c r="I52" i="50"/>
  <c r="I51" i="50" s="1"/>
  <c r="C75" i="50"/>
  <c r="F52" i="50"/>
  <c r="C53" i="50"/>
  <c r="L290" i="50"/>
  <c r="I290" i="50" l="1"/>
  <c r="I50" i="50"/>
  <c r="C52" i="50"/>
  <c r="F51" i="50"/>
  <c r="C289" i="50"/>
  <c r="F290" i="50" l="1"/>
  <c r="C290" i="50" s="1"/>
  <c r="C51" i="50"/>
  <c r="F50" i="50"/>
  <c r="C50" i="50" s="1"/>
  <c r="O301" i="49" l="1"/>
  <c r="L301" i="49"/>
  <c r="I301" i="49"/>
  <c r="F301" i="49"/>
  <c r="O300" i="49"/>
  <c r="L300" i="49"/>
  <c r="I300" i="49"/>
  <c r="F300" i="49"/>
  <c r="O299" i="49"/>
  <c r="L299" i="49"/>
  <c r="I299" i="49"/>
  <c r="F299" i="49"/>
  <c r="O298" i="49"/>
  <c r="L298" i="49"/>
  <c r="I298" i="49"/>
  <c r="F298" i="49"/>
  <c r="O297" i="49"/>
  <c r="L297" i="49"/>
  <c r="I297" i="49"/>
  <c r="F297" i="49"/>
  <c r="O296" i="49"/>
  <c r="L296" i="49"/>
  <c r="I296" i="49"/>
  <c r="F296" i="49"/>
  <c r="O295" i="49"/>
  <c r="L295" i="49"/>
  <c r="I295" i="49"/>
  <c r="F295" i="49"/>
  <c r="O294" i="49"/>
  <c r="O293" i="49" s="1"/>
  <c r="L294" i="49"/>
  <c r="I294" i="49"/>
  <c r="F294" i="49"/>
  <c r="N293" i="49"/>
  <c r="M293" i="49"/>
  <c r="K293" i="49"/>
  <c r="J293" i="49"/>
  <c r="H293" i="49"/>
  <c r="G293" i="49"/>
  <c r="E293" i="49"/>
  <c r="D293" i="49"/>
  <c r="O288" i="49"/>
  <c r="L288" i="49"/>
  <c r="I288" i="49"/>
  <c r="F288" i="49"/>
  <c r="O287" i="49"/>
  <c r="L287" i="49"/>
  <c r="I287" i="49"/>
  <c r="F287" i="49"/>
  <c r="O286" i="49"/>
  <c r="N286" i="49"/>
  <c r="M286" i="49"/>
  <c r="K286" i="49"/>
  <c r="J286" i="49"/>
  <c r="H286" i="49"/>
  <c r="G286" i="49"/>
  <c r="F286" i="49"/>
  <c r="E286" i="49"/>
  <c r="D286" i="49"/>
  <c r="O285" i="49"/>
  <c r="O284" i="49" s="1"/>
  <c r="O283" i="49" s="1"/>
  <c r="L285" i="49"/>
  <c r="L284" i="49" s="1"/>
  <c r="L283" i="49" s="1"/>
  <c r="I285" i="49"/>
  <c r="I284" i="49" s="1"/>
  <c r="I283" i="49" s="1"/>
  <c r="F285" i="49"/>
  <c r="N284" i="49"/>
  <c r="M284" i="49"/>
  <c r="M283" i="49" s="1"/>
  <c r="K284" i="49"/>
  <c r="K283" i="49" s="1"/>
  <c r="J284" i="49"/>
  <c r="J283" i="49" s="1"/>
  <c r="H284" i="49"/>
  <c r="H283" i="49" s="1"/>
  <c r="G284" i="49"/>
  <c r="G283" i="49" s="1"/>
  <c r="F284" i="49"/>
  <c r="E284" i="49"/>
  <c r="E283" i="49" s="1"/>
  <c r="D284" i="49"/>
  <c r="D283" i="49" s="1"/>
  <c r="N283" i="49"/>
  <c r="O282" i="49"/>
  <c r="O281" i="49" s="1"/>
  <c r="L282" i="49"/>
  <c r="L281" i="49" s="1"/>
  <c r="I282" i="49"/>
  <c r="I281" i="49" s="1"/>
  <c r="F282" i="49"/>
  <c r="F281" i="49" s="1"/>
  <c r="N281" i="49"/>
  <c r="M281" i="49"/>
  <c r="K281" i="49"/>
  <c r="J281" i="49"/>
  <c r="H281" i="49"/>
  <c r="G281" i="49"/>
  <c r="E281" i="49"/>
  <c r="D281" i="49"/>
  <c r="O280" i="49"/>
  <c r="L280" i="49"/>
  <c r="I280" i="49"/>
  <c r="F280" i="49"/>
  <c r="O279" i="49"/>
  <c r="L279" i="49"/>
  <c r="I279" i="49"/>
  <c r="F279" i="49"/>
  <c r="O278" i="49"/>
  <c r="L278" i="49"/>
  <c r="I278" i="49"/>
  <c r="F278" i="49"/>
  <c r="O277" i="49"/>
  <c r="L277" i="49"/>
  <c r="I277" i="49"/>
  <c r="F277" i="49"/>
  <c r="N276" i="49"/>
  <c r="M276" i="49"/>
  <c r="K276" i="49"/>
  <c r="J276" i="49"/>
  <c r="H276" i="49"/>
  <c r="G276" i="49"/>
  <c r="E276" i="49"/>
  <c r="D276" i="49"/>
  <c r="O275" i="49"/>
  <c r="L275" i="49"/>
  <c r="I275" i="49"/>
  <c r="F275" i="49"/>
  <c r="O274" i="49"/>
  <c r="L274" i="49"/>
  <c r="I274" i="49"/>
  <c r="F274" i="49"/>
  <c r="O273" i="49"/>
  <c r="L273" i="49"/>
  <c r="L272" i="49" s="1"/>
  <c r="I273" i="49"/>
  <c r="I272" i="49" s="1"/>
  <c r="F273" i="49"/>
  <c r="N272" i="49"/>
  <c r="N270" i="49" s="1"/>
  <c r="N269" i="49" s="1"/>
  <c r="M272" i="49"/>
  <c r="K272" i="49"/>
  <c r="J272" i="49"/>
  <c r="H272" i="49"/>
  <c r="H270" i="49" s="1"/>
  <c r="H269" i="49" s="1"/>
  <c r="G272" i="49"/>
  <c r="E272" i="49"/>
  <c r="E270" i="49" s="1"/>
  <c r="D272" i="49"/>
  <c r="D270" i="49" s="1"/>
  <c r="D269" i="49" s="1"/>
  <c r="O271" i="49"/>
  <c r="L271" i="49"/>
  <c r="I271" i="49"/>
  <c r="F271" i="49"/>
  <c r="K270" i="49"/>
  <c r="K269" i="49" s="1"/>
  <c r="G270" i="49"/>
  <c r="G269" i="49" s="1"/>
  <c r="E269" i="49"/>
  <c r="O268" i="49"/>
  <c r="L268" i="49"/>
  <c r="I268" i="49"/>
  <c r="F268" i="49"/>
  <c r="O267" i="49"/>
  <c r="L267" i="49"/>
  <c r="I267" i="49"/>
  <c r="F267" i="49"/>
  <c r="O266" i="49"/>
  <c r="L266" i="49"/>
  <c r="I266" i="49"/>
  <c r="F266" i="49"/>
  <c r="O265" i="49"/>
  <c r="L265" i="49"/>
  <c r="I265" i="49"/>
  <c r="F265" i="49"/>
  <c r="N264" i="49"/>
  <c r="M264" i="49"/>
  <c r="K264" i="49"/>
  <c r="J264" i="49"/>
  <c r="H264" i="49"/>
  <c r="G264" i="49"/>
  <c r="E264" i="49"/>
  <c r="D264" i="49"/>
  <c r="O263" i="49"/>
  <c r="L263" i="49"/>
  <c r="I263" i="49"/>
  <c r="F263" i="49"/>
  <c r="O262" i="49"/>
  <c r="L262" i="49"/>
  <c r="I262" i="49"/>
  <c r="F262" i="49"/>
  <c r="O261" i="49"/>
  <c r="L261" i="49"/>
  <c r="I261" i="49"/>
  <c r="F261" i="49"/>
  <c r="N260" i="49"/>
  <c r="N259" i="49" s="1"/>
  <c r="M260" i="49"/>
  <c r="M259" i="49" s="1"/>
  <c r="K260" i="49"/>
  <c r="J260" i="49"/>
  <c r="H260" i="49"/>
  <c r="H259" i="49" s="1"/>
  <c r="G260" i="49"/>
  <c r="F260" i="49"/>
  <c r="E260" i="49"/>
  <c r="D260" i="49"/>
  <c r="D259" i="49" s="1"/>
  <c r="G259" i="49"/>
  <c r="O258" i="49"/>
  <c r="L258" i="49"/>
  <c r="I258" i="49"/>
  <c r="F258" i="49"/>
  <c r="O257" i="49"/>
  <c r="L257" i="49"/>
  <c r="I257" i="49"/>
  <c r="F257" i="49"/>
  <c r="O256" i="49"/>
  <c r="L256" i="49"/>
  <c r="I256" i="49"/>
  <c r="F256" i="49"/>
  <c r="O255" i="49"/>
  <c r="L255" i="49"/>
  <c r="I255" i="49"/>
  <c r="F255" i="49"/>
  <c r="O254" i="49"/>
  <c r="L254" i="49"/>
  <c r="I254" i="49"/>
  <c r="F254" i="49"/>
  <c r="O253" i="49"/>
  <c r="L253" i="49"/>
  <c r="I253" i="49"/>
  <c r="F253" i="49"/>
  <c r="N252" i="49"/>
  <c r="N251" i="49" s="1"/>
  <c r="M252" i="49"/>
  <c r="M251" i="49" s="1"/>
  <c r="K252" i="49"/>
  <c r="J252" i="49"/>
  <c r="J251" i="49" s="1"/>
  <c r="H252" i="49"/>
  <c r="H251" i="49" s="1"/>
  <c r="G252" i="49"/>
  <c r="G251" i="49" s="1"/>
  <c r="E252" i="49"/>
  <c r="E251" i="49" s="1"/>
  <c r="D252" i="49"/>
  <c r="K251" i="49"/>
  <c r="D251" i="49"/>
  <c r="O250" i="49"/>
  <c r="L250" i="49"/>
  <c r="I250" i="49"/>
  <c r="F250" i="49"/>
  <c r="O249" i="49"/>
  <c r="L249" i="49"/>
  <c r="I249" i="49"/>
  <c r="F249" i="49"/>
  <c r="O248" i="49"/>
  <c r="L248" i="49"/>
  <c r="I248" i="49"/>
  <c r="F248" i="49"/>
  <c r="O247" i="49"/>
  <c r="L247" i="49"/>
  <c r="I247" i="49"/>
  <c r="F247" i="49"/>
  <c r="O246" i="49"/>
  <c r="N246" i="49"/>
  <c r="M246" i="49"/>
  <c r="K246" i="49"/>
  <c r="J246" i="49"/>
  <c r="H246" i="49"/>
  <c r="G246" i="49"/>
  <c r="E246" i="49"/>
  <c r="D246" i="49"/>
  <c r="O245" i="49"/>
  <c r="L245" i="49"/>
  <c r="I245" i="49"/>
  <c r="F245" i="49"/>
  <c r="O244" i="49"/>
  <c r="L244" i="49"/>
  <c r="I244" i="49"/>
  <c r="F244" i="49"/>
  <c r="O243" i="49"/>
  <c r="L243" i="49"/>
  <c r="I243" i="49"/>
  <c r="F243" i="49"/>
  <c r="O242" i="49"/>
  <c r="L242" i="49"/>
  <c r="I242" i="49"/>
  <c r="F242" i="49"/>
  <c r="O241" i="49"/>
  <c r="L241" i="49"/>
  <c r="I241" i="49"/>
  <c r="F241" i="49"/>
  <c r="O240" i="49"/>
  <c r="L240" i="49"/>
  <c r="I240" i="49"/>
  <c r="F240" i="49"/>
  <c r="O239" i="49"/>
  <c r="O238" i="49" s="1"/>
  <c r="L239" i="49"/>
  <c r="I239" i="49"/>
  <c r="F239" i="49"/>
  <c r="N238" i="49"/>
  <c r="M238" i="49"/>
  <c r="K238" i="49"/>
  <c r="J238" i="49"/>
  <c r="H238" i="49"/>
  <c r="G238" i="49"/>
  <c r="E238" i="49"/>
  <c r="D238" i="49"/>
  <c r="O237" i="49"/>
  <c r="L237" i="49"/>
  <c r="I237" i="49"/>
  <c r="F237" i="49"/>
  <c r="O236" i="49"/>
  <c r="L236" i="49"/>
  <c r="L235" i="49" s="1"/>
  <c r="I236" i="49"/>
  <c r="F236" i="49"/>
  <c r="O235" i="49"/>
  <c r="N235" i="49"/>
  <c r="M235" i="49"/>
  <c r="K235" i="49"/>
  <c r="J235" i="49"/>
  <c r="H235" i="49"/>
  <c r="G235" i="49"/>
  <c r="F235" i="49"/>
  <c r="E235" i="49"/>
  <c r="D235" i="49"/>
  <c r="O234" i="49"/>
  <c r="O233" i="49" s="1"/>
  <c r="L234" i="49"/>
  <c r="L233" i="49" s="1"/>
  <c r="I234" i="49"/>
  <c r="F234" i="49"/>
  <c r="F233" i="49" s="1"/>
  <c r="N233" i="49"/>
  <c r="N231" i="49" s="1"/>
  <c r="N230" i="49" s="1"/>
  <c r="M233" i="49"/>
  <c r="K233" i="49"/>
  <c r="J233" i="49"/>
  <c r="I233" i="49"/>
  <c r="H233" i="49"/>
  <c r="G233" i="49"/>
  <c r="E233" i="49"/>
  <c r="E231" i="49" s="1"/>
  <c r="D233" i="49"/>
  <c r="O232" i="49"/>
  <c r="L232" i="49"/>
  <c r="I232" i="49"/>
  <c r="F232" i="49"/>
  <c r="O229" i="49"/>
  <c r="L229" i="49"/>
  <c r="I229" i="49"/>
  <c r="F229" i="49"/>
  <c r="O228" i="49"/>
  <c r="L228" i="49"/>
  <c r="L227" i="49" s="1"/>
  <c r="I228" i="49"/>
  <c r="I227" i="49" s="1"/>
  <c r="F228" i="49"/>
  <c r="O227" i="49"/>
  <c r="N227" i="49"/>
  <c r="M227" i="49"/>
  <c r="K227" i="49"/>
  <c r="J227" i="49"/>
  <c r="H227" i="49"/>
  <c r="G227" i="49"/>
  <c r="F227" i="49"/>
  <c r="E227" i="49"/>
  <c r="D227" i="49"/>
  <c r="O226" i="49"/>
  <c r="L226" i="49"/>
  <c r="I226" i="49"/>
  <c r="F226" i="49"/>
  <c r="O225" i="49"/>
  <c r="L225" i="49"/>
  <c r="I225" i="49"/>
  <c r="F225" i="49"/>
  <c r="O224" i="49"/>
  <c r="L224" i="49"/>
  <c r="I224" i="49"/>
  <c r="F224" i="49"/>
  <c r="O223" i="49"/>
  <c r="L223" i="49"/>
  <c r="I223" i="49"/>
  <c r="F223" i="49"/>
  <c r="O222" i="49"/>
  <c r="L222" i="49"/>
  <c r="I222" i="49"/>
  <c r="F222" i="49"/>
  <c r="O221" i="49"/>
  <c r="L221" i="49"/>
  <c r="I221" i="49"/>
  <c r="F221" i="49"/>
  <c r="O220" i="49"/>
  <c r="L220" i="49"/>
  <c r="I220" i="49"/>
  <c r="F220" i="49"/>
  <c r="O219" i="49"/>
  <c r="L219" i="49"/>
  <c r="I219" i="49"/>
  <c r="F219" i="49"/>
  <c r="O218" i="49"/>
  <c r="L218" i="49"/>
  <c r="I218" i="49"/>
  <c r="F218" i="49"/>
  <c r="O217" i="49"/>
  <c r="L217" i="49"/>
  <c r="I217" i="49"/>
  <c r="F217" i="49"/>
  <c r="F216" i="49" s="1"/>
  <c r="N216" i="49"/>
  <c r="M216" i="49"/>
  <c r="K216" i="49"/>
  <c r="J216" i="49"/>
  <c r="H216" i="49"/>
  <c r="G216" i="49"/>
  <c r="E216" i="49"/>
  <c r="D216" i="49"/>
  <c r="O215" i="49"/>
  <c r="L215" i="49"/>
  <c r="I215" i="49"/>
  <c r="F215" i="49"/>
  <c r="O214" i="49"/>
  <c r="L214" i="49"/>
  <c r="I214" i="49"/>
  <c r="F214" i="49"/>
  <c r="O213" i="49"/>
  <c r="L213" i="49"/>
  <c r="I213" i="49"/>
  <c r="F213" i="49"/>
  <c r="O212" i="49"/>
  <c r="L212" i="49"/>
  <c r="I212" i="49"/>
  <c r="F212" i="49"/>
  <c r="O211" i="49"/>
  <c r="L211" i="49"/>
  <c r="I211" i="49"/>
  <c r="F211" i="49"/>
  <c r="C211" i="49" s="1"/>
  <c r="O210" i="49"/>
  <c r="L210" i="49"/>
  <c r="I210" i="49"/>
  <c r="F210" i="49"/>
  <c r="O209" i="49"/>
  <c r="L209" i="49"/>
  <c r="I209" i="49"/>
  <c r="F209" i="49"/>
  <c r="O208" i="49"/>
  <c r="L208" i="49"/>
  <c r="I208" i="49"/>
  <c r="F208" i="49"/>
  <c r="O207" i="49"/>
  <c r="L207" i="49"/>
  <c r="I207" i="49"/>
  <c r="F207" i="49"/>
  <c r="O206" i="49"/>
  <c r="L206" i="49"/>
  <c r="I206" i="49"/>
  <c r="F206" i="49"/>
  <c r="N205" i="49"/>
  <c r="M205" i="49"/>
  <c r="K205" i="49"/>
  <c r="J205" i="49"/>
  <c r="H205" i="49"/>
  <c r="H204" i="49" s="1"/>
  <c r="G205" i="49"/>
  <c r="E205" i="49"/>
  <c r="D205" i="49"/>
  <c r="D204" i="49" s="1"/>
  <c r="M204" i="49"/>
  <c r="J204" i="49"/>
  <c r="O203" i="49"/>
  <c r="L203" i="49"/>
  <c r="I203" i="49"/>
  <c r="F203" i="49"/>
  <c r="O202" i="49"/>
  <c r="L202" i="49"/>
  <c r="I202" i="49"/>
  <c r="F202" i="49"/>
  <c r="O201" i="49"/>
  <c r="L201" i="49"/>
  <c r="I201" i="49"/>
  <c r="F201" i="49"/>
  <c r="O200" i="49"/>
  <c r="L200" i="49"/>
  <c r="I200" i="49"/>
  <c r="F200" i="49"/>
  <c r="O199" i="49"/>
  <c r="L199" i="49"/>
  <c r="I199" i="49"/>
  <c r="F199" i="49"/>
  <c r="F198" i="49" s="1"/>
  <c r="O198" i="49"/>
  <c r="N198" i="49"/>
  <c r="M198" i="49"/>
  <c r="K198" i="49"/>
  <c r="K196" i="49" s="1"/>
  <c r="J198" i="49"/>
  <c r="H198" i="49"/>
  <c r="H196" i="49" s="1"/>
  <c r="G198" i="49"/>
  <c r="G196" i="49" s="1"/>
  <c r="E198" i="49"/>
  <c r="D198" i="49"/>
  <c r="D196" i="49" s="1"/>
  <c r="D195" i="49" s="1"/>
  <c r="O197" i="49"/>
  <c r="L197" i="49"/>
  <c r="I197" i="49"/>
  <c r="F197" i="49"/>
  <c r="N196" i="49"/>
  <c r="M196" i="49"/>
  <c r="M195" i="49" s="1"/>
  <c r="J196" i="49"/>
  <c r="J195" i="49" s="1"/>
  <c r="E196" i="49"/>
  <c r="O193" i="49"/>
  <c r="L193" i="49"/>
  <c r="I193" i="49"/>
  <c r="F193" i="49"/>
  <c r="F192" i="49" s="1"/>
  <c r="O192" i="49"/>
  <c r="O191" i="49" s="1"/>
  <c r="N192" i="49"/>
  <c r="N191" i="49" s="1"/>
  <c r="M192" i="49"/>
  <c r="K192" i="49"/>
  <c r="K191" i="49" s="1"/>
  <c r="J192" i="49"/>
  <c r="I192" i="49"/>
  <c r="I191" i="49" s="1"/>
  <c r="H192" i="49"/>
  <c r="G192" i="49"/>
  <c r="G191" i="49" s="1"/>
  <c r="E192" i="49"/>
  <c r="D192" i="49"/>
  <c r="D191" i="49" s="1"/>
  <c r="M191" i="49"/>
  <c r="J191" i="49"/>
  <c r="H191" i="49"/>
  <c r="E191" i="49"/>
  <c r="O190" i="49"/>
  <c r="L190" i="49"/>
  <c r="I190" i="49"/>
  <c r="F190" i="49"/>
  <c r="O189" i="49"/>
  <c r="L189" i="49"/>
  <c r="I189" i="49"/>
  <c r="F189" i="49"/>
  <c r="F188" i="49" s="1"/>
  <c r="O188" i="49"/>
  <c r="O187" i="49" s="1"/>
  <c r="N188" i="49"/>
  <c r="M188" i="49"/>
  <c r="K188" i="49"/>
  <c r="K187" i="49" s="1"/>
  <c r="J188" i="49"/>
  <c r="J187" i="49" s="1"/>
  <c r="H188" i="49"/>
  <c r="G188" i="49"/>
  <c r="E188" i="49"/>
  <c r="D188" i="49"/>
  <c r="D187" i="49" s="1"/>
  <c r="O186" i="49"/>
  <c r="L186" i="49"/>
  <c r="I186" i="49"/>
  <c r="F186" i="49"/>
  <c r="O185" i="49"/>
  <c r="L185" i="49"/>
  <c r="I185" i="49"/>
  <c r="F185" i="49"/>
  <c r="F184" i="49" s="1"/>
  <c r="O184" i="49"/>
  <c r="N184" i="49"/>
  <c r="M184" i="49"/>
  <c r="K184" i="49"/>
  <c r="J184" i="49"/>
  <c r="H184" i="49"/>
  <c r="G184" i="49"/>
  <c r="E184" i="49"/>
  <c r="D184" i="49"/>
  <c r="O183" i="49"/>
  <c r="L183" i="49"/>
  <c r="I183" i="49"/>
  <c r="F183" i="49"/>
  <c r="O182" i="49"/>
  <c r="L182" i="49"/>
  <c r="I182" i="49"/>
  <c r="F182" i="49"/>
  <c r="O181" i="49"/>
  <c r="L181" i="49"/>
  <c r="I181" i="49"/>
  <c r="F181" i="49"/>
  <c r="O180" i="49"/>
  <c r="L180" i="49"/>
  <c r="L179" i="49" s="1"/>
  <c r="I180" i="49"/>
  <c r="F180" i="49"/>
  <c r="F179" i="49" s="1"/>
  <c r="N179" i="49"/>
  <c r="M179" i="49"/>
  <c r="K179" i="49"/>
  <c r="J179" i="49"/>
  <c r="H179" i="49"/>
  <c r="G179" i="49"/>
  <c r="E179" i="49"/>
  <c r="D179" i="49"/>
  <c r="O178" i="49"/>
  <c r="L178" i="49"/>
  <c r="I178" i="49"/>
  <c r="F178" i="49"/>
  <c r="O177" i="49"/>
  <c r="L177" i="49"/>
  <c r="I177" i="49"/>
  <c r="F177" i="49"/>
  <c r="O176" i="49"/>
  <c r="L176" i="49"/>
  <c r="I176" i="49"/>
  <c r="F176" i="49"/>
  <c r="N175" i="49"/>
  <c r="N174" i="49" s="1"/>
  <c r="N173" i="49" s="1"/>
  <c r="M175" i="49"/>
  <c r="K175" i="49"/>
  <c r="J175" i="49"/>
  <c r="J174" i="49" s="1"/>
  <c r="J173" i="49" s="1"/>
  <c r="I175" i="49"/>
  <c r="H175" i="49"/>
  <c r="G175" i="49"/>
  <c r="F175" i="49"/>
  <c r="E175" i="49"/>
  <c r="E174" i="49" s="1"/>
  <c r="D175" i="49"/>
  <c r="K174" i="49"/>
  <c r="K173" i="49" s="1"/>
  <c r="G174" i="49"/>
  <c r="G173" i="49" s="1"/>
  <c r="O172" i="49"/>
  <c r="L172" i="49"/>
  <c r="I172" i="49"/>
  <c r="F172" i="49"/>
  <c r="O171" i="49"/>
  <c r="L171" i="49"/>
  <c r="I171" i="49"/>
  <c r="F171" i="49"/>
  <c r="O170" i="49"/>
  <c r="L170" i="49"/>
  <c r="I170" i="49"/>
  <c r="F170" i="49"/>
  <c r="O169" i="49"/>
  <c r="L169" i="49"/>
  <c r="I169" i="49"/>
  <c r="F169" i="49"/>
  <c r="C169" i="49" s="1"/>
  <c r="O168" i="49"/>
  <c r="L168" i="49"/>
  <c r="I168" i="49"/>
  <c r="F168" i="49"/>
  <c r="O167" i="49"/>
  <c r="L167" i="49"/>
  <c r="I167" i="49"/>
  <c r="F167" i="49"/>
  <c r="N166" i="49"/>
  <c r="N165" i="49" s="1"/>
  <c r="M166" i="49"/>
  <c r="M165" i="49" s="1"/>
  <c r="K166" i="49"/>
  <c r="J166" i="49"/>
  <c r="J165" i="49" s="1"/>
  <c r="I166" i="49"/>
  <c r="I165" i="49" s="1"/>
  <c r="H166" i="49"/>
  <c r="H165" i="49" s="1"/>
  <c r="G166" i="49"/>
  <c r="E166" i="49"/>
  <c r="E165" i="49" s="1"/>
  <c r="D166" i="49"/>
  <c r="D165" i="49" s="1"/>
  <c r="K165" i="49"/>
  <c r="G165" i="49"/>
  <c r="O164" i="49"/>
  <c r="L164" i="49"/>
  <c r="I164" i="49"/>
  <c r="F164" i="49"/>
  <c r="O163" i="49"/>
  <c r="L163" i="49"/>
  <c r="I163" i="49"/>
  <c r="F163" i="49"/>
  <c r="O162" i="49"/>
  <c r="L162" i="49"/>
  <c r="I162" i="49"/>
  <c r="F162" i="49"/>
  <c r="O161" i="49"/>
  <c r="L161" i="49"/>
  <c r="I161" i="49"/>
  <c r="F161" i="49"/>
  <c r="F160" i="49" s="1"/>
  <c r="O160" i="49"/>
  <c r="N160" i="49"/>
  <c r="M160" i="49"/>
  <c r="K160" i="49"/>
  <c r="J160" i="49"/>
  <c r="H160" i="49"/>
  <c r="G160" i="49"/>
  <c r="E160" i="49"/>
  <c r="D160" i="49"/>
  <c r="O159" i="49"/>
  <c r="L159" i="49"/>
  <c r="I159" i="49"/>
  <c r="F159" i="49"/>
  <c r="O158" i="49"/>
  <c r="L158" i="49"/>
  <c r="I158" i="49"/>
  <c r="F158" i="49"/>
  <c r="O157" i="49"/>
  <c r="L157" i="49"/>
  <c r="I157" i="49"/>
  <c r="F157" i="49"/>
  <c r="O156" i="49"/>
  <c r="L156" i="49"/>
  <c r="I156" i="49"/>
  <c r="F156" i="49"/>
  <c r="O155" i="49"/>
  <c r="L155" i="49"/>
  <c r="I155" i="49"/>
  <c r="F155" i="49"/>
  <c r="O154" i="49"/>
  <c r="L154" i="49"/>
  <c r="I154" i="49"/>
  <c r="F154" i="49"/>
  <c r="O153" i="49"/>
  <c r="L153" i="49"/>
  <c r="I153" i="49"/>
  <c r="F153" i="49"/>
  <c r="O152" i="49"/>
  <c r="L152" i="49"/>
  <c r="L151" i="49" s="1"/>
  <c r="I152" i="49"/>
  <c r="F152" i="49"/>
  <c r="N151" i="49"/>
  <c r="M151" i="49"/>
  <c r="K151" i="49"/>
  <c r="J151" i="49"/>
  <c r="H151" i="49"/>
  <c r="G151" i="49"/>
  <c r="E151" i="49"/>
  <c r="D151" i="49"/>
  <c r="O150" i="49"/>
  <c r="L150" i="49"/>
  <c r="I150" i="49"/>
  <c r="F150" i="49"/>
  <c r="O149" i="49"/>
  <c r="L149" i="49"/>
  <c r="I149" i="49"/>
  <c r="F149" i="49"/>
  <c r="O148" i="49"/>
  <c r="L148" i="49"/>
  <c r="I148" i="49"/>
  <c r="F148" i="49"/>
  <c r="O147" i="49"/>
  <c r="L147" i="49"/>
  <c r="I147" i="49"/>
  <c r="F147" i="49"/>
  <c r="O146" i="49"/>
  <c r="L146" i="49"/>
  <c r="I146" i="49"/>
  <c r="F146" i="49"/>
  <c r="C146" i="49" s="1"/>
  <c r="O145" i="49"/>
  <c r="L145" i="49"/>
  <c r="I145" i="49"/>
  <c r="I144" i="49" s="1"/>
  <c r="F145" i="49"/>
  <c r="N144" i="49"/>
  <c r="M144" i="49"/>
  <c r="L144" i="49"/>
  <c r="K144" i="49"/>
  <c r="J144" i="49"/>
  <c r="H144" i="49"/>
  <c r="G144" i="49"/>
  <c r="E144" i="49"/>
  <c r="D144" i="49"/>
  <c r="O143" i="49"/>
  <c r="L143" i="49"/>
  <c r="I143" i="49"/>
  <c r="F143" i="49"/>
  <c r="O142" i="49"/>
  <c r="L142" i="49"/>
  <c r="L141" i="49" s="1"/>
  <c r="I142" i="49"/>
  <c r="F142" i="49"/>
  <c r="O141" i="49"/>
  <c r="N141" i="49"/>
  <c r="M141" i="49"/>
  <c r="K141" i="49"/>
  <c r="J141" i="49"/>
  <c r="H141" i="49"/>
  <c r="G141" i="49"/>
  <c r="E141" i="49"/>
  <c r="D141" i="49"/>
  <c r="O140" i="49"/>
  <c r="L140" i="49"/>
  <c r="I140" i="49"/>
  <c r="F140" i="49"/>
  <c r="O139" i="49"/>
  <c r="L139" i="49"/>
  <c r="I139" i="49"/>
  <c r="F139" i="49"/>
  <c r="O138" i="49"/>
  <c r="L138" i="49"/>
  <c r="I138" i="49"/>
  <c r="F138" i="49"/>
  <c r="O137" i="49"/>
  <c r="O136" i="49" s="1"/>
  <c r="L137" i="49"/>
  <c r="I137" i="49"/>
  <c r="F137" i="49"/>
  <c r="F136" i="49" s="1"/>
  <c r="N136" i="49"/>
  <c r="M136" i="49"/>
  <c r="K136" i="49"/>
  <c r="J136" i="49"/>
  <c r="I136" i="49"/>
  <c r="H136" i="49"/>
  <c r="G136" i="49"/>
  <c r="E136" i="49"/>
  <c r="D136" i="49"/>
  <c r="O135" i="49"/>
  <c r="L135" i="49"/>
  <c r="I135" i="49"/>
  <c r="F135" i="49"/>
  <c r="O134" i="49"/>
  <c r="L134" i="49"/>
  <c r="I134" i="49"/>
  <c r="F134" i="49"/>
  <c r="O133" i="49"/>
  <c r="L133" i="49"/>
  <c r="I133" i="49"/>
  <c r="F133" i="49"/>
  <c r="O132" i="49"/>
  <c r="O131" i="49" s="1"/>
  <c r="L132" i="49"/>
  <c r="I132" i="49"/>
  <c r="F132" i="49"/>
  <c r="F131" i="49" s="1"/>
  <c r="N131" i="49"/>
  <c r="N130" i="49" s="1"/>
  <c r="M131" i="49"/>
  <c r="K131" i="49"/>
  <c r="J131" i="49"/>
  <c r="H131" i="49"/>
  <c r="G131" i="49"/>
  <c r="E131" i="49"/>
  <c r="D131" i="49"/>
  <c r="J130" i="49"/>
  <c r="O129" i="49"/>
  <c r="L129" i="49"/>
  <c r="L128" i="49" s="1"/>
  <c r="I129" i="49"/>
  <c r="I128" i="49" s="1"/>
  <c r="F129" i="49"/>
  <c r="O128" i="49"/>
  <c r="N128" i="49"/>
  <c r="M128" i="49"/>
  <c r="K128" i="49"/>
  <c r="J128" i="49"/>
  <c r="H128" i="49"/>
  <c r="G128" i="49"/>
  <c r="E128" i="49"/>
  <c r="D128" i="49"/>
  <c r="O127" i="49"/>
  <c r="L127" i="49"/>
  <c r="I127" i="49"/>
  <c r="F127" i="49"/>
  <c r="O126" i="49"/>
  <c r="L126" i="49"/>
  <c r="I126" i="49"/>
  <c r="F126" i="49"/>
  <c r="O125" i="49"/>
  <c r="L125" i="49"/>
  <c r="I125" i="49"/>
  <c r="F125" i="49"/>
  <c r="O124" i="49"/>
  <c r="L124" i="49"/>
  <c r="I124" i="49"/>
  <c r="F124" i="49"/>
  <c r="O123" i="49"/>
  <c r="L123" i="49"/>
  <c r="I123" i="49"/>
  <c r="F123" i="49"/>
  <c r="N122" i="49"/>
  <c r="M122" i="49"/>
  <c r="K122" i="49"/>
  <c r="J122" i="49"/>
  <c r="H122" i="49"/>
  <c r="G122" i="49"/>
  <c r="E122" i="49"/>
  <c r="D122" i="49"/>
  <c r="O121" i="49"/>
  <c r="L121" i="49"/>
  <c r="I121" i="49"/>
  <c r="F121" i="49"/>
  <c r="O120" i="49"/>
  <c r="L120" i="49"/>
  <c r="I120" i="49"/>
  <c r="F120" i="49"/>
  <c r="O119" i="49"/>
  <c r="L119" i="49"/>
  <c r="I119" i="49"/>
  <c r="F119" i="49"/>
  <c r="O118" i="49"/>
  <c r="L118" i="49"/>
  <c r="I118" i="49"/>
  <c r="F118" i="49"/>
  <c r="O117" i="49"/>
  <c r="L117" i="49"/>
  <c r="I117" i="49"/>
  <c r="I116" i="49" s="1"/>
  <c r="F117" i="49"/>
  <c r="F116" i="49" s="1"/>
  <c r="N116" i="49"/>
  <c r="M116" i="49"/>
  <c r="L116" i="49"/>
  <c r="K116" i="49"/>
  <c r="J116" i="49"/>
  <c r="H116" i="49"/>
  <c r="G116" i="49"/>
  <c r="E116" i="49"/>
  <c r="D116" i="49"/>
  <c r="O115" i="49"/>
  <c r="L115" i="49"/>
  <c r="I115" i="49"/>
  <c r="F115" i="49"/>
  <c r="O114" i="49"/>
  <c r="L114" i="49"/>
  <c r="I114" i="49"/>
  <c r="F114" i="49"/>
  <c r="O113" i="49"/>
  <c r="L113" i="49"/>
  <c r="I113" i="49"/>
  <c r="F113" i="49"/>
  <c r="O112" i="49"/>
  <c r="N112" i="49"/>
  <c r="M112" i="49"/>
  <c r="K112" i="49"/>
  <c r="J112" i="49"/>
  <c r="H112" i="49"/>
  <c r="G112" i="49"/>
  <c r="E112" i="49"/>
  <c r="D112" i="49"/>
  <c r="O111" i="49"/>
  <c r="L111" i="49"/>
  <c r="I111" i="49"/>
  <c r="F111" i="49"/>
  <c r="O110" i="49"/>
  <c r="L110" i="49"/>
  <c r="I110" i="49"/>
  <c r="F110" i="49"/>
  <c r="O109" i="49"/>
  <c r="L109" i="49"/>
  <c r="I109" i="49"/>
  <c r="F109" i="49"/>
  <c r="O108" i="49"/>
  <c r="L108" i="49"/>
  <c r="I108" i="49"/>
  <c r="F108" i="49"/>
  <c r="O107" i="49"/>
  <c r="L107" i="49"/>
  <c r="I107" i="49"/>
  <c r="F107" i="49"/>
  <c r="O106" i="49"/>
  <c r="L106" i="49"/>
  <c r="I106" i="49"/>
  <c r="F106" i="49"/>
  <c r="O105" i="49"/>
  <c r="L105" i="49"/>
  <c r="I105" i="49"/>
  <c r="F105" i="49"/>
  <c r="O104" i="49"/>
  <c r="L104" i="49"/>
  <c r="L103" i="49" s="1"/>
  <c r="I104" i="49"/>
  <c r="F104" i="49"/>
  <c r="F103" i="49" s="1"/>
  <c r="N103" i="49"/>
  <c r="M103" i="49"/>
  <c r="K103" i="49"/>
  <c r="J103" i="49"/>
  <c r="H103" i="49"/>
  <c r="G103" i="49"/>
  <c r="E103" i="49"/>
  <c r="D103" i="49"/>
  <c r="O102" i="49"/>
  <c r="L102" i="49"/>
  <c r="I102" i="49"/>
  <c r="F102" i="49"/>
  <c r="C102" i="49" s="1"/>
  <c r="O101" i="49"/>
  <c r="L101" i="49"/>
  <c r="I101" i="49"/>
  <c r="F101" i="49"/>
  <c r="O100" i="49"/>
  <c r="L100" i="49"/>
  <c r="I100" i="49"/>
  <c r="F100" i="49"/>
  <c r="O99" i="49"/>
  <c r="L99" i="49"/>
  <c r="I99" i="49"/>
  <c r="F99" i="49"/>
  <c r="O98" i="49"/>
  <c r="L98" i="49"/>
  <c r="I98" i="49"/>
  <c r="F98" i="49"/>
  <c r="C98" i="49" s="1"/>
  <c r="O97" i="49"/>
  <c r="L97" i="49"/>
  <c r="I97" i="49"/>
  <c r="F97" i="49"/>
  <c r="O96" i="49"/>
  <c r="L96" i="49"/>
  <c r="L95" i="49" s="1"/>
  <c r="I96" i="49"/>
  <c r="F96" i="49"/>
  <c r="N95" i="49"/>
  <c r="M95" i="49"/>
  <c r="K95" i="49"/>
  <c r="J95" i="49"/>
  <c r="H95" i="49"/>
  <c r="G95" i="49"/>
  <c r="E95" i="49"/>
  <c r="D95" i="49"/>
  <c r="O94" i="49"/>
  <c r="L94" i="49"/>
  <c r="I94" i="49"/>
  <c r="F94" i="49"/>
  <c r="O93" i="49"/>
  <c r="L93" i="49"/>
  <c r="I93" i="49"/>
  <c r="F93" i="49"/>
  <c r="O92" i="49"/>
  <c r="L92" i="49"/>
  <c r="I92" i="49"/>
  <c r="F92" i="49"/>
  <c r="C92" i="49" s="1"/>
  <c r="O91" i="49"/>
  <c r="L91" i="49"/>
  <c r="I91" i="49"/>
  <c r="F91" i="49"/>
  <c r="O90" i="49"/>
  <c r="L90" i="49"/>
  <c r="L89" i="49" s="1"/>
  <c r="I90" i="49"/>
  <c r="F90" i="49"/>
  <c r="N89" i="49"/>
  <c r="M89" i="49"/>
  <c r="K89" i="49"/>
  <c r="J89" i="49"/>
  <c r="H89" i="49"/>
  <c r="G89" i="49"/>
  <c r="E89" i="49"/>
  <c r="D89" i="49"/>
  <c r="O88" i="49"/>
  <c r="L88" i="49"/>
  <c r="I88" i="49"/>
  <c r="F88" i="49"/>
  <c r="O87" i="49"/>
  <c r="L87" i="49"/>
  <c r="I87" i="49"/>
  <c r="F87" i="49"/>
  <c r="O86" i="49"/>
  <c r="L86" i="49"/>
  <c r="I86" i="49"/>
  <c r="F86" i="49"/>
  <c r="O85" i="49"/>
  <c r="O84" i="49" s="1"/>
  <c r="L85" i="49"/>
  <c r="L84" i="49" s="1"/>
  <c r="I85" i="49"/>
  <c r="F85" i="49"/>
  <c r="N84" i="49"/>
  <c r="M84" i="49"/>
  <c r="K84" i="49"/>
  <c r="J84" i="49"/>
  <c r="H84" i="49"/>
  <c r="G84" i="49"/>
  <c r="E84" i="49"/>
  <c r="D84" i="49"/>
  <c r="N83" i="49"/>
  <c r="O82" i="49"/>
  <c r="L82" i="49"/>
  <c r="I82" i="49"/>
  <c r="F82" i="49"/>
  <c r="O81" i="49"/>
  <c r="L81" i="49"/>
  <c r="L80" i="49" s="1"/>
  <c r="I81" i="49"/>
  <c r="F81" i="49"/>
  <c r="F80" i="49" s="1"/>
  <c r="O80" i="49"/>
  <c r="N80" i="49"/>
  <c r="M80" i="49"/>
  <c r="K80" i="49"/>
  <c r="J80" i="49"/>
  <c r="H80" i="49"/>
  <c r="G80" i="49"/>
  <c r="E80" i="49"/>
  <c r="D80" i="49"/>
  <c r="O79" i="49"/>
  <c r="L79" i="49"/>
  <c r="I79" i="49"/>
  <c r="F79" i="49"/>
  <c r="O78" i="49"/>
  <c r="O77" i="49" s="1"/>
  <c r="O76" i="49" s="1"/>
  <c r="L78" i="49"/>
  <c r="I78" i="49"/>
  <c r="I77" i="49" s="1"/>
  <c r="F78" i="49"/>
  <c r="N77" i="49"/>
  <c r="M77" i="49"/>
  <c r="K77" i="49"/>
  <c r="K76" i="49" s="1"/>
  <c r="J77" i="49"/>
  <c r="J76" i="49" s="1"/>
  <c r="H77" i="49"/>
  <c r="G77" i="49"/>
  <c r="F77" i="49"/>
  <c r="F76" i="49" s="1"/>
  <c r="E77" i="49"/>
  <c r="E76" i="49" s="1"/>
  <c r="D77" i="49"/>
  <c r="D76" i="49" s="1"/>
  <c r="M76" i="49"/>
  <c r="H76" i="49"/>
  <c r="O74" i="49"/>
  <c r="L74" i="49"/>
  <c r="I74" i="49"/>
  <c r="F74" i="49"/>
  <c r="O73" i="49"/>
  <c r="L73" i="49"/>
  <c r="I73" i="49"/>
  <c r="F73" i="49"/>
  <c r="O72" i="49"/>
  <c r="L72" i="49"/>
  <c r="I72" i="49"/>
  <c r="F72" i="49"/>
  <c r="O71" i="49"/>
  <c r="L71" i="49"/>
  <c r="I71" i="49"/>
  <c r="F71" i="49"/>
  <c r="O70" i="49"/>
  <c r="O69" i="49" s="1"/>
  <c r="L70" i="49"/>
  <c r="I70" i="49"/>
  <c r="F70" i="49"/>
  <c r="N69" i="49"/>
  <c r="N67" i="49" s="1"/>
  <c r="M69" i="49"/>
  <c r="M67" i="49" s="1"/>
  <c r="K69" i="49"/>
  <c r="K67" i="49" s="1"/>
  <c r="J69" i="49"/>
  <c r="J67" i="49" s="1"/>
  <c r="H69" i="49"/>
  <c r="G69" i="49"/>
  <c r="G67" i="49" s="1"/>
  <c r="E69" i="49"/>
  <c r="D69" i="49"/>
  <c r="D67" i="49" s="1"/>
  <c r="O68" i="49"/>
  <c r="L68" i="49"/>
  <c r="I68" i="49"/>
  <c r="F68" i="49"/>
  <c r="H67" i="49"/>
  <c r="E67" i="49"/>
  <c r="O66" i="49"/>
  <c r="L66" i="49"/>
  <c r="I66" i="49"/>
  <c r="F66" i="49"/>
  <c r="O65" i="49"/>
  <c r="L65" i="49"/>
  <c r="I65" i="49"/>
  <c r="F65" i="49"/>
  <c r="O64" i="49"/>
  <c r="L64" i="49"/>
  <c r="I64" i="49"/>
  <c r="F64" i="49"/>
  <c r="O63" i="49"/>
  <c r="L63" i="49"/>
  <c r="I63" i="49"/>
  <c r="F63" i="49"/>
  <c r="O62" i="49"/>
  <c r="L62" i="49"/>
  <c r="I62" i="49"/>
  <c r="F62" i="49"/>
  <c r="O61" i="49"/>
  <c r="L61" i="49"/>
  <c r="I61" i="49"/>
  <c r="F61" i="49"/>
  <c r="O60" i="49"/>
  <c r="L60" i="49"/>
  <c r="I60" i="49"/>
  <c r="F60" i="49"/>
  <c r="O59" i="49"/>
  <c r="L59" i="49"/>
  <c r="I59" i="49"/>
  <c r="I58" i="49" s="1"/>
  <c r="F59" i="49"/>
  <c r="N58" i="49"/>
  <c r="M58" i="49"/>
  <c r="K58" i="49"/>
  <c r="J58" i="49"/>
  <c r="H58" i="49"/>
  <c r="G58" i="49"/>
  <c r="E58" i="49"/>
  <c r="D58" i="49"/>
  <c r="O57" i="49"/>
  <c r="L57" i="49"/>
  <c r="I57" i="49"/>
  <c r="F57" i="49"/>
  <c r="O56" i="49"/>
  <c r="O55" i="49" s="1"/>
  <c r="L56" i="49"/>
  <c r="I56" i="49"/>
  <c r="I55" i="49" s="1"/>
  <c r="I54" i="49" s="1"/>
  <c r="F56" i="49"/>
  <c r="N55" i="49"/>
  <c r="N54" i="49" s="1"/>
  <c r="N53" i="49" s="1"/>
  <c r="M55" i="49"/>
  <c r="L55" i="49"/>
  <c r="K55" i="49"/>
  <c r="J55" i="49"/>
  <c r="J54" i="49" s="1"/>
  <c r="H55" i="49"/>
  <c r="G55" i="49"/>
  <c r="E55" i="49"/>
  <c r="E54" i="49" s="1"/>
  <c r="E53" i="49" s="1"/>
  <c r="D55" i="49"/>
  <c r="D54" i="49" s="1"/>
  <c r="M54" i="49"/>
  <c r="G54" i="49"/>
  <c r="G53" i="49" s="1"/>
  <c r="O47" i="49"/>
  <c r="C47" i="49"/>
  <c r="O46" i="49"/>
  <c r="C46" i="49"/>
  <c r="N45" i="49"/>
  <c r="M45" i="49"/>
  <c r="L44" i="49"/>
  <c r="L43" i="49" s="1"/>
  <c r="I44" i="49"/>
  <c r="F44" i="49"/>
  <c r="K43" i="49"/>
  <c r="J43" i="49"/>
  <c r="H43" i="49"/>
  <c r="G43" i="49"/>
  <c r="F43" i="49"/>
  <c r="E43" i="49"/>
  <c r="D43" i="49"/>
  <c r="F42" i="49"/>
  <c r="F41" i="49" s="1"/>
  <c r="C41" i="49" s="1"/>
  <c r="C42" i="49"/>
  <c r="E41" i="49"/>
  <c r="D41" i="49"/>
  <c r="L40" i="49"/>
  <c r="C40" i="49" s="1"/>
  <c r="L39" i="49"/>
  <c r="C39" i="49" s="1"/>
  <c r="L38" i="49"/>
  <c r="C38" i="49" s="1"/>
  <c r="L37" i="49"/>
  <c r="C37" i="49" s="1"/>
  <c r="K36" i="49"/>
  <c r="J36" i="49"/>
  <c r="L35" i="49"/>
  <c r="C35" i="49" s="1"/>
  <c r="L34" i="49"/>
  <c r="C34" i="49" s="1"/>
  <c r="K33" i="49"/>
  <c r="J33" i="49"/>
  <c r="L32" i="49"/>
  <c r="L31" i="49" s="1"/>
  <c r="C31" i="49" s="1"/>
  <c r="K31" i="49"/>
  <c r="J31" i="49"/>
  <c r="L30" i="49"/>
  <c r="C30" i="49" s="1"/>
  <c r="L29" i="49"/>
  <c r="C29" i="49" s="1"/>
  <c r="L28" i="49"/>
  <c r="C28" i="49" s="1"/>
  <c r="K27" i="49"/>
  <c r="J27" i="49"/>
  <c r="F25" i="49"/>
  <c r="C25" i="49" s="1"/>
  <c r="I24" i="49"/>
  <c r="F24" i="49"/>
  <c r="O23" i="49"/>
  <c r="L23" i="49"/>
  <c r="I23" i="49"/>
  <c r="F23" i="49"/>
  <c r="O22" i="49"/>
  <c r="L22" i="49"/>
  <c r="L21" i="49" s="1"/>
  <c r="I22" i="49"/>
  <c r="F22" i="49"/>
  <c r="O21" i="49"/>
  <c r="O292" i="49" s="1"/>
  <c r="O291" i="49" s="1"/>
  <c r="N21" i="49"/>
  <c r="N292" i="49" s="1"/>
  <c r="M21" i="49"/>
  <c r="M20" i="49" s="1"/>
  <c r="K21" i="49"/>
  <c r="K292" i="49" s="1"/>
  <c r="K291" i="49" s="1"/>
  <c r="J21" i="49"/>
  <c r="J292" i="49" s="1"/>
  <c r="J291" i="49" s="1"/>
  <c r="I21" i="49"/>
  <c r="H21" i="49"/>
  <c r="G21" i="49"/>
  <c r="F21" i="49"/>
  <c r="F292" i="49" s="1"/>
  <c r="E21" i="49"/>
  <c r="D21" i="49"/>
  <c r="D20" i="49" s="1"/>
  <c r="N20" i="49"/>
  <c r="H20" i="49"/>
  <c r="O45" i="49" l="1"/>
  <c r="J53" i="49"/>
  <c r="C203" i="49"/>
  <c r="C214" i="49"/>
  <c r="C215" i="49"/>
  <c r="C258" i="49"/>
  <c r="C262" i="49"/>
  <c r="C73" i="49"/>
  <c r="C124" i="49"/>
  <c r="C125" i="49"/>
  <c r="C177" i="49"/>
  <c r="C239" i="49"/>
  <c r="C271" i="49"/>
  <c r="C295" i="49"/>
  <c r="L27" i="49"/>
  <c r="C27" i="49" s="1"/>
  <c r="C181" i="49"/>
  <c r="C223" i="49"/>
  <c r="C68" i="49"/>
  <c r="C110" i="49"/>
  <c r="C164" i="49"/>
  <c r="N187" i="49"/>
  <c r="C226" i="49"/>
  <c r="C227" i="49"/>
  <c r="C228" i="49"/>
  <c r="C229" i="49"/>
  <c r="C278" i="49"/>
  <c r="C298" i="49"/>
  <c r="K26" i="49"/>
  <c r="M53" i="49"/>
  <c r="C60" i="49"/>
  <c r="C61" i="49"/>
  <c r="C66" i="49"/>
  <c r="L69" i="49"/>
  <c r="L67" i="49" s="1"/>
  <c r="C90" i="49"/>
  <c r="C105" i="49"/>
  <c r="C150" i="49"/>
  <c r="C218" i="49"/>
  <c r="C222" i="49"/>
  <c r="C242" i="49"/>
  <c r="C266" i="49"/>
  <c r="C275" i="49"/>
  <c r="C294" i="49"/>
  <c r="D83" i="49"/>
  <c r="J83" i="49"/>
  <c r="C149" i="49"/>
  <c r="C153" i="49"/>
  <c r="C157" i="49"/>
  <c r="C170" i="49"/>
  <c r="M174" i="49"/>
  <c r="M173" i="49" s="1"/>
  <c r="K259" i="49"/>
  <c r="O272" i="49"/>
  <c r="D53" i="49"/>
  <c r="C100" i="49"/>
  <c r="C109" i="49"/>
  <c r="C118" i="49"/>
  <c r="C178" i="49"/>
  <c r="M187" i="49"/>
  <c r="C206" i="49"/>
  <c r="C210" i="49"/>
  <c r="G231" i="49"/>
  <c r="C255" i="49"/>
  <c r="C256" i="49"/>
  <c r="I293" i="49"/>
  <c r="J75" i="49"/>
  <c r="K204" i="49"/>
  <c r="K195" i="49" s="1"/>
  <c r="O20" i="49"/>
  <c r="G292" i="49"/>
  <c r="G291" i="49" s="1"/>
  <c r="C24" i="49"/>
  <c r="C32" i="49"/>
  <c r="L33" i="49"/>
  <c r="C33" i="49" s="1"/>
  <c r="C56" i="49"/>
  <c r="C57" i="49"/>
  <c r="C59" i="49"/>
  <c r="O58" i="49"/>
  <c r="O54" i="49" s="1"/>
  <c r="C65" i="49"/>
  <c r="C71" i="49"/>
  <c r="C72" i="49"/>
  <c r="C93" i="49"/>
  <c r="C108" i="49"/>
  <c r="C121" i="49"/>
  <c r="O122" i="49"/>
  <c r="C140" i="49"/>
  <c r="C148" i="49"/>
  <c r="E130" i="49"/>
  <c r="K130" i="49"/>
  <c r="C163" i="49"/>
  <c r="O166" i="49"/>
  <c r="O165" i="49" s="1"/>
  <c r="C176" i="49"/>
  <c r="G187" i="49"/>
  <c r="H187" i="49"/>
  <c r="I205" i="49"/>
  <c r="C212" i="49"/>
  <c r="C213" i="49"/>
  <c r="I216" i="49"/>
  <c r="C224" i="49"/>
  <c r="C225" i="49"/>
  <c r="G204" i="49"/>
  <c r="G195" i="49" s="1"/>
  <c r="M231" i="49"/>
  <c r="M230" i="49" s="1"/>
  <c r="J231" i="49"/>
  <c r="K231" i="49"/>
  <c r="K230" i="49" s="1"/>
  <c r="C250" i="49"/>
  <c r="L252" i="49"/>
  <c r="L251" i="49" s="1"/>
  <c r="E259" i="49"/>
  <c r="I260" i="49"/>
  <c r="I264" i="49"/>
  <c r="C274" i="49"/>
  <c r="L276" i="49"/>
  <c r="C282" i="49"/>
  <c r="C287" i="49"/>
  <c r="C299" i="49"/>
  <c r="L36" i="49"/>
  <c r="C36" i="49" s="1"/>
  <c r="C23" i="49"/>
  <c r="H54" i="49"/>
  <c r="H53" i="49" s="1"/>
  <c r="K54" i="49"/>
  <c r="K53" i="49" s="1"/>
  <c r="C64" i="49"/>
  <c r="C88" i="49"/>
  <c r="C94" i="49"/>
  <c r="C97" i="49"/>
  <c r="C120" i="49"/>
  <c r="C135" i="49"/>
  <c r="C138" i="49"/>
  <c r="F151" i="49"/>
  <c r="C158" i="49"/>
  <c r="G130" i="49"/>
  <c r="L175" i="49"/>
  <c r="L174" i="49" s="1"/>
  <c r="C193" i="49"/>
  <c r="C197" i="49"/>
  <c r="N204" i="49"/>
  <c r="C237" i="49"/>
  <c r="C261" i="49"/>
  <c r="O260" i="49"/>
  <c r="C277" i="49"/>
  <c r="O276" i="49"/>
  <c r="F293" i="49"/>
  <c r="C297" i="49"/>
  <c r="J52" i="49"/>
  <c r="E187" i="49"/>
  <c r="G230" i="49"/>
  <c r="N291" i="49"/>
  <c r="J26" i="49"/>
  <c r="J20" i="49" s="1"/>
  <c r="C44" i="49"/>
  <c r="C62" i="49"/>
  <c r="C74" i="49"/>
  <c r="N76" i="49"/>
  <c r="C78" i="49"/>
  <c r="G83" i="49"/>
  <c r="I95" i="49"/>
  <c r="C101" i="49"/>
  <c r="E83" i="49"/>
  <c r="E75" i="49" s="1"/>
  <c r="C115" i="49"/>
  <c r="C126" i="49"/>
  <c r="C137" i="49"/>
  <c r="F144" i="49"/>
  <c r="C156" i="49"/>
  <c r="L166" i="49"/>
  <c r="L165" i="49" s="1"/>
  <c r="C172" i="49"/>
  <c r="E173" i="49"/>
  <c r="O205" i="49"/>
  <c r="E204" i="49"/>
  <c r="C217" i="49"/>
  <c r="O216" i="49"/>
  <c r="C234" i="49"/>
  <c r="I252" i="49"/>
  <c r="I251" i="49" s="1"/>
  <c r="C257" i="49"/>
  <c r="C265" i="49"/>
  <c r="O264" i="49"/>
  <c r="O259" i="49" s="1"/>
  <c r="M270" i="49"/>
  <c r="M269" i="49" s="1"/>
  <c r="I276" i="49"/>
  <c r="I270" i="49" s="1"/>
  <c r="I269" i="49" s="1"/>
  <c r="M292" i="49"/>
  <c r="M291" i="49" s="1"/>
  <c r="C300" i="49"/>
  <c r="K20" i="49"/>
  <c r="E20" i="49"/>
  <c r="E292" i="49"/>
  <c r="E291" i="49" s="1"/>
  <c r="C70" i="49"/>
  <c r="C133" i="49"/>
  <c r="L131" i="49"/>
  <c r="C143" i="49"/>
  <c r="F141" i="49"/>
  <c r="F130" i="49" s="1"/>
  <c r="C185" i="49"/>
  <c r="L184" i="49"/>
  <c r="C301" i="49"/>
  <c r="F291" i="49"/>
  <c r="C114" i="49"/>
  <c r="I112" i="49"/>
  <c r="C162" i="49"/>
  <c r="I160" i="49"/>
  <c r="L293" i="49"/>
  <c r="C21" i="49"/>
  <c r="C22" i="49"/>
  <c r="I43" i="49"/>
  <c r="C43" i="49" s="1"/>
  <c r="C45" i="49"/>
  <c r="L58" i="49"/>
  <c r="I69" i="49"/>
  <c r="I67" i="49" s="1"/>
  <c r="I53" i="49" s="1"/>
  <c r="G76" i="49"/>
  <c r="L77" i="49"/>
  <c r="L76" i="49" s="1"/>
  <c r="C86" i="49"/>
  <c r="I84" i="49"/>
  <c r="C106" i="49"/>
  <c r="I103" i="49"/>
  <c r="C113" i="49"/>
  <c r="L112" i="49"/>
  <c r="C123" i="49"/>
  <c r="F122" i="49"/>
  <c r="F128" i="49"/>
  <c r="C128" i="49" s="1"/>
  <c r="C129" i="49"/>
  <c r="L136" i="49"/>
  <c r="C136" i="49" s="1"/>
  <c r="C154" i="49"/>
  <c r="I151" i="49"/>
  <c r="C161" i="49"/>
  <c r="L160" i="49"/>
  <c r="C168" i="49"/>
  <c r="F166" i="49"/>
  <c r="C182" i="49"/>
  <c r="I179" i="49"/>
  <c r="I174" i="49" s="1"/>
  <c r="C190" i="49"/>
  <c r="I188" i="49"/>
  <c r="F191" i="49"/>
  <c r="F187" i="49" s="1"/>
  <c r="C207" i="49"/>
  <c r="L205" i="49"/>
  <c r="C243" i="49"/>
  <c r="L238" i="49"/>
  <c r="C248" i="49"/>
  <c r="I246" i="49"/>
  <c r="L260" i="49"/>
  <c r="C260" i="49" s="1"/>
  <c r="C263" i="49"/>
  <c r="F264" i="49"/>
  <c r="F259" i="49" s="1"/>
  <c r="O270" i="49"/>
  <c r="O269" i="49" s="1"/>
  <c r="C284" i="49"/>
  <c r="F283" i="49"/>
  <c r="C283" i="49" s="1"/>
  <c r="N75" i="49"/>
  <c r="N52" i="49" s="1"/>
  <c r="C85" i="49"/>
  <c r="C91" i="49"/>
  <c r="F89" i="49"/>
  <c r="C202" i="49"/>
  <c r="F196" i="49"/>
  <c r="F55" i="49"/>
  <c r="C82" i="49"/>
  <c r="I80" i="49"/>
  <c r="I76" i="49" s="1"/>
  <c r="H83" i="49"/>
  <c r="M83" i="49"/>
  <c r="C132" i="49"/>
  <c r="I141" i="49"/>
  <c r="C142" i="49"/>
  <c r="F174" i="49"/>
  <c r="F20" i="49"/>
  <c r="G20" i="49"/>
  <c r="L54" i="49"/>
  <c r="L53" i="49" s="1"/>
  <c r="F58" i="49"/>
  <c r="C63" i="49"/>
  <c r="O67" i="49"/>
  <c r="O53" i="49" s="1"/>
  <c r="F69" i="49"/>
  <c r="K83" i="49"/>
  <c r="K75" i="49" s="1"/>
  <c r="O89" i="49"/>
  <c r="C96" i="49"/>
  <c r="F95" i="49"/>
  <c r="C104" i="49"/>
  <c r="O103" i="49"/>
  <c r="C103" i="49" s="1"/>
  <c r="C117" i="49"/>
  <c r="O116" i="49"/>
  <c r="C116" i="49" s="1"/>
  <c r="I122" i="49"/>
  <c r="C134" i="49"/>
  <c r="I131" i="49"/>
  <c r="C131" i="49" s="1"/>
  <c r="M130" i="49"/>
  <c r="C145" i="49"/>
  <c r="O144" i="49"/>
  <c r="C152" i="49"/>
  <c r="O151" i="49"/>
  <c r="C180" i="49"/>
  <c r="O179" i="49"/>
  <c r="I184" i="49"/>
  <c r="C184" i="49" s="1"/>
  <c r="C186" i="49"/>
  <c r="C189" i="49"/>
  <c r="L188" i="49"/>
  <c r="O196" i="49"/>
  <c r="L216" i="49"/>
  <c r="C219" i="49"/>
  <c r="O231" i="49"/>
  <c r="J259" i="49"/>
  <c r="C79" i="49"/>
  <c r="C81" i="49"/>
  <c r="F84" i="49"/>
  <c r="I89" i="49"/>
  <c r="C99" i="49"/>
  <c r="C111" i="49"/>
  <c r="C119" i="49"/>
  <c r="L122" i="49"/>
  <c r="D130" i="49"/>
  <c r="D75" i="49" s="1"/>
  <c r="D52" i="49" s="1"/>
  <c r="H130" i="49"/>
  <c r="C139" i="49"/>
  <c r="C147" i="49"/>
  <c r="C159" i="49"/>
  <c r="C171" i="49"/>
  <c r="O175" i="49"/>
  <c r="E195" i="49"/>
  <c r="N195" i="49"/>
  <c r="N194" i="49" s="1"/>
  <c r="C200" i="49"/>
  <c r="I198" i="49"/>
  <c r="J230" i="49"/>
  <c r="C241" i="49"/>
  <c r="F238" i="49"/>
  <c r="C247" i="49"/>
  <c r="L246" i="49"/>
  <c r="L231" i="49" s="1"/>
  <c r="C288" i="49"/>
  <c r="I286" i="49"/>
  <c r="C293" i="49"/>
  <c r="C87" i="49"/>
  <c r="O95" i="49"/>
  <c r="C107" i="49"/>
  <c r="F112" i="49"/>
  <c r="C127" i="49"/>
  <c r="C155" i="49"/>
  <c r="C167" i="49"/>
  <c r="D174" i="49"/>
  <c r="D173" i="49" s="1"/>
  <c r="H174" i="49"/>
  <c r="H173" i="49" s="1"/>
  <c r="C183" i="49"/>
  <c r="L192" i="49"/>
  <c r="L191" i="49" s="1"/>
  <c r="C199" i="49"/>
  <c r="L198" i="49"/>
  <c r="L196" i="49" s="1"/>
  <c r="C232" i="49"/>
  <c r="E230" i="49"/>
  <c r="C254" i="49"/>
  <c r="F252" i="49"/>
  <c r="L264" i="49"/>
  <c r="C267" i="49"/>
  <c r="C273" i="49"/>
  <c r="F272" i="49"/>
  <c r="L270" i="49"/>
  <c r="L269" i="49" s="1"/>
  <c r="F276" i="49"/>
  <c r="C276" i="49" s="1"/>
  <c r="C279" i="49"/>
  <c r="C281" i="49"/>
  <c r="F205" i="49"/>
  <c r="H231" i="49"/>
  <c r="H230" i="49" s="1"/>
  <c r="C233" i="49"/>
  <c r="I235" i="49"/>
  <c r="C235" i="49" s="1"/>
  <c r="C236" i="49"/>
  <c r="C240" i="49"/>
  <c r="I238" i="49"/>
  <c r="C296" i="49"/>
  <c r="D292" i="49"/>
  <c r="D291" i="49" s="1"/>
  <c r="H292" i="49"/>
  <c r="H291" i="49" s="1"/>
  <c r="H195" i="49"/>
  <c r="C201" i="49"/>
  <c r="C208" i="49"/>
  <c r="C209" i="49"/>
  <c r="C220" i="49"/>
  <c r="C221" i="49"/>
  <c r="D231" i="49"/>
  <c r="D230" i="49" s="1"/>
  <c r="D194" i="49" s="1"/>
  <c r="C244" i="49"/>
  <c r="C245" i="49"/>
  <c r="C249" i="49"/>
  <c r="F246" i="49"/>
  <c r="C253" i="49"/>
  <c r="O252" i="49"/>
  <c r="O251" i="49" s="1"/>
  <c r="C268" i="49"/>
  <c r="J270" i="49"/>
  <c r="J269" i="49" s="1"/>
  <c r="C280" i="49"/>
  <c r="C285" i="49"/>
  <c r="L286" i="49"/>
  <c r="L292" i="49" s="1"/>
  <c r="L291" i="49" s="1"/>
  <c r="C179" i="49" l="1"/>
  <c r="G194" i="49"/>
  <c r="D51" i="49"/>
  <c r="K194" i="49"/>
  <c r="J194" i="49"/>
  <c r="J51" i="49" s="1"/>
  <c r="C77" i="49"/>
  <c r="C58" i="49"/>
  <c r="C95" i="49"/>
  <c r="E52" i="49"/>
  <c r="I204" i="49"/>
  <c r="N51" i="49"/>
  <c r="I173" i="49"/>
  <c r="I231" i="49"/>
  <c r="C112" i="49"/>
  <c r="C216" i="49"/>
  <c r="E194" i="49"/>
  <c r="L83" i="49"/>
  <c r="L130" i="49"/>
  <c r="L26" i="49"/>
  <c r="H194" i="49"/>
  <c r="O174" i="49"/>
  <c r="O173" i="49" s="1"/>
  <c r="C144" i="49"/>
  <c r="H75" i="49"/>
  <c r="H52" i="49" s="1"/>
  <c r="C151" i="49"/>
  <c r="G75" i="49"/>
  <c r="G289" i="49" s="1"/>
  <c r="I259" i="49"/>
  <c r="J289" i="49"/>
  <c r="L204" i="49"/>
  <c r="L195" i="49" s="1"/>
  <c r="I20" i="49"/>
  <c r="O204" i="49"/>
  <c r="O195" i="49" s="1"/>
  <c r="J50" i="49"/>
  <c r="J290" i="49"/>
  <c r="D290" i="49"/>
  <c r="D50" i="49"/>
  <c r="N50" i="49"/>
  <c r="N290" i="49"/>
  <c r="H289" i="49"/>
  <c r="K289" i="49"/>
  <c r="K52" i="49"/>
  <c r="K51" i="49" s="1"/>
  <c r="C166" i="49"/>
  <c r="F165" i="49"/>
  <c r="C165" i="49" s="1"/>
  <c r="N289" i="49"/>
  <c r="C286" i="49"/>
  <c r="C238" i="49"/>
  <c r="F231" i="49"/>
  <c r="I196" i="49"/>
  <c r="I195" i="49" s="1"/>
  <c r="C198" i="49"/>
  <c r="F83" i="49"/>
  <c r="C84" i="49"/>
  <c r="L187" i="49"/>
  <c r="I130" i="49"/>
  <c r="F67" i="49"/>
  <c r="C67" i="49" s="1"/>
  <c r="C69" i="49"/>
  <c r="C264" i="49"/>
  <c r="I83" i="49"/>
  <c r="I75" i="49" s="1"/>
  <c r="I52" i="49" s="1"/>
  <c r="D289" i="49"/>
  <c r="C76" i="49"/>
  <c r="E51" i="49"/>
  <c r="O230" i="49"/>
  <c r="E289" i="49"/>
  <c r="C188" i="49"/>
  <c r="I187" i="49"/>
  <c r="O83" i="49"/>
  <c r="C246" i="49"/>
  <c r="F173" i="49"/>
  <c r="C192" i="49"/>
  <c r="C141" i="49"/>
  <c r="C205" i="49"/>
  <c r="F204" i="49"/>
  <c r="C55" i="49"/>
  <c r="F54" i="49"/>
  <c r="F270" i="49"/>
  <c r="C272" i="49"/>
  <c r="C252" i="49"/>
  <c r="F251" i="49"/>
  <c r="C251" i="49" s="1"/>
  <c r="L173" i="49"/>
  <c r="C175" i="49"/>
  <c r="M75" i="49"/>
  <c r="M52" i="49" s="1"/>
  <c r="C89" i="49"/>
  <c r="C80" i="49"/>
  <c r="L259" i="49"/>
  <c r="C191" i="49"/>
  <c r="C122" i="49"/>
  <c r="C160" i="49"/>
  <c r="M194" i="49"/>
  <c r="I292" i="49"/>
  <c r="O130" i="49"/>
  <c r="H51" i="49" l="1"/>
  <c r="O194" i="49"/>
  <c r="C130" i="49"/>
  <c r="C187" i="49"/>
  <c r="C259" i="49"/>
  <c r="C204" i="49"/>
  <c r="C196" i="49"/>
  <c r="L75" i="49"/>
  <c r="L52" i="49" s="1"/>
  <c r="I230" i="49"/>
  <c r="I194" i="49"/>
  <c r="I51" i="49" s="1"/>
  <c r="C173" i="49"/>
  <c r="L230" i="49"/>
  <c r="L194" i="49" s="1"/>
  <c r="G52" i="49"/>
  <c r="G51" i="49" s="1"/>
  <c r="C174" i="49"/>
  <c r="F195" i="49"/>
  <c r="L20" i="49"/>
  <c r="C20" i="49" s="1"/>
  <c r="C26" i="49"/>
  <c r="M51" i="49"/>
  <c r="C54" i="49"/>
  <c r="F53" i="49"/>
  <c r="G50" i="49"/>
  <c r="G290" i="49"/>
  <c r="C83" i="49"/>
  <c r="F75" i="49"/>
  <c r="K50" i="49"/>
  <c r="K290" i="49"/>
  <c r="F230" i="49"/>
  <c r="C231" i="49"/>
  <c r="O75" i="49"/>
  <c r="O52" i="49" s="1"/>
  <c r="O51" i="49" s="1"/>
  <c r="C195" i="49"/>
  <c r="C292" i="49"/>
  <c r="I291" i="49"/>
  <c r="C291" i="49" s="1"/>
  <c r="F269" i="49"/>
  <c r="C270" i="49"/>
  <c r="M289" i="49"/>
  <c r="E290" i="49"/>
  <c r="E50" i="49"/>
  <c r="I289" i="49"/>
  <c r="C230" i="49" l="1"/>
  <c r="H50" i="49"/>
  <c r="H290" i="49"/>
  <c r="I50" i="49"/>
  <c r="I290" i="49"/>
  <c r="O289" i="49"/>
  <c r="L289" i="49"/>
  <c r="L51" i="49"/>
  <c r="C75" i="49"/>
  <c r="C269" i="49"/>
  <c r="F289" i="49"/>
  <c r="F194" i="49"/>
  <c r="C194" i="49" s="1"/>
  <c r="F52" i="49"/>
  <c r="C53" i="49"/>
  <c r="O50" i="49"/>
  <c r="O290" i="49"/>
  <c r="M50" i="49"/>
  <c r="M290" i="49"/>
  <c r="C289" i="49" l="1"/>
  <c r="L50" i="49"/>
  <c r="L290" i="49"/>
  <c r="C52" i="49"/>
  <c r="F51" i="49"/>
  <c r="F290" i="49" l="1"/>
  <c r="C290" i="49" s="1"/>
  <c r="C51" i="49"/>
  <c r="F50" i="49"/>
  <c r="C50" i="49" s="1"/>
  <c r="O301" i="48" l="1"/>
  <c r="L301" i="48"/>
  <c r="I301" i="48"/>
  <c r="F301" i="48"/>
  <c r="O300" i="48"/>
  <c r="L300" i="48"/>
  <c r="I300" i="48"/>
  <c r="F300" i="48"/>
  <c r="O299" i="48"/>
  <c r="L299" i="48"/>
  <c r="I299" i="48"/>
  <c r="F299" i="48"/>
  <c r="O298" i="48"/>
  <c r="L298" i="48"/>
  <c r="I298" i="48"/>
  <c r="F298" i="48"/>
  <c r="O297" i="48"/>
  <c r="L297" i="48"/>
  <c r="I297" i="48"/>
  <c r="F297" i="48"/>
  <c r="O296" i="48"/>
  <c r="L296" i="48"/>
  <c r="I296" i="48"/>
  <c r="F296" i="48"/>
  <c r="O295" i="48"/>
  <c r="L295" i="48"/>
  <c r="I295" i="48"/>
  <c r="F295" i="48"/>
  <c r="O294" i="48"/>
  <c r="L294" i="48"/>
  <c r="L293" i="48" s="1"/>
  <c r="I294" i="48"/>
  <c r="F294" i="48"/>
  <c r="N293" i="48"/>
  <c r="M293" i="48"/>
  <c r="K293" i="48"/>
  <c r="J293" i="48"/>
  <c r="H293" i="48"/>
  <c r="G293" i="48"/>
  <c r="E293" i="48"/>
  <c r="D293" i="48"/>
  <c r="O288" i="48"/>
  <c r="L288" i="48"/>
  <c r="I288" i="48"/>
  <c r="F288" i="48"/>
  <c r="O287" i="48"/>
  <c r="L287" i="48"/>
  <c r="L286" i="48" s="1"/>
  <c r="I287" i="48"/>
  <c r="F287" i="48"/>
  <c r="O286" i="48"/>
  <c r="N286" i="48"/>
  <c r="M286" i="48"/>
  <c r="K286" i="48"/>
  <c r="J286" i="48"/>
  <c r="H286" i="48"/>
  <c r="G286" i="48"/>
  <c r="F286" i="48"/>
  <c r="E286" i="48"/>
  <c r="D286" i="48"/>
  <c r="O285" i="48"/>
  <c r="L285" i="48"/>
  <c r="L284" i="48" s="1"/>
  <c r="L283" i="48" s="1"/>
  <c r="I285" i="48"/>
  <c r="F285" i="48"/>
  <c r="O284" i="48"/>
  <c r="O283" i="48" s="1"/>
  <c r="N284" i="48"/>
  <c r="N283" i="48" s="1"/>
  <c r="M284" i="48"/>
  <c r="M283" i="48" s="1"/>
  <c r="K284" i="48"/>
  <c r="K283" i="48" s="1"/>
  <c r="J284" i="48"/>
  <c r="J283" i="48" s="1"/>
  <c r="I284" i="48"/>
  <c r="I283" i="48" s="1"/>
  <c r="H284" i="48"/>
  <c r="G284" i="48"/>
  <c r="E284" i="48"/>
  <c r="E283" i="48" s="1"/>
  <c r="D284" i="48"/>
  <c r="D283" i="48" s="1"/>
  <c r="H283" i="48"/>
  <c r="G283" i="48"/>
  <c r="O282" i="48"/>
  <c r="O281" i="48" s="1"/>
  <c r="L282" i="48"/>
  <c r="L281" i="48" s="1"/>
  <c r="I282" i="48"/>
  <c r="F282" i="48"/>
  <c r="F281" i="48" s="1"/>
  <c r="N281" i="48"/>
  <c r="M281" i="48"/>
  <c r="K281" i="48"/>
  <c r="J281" i="48"/>
  <c r="H281" i="48"/>
  <c r="G281" i="48"/>
  <c r="E281" i="48"/>
  <c r="D281" i="48"/>
  <c r="O280" i="48"/>
  <c r="L280" i="48"/>
  <c r="I280" i="48"/>
  <c r="F280" i="48"/>
  <c r="O279" i="48"/>
  <c r="L279" i="48"/>
  <c r="I279" i="48"/>
  <c r="F279" i="48"/>
  <c r="O278" i="48"/>
  <c r="L278" i="48"/>
  <c r="I278" i="48"/>
  <c r="F278" i="48"/>
  <c r="O277" i="48"/>
  <c r="L277" i="48"/>
  <c r="I277" i="48"/>
  <c r="F277" i="48"/>
  <c r="N276" i="48"/>
  <c r="M276" i="48"/>
  <c r="K276" i="48"/>
  <c r="J276" i="48"/>
  <c r="H276" i="48"/>
  <c r="G276" i="48"/>
  <c r="E276" i="48"/>
  <c r="D276" i="48"/>
  <c r="O275" i="48"/>
  <c r="L275" i="48"/>
  <c r="I275" i="48"/>
  <c r="F275" i="48"/>
  <c r="O274" i="48"/>
  <c r="L274" i="48"/>
  <c r="I274" i="48"/>
  <c r="F274" i="48"/>
  <c r="O273" i="48"/>
  <c r="L273" i="48"/>
  <c r="I273" i="48"/>
  <c r="F273" i="48"/>
  <c r="N272" i="48"/>
  <c r="N270" i="48" s="1"/>
  <c r="N269" i="48" s="1"/>
  <c r="M272" i="48"/>
  <c r="K272" i="48"/>
  <c r="K270" i="48" s="1"/>
  <c r="K269" i="48" s="1"/>
  <c r="J272" i="48"/>
  <c r="J270" i="48" s="1"/>
  <c r="H272" i="48"/>
  <c r="G272" i="48"/>
  <c r="E272" i="48"/>
  <c r="D272" i="48"/>
  <c r="O271" i="48"/>
  <c r="L271" i="48"/>
  <c r="I271" i="48"/>
  <c r="F271" i="48"/>
  <c r="D270" i="48"/>
  <c r="D269" i="48" s="1"/>
  <c r="O268" i="48"/>
  <c r="L268" i="48"/>
  <c r="I268" i="48"/>
  <c r="F268" i="48"/>
  <c r="O267" i="48"/>
  <c r="L267" i="48"/>
  <c r="I267" i="48"/>
  <c r="F267" i="48"/>
  <c r="O266" i="48"/>
  <c r="L266" i="48"/>
  <c r="I266" i="48"/>
  <c r="F266" i="48"/>
  <c r="O265" i="48"/>
  <c r="L265" i="48"/>
  <c r="I265" i="48"/>
  <c r="F265" i="48"/>
  <c r="N264" i="48"/>
  <c r="M264" i="48"/>
  <c r="K264" i="48"/>
  <c r="J264" i="48"/>
  <c r="H264" i="48"/>
  <c r="G264" i="48"/>
  <c r="E264" i="48"/>
  <c r="D264" i="48"/>
  <c r="O263" i="48"/>
  <c r="L263" i="48"/>
  <c r="I263" i="48"/>
  <c r="F263" i="48"/>
  <c r="O262" i="48"/>
  <c r="L262" i="48"/>
  <c r="I262" i="48"/>
  <c r="F262" i="48"/>
  <c r="O261" i="48"/>
  <c r="L261" i="48"/>
  <c r="I261" i="48"/>
  <c r="F261" i="48"/>
  <c r="N260" i="48"/>
  <c r="M260" i="48"/>
  <c r="K260" i="48"/>
  <c r="J260" i="48"/>
  <c r="J259" i="48" s="1"/>
  <c r="H260" i="48"/>
  <c r="H259" i="48" s="1"/>
  <c r="G260" i="48"/>
  <c r="E260" i="48"/>
  <c r="D260" i="48"/>
  <c r="D259" i="48" s="1"/>
  <c r="N259" i="48"/>
  <c r="G259" i="48"/>
  <c r="O258" i="48"/>
  <c r="L258" i="48"/>
  <c r="I258" i="48"/>
  <c r="F258" i="48"/>
  <c r="O257" i="48"/>
  <c r="L257" i="48"/>
  <c r="I257" i="48"/>
  <c r="F257" i="48"/>
  <c r="O256" i="48"/>
  <c r="L256" i="48"/>
  <c r="I256" i="48"/>
  <c r="F256" i="48"/>
  <c r="O255" i="48"/>
  <c r="L255" i="48"/>
  <c r="I255" i="48"/>
  <c r="F255" i="48"/>
  <c r="O254" i="48"/>
  <c r="L254" i="48"/>
  <c r="I254" i="48"/>
  <c r="F254" i="48"/>
  <c r="O253" i="48"/>
  <c r="L253" i="48"/>
  <c r="I253" i="48"/>
  <c r="F253" i="48"/>
  <c r="N252" i="48"/>
  <c r="M252" i="48"/>
  <c r="M251" i="48" s="1"/>
  <c r="K252" i="48"/>
  <c r="J252" i="48"/>
  <c r="J251" i="48" s="1"/>
  <c r="H252" i="48"/>
  <c r="H251" i="48" s="1"/>
  <c r="G252" i="48"/>
  <c r="G251" i="48" s="1"/>
  <c r="E252" i="48"/>
  <c r="E251" i="48" s="1"/>
  <c r="D252" i="48"/>
  <c r="D251" i="48" s="1"/>
  <c r="N251" i="48"/>
  <c r="K251" i="48"/>
  <c r="O250" i="48"/>
  <c r="L250" i="48"/>
  <c r="I250" i="48"/>
  <c r="F250" i="48"/>
  <c r="O249" i="48"/>
  <c r="L249" i="48"/>
  <c r="I249" i="48"/>
  <c r="F249" i="48"/>
  <c r="O248" i="48"/>
  <c r="L248" i="48"/>
  <c r="I248" i="48"/>
  <c r="F248" i="48"/>
  <c r="O247" i="48"/>
  <c r="L247" i="48"/>
  <c r="L246" i="48" s="1"/>
  <c r="I247" i="48"/>
  <c r="F247" i="48"/>
  <c r="F246" i="48" s="1"/>
  <c r="O246" i="48"/>
  <c r="N246" i="48"/>
  <c r="M246" i="48"/>
  <c r="K246" i="48"/>
  <c r="J246" i="48"/>
  <c r="H246" i="48"/>
  <c r="G246" i="48"/>
  <c r="E246" i="48"/>
  <c r="D246" i="48"/>
  <c r="O245" i="48"/>
  <c r="L245" i="48"/>
  <c r="I245" i="48"/>
  <c r="F245" i="48"/>
  <c r="O244" i="48"/>
  <c r="L244" i="48"/>
  <c r="I244" i="48"/>
  <c r="F244" i="48"/>
  <c r="O243" i="48"/>
  <c r="L243" i="48"/>
  <c r="I243" i="48"/>
  <c r="F243" i="48"/>
  <c r="O242" i="48"/>
  <c r="L242" i="48"/>
  <c r="I242" i="48"/>
  <c r="F242" i="48"/>
  <c r="O241" i="48"/>
  <c r="L241" i="48"/>
  <c r="I241" i="48"/>
  <c r="F241" i="48"/>
  <c r="O240" i="48"/>
  <c r="L240" i="48"/>
  <c r="I240" i="48"/>
  <c r="F240" i="48"/>
  <c r="O239" i="48"/>
  <c r="L239" i="48"/>
  <c r="L238" i="48" s="1"/>
  <c r="I239" i="48"/>
  <c r="F239" i="48"/>
  <c r="N238" i="48"/>
  <c r="M238" i="48"/>
  <c r="K238" i="48"/>
  <c r="J238" i="48"/>
  <c r="H238" i="48"/>
  <c r="G238" i="48"/>
  <c r="E238" i="48"/>
  <c r="D238" i="48"/>
  <c r="O237" i="48"/>
  <c r="L237" i="48"/>
  <c r="I237" i="48"/>
  <c r="F237" i="48"/>
  <c r="O236" i="48"/>
  <c r="O235" i="48" s="1"/>
  <c r="L236" i="48"/>
  <c r="I236" i="48"/>
  <c r="F236" i="48"/>
  <c r="N235" i="48"/>
  <c r="M235" i="48"/>
  <c r="L235" i="48"/>
  <c r="K235" i="48"/>
  <c r="J235" i="48"/>
  <c r="H235" i="48"/>
  <c r="G235" i="48"/>
  <c r="F235" i="48"/>
  <c r="E235" i="48"/>
  <c r="D235" i="48"/>
  <c r="O234" i="48"/>
  <c r="O233" i="48" s="1"/>
  <c r="L234" i="48"/>
  <c r="L233" i="48" s="1"/>
  <c r="I234" i="48"/>
  <c r="I233" i="48" s="1"/>
  <c r="F234" i="48"/>
  <c r="F233" i="48" s="1"/>
  <c r="C234" i="48"/>
  <c r="N233" i="48"/>
  <c r="M233" i="48"/>
  <c r="K233" i="48"/>
  <c r="J233" i="48"/>
  <c r="H233" i="48"/>
  <c r="G233" i="48"/>
  <c r="E233" i="48"/>
  <c r="D233" i="48"/>
  <c r="O232" i="48"/>
  <c r="L232" i="48"/>
  <c r="I232" i="48"/>
  <c r="F232" i="48"/>
  <c r="M231" i="48"/>
  <c r="O229" i="48"/>
  <c r="L229" i="48"/>
  <c r="I229" i="48"/>
  <c r="F229" i="48"/>
  <c r="O228" i="48"/>
  <c r="L228" i="48"/>
  <c r="L227" i="48" s="1"/>
  <c r="I228" i="48"/>
  <c r="F228" i="48"/>
  <c r="O227" i="48"/>
  <c r="N227" i="48"/>
  <c r="M227" i="48"/>
  <c r="K227" i="48"/>
  <c r="J227" i="48"/>
  <c r="H227" i="48"/>
  <c r="G227" i="48"/>
  <c r="F227" i="48"/>
  <c r="E227" i="48"/>
  <c r="D227" i="48"/>
  <c r="O226" i="48"/>
  <c r="L226" i="48"/>
  <c r="I226" i="48"/>
  <c r="F226" i="48"/>
  <c r="O225" i="48"/>
  <c r="L225" i="48"/>
  <c r="I225" i="48"/>
  <c r="F225" i="48"/>
  <c r="O224" i="48"/>
  <c r="L224" i="48"/>
  <c r="I224" i="48"/>
  <c r="F224" i="48"/>
  <c r="O223" i="48"/>
  <c r="L223" i="48"/>
  <c r="I223" i="48"/>
  <c r="F223" i="48"/>
  <c r="O222" i="48"/>
  <c r="L222" i="48"/>
  <c r="I222" i="48"/>
  <c r="F222" i="48"/>
  <c r="O221" i="48"/>
  <c r="L221" i="48"/>
  <c r="I221" i="48"/>
  <c r="F221" i="48"/>
  <c r="O220" i="48"/>
  <c r="L220" i="48"/>
  <c r="I220" i="48"/>
  <c r="F220" i="48"/>
  <c r="O219" i="48"/>
  <c r="L219" i="48"/>
  <c r="I219" i="48"/>
  <c r="F219" i="48"/>
  <c r="O218" i="48"/>
  <c r="L218" i="48"/>
  <c r="I218" i="48"/>
  <c r="F218" i="48"/>
  <c r="C218" i="48" s="1"/>
  <c r="O217" i="48"/>
  <c r="L217" i="48"/>
  <c r="I217" i="48"/>
  <c r="I216" i="48" s="1"/>
  <c r="F217" i="48"/>
  <c r="N216" i="48"/>
  <c r="M216" i="48"/>
  <c r="K216" i="48"/>
  <c r="J216" i="48"/>
  <c r="H216" i="48"/>
  <c r="G216" i="48"/>
  <c r="E216" i="48"/>
  <c r="D216" i="48"/>
  <c r="O215" i="48"/>
  <c r="L215" i="48"/>
  <c r="I215" i="48"/>
  <c r="F215" i="48"/>
  <c r="O214" i="48"/>
  <c r="L214" i="48"/>
  <c r="I214" i="48"/>
  <c r="F214" i="48"/>
  <c r="O213" i="48"/>
  <c r="L213" i="48"/>
  <c r="I213" i="48"/>
  <c r="F213" i="48"/>
  <c r="O212" i="48"/>
  <c r="L212" i="48"/>
  <c r="I212" i="48"/>
  <c r="F212" i="48"/>
  <c r="O211" i="48"/>
  <c r="L211" i="48"/>
  <c r="I211" i="48"/>
  <c r="F211" i="48"/>
  <c r="O210" i="48"/>
  <c r="L210" i="48"/>
  <c r="I210" i="48"/>
  <c r="F210" i="48"/>
  <c r="O209" i="48"/>
  <c r="L209" i="48"/>
  <c r="I209" i="48"/>
  <c r="F209" i="48"/>
  <c r="O208" i="48"/>
  <c r="L208" i="48"/>
  <c r="I208" i="48"/>
  <c r="F208" i="48"/>
  <c r="O207" i="48"/>
  <c r="L207" i="48"/>
  <c r="I207" i="48"/>
  <c r="F207" i="48"/>
  <c r="O206" i="48"/>
  <c r="L206" i="48"/>
  <c r="I206" i="48"/>
  <c r="F206" i="48"/>
  <c r="N205" i="48"/>
  <c r="M205" i="48"/>
  <c r="M204" i="48" s="1"/>
  <c r="K205" i="48"/>
  <c r="K204" i="48" s="1"/>
  <c r="J205" i="48"/>
  <c r="H205" i="48"/>
  <c r="H204" i="48" s="1"/>
  <c r="G205" i="48"/>
  <c r="E205" i="48"/>
  <c r="D205" i="48"/>
  <c r="D204" i="48" s="1"/>
  <c r="G204" i="48"/>
  <c r="O203" i="48"/>
  <c r="L203" i="48"/>
  <c r="I203" i="48"/>
  <c r="F203" i="48"/>
  <c r="O202" i="48"/>
  <c r="L202" i="48"/>
  <c r="I202" i="48"/>
  <c r="F202" i="48"/>
  <c r="O201" i="48"/>
  <c r="L201" i="48"/>
  <c r="I201" i="48"/>
  <c r="F201" i="48"/>
  <c r="O200" i="48"/>
  <c r="L200" i="48"/>
  <c r="I200" i="48"/>
  <c r="F200" i="48"/>
  <c r="O199" i="48"/>
  <c r="L199" i="48"/>
  <c r="L198" i="48" s="1"/>
  <c r="I199" i="48"/>
  <c r="F199" i="48"/>
  <c r="O198" i="48"/>
  <c r="N198" i="48"/>
  <c r="N196" i="48" s="1"/>
  <c r="M198" i="48"/>
  <c r="M196" i="48" s="1"/>
  <c r="K198" i="48"/>
  <c r="K196" i="48" s="1"/>
  <c r="J198" i="48"/>
  <c r="H198" i="48"/>
  <c r="H196" i="48" s="1"/>
  <c r="G198" i="48"/>
  <c r="G196" i="48" s="1"/>
  <c r="F198" i="48"/>
  <c r="E198" i="48"/>
  <c r="D198" i="48"/>
  <c r="D196" i="48" s="1"/>
  <c r="D195" i="48" s="1"/>
  <c r="O197" i="48"/>
  <c r="L197" i="48"/>
  <c r="I197" i="48"/>
  <c r="F197" i="48"/>
  <c r="J196" i="48"/>
  <c r="E196" i="48"/>
  <c r="O193" i="48"/>
  <c r="O192" i="48" s="1"/>
  <c r="O191" i="48" s="1"/>
  <c r="L193" i="48"/>
  <c r="L192" i="48" s="1"/>
  <c r="L191" i="48" s="1"/>
  <c r="I193" i="48"/>
  <c r="F193" i="48"/>
  <c r="N192" i="48"/>
  <c r="N191" i="48" s="1"/>
  <c r="M192" i="48"/>
  <c r="M191" i="48" s="1"/>
  <c r="K192" i="48"/>
  <c r="J192" i="48"/>
  <c r="J191" i="48" s="1"/>
  <c r="I192" i="48"/>
  <c r="I191" i="48" s="1"/>
  <c r="H192" i="48"/>
  <c r="G192" i="48"/>
  <c r="G191" i="48" s="1"/>
  <c r="G187" i="48" s="1"/>
  <c r="E192" i="48"/>
  <c r="E191" i="48" s="1"/>
  <c r="D192" i="48"/>
  <c r="D191" i="48" s="1"/>
  <c r="K191" i="48"/>
  <c r="H191" i="48"/>
  <c r="O190" i="48"/>
  <c r="L190" i="48"/>
  <c r="I190" i="48"/>
  <c r="F190" i="48"/>
  <c r="O189" i="48"/>
  <c r="L189" i="48"/>
  <c r="L188" i="48" s="1"/>
  <c r="I189" i="48"/>
  <c r="I188" i="48" s="1"/>
  <c r="I187" i="48" s="1"/>
  <c r="F189" i="48"/>
  <c r="N188" i="48"/>
  <c r="M188" i="48"/>
  <c r="K188" i="48"/>
  <c r="J188" i="48"/>
  <c r="H188" i="48"/>
  <c r="G188" i="48"/>
  <c r="E188" i="48"/>
  <c r="D188" i="48"/>
  <c r="H187" i="48"/>
  <c r="O186" i="48"/>
  <c r="L186" i="48"/>
  <c r="I186" i="48"/>
  <c r="F186" i="48"/>
  <c r="O185" i="48"/>
  <c r="L185" i="48"/>
  <c r="L184" i="48" s="1"/>
  <c r="I185" i="48"/>
  <c r="I184" i="48" s="1"/>
  <c r="F185" i="48"/>
  <c r="O184" i="48"/>
  <c r="N184" i="48"/>
  <c r="M184" i="48"/>
  <c r="K184" i="48"/>
  <c r="J184" i="48"/>
  <c r="H184" i="48"/>
  <c r="G184" i="48"/>
  <c r="F184" i="48"/>
  <c r="E184" i="48"/>
  <c r="D184" i="48"/>
  <c r="O183" i="48"/>
  <c r="L183" i="48"/>
  <c r="I183" i="48"/>
  <c r="F183" i="48"/>
  <c r="O182" i="48"/>
  <c r="L182" i="48"/>
  <c r="I182" i="48"/>
  <c r="F182" i="48"/>
  <c r="O181" i="48"/>
  <c r="L181" i="48"/>
  <c r="I181" i="48"/>
  <c r="F181" i="48"/>
  <c r="O180" i="48"/>
  <c r="O179" i="48" s="1"/>
  <c r="L180" i="48"/>
  <c r="I180" i="48"/>
  <c r="F180" i="48"/>
  <c r="F179" i="48" s="1"/>
  <c r="N179" i="48"/>
  <c r="M179" i="48"/>
  <c r="K179" i="48"/>
  <c r="J179" i="48"/>
  <c r="H179" i="48"/>
  <c r="G179" i="48"/>
  <c r="E179" i="48"/>
  <c r="D179" i="48"/>
  <c r="O178" i="48"/>
  <c r="L178" i="48"/>
  <c r="I178" i="48"/>
  <c r="F178" i="48"/>
  <c r="O177" i="48"/>
  <c r="L177" i="48"/>
  <c r="I177" i="48"/>
  <c r="F177" i="48"/>
  <c r="O176" i="48"/>
  <c r="O175" i="48" s="1"/>
  <c r="L176" i="48"/>
  <c r="L175" i="48" s="1"/>
  <c r="I176" i="48"/>
  <c r="F176" i="48"/>
  <c r="N175" i="48"/>
  <c r="M175" i="48"/>
  <c r="M174" i="48" s="1"/>
  <c r="M173" i="48" s="1"/>
  <c r="K175" i="48"/>
  <c r="J175" i="48"/>
  <c r="H175" i="48"/>
  <c r="H174" i="48" s="1"/>
  <c r="H173" i="48" s="1"/>
  <c r="G175" i="48"/>
  <c r="G174" i="48" s="1"/>
  <c r="E175" i="48"/>
  <c r="E174" i="48" s="1"/>
  <c r="E173" i="48" s="1"/>
  <c r="D175" i="48"/>
  <c r="N174" i="48"/>
  <c r="N173" i="48" s="1"/>
  <c r="O172" i="48"/>
  <c r="L172" i="48"/>
  <c r="I172" i="48"/>
  <c r="F172" i="48"/>
  <c r="O171" i="48"/>
  <c r="L171" i="48"/>
  <c r="I171" i="48"/>
  <c r="F171" i="48"/>
  <c r="O170" i="48"/>
  <c r="L170" i="48"/>
  <c r="I170" i="48"/>
  <c r="F170" i="48"/>
  <c r="O169" i="48"/>
  <c r="L169" i="48"/>
  <c r="I169" i="48"/>
  <c r="F169" i="48"/>
  <c r="O168" i="48"/>
  <c r="L168" i="48"/>
  <c r="I168" i="48"/>
  <c r="F168" i="48"/>
  <c r="O167" i="48"/>
  <c r="L167" i="48"/>
  <c r="I167" i="48"/>
  <c r="F167" i="48"/>
  <c r="N166" i="48"/>
  <c r="N165" i="48" s="1"/>
  <c r="M166" i="48"/>
  <c r="M165" i="48" s="1"/>
  <c r="K166" i="48"/>
  <c r="K165" i="48" s="1"/>
  <c r="J166" i="48"/>
  <c r="I166" i="48"/>
  <c r="I165" i="48" s="1"/>
  <c r="H166" i="48"/>
  <c r="H165" i="48" s="1"/>
  <c r="G166" i="48"/>
  <c r="G165" i="48" s="1"/>
  <c r="E166" i="48"/>
  <c r="E165" i="48" s="1"/>
  <c r="D166" i="48"/>
  <c r="D165" i="48" s="1"/>
  <c r="J165" i="48"/>
  <c r="O164" i="48"/>
  <c r="L164" i="48"/>
  <c r="I164" i="48"/>
  <c r="F164" i="48"/>
  <c r="O163" i="48"/>
  <c r="L163" i="48"/>
  <c r="I163" i="48"/>
  <c r="F163" i="48"/>
  <c r="O162" i="48"/>
  <c r="L162" i="48"/>
  <c r="I162" i="48"/>
  <c r="F162" i="48"/>
  <c r="O161" i="48"/>
  <c r="L161" i="48"/>
  <c r="L160" i="48" s="1"/>
  <c r="I161" i="48"/>
  <c r="I160" i="48" s="1"/>
  <c r="F161" i="48"/>
  <c r="O160" i="48"/>
  <c r="N160" i="48"/>
  <c r="M160" i="48"/>
  <c r="K160" i="48"/>
  <c r="J160" i="48"/>
  <c r="H160" i="48"/>
  <c r="G160" i="48"/>
  <c r="F160" i="48"/>
  <c r="E160" i="48"/>
  <c r="D160" i="48"/>
  <c r="O159" i="48"/>
  <c r="L159" i="48"/>
  <c r="I159" i="48"/>
  <c r="F159" i="48"/>
  <c r="O158" i="48"/>
  <c r="L158" i="48"/>
  <c r="I158" i="48"/>
  <c r="F158" i="48"/>
  <c r="O157" i="48"/>
  <c r="L157" i="48"/>
  <c r="I157" i="48"/>
  <c r="F157" i="48"/>
  <c r="O156" i="48"/>
  <c r="L156" i="48"/>
  <c r="I156" i="48"/>
  <c r="F156" i="48"/>
  <c r="O155" i="48"/>
  <c r="L155" i="48"/>
  <c r="I155" i="48"/>
  <c r="F155" i="48"/>
  <c r="O154" i="48"/>
  <c r="L154" i="48"/>
  <c r="I154" i="48"/>
  <c r="F154" i="48"/>
  <c r="O153" i="48"/>
  <c r="L153" i="48"/>
  <c r="I153" i="48"/>
  <c r="F153" i="48"/>
  <c r="O152" i="48"/>
  <c r="L152" i="48"/>
  <c r="I152" i="48"/>
  <c r="F152" i="48"/>
  <c r="N151" i="48"/>
  <c r="M151" i="48"/>
  <c r="K151" i="48"/>
  <c r="J151" i="48"/>
  <c r="H151" i="48"/>
  <c r="G151" i="48"/>
  <c r="E151" i="48"/>
  <c r="D151" i="48"/>
  <c r="O150" i="48"/>
  <c r="L150" i="48"/>
  <c r="I150" i="48"/>
  <c r="F150" i="48"/>
  <c r="O149" i="48"/>
  <c r="L149" i="48"/>
  <c r="I149" i="48"/>
  <c r="F149" i="48"/>
  <c r="O148" i="48"/>
  <c r="L148" i="48"/>
  <c r="I148" i="48"/>
  <c r="F148" i="48"/>
  <c r="O147" i="48"/>
  <c r="L147" i="48"/>
  <c r="I147" i="48"/>
  <c r="F147" i="48"/>
  <c r="O146" i="48"/>
  <c r="L146" i="48"/>
  <c r="I146" i="48"/>
  <c r="F146" i="48"/>
  <c r="O145" i="48"/>
  <c r="L145" i="48"/>
  <c r="L144" i="48" s="1"/>
  <c r="I145" i="48"/>
  <c r="F145" i="48"/>
  <c r="O144" i="48"/>
  <c r="N144" i="48"/>
  <c r="M144" i="48"/>
  <c r="K144" i="48"/>
  <c r="J144" i="48"/>
  <c r="H144" i="48"/>
  <c r="G144" i="48"/>
  <c r="E144" i="48"/>
  <c r="D144" i="48"/>
  <c r="O143" i="48"/>
  <c r="L143" i="48"/>
  <c r="I143" i="48"/>
  <c r="F143" i="48"/>
  <c r="O142" i="48"/>
  <c r="L142" i="48"/>
  <c r="L141" i="48" s="1"/>
  <c r="I142" i="48"/>
  <c r="I141" i="48" s="1"/>
  <c r="F142" i="48"/>
  <c r="N141" i="48"/>
  <c r="M141" i="48"/>
  <c r="K141" i="48"/>
  <c r="J141" i="48"/>
  <c r="H141" i="48"/>
  <c r="G141" i="48"/>
  <c r="F141" i="48"/>
  <c r="E141" i="48"/>
  <c r="D141" i="48"/>
  <c r="O140" i="48"/>
  <c r="L140" i="48"/>
  <c r="I140" i="48"/>
  <c r="F140" i="48"/>
  <c r="O139" i="48"/>
  <c r="L139" i="48"/>
  <c r="I139" i="48"/>
  <c r="F139" i="48"/>
  <c r="O138" i="48"/>
  <c r="L138" i="48"/>
  <c r="I138" i="48"/>
  <c r="F138" i="48"/>
  <c r="O137" i="48"/>
  <c r="L137" i="48"/>
  <c r="L136" i="48" s="1"/>
  <c r="I137" i="48"/>
  <c r="I136" i="48" s="1"/>
  <c r="F137" i="48"/>
  <c r="O136" i="48"/>
  <c r="N136" i="48"/>
  <c r="M136" i="48"/>
  <c r="K136" i="48"/>
  <c r="J136" i="48"/>
  <c r="H136" i="48"/>
  <c r="G136" i="48"/>
  <c r="E136" i="48"/>
  <c r="D136" i="48"/>
  <c r="O135" i="48"/>
  <c r="L135" i="48"/>
  <c r="I135" i="48"/>
  <c r="F135" i="48"/>
  <c r="O134" i="48"/>
  <c r="L134" i="48"/>
  <c r="I134" i="48"/>
  <c r="F134" i="48"/>
  <c r="O133" i="48"/>
  <c r="L133" i="48"/>
  <c r="I133" i="48"/>
  <c r="F133" i="48"/>
  <c r="O132" i="48"/>
  <c r="O131" i="48" s="1"/>
  <c r="L132" i="48"/>
  <c r="I132" i="48"/>
  <c r="F132" i="48"/>
  <c r="N131" i="48"/>
  <c r="M131" i="48"/>
  <c r="K131" i="48"/>
  <c r="J131" i="48"/>
  <c r="H131" i="48"/>
  <c r="G131" i="48"/>
  <c r="E131" i="48"/>
  <c r="D131" i="48"/>
  <c r="O129" i="48"/>
  <c r="L129" i="48"/>
  <c r="L128" i="48" s="1"/>
  <c r="I129" i="48"/>
  <c r="I128" i="48" s="1"/>
  <c r="F129" i="48"/>
  <c r="O128" i="48"/>
  <c r="N128" i="48"/>
  <c r="M128" i="48"/>
  <c r="K128" i="48"/>
  <c r="J128" i="48"/>
  <c r="H128" i="48"/>
  <c r="G128" i="48"/>
  <c r="F128" i="48"/>
  <c r="E128" i="48"/>
  <c r="D128" i="48"/>
  <c r="O127" i="48"/>
  <c r="L127" i="48"/>
  <c r="I127" i="48"/>
  <c r="F127" i="48"/>
  <c r="C127" i="48" s="1"/>
  <c r="O126" i="48"/>
  <c r="L126" i="48"/>
  <c r="I126" i="48"/>
  <c r="F126" i="48"/>
  <c r="O125" i="48"/>
  <c r="L125" i="48"/>
  <c r="I125" i="48"/>
  <c r="F125" i="48"/>
  <c r="O124" i="48"/>
  <c r="L124" i="48"/>
  <c r="I124" i="48"/>
  <c r="F124" i="48"/>
  <c r="C124" i="48" s="1"/>
  <c r="O123" i="48"/>
  <c r="L123" i="48"/>
  <c r="I123" i="48"/>
  <c r="F123" i="48"/>
  <c r="N122" i="48"/>
  <c r="M122" i="48"/>
  <c r="K122" i="48"/>
  <c r="J122" i="48"/>
  <c r="H122" i="48"/>
  <c r="G122" i="48"/>
  <c r="E122" i="48"/>
  <c r="D122" i="48"/>
  <c r="O121" i="48"/>
  <c r="L121" i="48"/>
  <c r="I121" i="48"/>
  <c r="F121" i="48"/>
  <c r="O120" i="48"/>
  <c r="L120" i="48"/>
  <c r="I120" i="48"/>
  <c r="F120" i="48"/>
  <c r="O119" i="48"/>
  <c r="L119" i="48"/>
  <c r="I119" i="48"/>
  <c r="F119" i="48"/>
  <c r="O118" i="48"/>
  <c r="L118" i="48"/>
  <c r="I118" i="48"/>
  <c r="F118" i="48"/>
  <c r="O117" i="48"/>
  <c r="L117" i="48"/>
  <c r="I117" i="48"/>
  <c r="I116" i="48" s="1"/>
  <c r="F117" i="48"/>
  <c r="N116" i="48"/>
  <c r="M116" i="48"/>
  <c r="K116" i="48"/>
  <c r="J116" i="48"/>
  <c r="H116" i="48"/>
  <c r="G116" i="48"/>
  <c r="E116" i="48"/>
  <c r="D116" i="48"/>
  <c r="O115" i="48"/>
  <c r="L115" i="48"/>
  <c r="I115" i="48"/>
  <c r="F115" i="48"/>
  <c r="O114" i="48"/>
  <c r="L114" i="48"/>
  <c r="I114" i="48"/>
  <c r="F114" i="48"/>
  <c r="O113" i="48"/>
  <c r="L113" i="48"/>
  <c r="L112" i="48" s="1"/>
  <c r="I113" i="48"/>
  <c r="I112" i="48" s="1"/>
  <c r="F113" i="48"/>
  <c r="O112" i="48"/>
  <c r="N112" i="48"/>
  <c r="M112" i="48"/>
  <c r="K112" i="48"/>
  <c r="J112" i="48"/>
  <c r="H112" i="48"/>
  <c r="G112" i="48"/>
  <c r="E112" i="48"/>
  <c r="D112" i="48"/>
  <c r="O111" i="48"/>
  <c r="L111" i="48"/>
  <c r="I111" i="48"/>
  <c r="F111" i="48"/>
  <c r="O110" i="48"/>
  <c r="L110" i="48"/>
  <c r="I110" i="48"/>
  <c r="F110" i="48"/>
  <c r="O109" i="48"/>
  <c r="L109" i="48"/>
  <c r="I109" i="48"/>
  <c r="F109" i="48"/>
  <c r="O108" i="48"/>
  <c r="L108" i="48"/>
  <c r="I108" i="48"/>
  <c r="F108" i="48"/>
  <c r="O107" i="48"/>
  <c r="L107" i="48"/>
  <c r="I107" i="48"/>
  <c r="F107" i="48"/>
  <c r="O106" i="48"/>
  <c r="L106" i="48"/>
  <c r="I106" i="48"/>
  <c r="F106" i="48"/>
  <c r="O105" i="48"/>
  <c r="L105" i="48"/>
  <c r="I105" i="48"/>
  <c r="F105" i="48"/>
  <c r="O104" i="48"/>
  <c r="L104" i="48"/>
  <c r="I104" i="48"/>
  <c r="F104" i="48"/>
  <c r="N103" i="48"/>
  <c r="M103" i="48"/>
  <c r="K103" i="48"/>
  <c r="J103" i="48"/>
  <c r="H103" i="48"/>
  <c r="G103" i="48"/>
  <c r="E103" i="48"/>
  <c r="D103" i="48"/>
  <c r="O102" i="48"/>
  <c r="L102" i="48"/>
  <c r="I102" i="48"/>
  <c r="F102" i="48"/>
  <c r="O101" i="48"/>
  <c r="L101" i="48"/>
  <c r="I101" i="48"/>
  <c r="F101" i="48"/>
  <c r="O100" i="48"/>
  <c r="L100" i="48"/>
  <c r="I100" i="48"/>
  <c r="F100" i="48"/>
  <c r="O99" i="48"/>
  <c r="L99" i="48"/>
  <c r="I99" i="48"/>
  <c r="F99" i="48"/>
  <c r="O98" i="48"/>
  <c r="L98" i="48"/>
  <c r="I98" i="48"/>
  <c r="F98" i="48"/>
  <c r="O97" i="48"/>
  <c r="L97" i="48"/>
  <c r="I97" i="48"/>
  <c r="F97" i="48"/>
  <c r="O96" i="48"/>
  <c r="L96" i="48"/>
  <c r="L95" i="48" s="1"/>
  <c r="I96" i="48"/>
  <c r="F96" i="48"/>
  <c r="N95" i="48"/>
  <c r="M95" i="48"/>
  <c r="K95" i="48"/>
  <c r="J95" i="48"/>
  <c r="H95" i="48"/>
  <c r="G95" i="48"/>
  <c r="E95" i="48"/>
  <c r="D95" i="48"/>
  <c r="O94" i="48"/>
  <c r="L94" i="48"/>
  <c r="I94" i="48"/>
  <c r="F94" i="48"/>
  <c r="O93" i="48"/>
  <c r="L93" i="48"/>
  <c r="I93" i="48"/>
  <c r="F93" i="48"/>
  <c r="O92" i="48"/>
  <c r="L92" i="48"/>
  <c r="I92" i="48"/>
  <c r="F92" i="48"/>
  <c r="O91" i="48"/>
  <c r="L91" i="48"/>
  <c r="I91" i="48"/>
  <c r="F91" i="48"/>
  <c r="O90" i="48"/>
  <c r="L90" i="48"/>
  <c r="I90" i="48"/>
  <c r="F90" i="48"/>
  <c r="N89" i="48"/>
  <c r="M89" i="48"/>
  <c r="K89" i="48"/>
  <c r="J89" i="48"/>
  <c r="H89" i="48"/>
  <c r="G89" i="48"/>
  <c r="E89" i="48"/>
  <c r="D89" i="48"/>
  <c r="O88" i="48"/>
  <c r="L88" i="48"/>
  <c r="I88" i="48"/>
  <c r="C88" i="48" s="1"/>
  <c r="F88" i="48"/>
  <c r="O87" i="48"/>
  <c r="L87" i="48"/>
  <c r="I87" i="48"/>
  <c r="F87" i="48"/>
  <c r="O86" i="48"/>
  <c r="L86" i="48"/>
  <c r="I86" i="48"/>
  <c r="F86" i="48"/>
  <c r="O85" i="48"/>
  <c r="L85" i="48"/>
  <c r="L84" i="48" s="1"/>
  <c r="I85" i="48"/>
  <c r="I84" i="48" s="1"/>
  <c r="F85" i="48"/>
  <c r="N84" i="48"/>
  <c r="M84" i="48"/>
  <c r="K84" i="48"/>
  <c r="J84" i="48"/>
  <c r="H84" i="48"/>
  <c r="G84" i="48"/>
  <c r="E84" i="48"/>
  <c r="D84" i="48"/>
  <c r="O82" i="48"/>
  <c r="L82" i="48"/>
  <c r="I82" i="48"/>
  <c r="F82" i="48"/>
  <c r="O81" i="48"/>
  <c r="L81" i="48"/>
  <c r="I81" i="48"/>
  <c r="F81" i="48"/>
  <c r="O80" i="48"/>
  <c r="N80" i="48"/>
  <c r="M80" i="48"/>
  <c r="K80" i="48"/>
  <c r="J80" i="48"/>
  <c r="H80" i="48"/>
  <c r="G80" i="48"/>
  <c r="G76" i="48" s="1"/>
  <c r="F80" i="48"/>
  <c r="E80" i="48"/>
  <c r="D80" i="48"/>
  <c r="O79" i="48"/>
  <c r="L79" i="48"/>
  <c r="I79" i="48"/>
  <c r="F79" i="48"/>
  <c r="O78" i="48"/>
  <c r="O77" i="48" s="1"/>
  <c r="O76" i="48" s="1"/>
  <c r="L78" i="48"/>
  <c r="L77" i="48" s="1"/>
  <c r="I78" i="48"/>
  <c r="F78" i="48"/>
  <c r="N77" i="48"/>
  <c r="N76" i="48" s="1"/>
  <c r="M77" i="48"/>
  <c r="K77" i="48"/>
  <c r="J77" i="48"/>
  <c r="J76" i="48" s="1"/>
  <c r="I77" i="48"/>
  <c r="H77" i="48"/>
  <c r="G77" i="48"/>
  <c r="E77" i="48"/>
  <c r="E76" i="48" s="1"/>
  <c r="D77" i="48"/>
  <c r="D76" i="48" s="1"/>
  <c r="O74" i="48"/>
  <c r="L74" i="48"/>
  <c r="I74" i="48"/>
  <c r="F74" i="48"/>
  <c r="O73" i="48"/>
  <c r="L73" i="48"/>
  <c r="I73" i="48"/>
  <c r="F73" i="48"/>
  <c r="O72" i="48"/>
  <c r="L72" i="48"/>
  <c r="I72" i="48"/>
  <c r="F72" i="48"/>
  <c r="O71" i="48"/>
  <c r="L71" i="48"/>
  <c r="I71" i="48"/>
  <c r="F71" i="48"/>
  <c r="O70" i="48"/>
  <c r="O69" i="48" s="1"/>
  <c r="L70" i="48"/>
  <c r="I70" i="48"/>
  <c r="I69" i="48" s="1"/>
  <c r="F70" i="48"/>
  <c r="N69" i="48"/>
  <c r="N67" i="48" s="1"/>
  <c r="M69" i="48"/>
  <c r="M67" i="48" s="1"/>
  <c r="K69" i="48"/>
  <c r="K67" i="48" s="1"/>
  <c r="J69" i="48"/>
  <c r="J67" i="48" s="1"/>
  <c r="H69" i="48"/>
  <c r="G69" i="48"/>
  <c r="G67" i="48" s="1"/>
  <c r="E69" i="48"/>
  <c r="E67" i="48" s="1"/>
  <c r="D69" i="48"/>
  <c r="D67" i="48" s="1"/>
  <c r="O68" i="48"/>
  <c r="L68" i="48"/>
  <c r="I68" i="48"/>
  <c r="F68" i="48"/>
  <c r="H67" i="48"/>
  <c r="O66" i="48"/>
  <c r="L66" i="48"/>
  <c r="I66" i="48"/>
  <c r="F66" i="48"/>
  <c r="O65" i="48"/>
  <c r="L65" i="48"/>
  <c r="I65" i="48"/>
  <c r="F65" i="48"/>
  <c r="O64" i="48"/>
  <c r="L64" i="48"/>
  <c r="I64" i="48"/>
  <c r="F64" i="48"/>
  <c r="O63" i="48"/>
  <c r="L63" i="48"/>
  <c r="I63" i="48"/>
  <c r="F63" i="48"/>
  <c r="O62" i="48"/>
  <c r="L62" i="48"/>
  <c r="I62" i="48"/>
  <c r="F62" i="48"/>
  <c r="O61" i="48"/>
  <c r="L61" i="48"/>
  <c r="I61" i="48"/>
  <c r="F61" i="48"/>
  <c r="O60" i="48"/>
  <c r="L60" i="48"/>
  <c r="I60" i="48"/>
  <c r="F60" i="48"/>
  <c r="O59" i="48"/>
  <c r="O58" i="48" s="1"/>
  <c r="L59" i="48"/>
  <c r="L58" i="48" s="1"/>
  <c r="I59" i="48"/>
  <c r="F59" i="48"/>
  <c r="F58" i="48" s="1"/>
  <c r="N58" i="48"/>
  <c r="M58" i="48"/>
  <c r="K58" i="48"/>
  <c r="J58" i="48"/>
  <c r="H58" i="48"/>
  <c r="G58" i="48"/>
  <c r="E58" i="48"/>
  <c r="D58" i="48"/>
  <c r="O57" i="48"/>
  <c r="L57" i="48"/>
  <c r="I57" i="48"/>
  <c r="F57" i="48"/>
  <c r="O56" i="48"/>
  <c r="L56" i="48"/>
  <c r="L55" i="48" s="1"/>
  <c r="I56" i="48"/>
  <c r="I55" i="48" s="1"/>
  <c r="F56" i="48"/>
  <c r="O55" i="48"/>
  <c r="O54" i="48" s="1"/>
  <c r="N55" i="48"/>
  <c r="M55" i="48"/>
  <c r="K55" i="48"/>
  <c r="K54" i="48" s="1"/>
  <c r="J55" i="48"/>
  <c r="J54" i="48" s="1"/>
  <c r="J53" i="48" s="1"/>
  <c r="H55" i="48"/>
  <c r="G55" i="48"/>
  <c r="F55" i="48"/>
  <c r="F54" i="48" s="1"/>
  <c r="E55" i="48"/>
  <c r="E54" i="48" s="1"/>
  <c r="D55" i="48"/>
  <c r="O47" i="48"/>
  <c r="C47" i="48"/>
  <c r="O46" i="48"/>
  <c r="C46" i="48" s="1"/>
  <c r="N45" i="48"/>
  <c r="M45" i="48"/>
  <c r="L44" i="48"/>
  <c r="L43" i="48" s="1"/>
  <c r="I44" i="48"/>
  <c r="I43" i="48" s="1"/>
  <c r="F44" i="48"/>
  <c r="K43" i="48"/>
  <c r="J43" i="48"/>
  <c r="H43" i="48"/>
  <c r="G43" i="48"/>
  <c r="E43" i="48"/>
  <c r="D43" i="48"/>
  <c r="F42" i="48"/>
  <c r="C42" i="48" s="1"/>
  <c r="E41" i="48"/>
  <c r="D41" i="48"/>
  <c r="L40" i="48"/>
  <c r="C40" i="48" s="1"/>
  <c r="L39" i="48"/>
  <c r="C39" i="48" s="1"/>
  <c r="L38" i="48"/>
  <c r="C38" i="48" s="1"/>
  <c r="L37" i="48"/>
  <c r="C37" i="48" s="1"/>
  <c r="K36" i="48"/>
  <c r="J36" i="48"/>
  <c r="L35" i="48"/>
  <c r="C35" i="48" s="1"/>
  <c r="L34" i="48"/>
  <c r="C34" i="48" s="1"/>
  <c r="K33" i="48"/>
  <c r="J33" i="48"/>
  <c r="L32" i="48"/>
  <c r="C32" i="48" s="1"/>
  <c r="K31" i="48"/>
  <c r="J31" i="48"/>
  <c r="L30" i="48"/>
  <c r="C30" i="48" s="1"/>
  <c r="L29" i="48"/>
  <c r="C29" i="48" s="1"/>
  <c r="L28" i="48"/>
  <c r="C28" i="48" s="1"/>
  <c r="K27" i="48"/>
  <c r="K26" i="48" s="1"/>
  <c r="J27" i="48"/>
  <c r="F25" i="48"/>
  <c r="C25" i="48" s="1"/>
  <c r="I24" i="48"/>
  <c r="F24" i="48"/>
  <c r="O23" i="48"/>
  <c r="L23" i="48"/>
  <c r="I23" i="48"/>
  <c r="F23" i="48"/>
  <c r="O22" i="48"/>
  <c r="O21" i="48" s="1"/>
  <c r="L22" i="48"/>
  <c r="I22" i="48"/>
  <c r="I21" i="48" s="1"/>
  <c r="F22" i="48"/>
  <c r="F21" i="48" s="1"/>
  <c r="N21" i="48"/>
  <c r="N292" i="48" s="1"/>
  <c r="M21" i="48"/>
  <c r="M20" i="48" s="1"/>
  <c r="L21" i="48"/>
  <c r="L292" i="48" s="1"/>
  <c r="L291" i="48" s="1"/>
  <c r="K21" i="48"/>
  <c r="J21" i="48"/>
  <c r="J292" i="48" s="1"/>
  <c r="H21" i="48"/>
  <c r="H292" i="48" s="1"/>
  <c r="H291" i="48" s="1"/>
  <c r="G21" i="48"/>
  <c r="E21" i="48"/>
  <c r="E292" i="48" s="1"/>
  <c r="E291" i="48" s="1"/>
  <c r="D21" i="48"/>
  <c r="D292" i="48" s="1"/>
  <c r="D291" i="48" s="1"/>
  <c r="N20" i="48"/>
  <c r="L187" i="48" l="1"/>
  <c r="C104" i="48"/>
  <c r="C176" i="48"/>
  <c r="C178" i="48"/>
  <c r="C211" i="48"/>
  <c r="C274" i="48"/>
  <c r="C24" i="48"/>
  <c r="C71" i="48"/>
  <c r="C73" i="48"/>
  <c r="C74" i="48"/>
  <c r="H76" i="48"/>
  <c r="M76" i="48"/>
  <c r="C180" i="48"/>
  <c r="M195" i="48"/>
  <c r="D231" i="48"/>
  <c r="C242" i="48"/>
  <c r="L31" i="48"/>
  <c r="C31" i="48" s="1"/>
  <c r="C149" i="48"/>
  <c r="M54" i="48"/>
  <c r="L272" i="48"/>
  <c r="C282" i="48"/>
  <c r="O238" i="48"/>
  <c r="I272" i="48"/>
  <c r="D54" i="48"/>
  <c r="D53" i="48" s="1"/>
  <c r="C68" i="48"/>
  <c r="M53" i="48"/>
  <c r="C96" i="48"/>
  <c r="C97" i="48"/>
  <c r="C98" i="48"/>
  <c r="C99" i="48"/>
  <c r="C140" i="48"/>
  <c r="C164" i="48"/>
  <c r="C168" i="48"/>
  <c r="C172" i="48"/>
  <c r="D187" i="48"/>
  <c r="K187" i="48"/>
  <c r="C214" i="48"/>
  <c r="C254" i="48"/>
  <c r="C280" i="48"/>
  <c r="J269" i="48"/>
  <c r="C287" i="48"/>
  <c r="C288" i="48"/>
  <c r="C294" i="48"/>
  <c r="C298" i="48"/>
  <c r="C299" i="48"/>
  <c r="C300" i="48"/>
  <c r="E20" i="48"/>
  <c r="G54" i="48"/>
  <c r="L89" i="48"/>
  <c r="C128" i="48"/>
  <c r="C132" i="48"/>
  <c r="C156" i="48"/>
  <c r="C190" i="48"/>
  <c r="C226" i="48"/>
  <c r="N204" i="48"/>
  <c r="N195" i="48" s="1"/>
  <c r="F238" i="48"/>
  <c r="C241" i="48"/>
  <c r="C266" i="48"/>
  <c r="C267" i="48"/>
  <c r="I286" i="48"/>
  <c r="K76" i="48"/>
  <c r="O84" i="48"/>
  <c r="L103" i="48"/>
  <c r="C152" i="48"/>
  <c r="C154" i="48"/>
  <c r="C155" i="48"/>
  <c r="C202" i="48"/>
  <c r="E231" i="48"/>
  <c r="J231" i="48"/>
  <c r="K259" i="48"/>
  <c r="O272" i="48"/>
  <c r="I292" i="48"/>
  <c r="H54" i="48"/>
  <c r="H53" i="48" s="1"/>
  <c r="C63" i="48"/>
  <c r="I80" i="48"/>
  <c r="I76" i="48" s="1"/>
  <c r="C100" i="48"/>
  <c r="M130" i="48"/>
  <c r="J174" i="48"/>
  <c r="J173" i="48" s="1"/>
  <c r="J187" i="48"/>
  <c r="N187" i="48"/>
  <c r="C206" i="48"/>
  <c r="C222" i="48"/>
  <c r="C233" i="48"/>
  <c r="C250" i="48"/>
  <c r="C258" i="48"/>
  <c r="G270" i="48"/>
  <c r="G269" i="48" s="1"/>
  <c r="E83" i="48"/>
  <c r="N83" i="48"/>
  <c r="O89" i="48"/>
  <c r="I95" i="48"/>
  <c r="C101" i="48"/>
  <c r="C102" i="48"/>
  <c r="D83" i="48"/>
  <c r="O141" i="48"/>
  <c r="I293" i="48"/>
  <c r="I20" i="48"/>
  <c r="C79" i="48"/>
  <c r="J83" i="48"/>
  <c r="C90" i="48"/>
  <c r="C91" i="48"/>
  <c r="C92" i="48"/>
  <c r="H83" i="48"/>
  <c r="C108" i="48"/>
  <c r="H130" i="48"/>
  <c r="L131" i="48"/>
  <c r="E130" i="48"/>
  <c r="E204" i="48"/>
  <c r="H270" i="48"/>
  <c r="H269" i="48" s="1"/>
  <c r="C278" i="48"/>
  <c r="I276" i="48"/>
  <c r="I270" i="48" s="1"/>
  <c r="I269" i="48" s="1"/>
  <c r="I281" i="48"/>
  <c r="K53" i="48"/>
  <c r="C57" i="48"/>
  <c r="J26" i="48"/>
  <c r="J20" i="48" s="1"/>
  <c r="C23" i="48"/>
  <c r="C60" i="48"/>
  <c r="C64" i="48"/>
  <c r="E75" i="48"/>
  <c r="C117" i="48"/>
  <c r="C118" i="48"/>
  <c r="C121" i="48"/>
  <c r="D130" i="48"/>
  <c r="N130" i="48"/>
  <c r="N75" i="48" s="1"/>
  <c r="C148" i="48"/>
  <c r="O151" i="48"/>
  <c r="L151" i="48"/>
  <c r="C162" i="48"/>
  <c r="C163" i="48"/>
  <c r="L166" i="48"/>
  <c r="L165" i="48" s="1"/>
  <c r="G173" i="48"/>
  <c r="C177" i="48"/>
  <c r="C183" i="48"/>
  <c r="C184" i="48"/>
  <c r="G195" i="48"/>
  <c r="C210" i="48"/>
  <c r="L205" i="48"/>
  <c r="J204" i="48"/>
  <c r="J195" i="48" s="1"/>
  <c r="I260" i="48"/>
  <c r="C262" i="48"/>
  <c r="M292" i="48"/>
  <c r="M291" i="48" s="1"/>
  <c r="C208" i="48"/>
  <c r="C219" i="48"/>
  <c r="C221" i="48"/>
  <c r="D230" i="48"/>
  <c r="D194" i="48" s="1"/>
  <c r="C245" i="48"/>
  <c r="N291" i="48"/>
  <c r="G20" i="48"/>
  <c r="G53" i="48"/>
  <c r="C61" i="48"/>
  <c r="C62" i="48"/>
  <c r="C65" i="48"/>
  <c r="C66" i="48"/>
  <c r="O67" i="48"/>
  <c r="O53" i="48" s="1"/>
  <c r="L69" i="48"/>
  <c r="L67" i="48" s="1"/>
  <c r="C78" i="48"/>
  <c r="C81" i="48"/>
  <c r="G83" i="48"/>
  <c r="C107" i="48"/>
  <c r="M83" i="48"/>
  <c r="M75" i="48" s="1"/>
  <c r="I122" i="48"/>
  <c r="C135" i="48"/>
  <c r="J130" i="48"/>
  <c r="J75" i="48" s="1"/>
  <c r="C141" i="48"/>
  <c r="C142" i="48"/>
  <c r="C143" i="48"/>
  <c r="C159" i="48"/>
  <c r="C160" i="48"/>
  <c r="E187" i="48"/>
  <c r="H195" i="48"/>
  <c r="C207" i="48"/>
  <c r="I205" i="48"/>
  <c r="C213" i="48"/>
  <c r="C220" i="48"/>
  <c r="C225" i="48"/>
  <c r="C229" i="48"/>
  <c r="N231" i="48"/>
  <c r="C244" i="48"/>
  <c r="C249" i="48"/>
  <c r="C255" i="48"/>
  <c r="C257" i="48"/>
  <c r="E259" i="48"/>
  <c r="O260" i="48"/>
  <c r="L264" i="48"/>
  <c r="M270" i="48"/>
  <c r="M269" i="48" s="1"/>
  <c r="O276" i="48"/>
  <c r="O270" i="48" s="1"/>
  <c r="O269" i="48" s="1"/>
  <c r="H231" i="48"/>
  <c r="H230" i="48" s="1"/>
  <c r="H194" i="48" s="1"/>
  <c r="G231" i="48"/>
  <c r="G230" i="48" s="1"/>
  <c r="C243" i="48"/>
  <c r="O252" i="48"/>
  <c r="C263" i="48"/>
  <c r="J291" i="48"/>
  <c r="G292" i="48"/>
  <c r="G291" i="48" s="1"/>
  <c r="K292" i="48"/>
  <c r="K291" i="48" s="1"/>
  <c r="C44" i="48"/>
  <c r="N54" i="48"/>
  <c r="N53" i="48" s="1"/>
  <c r="L54" i="48"/>
  <c r="I58" i="48"/>
  <c r="I54" i="48" s="1"/>
  <c r="I67" i="48"/>
  <c r="E53" i="48"/>
  <c r="C70" i="48"/>
  <c r="C109" i="48"/>
  <c r="C110" i="48"/>
  <c r="C111" i="48"/>
  <c r="O116" i="48"/>
  <c r="O122" i="48"/>
  <c r="L122" i="48"/>
  <c r="G130" i="48"/>
  <c r="I131" i="48"/>
  <c r="C137" i="48"/>
  <c r="C138" i="48"/>
  <c r="C170" i="48"/>
  <c r="C171" i="48"/>
  <c r="K174" i="48"/>
  <c r="L179" i="48"/>
  <c r="L174" i="48" s="1"/>
  <c r="L173" i="48" s="1"/>
  <c r="C186" i="48"/>
  <c r="K195" i="48"/>
  <c r="C199" i="48"/>
  <c r="C201" i="48"/>
  <c r="C224" i="48"/>
  <c r="C237" i="48"/>
  <c r="L252" i="48"/>
  <c r="L251" i="48" s="1"/>
  <c r="O264" i="48"/>
  <c r="C275" i="48"/>
  <c r="C286" i="48"/>
  <c r="C295" i="48"/>
  <c r="O292" i="48"/>
  <c r="C55" i="48"/>
  <c r="F292" i="48"/>
  <c r="C21" i="48"/>
  <c r="E52" i="48"/>
  <c r="H75" i="48"/>
  <c r="C59" i="48"/>
  <c r="I103" i="48"/>
  <c r="C56" i="48"/>
  <c r="F69" i="48"/>
  <c r="C72" i="48"/>
  <c r="F77" i="48"/>
  <c r="L80" i="48"/>
  <c r="L76" i="48" s="1"/>
  <c r="C139" i="48"/>
  <c r="F136" i="48"/>
  <c r="C136" i="48" s="1"/>
  <c r="C189" i="48"/>
  <c r="F188" i="48"/>
  <c r="N230" i="48"/>
  <c r="N194" i="48" s="1"/>
  <c r="C268" i="48"/>
  <c r="I264" i="48"/>
  <c r="K20" i="48"/>
  <c r="L27" i="48"/>
  <c r="L33" i="48"/>
  <c r="C33" i="48" s="1"/>
  <c r="L36" i="48"/>
  <c r="C36" i="48" s="1"/>
  <c r="F41" i="48"/>
  <c r="C41" i="48" s="1"/>
  <c r="O45" i="48"/>
  <c r="O20" i="48" s="1"/>
  <c r="C82" i="48"/>
  <c r="F89" i="48"/>
  <c r="I89" i="48"/>
  <c r="I83" i="48" s="1"/>
  <c r="C93" i="48"/>
  <c r="C94" i="48"/>
  <c r="O103" i="48"/>
  <c r="C113" i="48"/>
  <c r="C114" i="48"/>
  <c r="C115" i="48"/>
  <c r="F112" i="48"/>
  <c r="C112" i="48" s="1"/>
  <c r="L116" i="48"/>
  <c r="C123" i="48"/>
  <c r="F122" i="48"/>
  <c r="C129" i="48"/>
  <c r="K130" i="48"/>
  <c r="O130" i="48"/>
  <c r="C145" i="48"/>
  <c r="C146" i="48"/>
  <c r="C147" i="48"/>
  <c r="F144" i="48"/>
  <c r="C153" i="48"/>
  <c r="C158" i="48"/>
  <c r="C169" i="48"/>
  <c r="D174" i="48"/>
  <c r="D173" i="48" s="1"/>
  <c r="C182" i="48"/>
  <c r="F231" i="48"/>
  <c r="C261" i="48"/>
  <c r="F260" i="48"/>
  <c r="C22" i="48"/>
  <c r="F43" i="48"/>
  <c r="C43" i="48" s="1"/>
  <c r="C119" i="48"/>
  <c r="F116" i="48"/>
  <c r="C120" i="48"/>
  <c r="C167" i="48"/>
  <c r="F166" i="48"/>
  <c r="C301" i="48"/>
  <c r="D20" i="48"/>
  <c r="H20" i="48"/>
  <c r="K83" i="48"/>
  <c r="C86" i="48"/>
  <c r="C87" i="48"/>
  <c r="F84" i="48"/>
  <c r="O95" i="48"/>
  <c r="C105" i="48"/>
  <c r="C106" i="48"/>
  <c r="C125" i="48"/>
  <c r="C126" i="48"/>
  <c r="C133" i="48"/>
  <c r="C134" i="48"/>
  <c r="I144" i="48"/>
  <c r="C150" i="48"/>
  <c r="C157" i="48"/>
  <c r="O166" i="48"/>
  <c r="O165" i="48" s="1"/>
  <c r="K173" i="48"/>
  <c r="O174" i="48"/>
  <c r="O173" i="48" s="1"/>
  <c r="C181" i="48"/>
  <c r="C209" i="48"/>
  <c r="F205" i="48"/>
  <c r="C256" i="48"/>
  <c r="I252" i="48"/>
  <c r="I251" i="48" s="1"/>
  <c r="C277" i="48"/>
  <c r="F276" i="48"/>
  <c r="C85" i="48"/>
  <c r="I151" i="48"/>
  <c r="C161" i="48"/>
  <c r="I175" i="48"/>
  <c r="I179" i="48"/>
  <c r="C185" i="48"/>
  <c r="C197" i="48"/>
  <c r="F196" i="48"/>
  <c r="C200" i="48"/>
  <c r="I198" i="48"/>
  <c r="C203" i="48"/>
  <c r="C212" i="48"/>
  <c r="L216" i="48"/>
  <c r="L204" i="48" s="1"/>
  <c r="C223" i="48"/>
  <c r="O231" i="48"/>
  <c r="I235" i="48"/>
  <c r="C235" i="48" s="1"/>
  <c r="C236" i="48"/>
  <c r="E270" i="48"/>
  <c r="E269" i="48" s="1"/>
  <c r="C279" i="48"/>
  <c r="C285" i="48"/>
  <c r="F284" i="48"/>
  <c r="I291" i="48"/>
  <c r="F95" i="48"/>
  <c r="F103" i="48"/>
  <c r="C103" i="48" s="1"/>
  <c r="F131" i="48"/>
  <c r="F151" i="48"/>
  <c r="F175" i="48"/>
  <c r="M187" i="48"/>
  <c r="L196" i="48"/>
  <c r="C215" i="48"/>
  <c r="I227" i="48"/>
  <c r="I204" i="48" s="1"/>
  <c r="C228" i="48"/>
  <c r="L231" i="48"/>
  <c r="K231" i="48"/>
  <c r="K230" i="48" s="1"/>
  <c r="C248" i="48"/>
  <c r="I246" i="48"/>
  <c r="C246" i="48" s="1"/>
  <c r="E230" i="48"/>
  <c r="C253" i="48"/>
  <c r="F252" i="48"/>
  <c r="O251" i="48"/>
  <c r="M259" i="48"/>
  <c r="M230" i="48" s="1"/>
  <c r="L260" i="48"/>
  <c r="L259" i="48" s="1"/>
  <c r="C265" i="48"/>
  <c r="F264" i="48"/>
  <c r="C264" i="48" s="1"/>
  <c r="C271" i="48"/>
  <c r="C273" i="48"/>
  <c r="F272" i="48"/>
  <c r="L276" i="48"/>
  <c r="L270" i="48" s="1"/>
  <c r="L269" i="48" s="1"/>
  <c r="O293" i="48"/>
  <c r="O188" i="48"/>
  <c r="O187" i="48" s="1"/>
  <c r="C193" i="48"/>
  <c r="F192" i="48"/>
  <c r="E195" i="48"/>
  <c r="O196" i="48"/>
  <c r="O205" i="48"/>
  <c r="C217" i="48"/>
  <c r="F216" i="48"/>
  <c r="O216" i="48"/>
  <c r="J230" i="48"/>
  <c r="J194" i="48" s="1"/>
  <c r="C232" i="48"/>
  <c r="C240" i="48"/>
  <c r="I238" i="48"/>
  <c r="C238" i="48" s="1"/>
  <c r="C281" i="48"/>
  <c r="C296" i="48"/>
  <c r="C297" i="48"/>
  <c r="F293" i="48"/>
  <c r="C239" i="48"/>
  <c r="C247" i="48"/>
  <c r="E289" i="48" l="1"/>
  <c r="D75" i="48"/>
  <c r="D289" i="48" s="1"/>
  <c r="H289" i="48"/>
  <c r="C58" i="48"/>
  <c r="K75" i="48"/>
  <c r="K289" i="48"/>
  <c r="C116" i="48"/>
  <c r="C292" i="48"/>
  <c r="I53" i="48"/>
  <c r="D52" i="48"/>
  <c r="D51" i="48" s="1"/>
  <c r="D290" i="48" s="1"/>
  <c r="O83" i="48"/>
  <c r="O75" i="48" s="1"/>
  <c r="M52" i="48"/>
  <c r="N289" i="48"/>
  <c r="C293" i="48"/>
  <c r="C95" i="48"/>
  <c r="L53" i="48"/>
  <c r="I259" i="48"/>
  <c r="G194" i="48"/>
  <c r="O52" i="48"/>
  <c r="J52" i="48"/>
  <c r="J289" i="48"/>
  <c r="L130" i="48"/>
  <c r="C179" i="48"/>
  <c r="C122" i="48"/>
  <c r="G75" i="48"/>
  <c r="O259" i="48"/>
  <c r="O230" i="48" s="1"/>
  <c r="C151" i="48"/>
  <c r="C227" i="48"/>
  <c r="G52" i="48"/>
  <c r="G51" i="48" s="1"/>
  <c r="J51" i="48"/>
  <c r="J50" i="48" s="1"/>
  <c r="O204" i="48"/>
  <c r="G289" i="48"/>
  <c r="I130" i="48"/>
  <c r="I75" i="48" s="1"/>
  <c r="K52" i="48"/>
  <c r="L83" i="48"/>
  <c r="N52" i="48"/>
  <c r="N51" i="48" s="1"/>
  <c r="M289" i="48"/>
  <c r="M194" i="48"/>
  <c r="M51" i="48" s="1"/>
  <c r="C260" i="48"/>
  <c r="F259" i="48"/>
  <c r="D50" i="48"/>
  <c r="H52" i="48"/>
  <c r="H51" i="48" s="1"/>
  <c r="O195" i="48"/>
  <c r="L230" i="48"/>
  <c r="L195" i="48"/>
  <c r="L194" i="48" s="1"/>
  <c r="C131" i="48"/>
  <c r="F130" i="48"/>
  <c r="C205" i="48"/>
  <c r="F204" i="48"/>
  <c r="C166" i="48"/>
  <c r="F165" i="48"/>
  <c r="C165" i="48" s="1"/>
  <c r="C89" i="48"/>
  <c r="F20" i="48"/>
  <c r="C192" i="48"/>
  <c r="F191" i="48"/>
  <c r="C191" i="48" s="1"/>
  <c r="C284" i="48"/>
  <c r="F283" i="48"/>
  <c r="C283" i="48" s="1"/>
  <c r="C198" i="48"/>
  <c r="I196" i="48"/>
  <c r="I195" i="48" s="1"/>
  <c r="C216" i="48"/>
  <c r="F270" i="48"/>
  <c r="C272" i="48"/>
  <c r="I174" i="48"/>
  <c r="I173" i="48" s="1"/>
  <c r="F83" i="48"/>
  <c r="C84" i="48"/>
  <c r="F291" i="48"/>
  <c r="K194" i="48"/>
  <c r="F67" i="48"/>
  <c r="C69" i="48"/>
  <c r="C80" i="48"/>
  <c r="C77" i="48"/>
  <c r="F76" i="48"/>
  <c r="I231" i="48"/>
  <c r="I230" i="48" s="1"/>
  <c r="E194" i="48"/>
  <c r="E51" i="48" s="1"/>
  <c r="C252" i="48"/>
  <c r="F251" i="48"/>
  <c r="C251" i="48" s="1"/>
  <c r="C175" i="48"/>
  <c r="F174" i="48"/>
  <c r="C276" i="48"/>
  <c r="C144" i="48"/>
  <c r="C45" i="48"/>
  <c r="C27" i="48"/>
  <c r="L26" i="48"/>
  <c r="C188" i="48"/>
  <c r="O291" i="48"/>
  <c r="C54" i="48"/>
  <c r="I52" i="48" l="1"/>
  <c r="C231" i="48"/>
  <c r="C130" i="48"/>
  <c r="C259" i="48"/>
  <c r="L75" i="48"/>
  <c r="L52" i="48" s="1"/>
  <c r="O289" i="48"/>
  <c r="J290" i="48"/>
  <c r="K51" i="48"/>
  <c r="K50" i="48" s="1"/>
  <c r="C83" i="48"/>
  <c r="N50" i="48"/>
  <c r="N290" i="48"/>
  <c r="F187" i="48"/>
  <c r="C187" i="48" s="1"/>
  <c r="C196" i="48"/>
  <c r="C204" i="48"/>
  <c r="G50" i="48"/>
  <c r="G290" i="48"/>
  <c r="E290" i="48"/>
  <c r="E50" i="48"/>
  <c r="I289" i="48"/>
  <c r="F230" i="48"/>
  <c r="C230" i="48" s="1"/>
  <c r="I194" i="48"/>
  <c r="I51" i="48" s="1"/>
  <c r="L51" i="48"/>
  <c r="L50" i="48" s="1"/>
  <c r="H290" i="48"/>
  <c r="H50" i="48"/>
  <c r="C174" i="48"/>
  <c r="F173" i="48"/>
  <c r="C173" i="48" s="1"/>
  <c r="M50" i="48"/>
  <c r="M290" i="48"/>
  <c r="C26" i="48"/>
  <c r="L20" i="48"/>
  <c r="C20" i="48" s="1"/>
  <c r="F75" i="48"/>
  <c r="C75" i="48" s="1"/>
  <c r="C76" i="48"/>
  <c r="C67" i="48"/>
  <c r="F53" i="48"/>
  <c r="C291" i="48"/>
  <c r="F195" i="48"/>
  <c r="F269" i="48"/>
  <c r="C270" i="48"/>
  <c r="O194" i="48"/>
  <c r="O51" i="48" s="1"/>
  <c r="K290" i="48" l="1"/>
  <c r="L289" i="48"/>
  <c r="L290" i="48"/>
  <c r="I290" i="48"/>
  <c r="I50" i="48"/>
  <c r="O50" i="48"/>
  <c r="O290" i="48"/>
  <c r="C53" i="48"/>
  <c r="F52" i="48"/>
  <c r="C269" i="48"/>
  <c r="F289" i="48"/>
  <c r="C289" i="48" s="1"/>
  <c r="F194" i="48"/>
  <c r="C194" i="48" s="1"/>
  <c r="C195" i="48"/>
  <c r="F51" i="48" l="1"/>
  <c r="C52" i="48"/>
  <c r="F290" i="48" l="1"/>
  <c r="C290" i="48" s="1"/>
  <c r="F50" i="48"/>
  <c r="C50" i="48" s="1"/>
  <c r="C51" i="48"/>
  <c r="O301" i="47" l="1"/>
  <c r="L301" i="47"/>
  <c r="I301" i="47"/>
  <c r="F301" i="47"/>
  <c r="O300" i="47"/>
  <c r="L300" i="47"/>
  <c r="I300" i="47"/>
  <c r="F300" i="47"/>
  <c r="O299" i="47"/>
  <c r="L299" i="47"/>
  <c r="I299" i="47"/>
  <c r="F299" i="47"/>
  <c r="O298" i="47"/>
  <c r="L298" i="47"/>
  <c r="I298" i="47"/>
  <c r="F298" i="47"/>
  <c r="C298" i="47" s="1"/>
  <c r="O297" i="47"/>
  <c r="L297" i="47"/>
  <c r="I297" i="47"/>
  <c r="F297" i="47"/>
  <c r="O296" i="47"/>
  <c r="L296" i="47"/>
  <c r="I296" i="47"/>
  <c r="F296" i="47"/>
  <c r="O295" i="47"/>
  <c r="L295" i="47"/>
  <c r="I295" i="47"/>
  <c r="F295" i="47"/>
  <c r="O294" i="47"/>
  <c r="L294" i="47"/>
  <c r="L293" i="47" s="1"/>
  <c r="I294" i="47"/>
  <c r="F294" i="47"/>
  <c r="C294" i="47" s="1"/>
  <c r="N293" i="47"/>
  <c r="M293" i="47"/>
  <c r="K293" i="47"/>
  <c r="J293" i="47"/>
  <c r="H293" i="47"/>
  <c r="G293" i="47"/>
  <c r="E293" i="47"/>
  <c r="D293" i="47"/>
  <c r="O288" i="47"/>
  <c r="L288" i="47"/>
  <c r="I288" i="47"/>
  <c r="F288" i="47"/>
  <c r="O287" i="47"/>
  <c r="L287" i="47"/>
  <c r="L286" i="47" s="1"/>
  <c r="I287" i="47"/>
  <c r="F287" i="47"/>
  <c r="O286" i="47"/>
  <c r="N286" i="47"/>
  <c r="M286" i="47"/>
  <c r="K286" i="47"/>
  <c r="J286" i="47"/>
  <c r="H286" i="47"/>
  <c r="G286" i="47"/>
  <c r="F286" i="47"/>
  <c r="E286" i="47"/>
  <c r="D286" i="47"/>
  <c r="O285" i="47"/>
  <c r="L285" i="47"/>
  <c r="L284" i="47" s="1"/>
  <c r="L283" i="47" s="1"/>
  <c r="I285" i="47"/>
  <c r="F285" i="47"/>
  <c r="O284" i="47"/>
  <c r="O283" i="47" s="1"/>
  <c r="N284" i="47"/>
  <c r="N283" i="47" s="1"/>
  <c r="M284" i="47"/>
  <c r="M283" i="47" s="1"/>
  <c r="K284" i="47"/>
  <c r="K283" i="47" s="1"/>
  <c r="J284" i="47"/>
  <c r="J283" i="47" s="1"/>
  <c r="I284" i="47"/>
  <c r="I283" i="47" s="1"/>
  <c r="H284" i="47"/>
  <c r="G284" i="47"/>
  <c r="G283" i="47" s="1"/>
  <c r="E284" i="47"/>
  <c r="E283" i="47" s="1"/>
  <c r="D284" i="47"/>
  <c r="H283" i="47"/>
  <c r="D283" i="47"/>
  <c r="O282" i="47"/>
  <c r="O281" i="47" s="1"/>
  <c r="L282" i="47"/>
  <c r="L281" i="47" s="1"/>
  <c r="I282" i="47"/>
  <c r="I281" i="47" s="1"/>
  <c r="F282" i="47"/>
  <c r="F281" i="47" s="1"/>
  <c r="N281" i="47"/>
  <c r="M281" i="47"/>
  <c r="K281" i="47"/>
  <c r="J281" i="47"/>
  <c r="H281" i="47"/>
  <c r="G281" i="47"/>
  <c r="E281" i="47"/>
  <c r="D281" i="47"/>
  <c r="O280" i="47"/>
  <c r="L280" i="47"/>
  <c r="I280" i="47"/>
  <c r="F280" i="47"/>
  <c r="O279" i="47"/>
  <c r="L279" i="47"/>
  <c r="I279" i="47"/>
  <c r="F279" i="47"/>
  <c r="O278" i="47"/>
  <c r="L278" i="47"/>
  <c r="I278" i="47"/>
  <c r="C278" i="47" s="1"/>
  <c r="F278" i="47"/>
  <c r="O277" i="47"/>
  <c r="L277" i="47"/>
  <c r="I277" i="47"/>
  <c r="I276" i="47" s="1"/>
  <c r="F277" i="47"/>
  <c r="N276" i="47"/>
  <c r="M276" i="47"/>
  <c r="K276" i="47"/>
  <c r="J276" i="47"/>
  <c r="H276" i="47"/>
  <c r="G276" i="47"/>
  <c r="E276" i="47"/>
  <c r="D276" i="47"/>
  <c r="O275" i="47"/>
  <c r="L275" i="47"/>
  <c r="I275" i="47"/>
  <c r="F275" i="47"/>
  <c r="O274" i="47"/>
  <c r="L274" i="47"/>
  <c r="L272" i="47" s="1"/>
  <c r="I274" i="47"/>
  <c r="F274" i="47"/>
  <c r="C274" i="47" s="1"/>
  <c r="O273" i="47"/>
  <c r="L273" i="47"/>
  <c r="I273" i="47"/>
  <c r="I272" i="47" s="1"/>
  <c r="F273" i="47"/>
  <c r="N272" i="47"/>
  <c r="N270" i="47" s="1"/>
  <c r="N269" i="47" s="1"/>
  <c r="M272" i="47"/>
  <c r="K272" i="47"/>
  <c r="J272" i="47"/>
  <c r="J270" i="47" s="1"/>
  <c r="J269" i="47" s="1"/>
  <c r="H272" i="47"/>
  <c r="G272" i="47"/>
  <c r="G270" i="47" s="1"/>
  <c r="G269" i="47" s="1"/>
  <c r="E272" i="47"/>
  <c r="D272" i="47"/>
  <c r="O271" i="47"/>
  <c r="L271" i="47"/>
  <c r="I271" i="47"/>
  <c r="F271" i="47"/>
  <c r="K270" i="47"/>
  <c r="K269" i="47" s="1"/>
  <c r="D270" i="47"/>
  <c r="D269" i="47" s="1"/>
  <c r="O268" i="47"/>
  <c r="L268" i="47"/>
  <c r="I268" i="47"/>
  <c r="F268" i="47"/>
  <c r="O267" i="47"/>
  <c r="L267" i="47"/>
  <c r="I267" i="47"/>
  <c r="F267" i="47"/>
  <c r="O266" i="47"/>
  <c r="L266" i="47"/>
  <c r="I266" i="47"/>
  <c r="F266" i="47"/>
  <c r="O265" i="47"/>
  <c r="L265" i="47"/>
  <c r="L264" i="47" s="1"/>
  <c r="I265" i="47"/>
  <c r="F265" i="47"/>
  <c r="N264" i="47"/>
  <c r="M264" i="47"/>
  <c r="K264" i="47"/>
  <c r="J264" i="47"/>
  <c r="H264" i="47"/>
  <c r="G264" i="47"/>
  <c r="E264" i="47"/>
  <c r="D264" i="47"/>
  <c r="O263" i="47"/>
  <c r="L263" i="47"/>
  <c r="I263" i="47"/>
  <c r="F263" i="47"/>
  <c r="O262" i="47"/>
  <c r="L262" i="47"/>
  <c r="I262" i="47"/>
  <c r="C262" i="47" s="1"/>
  <c r="F262" i="47"/>
  <c r="O261" i="47"/>
  <c r="L261" i="47"/>
  <c r="I261" i="47"/>
  <c r="F261" i="47"/>
  <c r="N260" i="47"/>
  <c r="M260" i="47"/>
  <c r="K260" i="47"/>
  <c r="J260" i="47"/>
  <c r="H260" i="47"/>
  <c r="H259" i="47" s="1"/>
  <c r="G260" i="47"/>
  <c r="E260" i="47"/>
  <c r="D260" i="47"/>
  <c r="D259" i="47" s="1"/>
  <c r="N259" i="47"/>
  <c r="J259" i="47"/>
  <c r="G259" i="47"/>
  <c r="O258" i="47"/>
  <c r="L258" i="47"/>
  <c r="I258" i="47"/>
  <c r="F258" i="47"/>
  <c r="O257" i="47"/>
  <c r="L257" i="47"/>
  <c r="I257" i="47"/>
  <c r="F257" i="47"/>
  <c r="O256" i="47"/>
  <c r="L256" i="47"/>
  <c r="I256" i="47"/>
  <c r="F256" i="47"/>
  <c r="O255" i="47"/>
  <c r="L255" i="47"/>
  <c r="I255" i="47"/>
  <c r="F255" i="47"/>
  <c r="O254" i="47"/>
  <c r="L254" i="47"/>
  <c r="I254" i="47"/>
  <c r="F254" i="47"/>
  <c r="O253" i="47"/>
  <c r="L253" i="47"/>
  <c r="I253" i="47"/>
  <c r="F253" i="47"/>
  <c r="N252" i="47"/>
  <c r="M252" i="47"/>
  <c r="M251" i="47" s="1"/>
  <c r="K252" i="47"/>
  <c r="J252" i="47"/>
  <c r="J251" i="47" s="1"/>
  <c r="H252" i="47"/>
  <c r="H251" i="47" s="1"/>
  <c r="G252" i="47"/>
  <c r="G251" i="47" s="1"/>
  <c r="E252" i="47"/>
  <c r="E251" i="47" s="1"/>
  <c r="D252" i="47"/>
  <c r="D251" i="47" s="1"/>
  <c r="N251" i="47"/>
  <c r="K251" i="47"/>
  <c r="O250" i="47"/>
  <c r="L250" i="47"/>
  <c r="I250" i="47"/>
  <c r="F250" i="47"/>
  <c r="O249" i="47"/>
  <c r="L249" i="47"/>
  <c r="I249" i="47"/>
  <c r="F249" i="47"/>
  <c r="O248" i="47"/>
  <c r="L248" i="47"/>
  <c r="I248" i="47"/>
  <c r="F248" i="47"/>
  <c r="O247" i="47"/>
  <c r="L247" i="47"/>
  <c r="L246" i="47" s="1"/>
  <c r="I247" i="47"/>
  <c r="F247" i="47"/>
  <c r="F246" i="47" s="1"/>
  <c r="O246" i="47"/>
  <c r="N246" i="47"/>
  <c r="M246" i="47"/>
  <c r="K246" i="47"/>
  <c r="J246" i="47"/>
  <c r="H246" i="47"/>
  <c r="G246" i="47"/>
  <c r="E246" i="47"/>
  <c r="D246" i="47"/>
  <c r="O245" i="47"/>
  <c r="L245" i="47"/>
  <c r="I245" i="47"/>
  <c r="F245" i="47"/>
  <c r="O244" i="47"/>
  <c r="L244" i="47"/>
  <c r="I244" i="47"/>
  <c r="F244" i="47"/>
  <c r="O243" i="47"/>
  <c r="L243" i="47"/>
  <c r="I243" i="47"/>
  <c r="F243" i="47"/>
  <c r="O242" i="47"/>
  <c r="L242" i="47"/>
  <c r="I242" i="47"/>
  <c r="F242" i="47"/>
  <c r="C242" i="47" s="1"/>
  <c r="O241" i="47"/>
  <c r="L241" i="47"/>
  <c r="I241" i="47"/>
  <c r="F241" i="47"/>
  <c r="O240" i="47"/>
  <c r="L240" i="47"/>
  <c r="I240" i="47"/>
  <c r="F240" i="47"/>
  <c r="O239" i="47"/>
  <c r="L239" i="47"/>
  <c r="I239" i="47"/>
  <c r="F239" i="47"/>
  <c r="N238" i="47"/>
  <c r="M238" i="47"/>
  <c r="K238" i="47"/>
  <c r="J238" i="47"/>
  <c r="H238" i="47"/>
  <c r="G238" i="47"/>
  <c r="E238" i="47"/>
  <c r="D238" i="47"/>
  <c r="O237" i="47"/>
  <c r="L237" i="47"/>
  <c r="I237" i="47"/>
  <c r="F237" i="47"/>
  <c r="O236" i="47"/>
  <c r="L236" i="47"/>
  <c r="L235" i="47" s="1"/>
  <c r="I236" i="47"/>
  <c r="I235" i="47" s="1"/>
  <c r="F236" i="47"/>
  <c r="O235" i="47"/>
  <c r="N235" i="47"/>
  <c r="M235" i="47"/>
  <c r="M231" i="47" s="1"/>
  <c r="K235" i="47"/>
  <c r="J235" i="47"/>
  <c r="H235" i="47"/>
  <c r="G235" i="47"/>
  <c r="E235" i="47"/>
  <c r="D235" i="47"/>
  <c r="O234" i="47"/>
  <c r="O233" i="47" s="1"/>
  <c r="L234" i="47"/>
  <c r="L233" i="47" s="1"/>
  <c r="I234" i="47"/>
  <c r="F234" i="47"/>
  <c r="N233" i="47"/>
  <c r="N231" i="47" s="1"/>
  <c r="N230" i="47" s="1"/>
  <c r="M233" i="47"/>
  <c r="K233" i="47"/>
  <c r="J233" i="47"/>
  <c r="J231" i="47" s="1"/>
  <c r="I233" i="47"/>
  <c r="H233" i="47"/>
  <c r="G233" i="47"/>
  <c r="F233" i="47"/>
  <c r="E233" i="47"/>
  <c r="D233" i="47"/>
  <c r="D231" i="47" s="1"/>
  <c r="O232" i="47"/>
  <c r="L232" i="47"/>
  <c r="I232" i="47"/>
  <c r="F232" i="47"/>
  <c r="E231" i="47"/>
  <c r="O229" i="47"/>
  <c r="L229" i="47"/>
  <c r="I229" i="47"/>
  <c r="F229" i="47"/>
  <c r="O228" i="47"/>
  <c r="L228" i="47"/>
  <c r="I228" i="47"/>
  <c r="F228" i="47"/>
  <c r="F227" i="47" s="1"/>
  <c r="O227" i="47"/>
  <c r="N227" i="47"/>
  <c r="M227" i="47"/>
  <c r="L227" i="47"/>
  <c r="K227" i="47"/>
  <c r="J227" i="47"/>
  <c r="H227" i="47"/>
  <c r="G227" i="47"/>
  <c r="E227" i="47"/>
  <c r="D227" i="47"/>
  <c r="O226" i="47"/>
  <c r="L226" i="47"/>
  <c r="C226" i="47" s="1"/>
  <c r="I226" i="47"/>
  <c r="F226" i="47"/>
  <c r="O225" i="47"/>
  <c r="L225" i="47"/>
  <c r="I225" i="47"/>
  <c r="F225" i="47"/>
  <c r="O224" i="47"/>
  <c r="L224" i="47"/>
  <c r="I224" i="47"/>
  <c r="F224" i="47"/>
  <c r="O223" i="47"/>
  <c r="L223" i="47"/>
  <c r="I223" i="47"/>
  <c r="F223" i="47"/>
  <c r="O222" i="47"/>
  <c r="L222" i="47"/>
  <c r="I222" i="47"/>
  <c r="F222" i="47"/>
  <c r="O221" i="47"/>
  <c r="L221" i="47"/>
  <c r="I221" i="47"/>
  <c r="F221" i="47"/>
  <c r="O220" i="47"/>
  <c r="L220" i="47"/>
  <c r="I220" i="47"/>
  <c r="F220" i="47"/>
  <c r="O219" i="47"/>
  <c r="L219" i="47"/>
  <c r="I219" i="47"/>
  <c r="F219" i="47"/>
  <c r="O218" i="47"/>
  <c r="L218" i="47"/>
  <c r="I218" i="47"/>
  <c r="F218" i="47"/>
  <c r="O217" i="47"/>
  <c r="L217" i="47"/>
  <c r="L216" i="47" s="1"/>
  <c r="I217" i="47"/>
  <c r="F217" i="47"/>
  <c r="N216" i="47"/>
  <c r="M216" i="47"/>
  <c r="K216" i="47"/>
  <c r="J216" i="47"/>
  <c r="H216" i="47"/>
  <c r="G216" i="47"/>
  <c r="E216" i="47"/>
  <c r="D216" i="47"/>
  <c r="O215" i="47"/>
  <c r="L215" i="47"/>
  <c r="I215" i="47"/>
  <c r="F215" i="47"/>
  <c r="O214" i="47"/>
  <c r="L214" i="47"/>
  <c r="I214" i="47"/>
  <c r="F214" i="47"/>
  <c r="O213" i="47"/>
  <c r="L213" i="47"/>
  <c r="I213" i="47"/>
  <c r="F213" i="47"/>
  <c r="O212" i="47"/>
  <c r="L212" i="47"/>
  <c r="I212" i="47"/>
  <c r="F212" i="47"/>
  <c r="O211" i="47"/>
  <c r="L211" i="47"/>
  <c r="I211" i="47"/>
  <c r="F211" i="47"/>
  <c r="O210" i="47"/>
  <c r="L210" i="47"/>
  <c r="I210" i="47"/>
  <c r="F210" i="47"/>
  <c r="C210" i="47" s="1"/>
  <c r="O209" i="47"/>
  <c r="L209" i="47"/>
  <c r="I209" i="47"/>
  <c r="F209" i="47"/>
  <c r="O208" i="47"/>
  <c r="L208" i="47"/>
  <c r="I208" i="47"/>
  <c r="F208" i="47"/>
  <c r="O207" i="47"/>
  <c r="L207" i="47"/>
  <c r="I207" i="47"/>
  <c r="F207" i="47"/>
  <c r="O206" i="47"/>
  <c r="L206" i="47"/>
  <c r="I206" i="47"/>
  <c r="F206" i="47"/>
  <c r="N205" i="47"/>
  <c r="M205" i="47"/>
  <c r="K205" i="47"/>
  <c r="J205" i="47"/>
  <c r="H205" i="47"/>
  <c r="H204" i="47" s="1"/>
  <c r="G205" i="47"/>
  <c r="G204" i="47" s="1"/>
  <c r="E205" i="47"/>
  <c r="D205" i="47"/>
  <c r="D204" i="47" s="1"/>
  <c r="M204" i="47"/>
  <c r="K204" i="47"/>
  <c r="E204" i="47"/>
  <c r="O203" i="47"/>
  <c r="L203" i="47"/>
  <c r="I203" i="47"/>
  <c r="F203" i="47"/>
  <c r="O202" i="47"/>
  <c r="L202" i="47"/>
  <c r="I202" i="47"/>
  <c r="F202" i="47"/>
  <c r="O201" i="47"/>
  <c r="L201" i="47"/>
  <c r="I201" i="47"/>
  <c r="F201" i="47"/>
  <c r="O200" i="47"/>
  <c r="L200" i="47"/>
  <c r="I200" i="47"/>
  <c r="F200" i="47"/>
  <c r="O199" i="47"/>
  <c r="L199" i="47"/>
  <c r="L198" i="47" s="1"/>
  <c r="I199" i="47"/>
  <c r="F199" i="47"/>
  <c r="F198" i="47" s="1"/>
  <c r="O198" i="47"/>
  <c r="N198" i="47"/>
  <c r="M198" i="47"/>
  <c r="K198" i="47"/>
  <c r="K196" i="47" s="1"/>
  <c r="K195" i="47" s="1"/>
  <c r="J198" i="47"/>
  <c r="H198" i="47"/>
  <c r="H196" i="47" s="1"/>
  <c r="G198" i="47"/>
  <c r="E198" i="47"/>
  <c r="E196" i="47" s="1"/>
  <c r="D198" i="47"/>
  <c r="D196" i="47" s="1"/>
  <c r="O197" i="47"/>
  <c r="L197" i="47"/>
  <c r="I197" i="47"/>
  <c r="F197" i="47"/>
  <c r="N196" i="47"/>
  <c r="M196" i="47"/>
  <c r="J196" i="47"/>
  <c r="G196" i="47"/>
  <c r="D195" i="47"/>
  <c r="O193" i="47"/>
  <c r="L193" i="47"/>
  <c r="L192" i="47" s="1"/>
  <c r="L191" i="47" s="1"/>
  <c r="I193" i="47"/>
  <c r="I192" i="47" s="1"/>
  <c r="I191" i="47" s="1"/>
  <c r="F193" i="47"/>
  <c r="O192" i="47"/>
  <c r="N192" i="47"/>
  <c r="N191" i="47" s="1"/>
  <c r="M192" i="47"/>
  <c r="M191" i="47" s="1"/>
  <c r="K192" i="47"/>
  <c r="K191" i="47" s="1"/>
  <c r="J192" i="47"/>
  <c r="H192" i="47"/>
  <c r="H191" i="47" s="1"/>
  <c r="G192" i="47"/>
  <c r="G191" i="47" s="1"/>
  <c r="E192" i="47"/>
  <c r="E191" i="47" s="1"/>
  <c r="D192" i="47"/>
  <c r="O191" i="47"/>
  <c r="J191" i="47"/>
  <c r="D191" i="47"/>
  <c r="O190" i="47"/>
  <c r="L190" i="47"/>
  <c r="I190" i="47"/>
  <c r="F190" i="47"/>
  <c r="O189" i="47"/>
  <c r="O188" i="47" s="1"/>
  <c r="O187" i="47" s="1"/>
  <c r="L189" i="47"/>
  <c r="L188" i="47" s="1"/>
  <c r="I189" i="47"/>
  <c r="I188" i="47" s="1"/>
  <c r="F189" i="47"/>
  <c r="N188" i="47"/>
  <c r="M188" i="47"/>
  <c r="K188" i="47"/>
  <c r="J188" i="47"/>
  <c r="H188" i="47"/>
  <c r="G188" i="47"/>
  <c r="F188" i="47"/>
  <c r="E188" i="47"/>
  <c r="D188" i="47"/>
  <c r="D187" i="47" s="1"/>
  <c r="O186" i="47"/>
  <c r="L186" i="47"/>
  <c r="I186" i="47"/>
  <c r="F186" i="47"/>
  <c r="O185" i="47"/>
  <c r="O184" i="47" s="1"/>
  <c r="L185" i="47"/>
  <c r="L184" i="47" s="1"/>
  <c r="I185" i="47"/>
  <c r="I184" i="47" s="1"/>
  <c r="F185" i="47"/>
  <c r="F184" i="47" s="1"/>
  <c r="N184" i="47"/>
  <c r="M184" i="47"/>
  <c r="K184" i="47"/>
  <c r="J184" i="47"/>
  <c r="H184" i="47"/>
  <c r="G184" i="47"/>
  <c r="E184" i="47"/>
  <c r="D184" i="47"/>
  <c r="O183" i="47"/>
  <c r="L183" i="47"/>
  <c r="I183" i="47"/>
  <c r="F183" i="47"/>
  <c r="O182" i="47"/>
  <c r="L182" i="47"/>
  <c r="I182" i="47"/>
  <c r="F182" i="47"/>
  <c r="O181" i="47"/>
  <c r="L181" i="47"/>
  <c r="I181" i="47"/>
  <c r="F181" i="47"/>
  <c r="O180" i="47"/>
  <c r="L180" i="47"/>
  <c r="L179" i="47" s="1"/>
  <c r="I180" i="47"/>
  <c r="I179" i="47" s="1"/>
  <c r="F180" i="47"/>
  <c r="N179" i="47"/>
  <c r="M179" i="47"/>
  <c r="K179" i="47"/>
  <c r="J179" i="47"/>
  <c r="H179" i="47"/>
  <c r="G179" i="47"/>
  <c r="E179" i="47"/>
  <c r="D179" i="47"/>
  <c r="O178" i="47"/>
  <c r="L178" i="47"/>
  <c r="I178" i="47"/>
  <c r="F178" i="47"/>
  <c r="O177" i="47"/>
  <c r="L177" i="47"/>
  <c r="I177" i="47"/>
  <c r="D177" i="47"/>
  <c r="F177" i="47" s="1"/>
  <c r="O176" i="47"/>
  <c r="O175" i="47" s="1"/>
  <c r="L176" i="47"/>
  <c r="I176" i="47"/>
  <c r="F176" i="47"/>
  <c r="N175" i="47"/>
  <c r="N174" i="47" s="1"/>
  <c r="N173" i="47" s="1"/>
  <c r="M175" i="47"/>
  <c r="K175" i="47"/>
  <c r="J175" i="47"/>
  <c r="J174" i="47" s="1"/>
  <c r="J173" i="47" s="1"/>
  <c r="H175" i="47"/>
  <c r="H174" i="47" s="1"/>
  <c r="H173" i="47" s="1"/>
  <c r="G175" i="47"/>
  <c r="G174" i="47" s="1"/>
  <c r="G173" i="47" s="1"/>
  <c r="E175" i="47"/>
  <c r="D175" i="47"/>
  <c r="D174" i="47" s="1"/>
  <c r="D173" i="47" s="1"/>
  <c r="M174" i="47"/>
  <c r="M173" i="47" s="1"/>
  <c r="O172" i="47"/>
  <c r="L172" i="47"/>
  <c r="I172" i="47"/>
  <c r="F172" i="47"/>
  <c r="O171" i="47"/>
  <c r="L171" i="47"/>
  <c r="I171" i="47"/>
  <c r="F171" i="47"/>
  <c r="O170" i="47"/>
  <c r="L170" i="47"/>
  <c r="I170" i="47"/>
  <c r="F170" i="47"/>
  <c r="O169" i="47"/>
  <c r="L169" i="47"/>
  <c r="I169" i="47"/>
  <c r="F169" i="47"/>
  <c r="O168" i="47"/>
  <c r="L168" i="47"/>
  <c r="I168" i="47"/>
  <c r="F168" i="47"/>
  <c r="O167" i="47"/>
  <c r="O166" i="47" s="1"/>
  <c r="O165" i="47" s="1"/>
  <c r="L167" i="47"/>
  <c r="I167" i="47"/>
  <c r="I166" i="47" s="1"/>
  <c r="I165" i="47" s="1"/>
  <c r="F167" i="47"/>
  <c r="N166" i="47"/>
  <c r="M166" i="47"/>
  <c r="M165" i="47" s="1"/>
  <c r="K166" i="47"/>
  <c r="K165" i="47" s="1"/>
  <c r="J166" i="47"/>
  <c r="J165" i="47" s="1"/>
  <c r="H166" i="47"/>
  <c r="H165" i="47" s="1"/>
  <c r="G166" i="47"/>
  <c r="G165" i="47" s="1"/>
  <c r="E166" i="47"/>
  <c r="E165" i="47" s="1"/>
  <c r="D166" i="47"/>
  <c r="D165" i="47" s="1"/>
  <c r="N165" i="47"/>
  <c r="O164" i="47"/>
  <c r="L164" i="47"/>
  <c r="I164" i="47"/>
  <c r="F164" i="47"/>
  <c r="O163" i="47"/>
  <c r="L163" i="47"/>
  <c r="I163" i="47"/>
  <c r="F163" i="47"/>
  <c r="O162" i="47"/>
  <c r="L162" i="47"/>
  <c r="I162" i="47"/>
  <c r="F162" i="47"/>
  <c r="O161" i="47"/>
  <c r="L161" i="47"/>
  <c r="L160" i="47" s="1"/>
  <c r="I161" i="47"/>
  <c r="I160" i="47" s="1"/>
  <c r="F161" i="47"/>
  <c r="O160" i="47"/>
  <c r="N160" i="47"/>
  <c r="M160" i="47"/>
  <c r="K160" i="47"/>
  <c r="J160" i="47"/>
  <c r="H160" i="47"/>
  <c r="G160" i="47"/>
  <c r="F160" i="47"/>
  <c r="E160" i="47"/>
  <c r="D160" i="47"/>
  <c r="O159" i="47"/>
  <c r="L159" i="47"/>
  <c r="I159" i="47"/>
  <c r="F159" i="47"/>
  <c r="O158" i="47"/>
  <c r="L158" i="47"/>
  <c r="I158" i="47"/>
  <c r="F158" i="47"/>
  <c r="O157" i="47"/>
  <c r="L157" i="47"/>
  <c r="I157" i="47"/>
  <c r="F157" i="47"/>
  <c r="O156" i="47"/>
  <c r="L156" i="47"/>
  <c r="I156" i="47"/>
  <c r="F156" i="47"/>
  <c r="C156" i="47" s="1"/>
  <c r="O155" i="47"/>
  <c r="L155" i="47"/>
  <c r="I155" i="47"/>
  <c r="F155" i="47"/>
  <c r="O154" i="47"/>
  <c r="L154" i="47"/>
  <c r="I154" i="47"/>
  <c r="F154" i="47"/>
  <c r="C154" i="47" s="1"/>
  <c r="O153" i="47"/>
  <c r="L153" i="47"/>
  <c r="I153" i="47"/>
  <c r="F153" i="47"/>
  <c r="O152" i="47"/>
  <c r="L152" i="47"/>
  <c r="I152" i="47"/>
  <c r="F152" i="47"/>
  <c r="C152" i="47" s="1"/>
  <c r="N151" i="47"/>
  <c r="M151" i="47"/>
  <c r="K151" i="47"/>
  <c r="J151" i="47"/>
  <c r="H151" i="47"/>
  <c r="G151" i="47"/>
  <c r="E151" i="47"/>
  <c r="D151" i="47"/>
  <c r="O150" i="47"/>
  <c r="L150" i="47"/>
  <c r="I150" i="47"/>
  <c r="F150" i="47"/>
  <c r="O149" i="47"/>
  <c r="L149" i="47"/>
  <c r="I149" i="47"/>
  <c r="F149" i="47"/>
  <c r="O148" i="47"/>
  <c r="L148" i="47"/>
  <c r="I148" i="47"/>
  <c r="F148" i="47"/>
  <c r="O147" i="47"/>
  <c r="L147" i="47"/>
  <c r="I147" i="47"/>
  <c r="F147" i="47"/>
  <c r="O146" i="47"/>
  <c r="L146" i="47"/>
  <c r="I146" i="47"/>
  <c r="F146" i="47"/>
  <c r="O145" i="47"/>
  <c r="L145" i="47"/>
  <c r="I145" i="47"/>
  <c r="F145" i="47"/>
  <c r="O144" i="47"/>
  <c r="N144" i="47"/>
  <c r="M144" i="47"/>
  <c r="K144" i="47"/>
  <c r="J144" i="47"/>
  <c r="H144" i="47"/>
  <c r="G144" i="47"/>
  <c r="E144" i="47"/>
  <c r="D144" i="47"/>
  <c r="O143" i="47"/>
  <c r="L143" i="47"/>
  <c r="I143" i="47"/>
  <c r="F143" i="47"/>
  <c r="O142" i="47"/>
  <c r="L142" i="47"/>
  <c r="I142" i="47"/>
  <c r="I141" i="47" s="1"/>
  <c r="F142" i="47"/>
  <c r="N141" i="47"/>
  <c r="M141" i="47"/>
  <c r="L141" i="47"/>
  <c r="K141" i="47"/>
  <c r="J141" i="47"/>
  <c r="H141" i="47"/>
  <c r="G141" i="47"/>
  <c r="F141" i="47"/>
  <c r="E141" i="47"/>
  <c r="D141" i="47"/>
  <c r="O140" i="47"/>
  <c r="L140" i="47"/>
  <c r="I140" i="47"/>
  <c r="F140" i="47"/>
  <c r="O139" i="47"/>
  <c r="L139" i="47"/>
  <c r="I139" i="47"/>
  <c r="F139" i="47"/>
  <c r="O138" i="47"/>
  <c r="L138" i="47"/>
  <c r="I138" i="47"/>
  <c r="F138" i="47"/>
  <c r="O137" i="47"/>
  <c r="L137" i="47"/>
  <c r="L136" i="47" s="1"/>
  <c r="I137" i="47"/>
  <c r="I136" i="47" s="1"/>
  <c r="F137" i="47"/>
  <c r="O136" i="47"/>
  <c r="N136" i="47"/>
  <c r="M136" i="47"/>
  <c r="K136" i="47"/>
  <c r="J136" i="47"/>
  <c r="H136" i="47"/>
  <c r="G136" i="47"/>
  <c r="E136" i="47"/>
  <c r="D136" i="47"/>
  <c r="O135" i="47"/>
  <c r="L135" i="47"/>
  <c r="I135" i="47"/>
  <c r="F135" i="47"/>
  <c r="O134" i="47"/>
  <c r="L134" i="47"/>
  <c r="I134" i="47"/>
  <c r="F134" i="47"/>
  <c r="O133" i="47"/>
  <c r="L133" i="47"/>
  <c r="I133" i="47"/>
  <c r="F133" i="47"/>
  <c r="O132" i="47"/>
  <c r="O131" i="47" s="1"/>
  <c r="L132" i="47"/>
  <c r="L131" i="47" s="1"/>
  <c r="I132" i="47"/>
  <c r="F132" i="47"/>
  <c r="C132" i="47" s="1"/>
  <c r="N131" i="47"/>
  <c r="M131" i="47"/>
  <c r="K131" i="47"/>
  <c r="J131" i="47"/>
  <c r="H131" i="47"/>
  <c r="G131" i="47"/>
  <c r="E131" i="47"/>
  <c r="E130" i="47" s="1"/>
  <c r="D131" i="47"/>
  <c r="M130" i="47"/>
  <c r="O129" i="47"/>
  <c r="L129" i="47"/>
  <c r="I129" i="47"/>
  <c r="I128" i="47" s="1"/>
  <c r="F129" i="47"/>
  <c r="O128" i="47"/>
  <c r="N128" i="47"/>
  <c r="M128" i="47"/>
  <c r="K128" i="47"/>
  <c r="J128" i="47"/>
  <c r="H128" i="47"/>
  <c r="G128" i="47"/>
  <c r="F128" i="47"/>
  <c r="E128" i="47"/>
  <c r="D128" i="47"/>
  <c r="O127" i="47"/>
  <c r="L127" i="47"/>
  <c r="I127" i="47"/>
  <c r="F127" i="47"/>
  <c r="O126" i="47"/>
  <c r="L126" i="47"/>
  <c r="I126" i="47"/>
  <c r="F126" i="47"/>
  <c r="O125" i="47"/>
  <c r="L125" i="47"/>
  <c r="I125" i="47"/>
  <c r="F125" i="47"/>
  <c r="O124" i="47"/>
  <c r="L124" i="47"/>
  <c r="I124" i="47"/>
  <c r="F124" i="47"/>
  <c r="O123" i="47"/>
  <c r="L123" i="47"/>
  <c r="I123" i="47"/>
  <c r="F123" i="47"/>
  <c r="N122" i="47"/>
  <c r="M122" i="47"/>
  <c r="K122" i="47"/>
  <c r="J122" i="47"/>
  <c r="H122" i="47"/>
  <c r="G122" i="47"/>
  <c r="E122" i="47"/>
  <c r="D122" i="47"/>
  <c r="O121" i="47"/>
  <c r="L121" i="47"/>
  <c r="I121" i="47"/>
  <c r="F121" i="47"/>
  <c r="O120" i="47"/>
  <c r="L120" i="47"/>
  <c r="I120" i="47"/>
  <c r="F120" i="47"/>
  <c r="O119" i="47"/>
  <c r="L119" i="47"/>
  <c r="I119" i="47"/>
  <c r="F119" i="47"/>
  <c r="O118" i="47"/>
  <c r="L118" i="47"/>
  <c r="I118" i="47"/>
  <c r="F118" i="47"/>
  <c r="O117" i="47"/>
  <c r="L117" i="47"/>
  <c r="L116" i="47" s="1"/>
  <c r="I117" i="47"/>
  <c r="F117" i="47"/>
  <c r="F116" i="47" s="1"/>
  <c r="N116" i="47"/>
  <c r="M116" i="47"/>
  <c r="K116" i="47"/>
  <c r="J116" i="47"/>
  <c r="H116" i="47"/>
  <c r="G116" i="47"/>
  <c r="E116" i="47"/>
  <c r="D116" i="47"/>
  <c r="O115" i="47"/>
  <c r="L115" i="47"/>
  <c r="I115" i="47"/>
  <c r="F115" i="47"/>
  <c r="O114" i="47"/>
  <c r="L114" i="47"/>
  <c r="I114" i="47"/>
  <c r="F114" i="47"/>
  <c r="O113" i="47"/>
  <c r="L113" i="47"/>
  <c r="L112" i="47" s="1"/>
  <c r="I113" i="47"/>
  <c r="F113" i="47"/>
  <c r="F112" i="47" s="1"/>
  <c r="O112" i="47"/>
  <c r="N112" i="47"/>
  <c r="M112" i="47"/>
  <c r="K112" i="47"/>
  <c r="J112" i="47"/>
  <c r="H112" i="47"/>
  <c r="G112" i="47"/>
  <c r="E112" i="47"/>
  <c r="D112" i="47"/>
  <c r="O111" i="47"/>
  <c r="L111" i="47"/>
  <c r="I111" i="47"/>
  <c r="F111" i="47"/>
  <c r="O110" i="47"/>
  <c r="L110" i="47"/>
  <c r="I110" i="47"/>
  <c r="F110" i="47"/>
  <c r="O109" i="47"/>
  <c r="L109" i="47"/>
  <c r="I109" i="47"/>
  <c r="F109" i="47"/>
  <c r="O108" i="47"/>
  <c r="L108" i="47"/>
  <c r="I108" i="47"/>
  <c r="F108" i="47"/>
  <c r="O107" i="47"/>
  <c r="L107" i="47"/>
  <c r="I107" i="47"/>
  <c r="F107" i="47"/>
  <c r="O106" i="47"/>
  <c r="L106" i="47"/>
  <c r="I106" i="47"/>
  <c r="F106" i="47"/>
  <c r="O105" i="47"/>
  <c r="L105" i="47"/>
  <c r="I105" i="47"/>
  <c r="F105" i="47"/>
  <c r="O104" i="47"/>
  <c r="O103" i="47" s="1"/>
  <c r="L104" i="47"/>
  <c r="I104" i="47"/>
  <c r="F104" i="47"/>
  <c r="N103" i="47"/>
  <c r="M103" i="47"/>
  <c r="K103" i="47"/>
  <c r="J103" i="47"/>
  <c r="H103" i="47"/>
  <c r="G103" i="47"/>
  <c r="E103" i="47"/>
  <c r="D103" i="47"/>
  <c r="O102" i="47"/>
  <c r="L102" i="47"/>
  <c r="I102" i="47"/>
  <c r="F102" i="47"/>
  <c r="O101" i="47"/>
  <c r="L101" i="47"/>
  <c r="I101" i="47"/>
  <c r="F101" i="47"/>
  <c r="O100" i="47"/>
  <c r="L100" i="47"/>
  <c r="I100" i="47"/>
  <c r="F100" i="47"/>
  <c r="O99" i="47"/>
  <c r="L99" i="47"/>
  <c r="I99" i="47"/>
  <c r="F99" i="47"/>
  <c r="O98" i="47"/>
  <c r="L98" i="47"/>
  <c r="I98" i="47"/>
  <c r="F98" i="47"/>
  <c r="O97" i="47"/>
  <c r="L97" i="47"/>
  <c r="I97" i="47"/>
  <c r="F97" i="47"/>
  <c r="O96" i="47"/>
  <c r="L96" i="47"/>
  <c r="L95" i="47" s="1"/>
  <c r="I96" i="47"/>
  <c r="F96" i="47"/>
  <c r="C96" i="47"/>
  <c r="N95" i="47"/>
  <c r="M95" i="47"/>
  <c r="K95" i="47"/>
  <c r="J95" i="47"/>
  <c r="H95" i="47"/>
  <c r="G95" i="47"/>
  <c r="E95" i="47"/>
  <c r="D95" i="47"/>
  <c r="O94" i="47"/>
  <c r="L94" i="47"/>
  <c r="I94" i="47"/>
  <c r="F94" i="47"/>
  <c r="O93" i="47"/>
  <c r="L93" i="47"/>
  <c r="I93" i="47"/>
  <c r="F93" i="47"/>
  <c r="O92" i="47"/>
  <c r="L92" i="47"/>
  <c r="I92" i="47"/>
  <c r="F92" i="47"/>
  <c r="O91" i="47"/>
  <c r="L91" i="47"/>
  <c r="I91" i="47"/>
  <c r="F91" i="47"/>
  <c r="O90" i="47"/>
  <c r="L90" i="47"/>
  <c r="L89" i="47" s="1"/>
  <c r="I90" i="47"/>
  <c r="F90" i="47"/>
  <c r="F89" i="47" s="1"/>
  <c r="O89" i="47"/>
  <c r="N89" i="47"/>
  <c r="M89" i="47"/>
  <c r="K89" i="47"/>
  <c r="J89" i="47"/>
  <c r="H89" i="47"/>
  <c r="G89" i="47"/>
  <c r="E89" i="47"/>
  <c r="D89" i="47"/>
  <c r="O88" i="47"/>
  <c r="L88" i="47"/>
  <c r="I88" i="47"/>
  <c r="F88" i="47"/>
  <c r="O87" i="47"/>
  <c r="L87" i="47"/>
  <c r="I87" i="47"/>
  <c r="F87" i="47"/>
  <c r="O86" i="47"/>
  <c r="L86" i="47"/>
  <c r="I86" i="47"/>
  <c r="F86" i="47"/>
  <c r="O85" i="47"/>
  <c r="O84" i="47" s="1"/>
  <c r="L85" i="47"/>
  <c r="L84" i="47" s="1"/>
  <c r="I85" i="47"/>
  <c r="I84" i="47" s="1"/>
  <c r="F85" i="47"/>
  <c r="N84" i="47"/>
  <c r="N83" i="47" s="1"/>
  <c r="M84" i="47"/>
  <c r="K84" i="47"/>
  <c r="J84" i="47"/>
  <c r="J83" i="47" s="1"/>
  <c r="H84" i="47"/>
  <c r="H83" i="47" s="1"/>
  <c r="G84" i="47"/>
  <c r="E84" i="47"/>
  <c r="E83" i="47" s="1"/>
  <c r="D84" i="47"/>
  <c r="D83" i="47" s="1"/>
  <c r="M83" i="47"/>
  <c r="O82" i="47"/>
  <c r="L82" i="47"/>
  <c r="I82" i="47"/>
  <c r="F82" i="47"/>
  <c r="O81" i="47"/>
  <c r="O80" i="47" s="1"/>
  <c r="L81" i="47"/>
  <c r="L80" i="47" s="1"/>
  <c r="I81" i="47"/>
  <c r="I80" i="47" s="1"/>
  <c r="F81" i="47"/>
  <c r="C81" i="47" s="1"/>
  <c r="N80" i="47"/>
  <c r="M80" i="47"/>
  <c r="K80" i="47"/>
  <c r="J80" i="47"/>
  <c r="J76" i="47" s="1"/>
  <c r="H80" i="47"/>
  <c r="G80" i="47"/>
  <c r="E80" i="47"/>
  <c r="D80" i="47"/>
  <c r="O79" i="47"/>
  <c r="L79" i="47"/>
  <c r="I79" i="47"/>
  <c r="F79" i="47"/>
  <c r="O78" i="47"/>
  <c r="L78" i="47"/>
  <c r="L77" i="47" s="1"/>
  <c r="I78" i="47"/>
  <c r="F78" i="47"/>
  <c r="F77" i="47" s="1"/>
  <c r="O77" i="47"/>
  <c r="N77" i="47"/>
  <c r="M77" i="47"/>
  <c r="K77" i="47"/>
  <c r="J77" i="47"/>
  <c r="H77" i="47"/>
  <c r="H76" i="47" s="1"/>
  <c r="G77" i="47"/>
  <c r="E77" i="47"/>
  <c r="D77" i="47"/>
  <c r="N76" i="47"/>
  <c r="D76" i="47"/>
  <c r="O74" i="47"/>
  <c r="L74" i="47"/>
  <c r="I74" i="47"/>
  <c r="F74" i="47"/>
  <c r="O73" i="47"/>
  <c r="L73" i="47"/>
  <c r="I73" i="47"/>
  <c r="F73" i="47"/>
  <c r="O72" i="47"/>
  <c r="L72" i="47"/>
  <c r="I72" i="47"/>
  <c r="F72" i="47"/>
  <c r="O71" i="47"/>
  <c r="L71" i="47"/>
  <c r="I71" i="47"/>
  <c r="F71" i="47"/>
  <c r="O70" i="47"/>
  <c r="L70" i="47"/>
  <c r="L69" i="47" s="1"/>
  <c r="I70" i="47"/>
  <c r="F70" i="47"/>
  <c r="F69" i="47" s="1"/>
  <c r="O69" i="47"/>
  <c r="N69" i="47"/>
  <c r="N67" i="47" s="1"/>
  <c r="M69" i="47"/>
  <c r="K69" i="47"/>
  <c r="K67" i="47" s="1"/>
  <c r="J69" i="47"/>
  <c r="J67" i="47" s="1"/>
  <c r="H69" i="47"/>
  <c r="H67" i="47" s="1"/>
  <c r="G69" i="47"/>
  <c r="G67" i="47" s="1"/>
  <c r="E69" i="47"/>
  <c r="E67" i="47" s="1"/>
  <c r="D69" i="47"/>
  <c r="O68" i="47"/>
  <c r="L68" i="47"/>
  <c r="I68" i="47"/>
  <c r="F68" i="47"/>
  <c r="M67" i="47"/>
  <c r="D67" i="47"/>
  <c r="O66" i="47"/>
  <c r="L66" i="47"/>
  <c r="I66" i="47"/>
  <c r="F66" i="47"/>
  <c r="O65" i="47"/>
  <c r="L65" i="47"/>
  <c r="I65" i="47"/>
  <c r="F65" i="47"/>
  <c r="C65" i="47" s="1"/>
  <c r="O64" i="47"/>
  <c r="L64" i="47"/>
  <c r="I64" i="47"/>
  <c r="F64" i="47"/>
  <c r="O63" i="47"/>
  <c r="L63" i="47"/>
  <c r="I63" i="47"/>
  <c r="F63" i="47"/>
  <c r="O62" i="47"/>
  <c r="L62" i="47"/>
  <c r="I62" i="47"/>
  <c r="F62" i="47"/>
  <c r="O61" i="47"/>
  <c r="L61" i="47"/>
  <c r="I61" i="47"/>
  <c r="F61" i="47"/>
  <c r="O60" i="47"/>
  <c r="L60" i="47"/>
  <c r="I60" i="47"/>
  <c r="F60" i="47"/>
  <c r="O59" i="47"/>
  <c r="O58" i="47" s="1"/>
  <c r="L59" i="47"/>
  <c r="I59" i="47"/>
  <c r="I58" i="47" s="1"/>
  <c r="F59" i="47"/>
  <c r="N58" i="47"/>
  <c r="M58" i="47"/>
  <c r="K58" i="47"/>
  <c r="J58" i="47"/>
  <c r="H58" i="47"/>
  <c r="G58" i="47"/>
  <c r="E58" i="47"/>
  <c r="D58" i="47"/>
  <c r="O57" i="47"/>
  <c r="L57" i="47"/>
  <c r="I57" i="47"/>
  <c r="F57" i="47"/>
  <c r="O56" i="47"/>
  <c r="L56" i="47"/>
  <c r="L55" i="47" s="1"/>
  <c r="I56" i="47"/>
  <c r="I55" i="47" s="1"/>
  <c r="I54" i="47" s="1"/>
  <c r="F56" i="47"/>
  <c r="N55" i="47"/>
  <c r="M55" i="47"/>
  <c r="M54" i="47" s="1"/>
  <c r="M53" i="47" s="1"/>
  <c r="K55" i="47"/>
  <c r="K54" i="47" s="1"/>
  <c r="K53" i="47" s="1"/>
  <c r="J55" i="47"/>
  <c r="H55" i="47"/>
  <c r="H54" i="47" s="1"/>
  <c r="G55" i="47"/>
  <c r="G54" i="47" s="1"/>
  <c r="G53" i="47" s="1"/>
  <c r="E55" i="47"/>
  <c r="D55" i="47"/>
  <c r="N54" i="47"/>
  <c r="N53" i="47" s="1"/>
  <c r="J54" i="47"/>
  <c r="J53" i="47" s="1"/>
  <c r="D54" i="47"/>
  <c r="D53" i="47" s="1"/>
  <c r="O47" i="47"/>
  <c r="C47" i="47" s="1"/>
  <c r="O46" i="47"/>
  <c r="C46" i="47" s="1"/>
  <c r="N45" i="47"/>
  <c r="M45" i="47"/>
  <c r="L44" i="47"/>
  <c r="L43" i="47" s="1"/>
  <c r="I44" i="47"/>
  <c r="I43" i="47" s="1"/>
  <c r="F44" i="47"/>
  <c r="K43" i="47"/>
  <c r="J43" i="47"/>
  <c r="H43" i="47"/>
  <c r="G43" i="47"/>
  <c r="F43" i="47"/>
  <c r="C43" i="47" s="1"/>
  <c r="E43" i="47"/>
  <c r="D43" i="47"/>
  <c r="F42" i="47"/>
  <c r="C42" i="47" s="1"/>
  <c r="F41" i="47"/>
  <c r="C41" i="47" s="1"/>
  <c r="E41" i="47"/>
  <c r="D41" i="47"/>
  <c r="L40" i="47"/>
  <c r="C40" i="47" s="1"/>
  <c r="L39" i="47"/>
  <c r="C39" i="47" s="1"/>
  <c r="L38" i="47"/>
  <c r="C38" i="47" s="1"/>
  <c r="L37" i="47"/>
  <c r="C37" i="47" s="1"/>
  <c r="K36" i="47"/>
  <c r="J36" i="47"/>
  <c r="L35" i="47"/>
  <c r="C35" i="47" s="1"/>
  <c r="L34" i="47"/>
  <c r="C34" i="47" s="1"/>
  <c r="K33" i="47"/>
  <c r="J33" i="47"/>
  <c r="L32" i="47"/>
  <c r="C32" i="47" s="1"/>
  <c r="K31" i="47"/>
  <c r="J31" i="47"/>
  <c r="L30" i="47"/>
  <c r="C30" i="47" s="1"/>
  <c r="L29" i="47"/>
  <c r="C29" i="47" s="1"/>
  <c r="L28" i="47"/>
  <c r="C28" i="47" s="1"/>
  <c r="K27" i="47"/>
  <c r="K26" i="47" s="1"/>
  <c r="J27" i="47"/>
  <c r="F25" i="47"/>
  <c r="C25" i="47" s="1"/>
  <c r="I24" i="47"/>
  <c r="D24" i="47"/>
  <c r="F24" i="47" s="1"/>
  <c r="O23" i="47"/>
  <c r="L23" i="47"/>
  <c r="I23" i="47"/>
  <c r="F23" i="47"/>
  <c r="O22" i="47"/>
  <c r="L22" i="47"/>
  <c r="L21" i="47" s="1"/>
  <c r="I22" i="47"/>
  <c r="F22" i="47"/>
  <c r="F21" i="47" s="1"/>
  <c r="O21" i="47"/>
  <c r="O292" i="47" s="1"/>
  <c r="N21" i="47"/>
  <c r="N292" i="47" s="1"/>
  <c r="N291" i="47" s="1"/>
  <c r="M21" i="47"/>
  <c r="M20" i="47" s="1"/>
  <c r="K21" i="47"/>
  <c r="K292" i="47" s="1"/>
  <c r="K291" i="47" s="1"/>
  <c r="J21" i="47"/>
  <c r="J292" i="47" s="1"/>
  <c r="J291" i="47" s="1"/>
  <c r="H21" i="47"/>
  <c r="H292" i="47" s="1"/>
  <c r="G21" i="47"/>
  <c r="G292" i="47" s="1"/>
  <c r="G291" i="47" s="1"/>
  <c r="E21" i="47"/>
  <c r="E292" i="47" s="1"/>
  <c r="E291" i="47" s="1"/>
  <c r="D21" i="47"/>
  <c r="D292" i="47" s="1"/>
  <c r="D291" i="47" s="1"/>
  <c r="N20" i="47"/>
  <c r="D120" i="46"/>
  <c r="F120" i="46" s="1"/>
  <c r="F119" i="46" s="1"/>
  <c r="E119" i="46"/>
  <c r="F113" i="46"/>
  <c r="F112" i="46"/>
  <c r="E111" i="46"/>
  <c r="D111" i="46"/>
  <c r="D105" i="46"/>
  <c r="F105" i="46" s="1"/>
  <c r="D104" i="46"/>
  <c r="F104" i="46" s="1"/>
  <c r="D103" i="46"/>
  <c r="F103" i="46" s="1"/>
  <c r="D102" i="46"/>
  <c r="F102" i="46" s="1"/>
  <c r="F101" i="46"/>
  <c r="F100" i="46"/>
  <c r="D99" i="46"/>
  <c r="F99" i="46" s="1"/>
  <c r="D98" i="46"/>
  <c r="F98" i="46" s="1"/>
  <c r="F97" i="46"/>
  <c r="D96" i="46"/>
  <c r="F96" i="46" s="1"/>
  <c r="F95" i="46"/>
  <c r="D94" i="46"/>
  <c r="F94" i="46" s="1"/>
  <c r="F93" i="46"/>
  <c r="D92" i="46"/>
  <c r="F92" i="46" s="1"/>
  <c r="F91" i="46"/>
  <c r="D90" i="46"/>
  <c r="F90" i="46" s="1"/>
  <c r="F89" i="46"/>
  <c r="F88" i="46"/>
  <c r="F87" i="46"/>
  <c r="D86" i="46"/>
  <c r="F86" i="46" s="1"/>
  <c r="D85" i="46"/>
  <c r="F85" i="46" s="1"/>
  <c r="F84" i="46"/>
  <c r="F83" i="46"/>
  <c r="D82" i="46"/>
  <c r="F82" i="46" s="1"/>
  <c r="F81" i="46"/>
  <c r="D80" i="46"/>
  <c r="F80" i="46" s="1"/>
  <c r="E79" i="46"/>
  <c r="F73" i="46"/>
  <c r="F72" i="46"/>
  <c r="D71" i="46"/>
  <c r="F71" i="46" s="1"/>
  <c r="D70" i="46"/>
  <c r="F70" i="46" s="1"/>
  <c r="F69" i="46"/>
  <c r="F68" i="46"/>
  <c r="F67" i="46"/>
  <c r="D66" i="46"/>
  <c r="F65" i="46"/>
  <c r="F64" i="46"/>
  <c r="F63" i="46"/>
  <c r="E62" i="46"/>
  <c r="D56" i="46"/>
  <c r="F56" i="46" s="1"/>
  <c r="F55" i="46"/>
  <c r="D54" i="46"/>
  <c r="F54" i="46" s="1"/>
  <c r="D53" i="46"/>
  <c r="F53" i="46" s="1"/>
  <c r="D52" i="46"/>
  <c r="F52" i="46" s="1"/>
  <c r="F51" i="46"/>
  <c r="D50" i="46"/>
  <c r="F50" i="46" s="1"/>
  <c r="F49" i="46"/>
  <c r="F48" i="46"/>
  <c r="D47" i="46"/>
  <c r="F47" i="46" s="1"/>
  <c r="F46" i="46"/>
  <c r="D45" i="46"/>
  <c r="F45" i="46" s="1"/>
  <c r="D44" i="46"/>
  <c r="F44" i="46" s="1"/>
  <c r="F43" i="46"/>
  <c r="D42" i="46"/>
  <c r="F42" i="46" s="1"/>
  <c r="D41" i="46"/>
  <c r="F41" i="46" s="1"/>
  <c r="F40" i="46"/>
  <c r="E39" i="46"/>
  <c r="F38" i="46"/>
  <c r="F37" i="46"/>
  <c r="F36" i="46"/>
  <c r="F35" i="46"/>
  <c r="F34" i="46"/>
  <c r="D33" i="46"/>
  <c r="F33" i="46" s="1"/>
  <c r="D32" i="46"/>
  <c r="F32" i="46" s="1"/>
  <c r="F31" i="46"/>
  <c r="F30" i="46"/>
  <c r="F29" i="46"/>
  <c r="D28" i="46"/>
  <c r="F28" i="46" s="1"/>
  <c r="F27" i="46"/>
  <c r="F26" i="46"/>
  <c r="F25" i="46"/>
  <c r="F24" i="46"/>
  <c r="F23" i="46"/>
  <c r="D22" i="46"/>
  <c r="F22" i="46" s="1"/>
  <c r="D21" i="46"/>
  <c r="F21" i="46" s="1"/>
  <c r="D20" i="46"/>
  <c r="F20" i="46" s="1"/>
  <c r="D19" i="46"/>
  <c r="F19" i="46" s="1"/>
  <c r="D18" i="46"/>
  <c r="F18" i="46" s="1"/>
  <c r="D17" i="46"/>
  <c r="F17" i="46" s="1"/>
  <c r="D16" i="46"/>
  <c r="F16" i="46" s="1"/>
  <c r="D15" i="46"/>
  <c r="F15" i="46" s="1"/>
  <c r="F14" i="46"/>
  <c r="E13" i="46"/>
  <c r="D20" i="47" l="1"/>
  <c r="L27" i="47"/>
  <c r="C27" i="47" s="1"/>
  <c r="G76" i="47"/>
  <c r="M76" i="47"/>
  <c r="M75" i="47" s="1"/>
  <c r="C172" i="47"/>
  <c r="F175" i="47"/>
  <c r="G187" i="47"/>
  <c r="C206" i="47"/>
  <c r="C207" i="47"/>
  <c r="L238" i="47"/>
  <c r="C287" i="47"/>
  <c r="N187" i="47"/>
  <c r="C218" i="47"/>
  <c r="C222" i="47"/>
  <c r="C223" i="47"/>
  <c r="C225" i="47"/>
  <c r="C57" i="47"/>
  <c r="F58" i="47"/>
  <c r="C60" i="47"/>
  <c r="C62" i="47"/>
  <c r="C64" i="47"/>
  <c r="C94" i="47"/>
  <c r="C168" i="47"/>
  <c r="C169" i="47"/>
  <c r="C170" i="47"/>
  <c r="C171" i="47"/>
  <c r="J187" i="47"/>
  <c r="C190" i="47"/>
  <c r="C202" i="47"/>
  <c r="L205" i="47"/>
  <c r="H231" i="47"/>
  <c r="C236" i="47"/>
  <c r="O238" i="47"/>
  <c r="H270" i="47"/>
  <c r="H269" i="47" s="1"/>
  <c r="J26" i="47"/>
  <c r="C104" i="47"/>
  <c r="C124" i="47"/>
  <c r="C143" i="47"/>
  <c r="C164" i="47"/>
  <c r="L175" i="47"/>
  <c r="K187" i="47"/>
  <c r="C234" i="47"/>
  <c r="K259" i="47"/>
  <c r="I270" i="47"/>
  <c r="I269" i="47" s="1"/>
  <c r="H53" i="47"/>
  <c r="E76" i="47"/>
  <c r="K76" i="47"/>
  <c r="C87" i="47"/>
  <c r="C155" i="47"/>
  <c r="E187" i="47"/>
  <c r="C214" i="47"/>
  <c r="C250" i="47"/>
  <c r="C258" i="47"/>
  <c r="C148" i="47"/>
  <c r="C201" i="47"/>
  <c r="C254" i="47"/>
  <c r="F80" i="47"/>
  <c r="C100" i="47"/>
  <c r="C108" i="47"/>
  <c r="C109" i="47"/>
  <c r="C111" i="47"/>
  <c r="C140" i="47"/>
  <c r="E174" i="47"/>
  <c r="E173" i="47" s="1"/>
  <c r="K174" i="47"/>
  <c r="K173" i="47" s="1"/>
  <c r="I175" i="47"/>
  <c r="I174" i="47" s="1"/>
  <c r="I173" i="47" s="1"/>
  <c r="C178" i="47"/>
  <c r="C180" i="47"/>
  <c r="C183" i="47"/>
  <c r="L196" i="47"/>
  <c r="C229" i="47"/>
  <c r="C266" i="47"/>
  <c r="C267" i="47"/>
  <c r="O272" i="47"/>
  <c r="C282" i="47"/>
  <c r="E12" i="46"/>
  <c r="D62" i="46"/>
  <c r="F111" i="46"/>
  <c r="F13" i="46"/>
  <c r="D39" i="46"/>
  <c r="C79" i="47"/>
  <c r="G83" i="47"/>
  <c r="C92" i="47"/>
  <c r="C102" i="47"/>
  <c r="C105" i="47"/>
  <c r="I122" i="47"/>
  <c r="I144" i="47"/>
  <c r="C149" i="47"/>
  <c r="C150" i="47"/>
  <c r="C162" i="47"/>
  <c r="C163" i="47"/>
  <c r="C186" i="47"/>
  <c r="I187" i="47"/>
  <c r="C203" i="47"/>
  <c r="C212" i="47"/>
  <c r="J204" i="47"/>
  <c r="J195" i="47" s="1"/>
  <c r="N204" i="47"/>
  <c r="N195" i="47" s="1"/>
  <c r="L252" i="47"/>
  <c r="L251" i="47" s="1"/>
  <c r="O264" i="47"/>
  <c r="C275" i="47"/>
  <c r="I293" i="47"/>
  <c r="C299" i="47"/>
  <c r="C300" i="47"/>
  <c r="L36" i="47"/>
  <c r="C36" i="47" s="1"/>
  <c r="C44" i="47"/>
  <c r="C63" i="47"/>
  <c r="C66" i="47"/>
  <c r="C68" i="47"/>
  <c r="O67" i="47"/>
  <c r="C73" i="47"/>
  <c r="L76" i="47"/>
  <c r="C85" i="47"/>
  <c r="O116" i="47"/>
  <c r="J130" i="47"/>
  <c r="J75" i="47" s="1"/>
  <c r="N130" i="47"/>
  <c r="O141" i="47"/>
  <c r="C181" i="47"/>
  <c r="O179" i="47"/>
  <c r="H187" i="47"/>
  <c r="M187" i="47"/>
  <c r="M52" i="47" s="1"/>
  <c r="C219" i="47"/>
  <c r="C221" i="47"/>
  <c r="C280" i="47"/>
  <c r="C288" i="47"/>
  <c r="C24" i="47"/>
  <c r="O45" i="47"/>
  <c r="E54" i="47"/>
  <c r="E53" i="47" s="1"/>
  <c r="C56" i="47"/>
  <c r="O55" i="47"/>
  <c r="L58" i="47"/>
  <c r="L54" i="47" s="1"/>
  <c r="C72" i="47"/>
  <c r="C74" i="47"/>
  <c r="C82" i="47"/>
  <c r="C86" i="47"/>
  <c r="C88" i="47"/>
  <c r="C97" i="47"/>
  <c r="C99" i="47"/>
  <c r="C110" i="47"/>
  <c r="C115" i="47"/>
  <c r="C119" i="47"/>
  <c r="O122" i="47"/>
  <c r="C133" i="47"/>
  <c r="C134" i="47"/>
  <c r="C157" i="47"/>
  <c r="C159" i="47"/>
  <c r="C160" i="47"/>
  <c r="G195" i="47"/>
  <c r="O231" i="47"/>
  <c r="K231" i="47"/>
  <c r="K230" i="47" s="1"/>
  <c r="K194" i="47" s="1"/>
  <c r="C243" i="47"/>
  <c r="C245" i="47"/>
  <c r="O252" i="47"/>
  <c r="I260" i="47"/>
  <c r="I286" i="47"/>
  <c r="C286" i="47" s="1"/>
  <c r="H20" i="47"/>
  <c r="C23" i="47"/>
  <c r="C61" i="47"/>
  <c r="C71" i="47"/>
  <c r="E75" i="47"/>
  <c r="K83" i="47"/>
  <c r="C93" i="47"/>
  <c r="L103" i="47"/>
  <c r="C127" i="47"/>
  <c r="I131" i="47"/>
  <c r="K130" i="47"/>
  <c r="C138" i="47"/>
  <c r="C145" i="47"/>
  <c r="L151" i="47"/>
  <c r="L166" i="47"/>
  <c r="L165" i="47" s="1"/>
  <c r="C176" i="47"/>
  <c r="H195" i="47"/>
  <c r="C211" i="47"/>
  <c r="C213" i="47"/>
  <c r="C224" i="47"/>
  <c r="D230" i="47"/>
  <c r="D194" i="47" s="1"/>
  <c r="H230" i="47"/>
  <c r="G231" i="47"/>
  <c r="G230" i="47" s="1"/>
  <c r="C244" i="47"/>
  <c r="C249" i="47"/>
  <c r="C255" i="47"/>
  <c r="C257" i="47"/>
  <c r="E259" i="47"/>
  <c r="O260" i="47"/>
  <c r="O259" i="47" s="1"/>
  <c r="C271" i="47"/>
  <c r="M270" i="47"/>
  <c r="M269" i="47" s="1"/>
  <c r="O276" i="47"/>
  <c r="O270" i="47" s="1"/>
  <c r="O269" i="47" s="1"/>
  <c r="C295" i="47"/>
  <c r="L292" i="47"/>
  <c r="L291" i="47" s="1"/>
  <c r="C58" i="47"/>
  <c r="N75" i="47"/>
  <c r="N52" i="47" s="1"/>
  <c r="C80" i="47"/>
  <c r="J20" i="47"/>
  <c r="F292" i="47"/>
  <c r="F20" i="47"/>
  <c r="O54" i="47"/>
  <c r="O53" i="47" s="1"/>
  <c r="O76" i="47"/>
  <c r="L67" i="47"/>
  <c r="F76" i="47"/>
  <c r="C120" i="47"/>
  <c r="C135" i="47"/>
  <c r="F131" i="47"/>
  <c r="O174" i="47"/>
  <c r="O173" i="47" s="1"/>
  <c r="C182" i="47"/>
  <c r="F179" i="47"/>
  <c r="C179" i="47" s="1"/>
  <c r="C208" i="47"/>
  <c r="I205" i="47"/>
  <c r="M292" i="47"/>
  <c r="M291" i="47" s="1"/>
  <c r="C301" i="47"/>
  <c r="E20" i="47"/>
  <c r="H291" i="47"/>
  <c r="C22" i="47"/>
  <c r="C45" i="47"/>
  <c r="F55" i="47"/>
  <c r="F67" i="47"/>
  <c r="C70" i="47"/>
  <c r="C78" i="47"/>
  <c r="C90" i="47"/>
  <c r="C98" i="47"/>
  <c r="I95" i="47"/>
  <c r="C101" i="47"/>
  <c r="C118" i="47"/>
  <c r="I116" i="47"/>
  <c r="C116" i="47" s="1"/>
  <c r="C121" i="47"/>
  <c r="L122" i="47"/>
  <c r="C125" i="47"/>
  <c r="C129" i="47"/>
  <c r="L128" i="47"/>
  <c r="C128" i="47" s="1"/>
  <c r="H130" i="47"/>
  <c r="H75" i="47" s="1"/>
  <c r="C141" i="47"/>
  <c r="C142" i="47"/>
  <c r="L144" i="47"/>
  <c r="O151" i="47"/>
  <c r="L174" i="47"/>
  <c r="L173" i="47" s="1"/>
  <c r="C188" i="47"/>
  <c r="C189" i="47"/>
  <c r="C200" i="47"/>
  <c r="I198" i="47"/>
  <c r="I196" i="47" s="1"/>
  <c r="C268" i="47"/>
  <c r="I264" i="47"/>
  <c r="C106" i="47"/>
  <c r="I103" i="47"/>
  <c r="L31" i="47"/>
  <c r="C59" i="47"/>
  <c r="I69" i="47"/>
  <c r="I67" i="47" s="1"/>
  <c r="I53" i="47" s="1"/>
  <c r="I77" i="47"/>
  <c r="I76" i="47" s="1"/>
  <c r="F84" i="47"/>
  <c r="I89" i="47"/>
  <c r="C91" i="47"/>
  <c r="C123" i="47"/>
  <c r="F122" i="47"/>
  <c r="D130" i="47"/>
  <c r="D75" i="47" s="1"/>
  <c r="C137" i="47"/>
  <c r="C139" i="47"/>
  <c r="F136" i="47"/>
  <c r="C136" i="47" s="1"/>
  <c r="C153" i="47"/>
  <c r="C161" i="47"/>
  <c r="C175" i="47"/>
  <c r="F174" i="47"/>
  <c r="L187" i="47"/>
  <c r="C193" i="47"/>
  <c r="F192" i="47"/>
  <c r="C261" i="47"/>
  <c r="F260" i="47"/>
  <c r="L33" i="47"/>
  <c r="C33" i="47" s="1"/>
  <c r="I21" i="47"/>
  <c r="G20" i="47"/>
  <c r="K20" i="47"/>
  <c r="O20" i="47"/>
  <c r="F95" i="47"/>
  <c r="O95" i="47"/>
  <c r="O83" i="47" s="1"/>
  <c r="C107" i="47"/>
  <c r="F103" i="47"/>
  <c r="C103" i="47" s="1"/>
  <c r="C114" i="47"/>
  <c r="I112" i="47"/>
  <c r="C112" i="47" s="1"/>
  <c r="C126" i="47"/>
  <c r="O130" i="47"/>
  <c r="G130" i="47"/>
  <c r="G75" i="47" s="1"/>
  <c r="C146" i="47"/>
  <c r="C147" i="47"/>
  <c r="F144" i="47"/>
  <c r="I151" i="47"/>
  <c r="I130" i="47" s="1"/>
  <c r="C158" i="47"/>
  <c r="C167" i="47"/>
  <c r="F166" i="47"/>
  <c r="C184" i="47"/>
  <c r="C185" i="47"/>
  <c r="G194" i="47"/>
  <c r="C220" i="47"/>
  <c r="I216" i="47"/>
  <c r="C237" i="47"/>
  <c r="F235" i="47"/>
  <c r="C256" i="47"/>
  <c r="I252" i="47"/>
  <c r="I251" i="47" s="1"/>
  <c r="C277" i="47"/>
  <c r="F276" i="47"/>
  <c r="C113" i="47"/>
  <c r="C117" i="47"/>
  <c r="C177" i="47"/>
  <c r="N194" i="47"/>
  <c r="C197" i="47"/>
  <c r="F196" i="47"/>
  <c r="C215" i="47"/>
  <c r="I227" i="47"/>
  <c r="C228" i="47"/>
  <c r="L231" i="47"/>
  <c r="C263" i="47"/>
  <c r="E270" i="47"/>
  <c r="E269" i="47" s="1"/>
  <c r="C279" i="47"/>
  <c r="C285" i="47"/>
  <c r="F284" i="47"/>
  <c r="F151" i="47"/>
  <c r="O196" i="47"/>
  <c r="O205" i="47"/>
  <c r="C217" i="47"/>
  <c r="F216" i="47"/>
  <c r="O216" i="47"/>
  <c r="J230" i="47"/>
  <c r="J194" i="47" s="1"/>
  <c r="C232" i="47"/>
  <c r="C239" i="47"/>
  <c r="C241" i="47"/>
  <c r="F238" i="47"/>
  <c r="C248" i="47"/>
  <c r="I246" i="47"/>
  <c r="C246" i="47" s="1"/>
  <c r="E230" i="47"/>
  <c r="C253" i="47"/>
  <c r="F252" i="47"/>
  <c r="O251" i="47"/>
  <c r="O230" i="47" s="1"/>
  <c r="M259" i="47"/>
  <c r="M230" i="47" s="1"/>
  <c r="L260" i="47"/>
  <c r="L259" i="47" s="1"/>
  <c r="C265" i="47"/>
  <c r="F264" i="47"/>
  <c r="C264" i="47" s="1"/>
  <c r="C273" i="47"/>
  <c r="F272" i="47"/>
  <c r="L276" i="47"/>
  <c r="L270" i="47" s="1"/>
  <c r="L269" i="47" s="1"/>
  <c r="N289" i="47"/>
  <c r="O293" i="47"/>
  <c r="O291" i="47" s="1"/>
  <c r="E195" i="47"/>
  <c r="M195" i="47"/>
  <c r="L204" i="47"/>
  <c r="L195" i="47" s="1"/>
  <c r="C209" i="47"/>
  <c r="F205" i="47"/>
  <c r="C227" i="47"/>
  <c r="C233" i="47"/>
  <c r="C240" i="47"/>
  <c r="I238" i="47"/>
  <c r="I259" i="47"/>
  <c r="C281" i="47"/>
  <c r="C296" i="47"/>
  <c r="C297" i="47"/>
  <c r="F293" i="47"/>
  <c r="C199" i="47"/>
  <c r="C247" i="47"/>
  <c r="F39" i="46"/>
  <c r="F79" i="46"/>
  <c r="D13" i="46"/>
  <c r="F66" i="46"/>
  <c r="F62" i="46" s="1"/>
  <c r="D79" i="46"/>
  <c r="D119" i="46"/>
  <c r="E289" i="47" l="1"/>
  <c r="C151" i="47"/>
  <c r="C122" i="47"/>
  <c r="J52" i="47"/>
  <c r="J289" i="47"/>
  <c r="M289" i="47"/>
  <c r="L83" i="47"/>
  <c r="C67" i="47"/>
  <c r="H194" i="47"/>
  <c r="K75" i="47"/>
  <c r="I231" i="47"/>
  <c r="I230" i="47" s="1"/>
  <c r="E52" i="47"/>
  <c r="D12" i="46"/>
  <c r="F12" i="46"/>
  <c r="K289" i="47"/>
  <c r="K52" i="47"/>
  <c r="K51" i="47" s="1"/>
  <c r="E194" i="47"/>
  <c r="L230" i="47"/>
  <c r="L130" i="47"/>
  <c r="N51" i="47"/>
  <c r="N290" i="47" s="1"/>
  <c r="C293" i="47"/>
  <c r="L53" i="47"/>
  <c r="C69" i="47"/>
  <c r="I83" i="47"/>
  <c r="I75" i="47" s="1"/>
  <c r="I52" i="47" s="1"/>
  <c r="D289" i="47"/>
  <c r="D52" i="47"/>
  <c r="D51" i="47" s="1"/>
  <c r="H52" i="47"/>
  <c r="H51" i="47" s="1"/>
  <c r="H289" i="47"/>
  <c r="G52" i="47"/>
  <c r="G51" i="47" s="1"/>
  <c r="G289" i="47"/>
  <c r="L75" i="47"/>
  <c r="L289" i="47" s="1"/>
  <c r="C205" i="47"/>
  <c r="F204" i="47"/>
  <c r="F191" i="47"/>
  <c r="C192" i="47"/>
  <c r="C131" i="47"/>
  <c r="F130" i="47"/>
  <c r="J51" i="47"/>
  <c r="F270" i="47"/>
  <c r="C272" i="47"/>
  <c r="C252" i="47"/>
  <c r="F251" i="47"/>
  <c r="C251" i="47" s="1"/>
  <c r="C216" i="47"/>
  <c r="C95" i="47"/>
  <c r="C55" i="47"/>
  <c r="F54" i="47"/>
  <c r="C89" i="47"/>
  <c r="O75" i="47"/>
  <c r="O52" i="47" s="1"/>
  <c r="C198" i="47"/>
  <c r="C76" i="47"/>
  <c r="L194" i="47"/>
  <c r="C238" i="47"/>
  <c r="C284" i="47"/>
  <c r="F283" i="47"/>
  <c r="C283" i="47" s="1"/>
  <c r="C276" i="47"/>
  <c r="C166" i="47"/>
  <c r="F165" i="47"/>
  <c r="C165" i="47" s="1"/>
  <c r="C144" i="47"/>
  <c r="C260" i="47"/>
  <c r="F259" i="47"/>
  <c r="C259" i="47" s="1"/>
  <c r="F291" i="47"/>
  <c r="I204" i="47"/>
  <c r="I195" i="47" s="1"/>
  <c r="C31" i="47"/>
  <c r="L26" i="47"/>
  <c r="M194" i="47"/>
  <c r="M51" i="47" s="1"/>
  <c r="O204" i="47"/>
  <c r="O195" i="47" s="1"/>
  <c r="C196" i="47"/>
  <c r="F195" i="47"/>
  <c r="C235" i="47"/>
  <c r="F231" i="47"/>
  <c r="I292" i="47"/>
  <c r="I291" i="47" s="1"/>
  <c r="I20" i="47"/>
  <c r="C174" i="47"/>
  <c r="F173" i="47"/>
  <c r="C173" i="47" s="1"/>
  <c r="C84" i="47"/>
  <c r="F83" i="47"/>
  <c r="C83" i="47" s="1"/>
  <c r="C77" i="47"/>
  <c r="C21" i="47"/>
  <c r="C130" i="47" l="1"/>
  <c r="N50" i="47"/>
  <c r="E51" i="47"/>
  <c r="K50" i="47"/>
  <c r="K290" i="47"/>
  <c r="O194" i="47"/>
  <c r="O51" i="47" s="1"/>
  <c r="O289" i="47"/>
  <c r="I194" i="47"/>
  <c r="I51" i="47" s="1"/>
  <c r="I289" i="47"/>
  <c r="F230" i="47"/>
  <c r="C230" i="47" s="1"/>
  <c r="C231" i="47"/>
  <c r="F269" i="47"/>
  <c r="C270" i="47"/>
  <c r="H290" i="47"/>
  <c r="H50" i="47"/>
  <c r="L52" i="47"/>
  <c r="L51" i="47" s="1"/>
  <c r="L50" i="47" s="1"/>
  <c r="M50" i="47"/>
  <c r="M290" i="47"/>
  <c r="C291" i="47"/>
  <c r="F75" i="47"/>
  <c r="C75" i="47" s="1"/>
  <c r="C292" i="47"/>
  <c r="F53" i="47"/>
  <c r="C54" i="47"/>
  <c r="C204" i="47"/>
  <c r="G290" i="47"/>
  <c r="G50" i="47"/>
  <c r="D290" i="47"/>
  <c r="D50" i="47"/>
  <c r="C195" i="47"/>
  <c r="C26" i="47"/>
  <c r="L20" i="47"/>
  <c r="C20" i="47" s="1"/>
  <c r="E290" i="47"/>
  <c r="E50" i="47"/>
  <c r="J50" i="47"/>
  <c r="J290" i="47"/>
  <c r="C191" i="47"/>
  <c r="F187" i="47"/>
  <c r="C187" i="47" s="1"/>
  <c r="L290" i="47" l="1"/>
  <c r="C269" i="47"/>
  <c r="F289" i="47"/>
  <c r="C289" i="47" s="1"/>
  <c r="F194" i="47"/>
  <c r="C194" i="47" s="1"/>
  <c r="C53" i="47"/>
  <c r="F52" i="47"/>
  <c r="I290" i="47"/>
  <c r="I50" i="47"/>
  <c r="O50" i="47"/>
  <c r="O290" i="47"/>
  <c r="C52" i="47" l="1"/>
  <c r="F51" i="47"/>
  <c r="F290" i="47" l="1"/>
  <c r="C290" i="47" s="1"/>
  <c r="C51" i="47"/>
  <c r="F50" i="47"/>
  <c r="C50" i="47" s="1"/>
  <c r="O301" i="45" l="1"/>
  <c r="L301" i="45"/>
  <c r="I301" i="45"/>
  <c r="F301" i="45"/>
  <c r="O300" i="45"/>
  <c r="L300" i="45"/>
  <c r="I300" i="45"/>
  <c r="F300" i="45"/>
  <c r="O299" i="45"/>
  <c r="L299" i="45"/>
  <c r="I299" i="45"/>
  <c r="F299" i="45"/>
  <c r="O298" i="45"/>
  <c r="L298" i="45"/>
  <c r="I298" i="45"/>
  <c r="F298" i="45"/>
  <c r="O297" i="45"/>
  <c r="L297" i="45"/>
  <c r="I297" i="45"/>
  <c r="F297" i="45"/>
  <c r="O296" i="45"/>
  <c r="L296" i="45"/>
  <c r="I296" i="45"/>
  <c r="F296" i="45"/>
  <c r="O295" i="45"/>
  <c r="L295" i="45"/>
  <c r="I295" i="45"/>
  <c r="F295" i="45"/>
  <c r="O294" i="45"/>
  <c r="L294" i="45"/>
  <c r="I294" i="45"/>
  <c r="I293" i="45" s="1"/>
  <c r="F294" i="45"/>
  <c r="N293" i="45"/>
  <c r="M293" i="45"/>
  <c r="K293" i="45"/>
  <c r="J293" i="45"/>
  <c r="H293" i="45"/>
  <c r="G293" i="45"/>
  <c r="E293" i="45"/>
  <c r="D293" i="45"/>
  <c r="O288" i="45"/>
  <c r="L288" i="45"/>
  <c r="I288" i="45"/>
  <c r="F288" i="45"/>
  <c r="O287" i="45"/>
  <c r="L287" i="45"/>
  <c r="L286" i="45" s="1"/>
  <c r="I287" i="45"/>
  <c r="F287" i="45"/>
  <c r="F286" i="45" s="1"/>
  <c r="O286" i="45"/>
  <c r="N286" i="45"/>
  <c r="M286" i="45"/>
  <c r="K286" i="45"/>
  <c r="J286" i="45"/>
  <c r="H286" i="45"/>
  <c r="G286" i="45"/>
  <c r="E286" i="45"/>
  <c r="D286" i="45"/>
  <c r="O285" i="45"/>
  <c r="L285" i="45"/>
  <c r="L284" i="45" s="1"/>
  <c r="L283" i="45" s="1"/>
  <c r="I285" i="45"/>
  <c r="I284" i="45" s="1"/>
  <c r="I283" i="45" s="1"/>
  <c r="F285" i="45"/>
  <c r="O284" i="45"/>
  <c r="O283" i="45" s="1"/>
  <c r="N284" i="45"/>
  <c r="M284" i="45"/>
  <c r="M283" i="45" s="1"/>
  <c r="K284" i="45"/>
  <c r="K283" i="45" s="1"/>
  <c r="J284" i="45"/>
  <c r="J283" i="45" s="1"/>
  <c r="H284" i="45"/>
  <c r="H283" i="45" s="1"/>
  <c r="G284" i="45"/>
  <c r="G283" i="45" s="1"/>
  <c r="E284" i="45"/>
  <c r="E283" i="45" s="1"/>
  <c r="D284" i="45"/>
  <c r="D283" i="45" s="1"/>
  <c r="N283" i="45"/>
  <c r="O282" i="45"/>
  <c r="O281" i="45" s="1"/>
  <c r="L282" i="45"/>
  <c r="L281" i="45" s="1"/>
  <c r="I282" i="45"/>
  <c r="I281" i="45" s="1"/>
  <c r="F282" i="45"/>
  <c r="N281" i="45"/>
  <c r="M281" i="45"/>
  <c r="K281" i="45"/>
  <c r="J281" i="45"/>
  <c r="H281" i="45"/>
  <c r="G281" i="45"/>
  <c r="E281" i="45"/>
  <c r="D281" i="45"/>
  <c r="O280" i="45"/>
  <c r="L280" i="45"/>
  <c r="I280" i="45"/>
  <c r="F280" i="45"/>
  <c r="O279" i="45"/>
  <c r="L279" i="45"/>
  <c r="I279" i="45"/>
  <c r="F279" i="45"/>
  <c r="O278" i="45"/>
  <c r="L278" i="45"/>
  <c r="I278" i="45"/>
  <c r="F278" i="45"/>
  <c r="O277" i="45"/>
  <c r="L277" i="45"/>
  <c r="I277" i="45"/>
  <c r="I276" i="45" s="1"/>
  <c r="F277" i="45"/>
  <c r="N276" i="45"/>
  <c r="M276" i="45"/>
  <c r="K276" i="45"/>
  <c r="J276" i="45"/>
  <c r="H276" i="45"/>
  <c r="G276" i="45"/>
  <c r="E276" i="45"/>
  <c r="D276" i="45"/>
  <c r="O275" i="45"/>
  <c r="L275" i="45"/>
  <c r="I275" i="45"/>
  <c r="F275" i="45"/>
  <c r="O274" i="45"/>
  <c r="L274" i="45"/>
  <c r="I274" i="45"/>
  <c r="F274" i="45"/>
  <c r="O273" i="45"/>
  <c r="L273" i="45"/>
  <c r="I273" i="45"/>
  <c r="I272" i="45" s="1"/>
  <c r="F273" i="45"/>
  <c r="N272" i="45"/>
  <c r="N270" i="45" s="1"/>
  <c r="N269" i="45" s="1"/>
  <c r="M272" i="45"/>
  <c r="M270" i="45" s="1"/>
  <c r="K272" i="45"/>
  <c r="J272" i="45"/>
  <c r="J270" i="45" s="1"/>
  <c r="J269" i="45" s="1"/>
  <c r="H272" i="45"/>
  <c r="G272" i="45"/>
  <c r="E272" i="45"/>
  <c r="D272" i="45"/>
  <c r="D270" i="45" s="1"/>
  <c r="D269" i="45" s="1"/>
  <c r="O271" i="45"/>
  <c r="L271" i="45"/>
  <c r="I271" i="45"/>
  <c r="F271" i="45"/>
  <c r="K270" i="45"/>
  <c r="H270" i="45"/>
  <c r="H269" i="45" s="1"/>
  <c r="O268" i="45"/>
  <c r="L268" i="45"/>
  <c r="I268" i="45"/>
  <c r="F268" i="45"/>
  <c r="O267" i="45"/>
  <c r="L267" i="45"/>
  <c r="I267" i="45"/>
  <c r="F267" i="45"/>
  <c r="O266" i="45"/>
  <c r="L266" i="45"/>
  <c r="I266" i="45"/>
  <c r="F266" i="45"/>
  <c r="O265" i="45"/>
  <c r="L265" i="45"/>
  <c r="I265" i="45"/>
  <c r="F265" i="45"/>
  <c r="N264" i="45"/>
  <c r="M264" i="45"/>
  <c r="K264" i="45"/>
  <c r="J264" i="45"/>
  <c r="H264" i="45"/>
  <c r="G264" i="45"/>
  <c r="E264" i="45"/>
  <c r="D264" i="45"/>
  <c r="O263" i="45"/>
  <c r="L263" i="45"/>
  <c r="I263" i="45"/>
  <c r="F263" i="45"/>
  <c r="O262" i="45"/>
  <c r="L262" i="45"/>
  <c r="I262" i="45"/>
  <c r="F262" i="45"/>
  <c r="O261" i="45"/>
  <c r="L261" i="45"/>
  <c r="I261" i="45"/>
  <c r="I260" i="45" s="1"/>
  <c r="F261" i="45"/>
  <c r="N260" i="45"/>
  <c r="M260" i="45"/>
  <c r="M259" i="45" s="1"/>
  <c r="K260" i="45"/>
  <c r="J260" i="45"/>
  <c r="J259" i="45" s="1"/>
  <c r="H260" i="45"/>
  <c r="H259" i="45" s="1"/>
  <c r="G260" i="45"/>
  <c r="G259" i="45" s="1"/>
  <c r="E260" i="45"/>
  <c r="D260" i="45"/>
  <c r="D259" i="45" s="1"/>
  <c r="N259" i="45"/>
  <c r="O258" i="45"/>
  <c r="L258" i="45"/>
  <c r="I258" i="45"/>
  <c r="F258" i="45"/>
  <c r="O257" i="45"/>
  <c r="L257" i="45"/>
  <c r="I257" i="45"/>
  <c r="F257" i="45"/>
  <c r="O256" i="45"/>
  <c r="L256" i="45"/>
  <c r="I256" i="45"/>
  <c r="F256" i="45"/>
  <c r="O255" i="45"/>
  <c r="L255" i="45"/>
  <c r="I255" i="45"/>
  <c r="F255" i="45"/>
  <c r="O254" i="45"/>
  <c r="L254" i="45"/>
  <c r="I254" i="45"/>
  <c r="F254" i="45"/>
  <c r="O253" i="45"/>
  <c r="L253" i="45"/>
  <c r="I253" i="45"/>
  <c r="F253" i="45"/>
  <c r="N252" i="45"/>
  <c r="M252" i="45"/>
  <c r="M251" i="45" s="1"/>
  <c r="K252" i="45"/>
  <c r="K251" i="45" s="1"/>
  <c r="J252" i="45"/>
  <c r="H252" i="45"/>
  <c r="H251" i="45" s="1"/>
  <c r="G252" i="45"/>
  <c r="G251" i="45" s="1"/>
  <c r="E252" i="45"/>
  <c r="E251" i="45" s="1"/>
  <c r="D252" i="45"/>
  <c r="N251" i="45"/>
  <c r="J251" i="45"/>
  <c r="D251" i="45"/>
  <c r="O250" i="45"/>
  <c r="L250" i="45"/>
  <c r="I250" i="45"/>
  <c r="F250" i="45"/>
  <c r="O249" i="45"/>
  <c r="L249" i="45"/>
  <c r="I249" i="45"/>
  <c r="F249" i="45"/>
  <c r="O248" i="45"/>
  <c r="L248" i="45"/>
  <c r="I248" i="45"/>
  <c r="F248" i="45"/>
  <c r="O247" i="45"/>
  <c r="L247" i="45"/>
  <c r="L246" i="45" s="1"/>
  <c r="I247" i="45"/>
  <c r="F247" i="45"/>
  <c r="F246" i="45" s="1"/>
  <c r="N246" i="45"/>
  <c r="M246" i="45"/>
  <c r="K246" i="45"/>
  <c r="J246" i="45"/>
  <c r="H246" i="45"/>
  <c r="G246" i="45"/>
  <c r="E246" i="45"/>
  <c r="D246" i="45"/>
  <c r="O245" i="45"/>
  <c r="L245" i="45"/>
  <c r="I245" i="45"/>
  <c r="F245" i="45"/>
  <c r="O244" i="45"/>
  <c r="L244" i="45"/>
  <c r="I244" i="45"/>
  <c r="F244" i="45"/>
  <c r="O243" i="45"/>
  <c r="L243" i="45"/>
  <c r="I243" i="45"/>
  <c r="F243" i="45"/>
  <c r="O242" i="45"/>
  <c r="L242" i="45"/>
  <c r="I242" i="45"/>
  <c r="F242" i="45"/>
  <c r="O241" i="45"/>
  <c r="L241" i="45"/>
  <c r="I241" i="45"/>
  <c r="F241" i="45"/>
  <c r="O240" i="45"/>
  <c r="L240" i="45"/>
  <c r="I240" i="45"/>
  <c r="F240" i="45"/>
  <c r="O239" i="45"/>
  <c r="L239" i="45"/>
  <c r="I239" i="45"/>
  <c r="F239" i="45"/>
  <c r="F238" i="45" s="1"/>
  <c r="N238" i="45"/>
  <c r="M238" i="45"/>
  <c r="K238" i="45"/>
  <c r="J238" i="45"/>
  <c r="H238" i="45"/>
  <c r="G238" i="45"/>
  <c r="E238" i="45"/>
  <c r="D238" i="45"/>
  <c r="O237" i="45"/>
  <c r="L237" i="45"/>
  <c r="I237" i="45"/>
  <c r="F237" i="45"/>
  <c r="O236" i="45"/>
  <c r="L236" i="45"/>
  <c r="L235" i="45" s="1"/>
  <c r="I236" i="45"/>
  <c r="F236" i="45"/>
  <c r="F235" i="45" s="1"/>
  <c r="O235" i="45"/>
  <c r="N235" i="45"/>
  <c r="M235" i="45"/>
  <c r="K235" i="45"/>
  <c r="J235" i="45"/>
  <c r="H235" i="45"/>
  <c r="G235" i="45"/>
  <c r="E235" i="45"/>
  <c r="D235" i="45"/>
  <c r="O234" i="45"/>
  <c r="O233" i="45" s="1"/>
  <c r="L234" i="45"/>
  <c r="L233" i="45" s="1"/>
  <c r="I234" i="45"/>
  <c r="F234" i="45"/>
  <c r="N233" i="45"/>
  <c r="N231" i="45" s="1"/>
  <c r="N230" i="45" s="1"/>
  <c r="M233" i="45"/>
  <c r="K233" i="45"/>
  <c r="J233" i="45"/>
  <c r="I233" i="45"/>
  <c r="H233" i="45"/>
  <c r="G233" i="45"/>
  <c r="F233" i="45"/>
  <c r="E233" i="45"/>
  <c r="E231" i="45" s="1"/>
  <c r="D233" i="45"/>
  <c r="O232" i="45"/>
  <c r="L232" i="45"/>
  <c r="I232" i="45"/>
  <c r="F232" i="45"/>
  <c r="O229" i="45"/>
  <c r="L229" i="45"/>
  <c r="I229" i="45"/>
  <c r="F229" i="45"/>
  <c r="O228" i="45"/>
  <c r="L228" i="45"/>
  <c r="L227" i="45" s="1"/>
  <c r="I228" i="45"/>
  <c r="F228" i="45"/>
  <c r="O227" i="45"/>
  <c r="N227" i="45"/>
  <c r="M227" i="45"/>
  <c r="K227" i="45"/>
  <c r="J227" i="45"/>
  <c r="H227" i="45"/>
  <c r="G227" i="45"/>
  <c r="F227" i="45"/>
  <c r="E227" i="45"/>
  <c r="D227" i="45"/>
  <c r="O226" i="45"/>
  <c r="L226" i="45"/>
  <c r="I226" i="45"/>
  <c r="F226" i="45"/>
  <c r="O225" i="45"/>
  <c r="L225" i="45"/>
  <c r="I225" i="45"/>
  <c r="F225" i="45"/>
  <c r="O224" i="45"/>
  <c r="L224" i="45"/>
  <c r="I224" i="45"/>
  <c r="F224" i="45"/>
  <c r="O223" i="45"/>
  <c r="L223" i="45"/>
  <c r="I223" i="45"/>
  <c r="F223" i="45"/>
  <c r="O222" i="45"/>
  <c r="L222" i="45"/>
  <c r="I222" i="45"/>
  <c r="F222" i="45"/>
  <c r="O221" i="45"/>
  <c r="L221" i="45"/>
  <c r="I221" i="45"/>
  <c r="F221" i="45"/>
  <c r="O220" i="45"/>
  <c r="L220" i="45"/>
  <c r="I220" i="45"/>
  <c r="F220" i="45"/>
  <c r="O219" i="45"/>
  <c r="L219" i="45"/>
  <c r="I219" i="45"/>
  <c r="F219" i="45"/>
  <c r="O218" i="45"/>
  <c r="L218" i="45"/>
  <c r="I218" i="45"/>
  <c r="F218" i="45"/>
  <c r="O217" i="45"/>
  <c r="L217" i="45"/>
  <c r="I217" i="45"/>
  <c r="I216" i="45" s="1"/>
  <c r="F217" i="45"/>
  <c r="N216" i="45"/>
  <c r="M216" i="45"/>
  <c r="K216" i="45"/>
  <c r="J216" i="45"/>
  <c r="H216" i="45"/>
  <c r="G216" i="45"/>
  <c r="E216" i="45"/>
  <c r="D216" i="45"/>
  <c r="O215" i="45"/>
  <c r="L215" i="45"/>
  <c r="I215" i="45"/>
  <c r="F215" i="45"/>
  <c r="O214" i="45"/>
  <c r="L214" i="45"/>
  <c r="I214" i="45"/>
  <c r="F214" i="45"/>
  <c r="O213" i="45"/>
  <c r="L213" i="45"/>
  <c r="I213" i="45"/>
  <c r="F213" i="45"/>
  <c r="O212" i="45"/>
  <c r="L212" i="45"/>
  <c r="I212" i="45"/>
  <c r="F212" i="45"/>
  <c r="O211" i="45"/>
  <c r="L211" i="45"/>
  <c r="I211" i="45"/>
  <c r="F211" i="45"/>
  <c r="O210" i="45"/>
  <c r="L210" i="45"/>
  <c r="I210" i="45"/>
  <c r="F210" i="45"/>
  <c r="C210" i="45"/>
  <c r="O209" i="45"/>
  <c r="L209" i="45"/>
  <c r="I209" i="45"/>
  <c r="F209" i="45"/>
  <c r="O208" i="45"/>
  <c r="L208" i="45"/>
  <c r="I208" i="45"/>
  <c r="F208" i="45"/>
  <c r="O207" i="45"/>
  <c r="L207" i="45"/>
  <c r="I207" i="45"/>
  <c r="F207" i="45"/>
  <c r="O206" i="45"/>
  <c r="L206" i="45"/>
  <c r="I206" i="45"/>
  <c r="F206" i="45"/>
  <c r="C206" i="45" s="1"/>
  <c r="N205" i="45"/>
  <c r="M205" i="45"/>
  <c r="K205" i="45"/>
  <c r="K204" i="45" s="1"/>
  <c r="J205" i="45"/>
  <c r="H205" i="45"/>
  <c r="H204" i="45" s="1"/>
  <c r="G205" i="45"/>
  <c r="E205" i="45"/>
  <c r="E204" i="45" s="1"/>
  <c r="D205" i="45"/>
  <c r="M204" i="45"/>
  <c r="G204" i="45"/>
  <c r="O203" i="45"/>
  <c r="L203" i="45"/>
  <c r="I203" i="45"/>
  <c r="F203" i="45"/>
  <c r="O202" i="45"/>
  <c r="L202" i="45"/>
  <c r="I202" i="45"/>
  <c r="F202" i="45"/>
  <c r="O201" i="45"/>
  <c r="L201" i="45"/>
  <c r="I201" i="45"/>
  <c r="F201" i="45"/>
  <c r="O200" i="45"/>
  <c r="L200" i="45"/>
  <c r="I200" i="45"/>
  <c r="F200" i="45"/>
  <c r="O199" i="45"/>
  <c r="L199" i="45"/>
  <c r="L198" i="45" s="1"/>
  <c r="I199" i="45"/>
  <c r="F199" i="45"/>
  <c r="F198" i="45" s="1"/>
  <c r="O198" i="45"/>
  <c r="N198" i="45"/>
  <c r="N196" i="45" s="1"/>
  <c r="M198" i="45"/>
  <c r="K198" i="45"/>
  <c r="K196" i="45" s="1"/>
  <c r="J198" i="45"/>
  <c r="H198" i="45"/>
  <c r="H196" i="45" s="1"/>
  <c r="H195" i="45" s="1"/>
  <c r="G198" i="45"/>
  <c r="G196" i="45" s="1"/>
  <c r="G195" i="45" s="1"/>
  <c r="E198" i="45"/>
  <c r="E196" i="45" s="1"/>
  <c r="D198" i="45"/>
  <c r="D196" i="45" s="1"/>
  <c r="O197" i="45"/>
  <c r="L197" i="45"/>
  <c r="I197" i="45"/>
  <c r="F197" i="45"/>
  <c r="O196" i="45"/>
  <c r="M196" i="45"/>
  <c r="M195" i="45" s="1"/>
  <c r="J196" i="45"/>
  <c r="F196" i="45"/>
  <c r="O193" i="45"/>
  <c r="O192" i="45" s="1"/>
  <c r="O191" i="45" s="1"/>
  <c r="L193" i="45"/>
  <c r="I193" i="45"/>
  <c r="I192" i="45" s="1"/>
  <c r="I191" i="45" s="1"/>
  <c r="I187" i="45" s="1"/>
  <c r="F193" i="45"/>
  <c r="F192" i="45" s="1"/>
  <c r="N192" i="45"/>
  <c r="M192" i="45"/>
  <c r="M191" i="45" s="1"/>
  <c r="L192" i="45"/>
  <c r="L191" i="45" s="1"/>
  <c r="K192" i="45"/>
  <c r="K191" i="45" s="1"/>
  <c r="J192" i="45"/>
  <c r="H192" i="45"/>
  <c r="H191" i="45" s="1"/>
  <c r="G192" i="45"/>
  <c r="G191" i="45" s="1"/>
  <c r="E192" i="45"/>
  <c r="E191" i="45" s="1"/>
  <c r="D192" i="45"/>
  <c r="D191" i="45" s="1"/>
  <c r="N191" i="45"/>
  <c r="J191" i="45"/>
  <c r="O190" i="45"/>
  <c r="L190" i="45"/>
  <c r="I190" i="45"/>
  <c r="F190" i="45"/>
  <c r="O189" i="45"/>
  <c r="O188" i="45" s="1"/>
  <c r="O187" i="45" s="1"/>
  <c r="L189" i="45"/>
  <c r="I189" i="45"/>
  <c r="F189" i="45"/>
  <c r="F188" i="45" s="1"/>
  <c r="N188" i="45"/>
  <c r="N187" i="45" s="1"/>
  <c r="M188" i="45"/>
  <c r="L188" i="45"/>
  <c r="L187" i="45" s="1"/>
  <c r="K188" i="45"/>
  <c r="K187" i="45" s="1"/>
  <c r="J188" i="45"/>
  <c r="J187" i="45" s="1"/>
  <c r="I188" i="45"/>
  <c r="H188" i="45"/>
  <c r="H187" i="45" s="1"/>
  <c r="G188" i="45"/>
  <c r="G187" i="45" s="1"/>
  <c r="E188" i="45"/>
  <c r="D188" i="45"/>
  <c r="D187" i="45" s="1"/>
  <c r="O186" i="45"/>
  <c r="L186" i="45"/>
  <c r="I186" i="45"/>
  <c r="F186" i="45"/>
  <c r="O185" i="45"/>
  <c r="O184" i="45" s="1"/>
  <c r="L185" i="45"/>
  <c r="I185" i="45"/>
  <c r="F185" i="45"/>
  <c r="F184" i="45" s="1"/>
  <c r="N184" i="45"/>
  <c r="M184" i="45"/>
  <c r="L184" i="45"/>
  <c r="K184" i="45"/>
  <c r="J184" i="45"/>
  <c r="I184" i="45"/>
  <c r="H184" i="45"/>
  <c r="G184" i="45"/>
  <c r="E184" i="45"/>
  <c r="D184" i="45"/>
  <c r="O183" i="45"/>
  <c r="L183" i="45"/>
  <c r="I183" i="45"/>
  <c r="F183" i="45"/>
  <c r="O182" i="45"/>
  <c r="L182" i="45"/>
  <c r="I182" i="45"/>
  <c r="F182" i="45"/>
  <c r="O181" i="45"/>
  <c r="L181" i="45"/>
  <c r="I181" i="45"/>
  <c r="F181" i="45"/>
  <c r="O180" i="45"/>
  <c r="O179" i="45" s="1"/>
  <c r="L180" i="45"/>
  <c r="I180" i="45"/>
  <c r="I179" i="45" s="1"/>
  <c r="F180" i="45"/>
  <c r="N179" i="45"/>
  <c r="M179" i="45"/>
  <c r="K179" i="45"/>
  <c r="J179" i="45"/>
  <c r="H179" i="45"/>
  <c r="G179" i="45"/>
  <c r="E179" i="45"/>
  <c r="D179" i="45"/>
  <c r="O178" i="45"/>
  <c r="L178" i="45"/>
  <c r="I178" i="45"/>
  <c r="F178" i="45"/>
  <c r="O177" i="45"/>
  <c r="L177" i="45"/>
  <c r="I177" i="45"/>
  <c r="F177" i="45"/>
  <c r="O176" i="45"/>
  <c r="O175" i="45" s="1"/>
  <c r="O174" i="45" s="1"/>
  <c r="O173" i="45" s="1"/>
  <c r="L176" i="45"/>
  <c r="I176" i="45"/>
  <c r="F176" i="45"/>
  <c r="N175" i="45"/>
  <c r="N174" i="45" s="1"/>
  <c r="N173" i="45" s="1"/>
  <c r="M175" i="45"/>
  <c r="M174" i="45" s="1"/>
  <c r="K175" i="45"/>
  <c r="J175" i="45"/>
  <c r="I175" i="45"/>
  <c r="H175" i="45"/>
  <c r="H174" i="45" s="1"/>
  <c r="H173" i="45" s="1"/>
  <c r="G175" i="45"/>
  <c r="E175" i="45"/>
  <c r="D175" i="45"/>
  <c r="D174" i="45" s="1"/>
  <c r="D173" i="45" s="1"/>
  <c r="J174" i="45"/>
  <c r="J173" i="45" s="1"/>
  <c r="G174" i="45"/>
  <c r="G173" i="45" s="1"/>
  <c r="O172" i="45"/>
  <c r="L172" i="45"/>
  <c r="I172" i="45"/>
  <c r="F172" i="45"/>
  <c r="O171" i="45"/>
  <c r="L171" i="45"/>
  <c r="I171" i="45"/>
  <c r="F171" i="45"/>
  <c r="O170" i="45"/>
  <c r="L170" i="45"/>
  <c r="I170" i="45"/>
  <c r="F170" i="45"/>
  <c r="O169" i="45"/>
  <c r="L169" i="45"/>
  <c r="I169" i="45"/>
  <c r="F169" i="45"/>
  <c r="O168" i="45"/>
  <c r="L168" i="45"/>
  <c r="I168" i="45"/>
  <c r="F168" i="45"/>
  <c r="O167" i="45"/>
  <c r="L167" i="45"/>
  <c r="I167" i="45"/>
  <c r="I166" i="45" s="1"/>
  <c r="F167" i="45"/>
  <c r="N166" i="45"/>
  <c r="N165" i="45" s="1"/>
  <c r="M166" i="45"/>
  <c r="M165" i="45" s="1"/>
  <c r="K166" i="45"/>
  <c r="K165" i="45" s="1"/>
  <c r="J166" i="45"/>
  <c r="J165" i="45" s="1"/>
  <c r="H166" i="45"/>
  <c r="H165" i="45" s="1"/>
  <c r="G166" i="45"/>
  <c r="G165" i="45" s="1"/>
  <c r="E166" i="45"/>
  <c r="E165" i="45" s="1"/>
  <c r="D166" i="45"/>
  <c r="D165" i="45"/>
  <c r="O164" i="45"/>
  <c r="L164" i="45"/>
  <c r="I164" i="45"/>
  <c r="F164" i="45"/>
  <c r="O163" i="45"/>
  <c r="L163" i="45"/>
  <c r="I163" i="45"/>
  <c r="F163" i="45"/>
  <c r="O162" i="45"/>
  <c r="L162" i="45"/>
  <c r="I162" i="45"/>
  <c r="F162" i="45"/>
  <c r="O161" i="45"/>
  <c r="O160" i="45" s="1"/>
  <c r="L161" i="45"/>
  <c r="L160" i="45" s="1"/>
  <c r="I161" i="45"/>
  <c r="F161" i="45"/>
  <c r="F160" i="45" s="1"/>
  <c r="N160" i="45"/>
  <c r="M160" i="45"/>
  <c r="K160" i="45"/>
  <c r="J160" i="45"/>
  <c r="I160" i="45"/>
  <c r="H160" i="45"/>
  <c r="G160" i="45"/>
  <c r="E160" i="45"/>
  <c r="D160" i="45"/>
  <c r="O159" i="45"/>
  <c r="L159" i="45"/>
  <c r="I159" i="45"/>
  <c r="F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L152" i="45"/>
  <c r="I152" i="45"/>
  <c r="F152" i="45"/>
  <c r="N151" i="45"/>
  <c r="M151" i="45"/>
  <c r="K151" i="45"/>
  <c r="J151" i="45"/>
  <c r="H151" i="45"/>
  <c r="G151" i="45"/>
  <c r="E151" i="45"/>
  <c r="D151" i="45"/>
  <c r="O150" i="45"/>
  <c r="L150" i="45"/>
  <c r="I150" i="45"/>
  <c r="F150" i="45"/>
  <c r="O149" i="45"/>
  <c r="L149" i="45"/>
  <c r="I149" i="45"/>
  <c r="F149" i="45"/>
  <c r="O148" i="45"/>
  <c r="L148" i="45"/>
  <c r="I148" i="45"/>
  <c r="F148" i="45"/>
  <c r="O147" i="45"/>
  <c r="L147" i="45"/>
  <c r="I147" i="45"/>
  <c r="F147" i="45"/>
  <c r="O146" i="45"/>
  <c r="L146" i="45"/>
  <c r="I146" i="45"/>
  <c r="F146" i="45"/>
  <c r="O145" i="45"/>
  <c r="L145" i="45"/>
  <c r="I145" i="45"/>
  <c r="F145" i="45"/>
  <c r="F144" i="45" s="1"/>
  <c r="N144" i="45"/>
  <c r="M144" i="45"/>
  <c r="L144" i="45"/>
  <c r="K144" i="45"/>
  <c r="J144" i="45"/>
  <c r="H144" i="45"/>
  <c r="G144" i="45"/>
  <c r="E144" i="45"/>
  <c r="D144" i="45"/>
  <c r="O143" i="45"/>
  <c r="L143" i="45"/>
  <c r="I143" i="45"/>
  <c r="F143" i="45"/>
  <c r="O142" i="45"/>
  <c r="L142" i="45"/>
  <c r="I142" i="45"/>
  <c r="I141" i="45" s="1"/>
  <c r="F142" i="45"/>
  <c r="O141" i="45"/>
  <c r="N141" i="45"/>
  <c r="M141" i="45"/>
  <c r="K141" i="45"/>
  <c r="J141" i="45"/>
  <c r="H141" i="45"/>
  <c r="G141" i="45"/>
  <c r="F141" i="45"/>
  <c r="E141" i="45"/>
  <c r="D141" i="45"/>
  <c r="O140" i="45"/>
  <c r="L140" i="45"/>
  <c r="I140" i="45"/>
  <c r="F140" i="45"/>
  <c r="O139" i="45"/>
  <c r="L139" i="45"/>
  <c r="I139" i="45"/>
  <c r="F139" i="45"/>
  <c r="O138" i="45"/>
  <c r="L138" i="45"/>
  <c r="I138" i="45"/>
  <c r="F138" i="45"/>
  <c r="O137" i="45"/>
  <c r="O136" i="45" s="1"/>
  <c r="L137" i="45"/>
  <c r="L136" i="45" s="1"/>
  <c r="I137" i="45"/>
  <c r="F137" i="45"/>
  <c r="F136" i="45" s="1"/>
  <c r="N136" i="45"/>
  <c r="M136" i="45"/>
  <c r="K136" i="45"/>
  <c r="J136" i="45"/>
  <c r="I136" i="45"/>
  <c r="H136" i="45"/>
  <c r="G136" i="45"/>
  <c r="E136" i="45"/>
  <c r="D136" i="45"/>
  <c r="O135" i="45"/>
  <c r="L135" i="45"/>
  <c r="I135" i="45"/>
  <c r="F135" i="45"/>
  <c r="O134" i="45"/>
  <c r="L134" i="45"/>
  <c r="I134" i="45"/>
  <c r="F134" i="45"/>
  <c r="O133" i="45"/>
  <c r="L133" i="45"/>
  <c r="I133" i="45"/>
  <c r="F133" i="45"/>
  <c r="O132" i="45"/>
  <c r="L132" i="45"/>
  <c r="I132" i="45"/>
  <c r="I131" i="45" s="1"/>
  <c r="F132" i="45"/>
  <c r="N131" i="45"/>
  <c r="N130" i="45" s="1"/>
  <c r="M131" i="45"/>
  <c r="L131" i="45"/>
  <c r="K131" i="45"/>
  <c r="J131" i="45"/>
  <c r="H131" i="45"/>
  <c r="H130" i="45" s="1"/>
  <c r="G131" i="45"/>
  <c r="G130" i="45" s="1"/>
  <c r="E131" i="45"/>
  <c r="D131" i="45"/>
  <c r="O129" i="45"/>
  <c r="L129" i="45"/>
  <c r="L128" i="45" s="1"/>
  <c r="I129" i="45"/>
  <c r="I128" i="45" s="1"/>
  <c r="F129" i="45"/>
  <c r="O128" i="45"/>
  <c r="N128" i="45"/>
  <c r="M128" i="45"/>
  <c r="K128" i="45"/>
  <c r="J128" i="45"/>
  <c r="H128" i="45"/>
  <c r="G128" i="45"/>
  <c r="E128" i="45"/>
  <c r="D128" i="45"/>
  <c r="O127" i="45"/>
  <c r="L127" i="45"/>
  <c r="I127" i="45"/>
  <c r="F127" i="45"/>
  <c r="O126" i="45"/>
  <c r="L126" i="45"/>
  <c r="I126" i="45"/>
  <c r="F126" i="45"/>
  <c r="O125" i="45"/>
  <c r="L125" i="45"/>
  <c r="I125" i="45"/>
  <c r="F125" i="45"/>
  <c r="O124" i="45"/>
  <c r="L124" i="45"/>
  <c r="I124" i="45"/>
  <c r="C124" i="45" s="1"/>
  <c r="F124" i="45"/>
  <c r="O123" i="45"/>
  <c r="L123" i="45"/>
  <c r="I123" i="45"/>
  <c r="F123" i="45"/>
  <c r="N122" i="45"/>
  <c r="M122" i="45"/>
  <c r="K122" i="45"/>
  <c r="J122" i="45"/>
  <c r="H122" i="45"/>
  <c r="G122" i="45"/>
  <c r="E122" i="45"/>
  <c r="D122" i="45"/>
  <c r="O121" i="45"/>
  <c r="L121" i="45"/>
  <c r="I121" i="45"/>
  <c r="F121" i="45"/>
  <c r="O120" i="45"/>
  <c r="L120" i="45"/>
  <c r="I120" i="45"/>
  <c r="F120" i="45"/>
  <c r="O119" i="45"/>
  <c r="L119" i="45"/>
  <c r="I119" i="45"/>
  <c r="F119" i="45"/>
  <c r="O118" i="45"/>
  <c r="L118" i="45"/>
  <c r="I118" i="45"/>
  <c r="F118" i="45"/>
  <c r="O117" i="45"/>
  <c r="O116" i="45" s="1"/>
  <c r="L117" i="45"/>
  <c r="L116" i="45" s="1"/>
  <c r="I117" i="45"/>
  <c r="F117" i="45"/>
  <c r="N116" i="45"/>
  <c r="M116" i="45"/>
  <c r="K116" i="45"/>
  <c r="J116" i="45"/>
  <c r="H116" i="45"/>
  <c r="G116" i="45"/>
  <c r="E116" i="45"/>
  <c r="D116" i="45"/>
  <c r="O115" i="45"/>
  <c r="L115" i="45"/>
  <c r="I115" i="45"/>
  <c r="F115" i="45"/>
  <c r="O114" i="45"/>
  <c r="L114" i="45"/>
  <c r="I114" i="45"/>
  <c r="F114" i="45"/>
  <c r="O113" i="45"/>
  <c r="O112" i="45" s="1"/>
  <c r="L113" i="45"/>
  <c r="I113" i="45"/>
  <c r="I112" i="45" s="1"/>
  <c r="F113" i="45"/>
  <c r="N112" i="45"/>
  <c r="M112" i="45"/>
  <c r="L112" i="45"/>
  <c r="K112" i="45"/>
  <c r="J112" i="45"/>
  <c r="H112" i="45"/>
  <c r="G112" i="45"/>
  <c r="E112" i="45"/>
  <c r="D112" i="45"/>
  <c r="O111" i="45"/>
  <c r="L111" i="45"/>
  <c r="I111" i="45"/>
  <c r="F111" i="45"/>
  <c r="O110" i="45"/>
  <c r="L110" i="45"/>
  <c r="I110" i="45"/>
  <c r="F110" i="45"/>
  <c r="O109" i="45"/>
  <c r="L109" i="45"/>
  <c r="I109" i="45"/>
  <c r="F109" i="45"/>
  <c r="O108" i="45"/>
  <c r="L108" i="45"/>
  <c r="I108" i="45"/>
  <c r="F108" i="45"/>
  <c r="O107" i="45"/>
  <c r="L107" i="45"/>
  <c r="I107" i="45"/>
  <c r="F107" i="45"/>
  <c r="O106" i="45"/>
  <c r="L106" i="45"/>
  <c r="I106" i="45"/>
  <c r="F106" i="45"/>
  <c r="O105" i="45"/>
  <c r="L105" i="45"/>
  <c r="I105" i="45"/>
  <c r="F105" i="45"/>
  <c r="O104" i="45"/>
  <c r="L104" i="45"/>
  <c r="I104" i="45"/>
  <c r="F104" i="45"/>
  <c r="N103" i="45"/>
  <c r="M103" i="45"/>
  <c r="K103" i="45"/>
  <c r="J103" i="45"/>
  <c r="H103" i="45"/>
  <c r="G103" i="45"/>
  <c r="E103" i="45"/>
  <c r="D103" i="45"/>
  <c r="O102" i="45"/>
  <c r="L102" i="45"/>
  <c r="I102" i="45"/>
  <c r="F102" i="45"/>
  <c r="O101" i="45"/>
  <c r="L101" i="45"/>
  <c r="I101" i="45"/>
  <c r="F101" i="45"/>
  <c r="O100" i="45"/>
  <c r="L100" i="45"/>
  <c r="I100" i="45"/>
  <c r="F100" i="45"/>
  <c r="O99" i="45"/>
  <c r="L99" i="45"/>
  <c r="I99" i="45"/>
  <c r="F99" i="45"/>
  <c r="O98" i="45"/>
  <c r="L98" i="45"/>
  <c r="I98" i="45"/>
  <c r="F98" i="45"/>
  <c r="O97" i="45"/>
  <c r="L97" i="45"/>
  <c r="I97" i="45"/>
  <c r="F97" i="45"/>
  <c r="O96" i="45"/>
  <c r="L96" i="45"/>
  <c r="I96" i="45"/>
  <c r="F96" i="45"/>
  <c r="N95" i="45"/>
  <c r="M95" i="45"/>
  <c r="K95" i="45"/>
  <c r="J95" i="45"/>
  <c r="H95" i="45"/>
  <c r="G95" i="45"/>
  <c r="E95" i="45"/>
  <c r="D95" i="45"/>
  <c r="O94" i="45"/>
  <c r="L94" i="45"/>
  <c r="I94" i="45"/>
  <c r="F94" i="45"/>
  <c r="O93" i="45"/>
  <c r="L93" i="45"/>
  <c r="I93" i="45"/>
  <c r="F93" i="45"/>
  <c r="O92" i="45"/>
  <c r="L92" i="45"/>
  <c r="I92" i="45"/>
  <c r="F92" i="45"/>
  <c r="O91" i="45"/>
  <c r="L91" i="45"/>
  <c r="I91" i="45"/>
  <c r="F91" i="45"/>
  <c r="O90" i="45"/>
  <c r="L90" i="45"/>
  <c r="I90" i="45"/>
  <c r="I89" i="45" s="1"/>
  <c r="F90" i="45"/>
  <c r="N89" i="45"/>
  <c r="M89" i="45"/>
  <c r="K89" i="45"/>
  <c r="J89" i="45"/>
  <c r="H89" i="45"/>
  <c r="G89" i="45"/>
  <c r="E89" i="45"/>
  <c r="D89" i="45"/>
  <c r="O88" i="45"/>
  <c r="L88" i="45"/>
  <c r="I88" i="45"/>
  <c r="F88" i="45"/>
  <c r="O87" i="45"/>
  <c r="L87" i="45"/>
  <c r="I87" i="45"/>
  <c r="F87" i="45"/>
  <c r="O86" i="45"/>
  <c r="L86" i="45"/>
  <c r="I86" i="45"/>
  <c r="F86" i="45"/>
  <c r="O85" i="45"/>
  <c r="L85" i="45"/>
  <c r="I85" i="45"/>
  <c r="F85" i="45"/>
  <c r="F84" i="45" s="1"/>
  <c r="N84" i="45"/>
  <c r="M84" i="45"/>
  <c r="K84" i="45"/>
  <c r="J84" i="45"/>
  <c r="J83" i="45" s="1"/>
  <c r="H84" i="45"/>
  <c r="G84" i="45"/>
  <c r="E84" i="45"/>
  <c r="D84" i="45"/>
  <c r="O82" i="45"/>
  <c r="L82" i="45"/>
  <c r="I82" i="45"/>
  <c r="F82" i="45"/>
  <c r="O81" i="45"/>
  <c r="O80" i="45" s="1"/>
  <c r="L81" i="45"/>
  <c r="L80" i="45" s="1"/>
  <c r="I81" i="45"/>
  <c r="F81" i="45"/>
  <c r="F80" i="45" s="1"/>
  <c r="N80" i="45"/>
  <c r="M80" i="45"/>
  <c r="K80" i="45"/>
  <c r="J80" i="45"/>
  <c r="H80" i="45"/>
  <c r="G80" i="45"/>
  <c r="E80" i="45"/>
  <c r="D80" i="45"/>
  <c r="O79" i="45"/>
  <c r="L79" i="45"/>
  <c r="I79" i="45"/>
  <c r="F79" i="45"/>
  <c r="O78" i="45"/>
  <c r="L78" i="45"/>
  <c r="I78" i="45"/>
  <c r="I77" i="45" s="1"/>
  <c r="F78" i="45"/>
  <c r="N77" i="45"/>
  <c r="N76" i="45" s="1"/>
  <c r="M77" i="45"/>
  <c r="K77" i="45"/>
  <c r="K76" i="45" s="1"/>
  <c r="J77" i="45"/>
  <c r="H77" i="45"/>
  <c r="G77" i="45"/>
  <c r="G76" i="45" s="1"/>
  <c r="E77" i="45"/>
  <c r="E76" i="45" s="1"/>
  <c r="D77" i="45"/>
  <c r="D76" i="45" s="1"/>
  <c r="H76" i="45"/>
  <c r="O74" i="45"/>
  <c r="L74" i="45"/>
  <c r="I74" i="45"/>
  <c r="F74" i="45"/>
  <c r="O73" i="45"/>
  <c r="L73" i="45"/>
  <c r="I73" i="45"/>
  <c r="F73" i="45"/>
  <c r="O72" i="45"/>
  <c r="L72" i="45"/>
  <c r="I72" i="45"/>
  <c r="F72" i="45"/>
  <c r="O71" i="45"/>
  <c r="L71" i="45"/>
  <c r="I71" i="45"/>
  <c r="F71" i="45"/>
  <c r="O70" i="45"/>
  <c r="L70" i="45"/>
  <c r="I70" i="45"/>
  <c r="F70" i="45"/>
  <c r="N69" i="45"/>
  <c r="N67" i="45" s="1"/>
  <c r="M69" i="45"/>
  <c r="K69" i="45"/>
  <c r="K67" i="45" s="1"/>
  <c r="J69" i="45"/>
  <c r="I69" i="45"/>
  <c r="H69" i="45"/>
  <c r="H67" i="45" s="1"/>
  <c r="G69" i="45"/>
  <c r="G67" i="45" s="1"/>
  <c r="E69" i="45"/>
  <c r="D69" i="45"/>
  <c r="D67" i="45" s="1"/>
  <c r="O68" i="45"/>
  <c r="L68" i="45"/>
  <c r="I68" i="45"/>
  <c r="F68" i="45"/>
  <c r="M67" i="45"/>
  <c r="J67" i="45"/>
  <c r="E67" i="45"/>
  <c r="O66" i="45"/>
  <c r="L66" i="45"/>
  <c r="I66" i="45"/>
  <c r="F66" i="45"/>
  <c r="O65" i="45"/>
  <c r="L65" i="45"/>
  <c r="I65" i="45"/>
  <c r="F65" i="45"/>
  <c r="O64" i="45"/>
  <c r="L64" i="45"/>
  <c r="I64" i="45"/>
  <c r="F64" i="45"/>
  <c r="O63" i="45"/>
  <c r="L63" i="45"/>
  <c r="I63" i="45"/>
  <c r="F63" i="45"/>
  <c r="O62" i="45"/>
  <c r="L62" i="45"/>
  <c r="I62" i="45"/>
  <c r="F62" i="45"/>
  <c r="O61" i="45"/>
  <c r="L61" i="45"/>
  <c r="I61" i="45"/>
  <c r="F61" i="45"/>
  <c r="O60" i="45"/>
  <c r="L60" i="45"/>
  <c r="I60" i="45"/>
  <c r="F60" i="45"/>
  <c r="O59" i="45"/>
  <c r="L59" i="45"/>
  <c r="I59" i="45"/>
  <c r="I58" i="45" s="1"/>
  <c r="F59" i="45"/>
  <c r="N58" i="45"/>
  <c r="M58" i="45"/>
  <c r="K58" i="45"/>
  <c r="J58" i="45"/>
  <c r="H58" i="45"/>
  <c r="G58" i="45"/>
  <c r="E58" i="45"/>
  <c r="D58" i="45"/>
  <c r="O57" i="45"/>
  <c r="L57" i="45"/>
  <c r="I57" i="45"/>
  <c r="F57" i="45"/>
  <c r="O56" i="45"/>
  <c r="L56" i="45"/>
  <c r="I56" i="45"/>
  <c r="I55" i="45" s="1"/>
  <c r="F56" i="45"/>
  <c r="N55" i="45"/>
  <c r="N54" i="45" s="1"/>
  <c r="N53" i="45" s="1"/>
  <c r="M55" i="45"/>
  <c r="K55" i="45"/>
  <c r="K54" i="45" s="1"/>
  <c r="K53" i="45" s="1"/>
  <c r="J55" i="45"/>
  <c r="H55" i="45"/>
  <c r="H54" i="45" s="1"/>
  <c r="H53" i="45" s="1"/>
  <c r="G55" i="45"/>
  <c r="G54" i="45" s="1"/>
  <c r="E55" i="45"/>
  <c r="E54" i="45" s="1"/>
  <c r="E53" i="45" s="1"/>
  <c r="D55" i="45"/>
  <c r="J54" i="45"/>
  <c r="J53" i="45" s="1"/>
  <c r="O47" i="45"/>
  <c r="C47" i="45" s="1"/>
  <c r="O46" i="45"/>
  <c r="C46" i="45" s="1"/>
  <c r="N45" i="45"/>
  <c r="M45" i="45"/>
  <c r="L44" i="45"/>
  <c r="L43" i="45" s="1"/>
  <c r="I44" i="45"/>
  <c r="F44" i="45"/>
  <c r="K43" i="45"/>
  <c r="J43" i="45"/>
  <c r="I43" i="45"/>
  <c r="H43" i="45"/>
  <c r="G43" i="45"/>
  <c r="E43" i="45"/>
  <c r="D43" i="45"/>
  <c r="F42" i="45"/>
  <c r="C42" i="45" s="1"/>
  <c r="E41" i="45"/>
  <c r="D41" i="45"/>
  <c r="L40" i="45"/>
  <c r="C40" i="45" s="1"/>
  <c r="L39" i="45"/>
  <c r="C39" i="45" s="1"/>
  <c r="L38" i="45"/>
  <c r="C38" i="45" s="1"/>
  <c r="L37" i="45"/>
  <c r="C37" i="45" s="1"/>
  <c r="K36" i="45"/>
  <c r="J36" i="45"/>
  <c r="L35" i="45"/>
  <c r="C35" i="45" s="1"/>
  <c r="L34" i="45"/>
  <c r="C34" i="45" s="1"/>
  <c r="K33" i="45"/>
  <c r="J33" i="45"/>
  <c r="L32" i="45"/>
  <c r="C32" i="45" s="1"/>
  <c r="K31" i="45"/>
  <c r="J31" i="45"/>
  <c r="L30" i="45"/>
  <c r="C30" i="45" s="1"/>
  <c r="L29" i="45"/>
  <c r="C29" i="45" s="1"/>
  <c r="L28" i="45"/>
  <c r="C28" i="45" s="1"/>
  <c r="K27" i="45"/>
  <c r="J27" i="45"/>
  <c r="K26" i="45"/>
  <c r="F25" i="45"/>
  <c r="C25" i="45" s="1"/>
  <c r="I24" i="45"/>
  <c r="F24" i="45"/>
  <c r="O23" i="45"/>
  <c r="L23" i="45"/>
  <c r="I23" i="45"/>
  <c r="F23" i="45"/>
  <c r="O22" i="45"/>
  <c r="O21" i="45" s="1"/>
  <c r="O292" i="45" s="1"/>
  <c r="L22" i="45"/>
  <c r="I22" i="45"/>
  <c r="I21" i="45" s="1"/>
  <c r="I20" i="45" s="1"/>
  <c r="F22" i="45"/>
  <c r="N21" i="45"/>
  <c r="M21" i="45"/>
  <c r="M292" i="45" s="1"/>
  <c r="M291" i="45" s="1"/>
  <c r="K21" i="45"/>
  <c r="J21" i="45"/>
  <c r="J292" i="45" s="1"/>
  <c r="J291" i="45" s="1"/>
  <c r="H21" i="45"/>
  <c r="H292" i="45" s="1"/>
  <c r="G21" i="45"/>
  <c r="G292" i="45" s="1"/>
  <c r="G291" i="45" s="1"/>
  <c r="E21" i="45"/>
  <c r="E20" i="45" s="1"/>
  <c r="D21" i="45"/>
  <c r="D292" i="45" s="1"/>
  <c r="D291" i="45" s="1"/>
  <c r="K20" i="45"/>
  <c r="O301" i="44"/>
  <c r="L301" i="44"/>
  <c r="I301" i="44"/>
  <c r="F301" i="44"/>
  <c r="O300" i="44"/>
  <c r="L300" i="44"/>
  <c r="I300" i="44"/>
  <c r="F300" i="44"/>
  <c r="O299" i="44"/>
  <c r="L299" i="44"/>
  <c r="I299" i="44"/>
  <c r="F299" i="44"/>
  <c r="C299" i="44" s="1"/>
  <c r="O298" i="44"/>
  <c r="L298" i="44"/>
  <c r="I298" i="44"/>
  <c r="F298" i="44"/>
  <c r="C298" i="44" s="1"/>
  <c r="O297" i="44"/>
  <c r="L297" i="44"/>
  <c r="I297" i="44"/>
  <c r="F297" i="44"/>
  <c r="O296" i="44"/>
  <c r="L296" i="44"/>
  <c r="I296" i="44"/>
  <c r="F296" i="44"/>
  <c r="O295" i="44"/>
  <c r="L295" i="44"/>
  <c r="I295" i="44"/>
  <c r="F295" i="44"/>
  <c r="O294" i="44"/>
  <c r="L294" i="44"/>
  <c r="I294" i="44"/>
  <c r="F294" i="44"/>
  <c r="C294" i="44" s="1"/>
  <c r="N293" i="44"/>
  <c r="M293" i="44"/>
  <c r="K293" i="44"/>
  <c r="J293" i="44"/>
  <c r="H293" i="44"/>
  <c r="G293" i="44"/>
  <c r="E293" i="44"/>
  <c r="D293" i="44"/>
  <c r="O288" i="44"/>
  <c r="L288" i="44"/>
  <c r="I288" i="44"/>
  <c r="F288" i="44"/>
  <c r="O287" i="44"/>
  <c r="L287" i="44"/>
  <c r="L286" i="44" s="1"/>
  <c r="I287" i="44"/>
  <c r="F287" i="44"/>
  <c r="C287" i="44" s="1"/>
  <c r="O286" i="44"/>
  <c r="N286" i="44"/>
  <c r="M286" i="44"/>
  <c r="K286" i="44"/>
  <c r="J286" i="44"/>
  <c r="H286" i="44"/>
  <c r="G286" i="44"/>
  <c r="F286" i="44"/>
  <c r="E286" i="44"/>
  <c r="D286" i="44"/>
  <c r="O285" i="44"/>
  <c r="L285" i="44"/>
  <c r="L284" i="44" s="1"/>
  <c r="L283" i="44" s="1"/>
  <c r="I285" i="44"/>
  <c r="F285" i="44"/>
  <c r="O284" i="44"/>
  <c r="N284" i="44"/>
  <c r="N283" i="44" s="1"/>
  <c r="M284" i="44"/>
  <c r="M283" i="44" s="1"/>
  <c r="K284" i="44"/>
  <c r="K283" i="44" s="1"/>
  <c r="J284" i="44"/>
  <c r="J283" i="44" s="1"/>
  <c r="I284" i="44"/>
  <c r="I283" i="44" s="1"/>
  <c r="H284" i="44"/>
  <c r="H283" i="44" s="1"/>
  <c r="G284" i="44"/>
  <c r="E284" i="44"/>
  <c r="E283" i="44" s="1"/>
  <c r="D284" i="44"/>
  <c r="D283" i="44" s="1"/>
  <c r="O283" i="44"/>
  <c r="G283" i="44"/>
  <c r="O282" i="44"/>
  <c r="O281" i="44" s="1"/>
  <c r="L282" i="44"/>
  <c r="L281" i="44" s="1"/>
  <c r="I282" i="44"/>
  <c r="I281" i="44" s="1"/>
  <c r="F282" i="44"/>
  <c r="N281" i="44"/>
  <c r="M281" i="44"/>
  <c r="K281" i="44"/>
  <c r="J281" i="44"/>
  <c r="H281" i="44"/>
  <c r="G281" i="44"/>
  <c r="E281" i="44"/>
  <c r="D281" i="44"/>
  <c r="O280" i="44"/>
  <c r="L280" i="44"/>
  <c r="I280" i="44"/>
  <c r="F280" i="44"/>
  <c r="O279" i="44"/>
  <c r="L279" i="44"/>
  <c r="I279" i="44"/>
  <c r="F279" i="44"/>
  <c r="O278" i="44"/>
  <c r="L278" i="44"/>
  <c r="I278" i="44"/>
  <c r="F278" i="44"/>
  <c r="O277" i="44"/>
  <c r="L277" i="44"/>
  <c r="L276" i="44" s="1"/>
  <c r="I277" i="44"/>
  <c r="I276" i="44" s="1"/>
  <c r="F277" i="44"/>
  <c r="N276" i="44"/>
  <c r="M276" i="44"/>
  <c r="K276" i="44"/>
  <c r="J276" i="44"/>
  <c r="H276" i="44"/>
  <c r="G276" i="44"/>
  <c r="E276" i="44"/>
  <c r="D276" i="44"/>
  <c r="O275" i="44"/>
  <c r="L275" i="44"/>
  <c r="I275" i="44"/>
  <c r="F275" i="44"/>
  <c r="O274" i="44"/>
  <c r="L274" i="44"/>
  <c r="I274" i="44"/>
  <c r="F274" i="44"/>
  <c r="O273" i="44"/>
  <c r="L273" i="44"/>
  <c r="I273" i="44"/>
  <c r="F273" i="44"/>
  <c r="N272" i="44"/>
  <c r="N270" i="44" s="1"/>
  <c r="M272" i="44"/>
  <c r="K272" i="44"/>
  <c r="K270" i="44" s="1"/>
  <c r="K269" i="44" s="1"/>
  <c r="J272" i="44"/>
  <c r="J270" i="44" s="1"/>
  <c r="J269" i="44" s="1"/>
  <c r="I272" i="44"/>
  <c r="H272" i="44"/>
  <c r="G272" i="44"/>
  <c r="E272" i="44"/>
  <c r="D272" i="44"/>
  <c r="D270" i="44" s="1"/>
  <c r="O271" i="44"/>
  <c r="L271" i="44"/>
  <c r="I271" i="44"/>
  <c r="F271" i="44"/>
  <c r="N269" i="44"/>
  <c r="O268" i="44"/>
  <c r="L268" i="44"/>
  <c r="I268" i="44"/>
  <c r="F268" i="44"/>
  <c r="O267" i="44"/>
  <c r="L267" i="44"/>
  <c r="I267" i="44"/>
  <c r="F267" i="44"/>
  <c r="O266" i="44"/>
  <c r="L266" i="44"/>
  <c r="I266" i="44"/>
  <c r="F266" i="44"/>
  <c r="O265" i="44"/>
  <c r="L265" i="44"/>
  <c r="I265" i="44"/>
  <c r="F265" i="44"/>
  <c r="N264" i="44"/>
  <c r="M264" i="44"/>
  <c r="K264" i="44"/>
  <c r="J264" i="44"/>
  <c r="H264" i="44"/>
  <c r="G264" i="44"/>
  <c r="E264" i="44"/>
  <c r="D264" i="44"/>
  <c r="O263" i="44"/>
  <c r="L263" i="44"/>
  <c r="I263" i="44"/>
  <c r="F263" i="44"/>
  <c r="O262" i="44"/>
  <c r="L262" i="44"/>
  <c r="I262" i="44"/>
  <c r="F262" i="44"/>
  <c r="O261" i="44"/>
  <c r="L261" i="44"/>
  <c r="I261" i="44"/>
  <c r="F261" i="44"/>
  <c r="N260" i="44"/>
  <c r="N259" i="44" s="1"/>
  <c r="M260" i="44"/>
  <c r="K260" i="44"/>
  <c r="J260" i="44"/>
  <c r="H260" i="44"/>
  <c r="G260" i="44"/>
  <c r="E260" i="44"/>
  <c r="D260" i="44"/>
  <c r="D259" i="44" s="1"/>
  <c r="H259" i="44"/>
  <c r="G259" i="44"/>
  <c r="O258" i="44"/>
  <c r="L258" i="44"/>
  <c r="I258" i="44"/>
  <c r="F258" i="44"/>
  <c r="O257" i="44"/>
  <c r="L257" i="44"/>
  <c r="I257" i="44"/>
  <c r="F257" i="44"/>
  <c r="O256" i="44"/>
  <c r="L256" i="44"/>
  <c r="I256" i="44"/>
  <c r="F256" i="44"/>
  <c r="O255" i="44"/>
  <c r="L255" i="44"/>
  <c r="I255" i="44"/>
  <c r="F255" i="44"/>
  <c r="O254" i="44"/>
  <c r="L254" i="44"/>
  <c r="I254" i="44"/>
  <c r="C254" i="44" s="1"/>
  <c r="F254" i="44"/>
  <c r="O253" i="44"/>
  <c r="L253" i="44"/>
  <c r="I253" i="44"/>
  <c r="F253" i="44"/>
  <c r="N252" i="44"/>
  <c r="N251" i="44" s="1"/>
  <c r="M252" i="44"/>
  <c r="M251" i="44" s="1"/>
  <c r="K252" i="44"/>
  <c r="J252" i="44"/>
  <c r="I252" i="44"/>
  <c r="H252" i="44"/>
  <c r="G252" i="44"/>
  <c r="E252" i="44"/>
  <c r="E251" i="44" s="1"/>
  <c r="D252" i="44"/>
  <c r="D251" i="44" s="1"/>
  <c r="K251" i="44"/>
  <c r="J251" i="44"/>
  <c r="H251" i="44"/>
  <c r="G251" i="44"/>
  <c r="O250" i="44"/>
  <c r="L250" i="44"/>
  <c r="I250" i="44"/>
  <c r="F250" i="44"/>
  <c r="O249" i="44"/>
  <c r="L249" i="44"/>
  <c r="I249" i="44"/>
  <c r="F249" i="44"/>
  <c r="O248" i="44"/>
  <c r="L248" i="44"/>
  <c r="I248" i="44"/>
  <c r="F248" i="44"/>
  <c r="O247" i="44"/>
  <c r="L247" i="44"/>
  <c r="I247" i="44"/>
  <c r="F247" i="44"/>
  <c r="F246" i="44" s="1"/>
  <c r="O246" i="44"/>
  <c r="N246" i="44"/>
  <c r="M246" i="44"/>
  <c r="K246" i="44"/>
  <c r="J246" i="44"/>
  <c r="H246" i="44"/>
  <c r="G246" i="44"/>
  <c r="E246" i="44"/>
  <c r="D246" i="44"/>
  <c r="O245" i="44"/>
  <c r="L245" i="44"/>
  <c r="I245" i="44"/>
  <c r="F245" i="44"/>
  <c r="O244" i="44"/>
  <c r="L244" i="44"/>
  <c r="I244" i="44"/>
  <c r="F244" i="44"/>
  <c r="O243" i="44"/>
  <c r="L243" i="44"/>
  <c r="I243" i="44"/>
  <c r="F243" i="44"/>
  <c r="O242" i="44"/>
  <c r="L242" i="44"/>
  <c r="I242" i="44"/>
  <c r="F242" i="44"/>
  <c r="O241" i="44"/>
  <c r="L241" i="44"/>
  <c r="I241" i="44"/>
  <c r="F241" i="44"/>
  <c r="O240" i="44"/>
  <c r="L240" i="44"/>
  <c r="I240" i="44"/>
  <c r="F240" i="44"/>
  <c r="O239" i="44"/>
  <c r="L239" i="44"/>
  <c r="L238" i="44" s="1"/>
  <c r="I239" i="44"/>
  <c r="F239" i="44"/>
  <c r="O238" i="44"/>
  <c r="N238" i="44"/>
  <c r="M238" i="44"/>
  <c r="K238" i="44"/>
  <c r="J238" i="44"/>
  <c r="H238" i="44"/>
  <c r="G238" i="44"/>
  <c r="E238" i="44"/>
  <c r="D238" i="44"/>
  <c r="O237" i="44"/>
  <c r="L237" i="44"/>
  <c r="I237" i="44"/>
  <c r="F237" i="44"/>
  <c r="O236" i="44"/>
  <c r="O235" i="44" s="1"/>
  <c r="L236" i="44"/>
  <c r="L235" i="44" s="1"/>
  <c r="I236" i="44"/>
  <c r="F236" i="44"/>
  <c r="F235" i="44" s="1"/>
  <c r="N235" i="44"/>
  <c r="M235" i="44"/>
  <c r="K235" i="44"/>
  <c r="J235" i="44"/>
  <c r="H235" i="44"/>
  <c r="G235" i="44"/>
  <c r="E235" i="44"/>
  <c r="D235" i="44"/>
  <c r="O234" i="44"/>
  <c r="O233" i="44" s="1"/>
  <c r="L234" i="44"/>
  <c r="L233" i="44" s="1"/>
  <c r="I234" i="44"/>
  <c r="F234" i="44"/>
  <c r="N233" i="44"/>
  <c r="M233" i="44"/>
  <c r="M231" i="44" s="1"/>
  <c r="K233" i="44"/>
  <c r="J233" i="44"/>
  <c r="I233" i="44"/>
  <c r="H233" i="44"/>
  <c r="H231" i="44" s="1"/>
  <c r="G233" i="44"/>
  <c r="E233" i="44"/>
  <c r="E231" i="44" s="1"/>
  <c r="D233" i="44"/>
  <c r="D231" i="44" s="1"/>
  <c r="D230" i="44" s="1"/>
  <c r="O232" i="44"/>
  <c r="L232" i="44"/>
  <c r="I232" i="44"/>
  <c r="F232" i="44"/>
  <c r="O229" i="44"/>
  <c r="L229" i="44"/>
  <c r="I229" i="44"/>
  <c r="F229" i="44"/>
  <c r="C229" i="44" s="1"/>
  <c r="O228" i="44"/>
  <c r="L228" i="44"/>
  <c r="I228" i="44"/>
  <c r="F228" i="44"/>
  <c r="F227" i="44" s="1"/>
  <c r="O227" i="44"/>
  <c r="N227" i="44"/>
  <c r="M227" i="44"/>
  <c r="L227" i="44"/>
  <c r="K227" i="44"/>
  <c r="J227" i="44"/>
  <c r="H227" i="44"/>
  <c r="G227" i="44"/>
  <c r="E227" i="44"/>
  <c r="D227" i="44"/>
  <c r="O226" i="44"/>
  <c r="L226" i="44"/>
  <c r="C226" i="44" s="1"/>
  <c r="I226" i="44"/>
  <c r="F226" i="44"/>
  <c r="O225" i="44"/>
  <c r="L225" i="44"/>
  <c r="I225" i="44"/>
  <c r="F225" i="44"/>
  <c r="O224" i="44"/>
  <c r="L224" i="44"/>
  <c r="I224" i="44"/>
  <c r="F224" i="44"/>
  <c r="O223" i="44"/>
  <c r="L223" i="44"/>
  <c r="I223" i="44"/>
  <c r="F223" i="44"/>
  <c r="O222" i="44"/>
  <c r="L222" i="44"/>
  <c r="I222" i="44"/>
  <c r="F222" i="44"/>
  <c r="O221" i="44"/>
  <c r="L221" i="44"/>
  <c r="I221" i="44"/>
  <c r="F221" i="44"/>
  <c r="O220" i="44"/>
  <c r="L220" i="44"/>
  <c r="I220" i="44"/>
  <c r="F220" i="44"/>
  <c r="O219" i="44"/>
  <c r="L219" i="44"/>
  <c r="I219" i="44"/>
  <c r="F219" i="44"/>
  <c r="O218" i="44"/>
  <c r="L218" i="44"/>
  <c r="I218" i="44"/>
  <c r="F218" i="44"/>
  <c r="O217" i="44"/>
  <c r="L217" i="44"/>
  <c r="I217" i="44"/>
  <c r="I216" i="44" s="1"/>
  <c r="F217" i="44"/>
  <c r="N216" i="44"/>
  <c r="M216" i="44"/>
  <c r="K216" i="44"/>
  <c r="J216" i="44"/>
  <c r="H216" i="44"/>
  <c r="G216" i="44"/>
  <c r="E216" i="44"/>
  <c r="D216" i="44"/>
  <c r="O215" i="44"/>
  <c r="L215" i="44"/>
  <c r="I215" i="44"/>
  <c r="F215" i="44"/>
  <c r="O214" i="44"/>
  <c r="L214" i="44"/>
  <c r="I214" i="44"/>
  <c r="F214" i="44"/>
  <c r="O213" i="44"/>
  <c r="L213" i="44"/>
  <c r="I213" i="44"/>
  <c r="F213" i="44"/>
  <c r="O212" i="44"/>
  <c r="L212" i="44"/>
  <c r="I212" i="44"/>
  <c r="F212" i="44"/>
  <c r="O211" i="44"/>
  <c r="L211" i="44"/>
  <c r="I211" i="44"/>
  <c r="F211" i="44"/>
  <c r="O210" i="44"/>
  <c r="L210" i="44"/>
  <c r="I210" i="44"/>
  <c r="C210" i="44" s="1"/>
  <c r="F210" i="44"/>
  <c r="O209" i="44"/>
  <c r="L209" i="44"/>
  <c r="I209" i="44"/>
  <c r="F209" i="44"/>
  <c r="O208" i="44"/>
  <c r="L208" i="44"/>
  <c r="I208" i="44"/>
  <c r="F208" i="44"/>
  <c r="O207" i="44"/>
  <c r="L207" i="44"/>
  <c r="I207" i="44"/>
  <c r="F207" i="44"/>
  <c r="O206" i="44"/>
  <c r="L206" i="44"/>
  <c r="I206" i="44"/>
  <c r="F206" i="44"/>
  <c r="N205" i="44"/>
  <c r="M205" i="44"/>
  <c r="K205" i="44"/>
  <c r="K204" i="44" s="1"/>
  <c r="J205" i="44"/>
  <c r="H205" i="44"/>
  <c r="G205" i="44"/>
  <c r="E205" i="44"/>
  <c r="D205" i="44"/>
  <c r="D204" i="44" s="1"/>
  <c r="O203" i="44"/>
  <c r="L203" i="44"/>
  <c r="I203" i="44"/>
  <c r="F203" i="44"/>
  <c r="O202" i="44"/>
  <c r="L202" i="44"/>
  <c r="I202" i="44"/>
  <c r="F202" i="44"/>
  <c r="O201" i="44"/>
  <c r="L201" i="44"/>
  <c r="I201" i="44"/>
  <c r="F201" i="44"/>
  <c r="O200" i="44"/>
  <c r="L200" i="44"/>
  <c r="I200" i="44"/>
  <c r="F200" i="44"/>
  <c r="O199" i="44"/>
  <c r="L199" i="44"/>
  <c r="L198" i="44" s="1"/>
  <c r="I199" i="44"/>
  <c r="F199" i="44"/>
  <c r="F198" i="44" s="1"/>
  <c r="O198" i="44"/>
  <c r="N198" i="44"/>
  <c r="M198" i="44"/>
  <c r="K198" i="44"/>
  <c r="K196" i="44" s="1"/>
  <c r="J198" i="44"/>
  <c r="H198" i="44"/>
  <c r="H196" i="44" s="1"/>
  <c r="G198" i="44"/>
  <c r="G196" i="44" s="1"/>
  <c r="E198" i="44"/>
  <c r="E196" i="44" s="1"/>
  <c r="D198" i="44"/>
  <c r="O197" i="44"/>
  <c r="L197" i="44"/>
  <c r="I197" i="44"/>
  <c r="F197" i="44"/>
  <c r="N196" i="44"/>
  <c r="M196" i="44"/>
  <c r="J196" i="44"/>
  <c r="D196" i="44"/>
  <c r="O193" i="44"/>
  <c r="L193" i="44"/>
  <c r="L192" i="44" s="1"/>
  <c r="I193" i="44"/>
  <c r="I192" i="44" s="1"/>
  <c r="I191" i="44" s="1"/>
  <c r="F193" i="44"/>
  <c r="O192" i="44"/>
  <c r="O191" i="44" s="1"/>
  <c r="N192" i="44"/>
  <c r="M192" i="44"/>
  <c r="M191" i="44" s="1"/>
  <c r="K192" i="44"/>
  <c r="K191" i="44" s="1"/>
  <c r="J192" i="44"/>
  <c r="J191" i="44" s="1"/>
  <c r="H192" i="44"/>
  <c r="G192" i="44"/>
  <c r="G191" i="44" s="1"/>
  <c r="E192" i="44"/>
  <c r="E191" i="44" s="1"/>
  <c r="D192" i="44"/>
  <c r="N191" i="44"/>
  <c r="L191" i="44"/>
  <c r="H191" i="44"/>
  <c r="D191" i="44"/>
  <c r="O190" i="44"/>
  <c r="L190" i="44"/>
  <c r="I190" i="44"/>
  <c r="F190" i="44"/>
  <c r="O189" i="44"/>
  <c r="O188" i="44" s="1"/>
  <c r="L189" i="44"/>
  <c r="L188" i="44" s="1"/>
  <c r="I189" i="44"/>
  <c r="F189" i="44"/>
  <c r="F188" i="44" s="1"/>
  <c r="N188" i="44"/>
  <c r="N187" i="44" s="1"/>
  <c r="M188" i="44"/>
  <c r="K188" i="44"/>
  <c r="J188" i="44"/>
  <c r="H188" i="44"/>
  <c r="H187" i="44" s="1"/>
  <c r="G188" i="44"/>
  <c r="E188" i="44"/>
  <c r="D188" i="44"/>
  <c r="D187" i="44" s="1"/>
  <c r="O186" i="44"/>
  <c r="L186" i="44"/>
  <c r="I186" i="44"/>
  <c r="F186" i="44"/>
  <c r="O185" i="44"/>
  <c r="O184" i="44" s="1"/>
  <c r="L185" i="44"/>
  <c r="L184" i="44" s="1"/>
  <c r="I185" i="44"/>
  <c r="F185" i="44"/>
  <c r="F184" i="44" s="1"/>
  <c r="N184" i="44"/>
  <c r="M184" i="44"/>
  <c r="K184" i="44"/>
  <c r="J184" i="44"/>
  <c r="H184" i="44"/>
  <c r="G184" i="44"/>
  <c r="E184" i="44"/>
  <c r="D184" i="44"/>
  <c r="O183" i="44"/>
  <c r="L183" i="44"/>
  <c r="I183" i="44"/>
  <c r="F183" i="44"/>
  <c r="O182" i="44"/>
  <c r="L182" i="44"/>
  <c r="I182" i="44"/>
  <c r="F182" i="44"/>
  <c r="O181" i="44"/>
  <c r="L181" i="44"/>
  <c r="I181" i="44"/>
  <c r="F181" i="44"/>
  <c r="O180" i="44"/>
  <c r="L180" i="44"/>
  <c r="L179" i="44" s="1"/>
  <c r="I180" i="44"/>
  <c r="F180" i="44"/>
  <c r="F179" i="44" s="1"/>
  <c r="O179" i="44"/>
  <c r="N179" i="44"/>
  <c r="M179" i="44"/>
  <c r="K179" i="44"/>
  <c r="J179" i="44"/>
  <c r="H179" i="44"/>
  <c r="G179" i="44"/>
  <c r="E179" i="44"/>
  <c r="D179" i="44"/>
  <c r="O178" i="44"/>
  <c r="L178" i="44"/>
  <c r="I178" i="44"/>
  <c r="F178" i="44"/>
  <c r="O177" i="44"/>
  <c r="L177" i="44"/>
  <c r="I177" i="44"/>
  <c r="F177" i="44"/>
  <c r="O176" i="44"/>
  <c r="L176" i="44"/>
  <c r="L175" i="44" s="1"/>
  <c r="I176" i="44"/>
  <c r="F176" i="44"/>
  <c r="F175" i="44" s="1"/>
  <c r="O175" i="44"/>
  <c r="O174" i="44" s="1"/>
  <c r="O173" i="44" s="1"/>
  <c r="N175" i="44"/>
  <c r="M175" i="44"/>
  <c r="M174" i="44" s="1"/>
  <c r="M173" i="44" s="1"/>
  <c r="K175" i="44"/>
  <c r="K174" i="44" s="1"/>
  <c r="J175" i="44"/>
  <c r="J174" i="44" s="1"/>
  <c r="J173" i="44" s="1"/>
  <c r="H175" i="44"/>
  <c r="G175" i="44"/>
  <c r="E175" i="44"/>
  <c r="E174" i="44" s="1"/>
  <c r="E173" i="44" s="1"/>
  <c r="D175" i="44"/>
  <c r="D174" i="44" s="1"/>
  <c r="D173" i="44" s="1"/>
  <c r="O172" i="44"/>
  <c r="L172" i="44"/>
  <c r="I172" i="44"/>
  <c r="F172" i="44"/>
  <c r="O171" i="44"/>
  <c r="L171" i="44"/>
  <c r="I171" i="44"/>
  <c r="F171" i="44"/>
  <c r="O170" i="44"/>
  <c r="L170" i="44"/>
  <c r="I170" i="44"/>
  <c r="F170" i="44"/>
  <c r="O169" i="44"/>
  <c r="L169" i="44"/>
  <c r="I169" i="44"/>
  <c r="F169" i="44"/>
  <c r="O168" i="44"/>
  <c r="L168" i="44"/>
  <c r="I168" i="44"/>
  <c r="F168" i="44"/>
  <c r="O167" i="44"/>
  <c r="O166" i="44" s="1"/>
  <c r="L167" i="44"/>
  <c r="I167" i="44"/>
  <c r="I166" i="44" s="1"/>
  <c r="F167" i="44"/>
  <c r="N166" i="44"/>
  <c r="N165" i="44" s="1"/>
  <c r="M166" i="44"/>
  <c r="M165" i="44" s="1"/>
  <c r="K166" i="44"/>
  <c r="K165" i="44" s="1"/>
  <c r="J166" i="44"/>
  <c r="J165" i="44" s="1"/>
  <c r="H166" i="44"/>
  <c r="H165" i="44" s="1"/>
  <c r="G166" i="44"/>
  <c r="E166" i="44"/>
  <c r="D166" i="44"/>
  <c r="D165" i="44" s="1"/>
  <c r="G165" i="44"/>
  <c r="E165" i="44"/>
  <c r="O164" i="44"/>
  <c r="L164" i="44"/>
  <c r="I164" i="44"/>
  <c r="F164" i="44"/>
  <c r="O163" i="44"/>
  <c r="L163" i="44"/>
  <c r="I163" i="44"/>
  <c r="F163" i="44"/>
  <c r="C163" i="44" s="1"/>
  <c r="O162" i="44"/>
  <c r="L162" i="44"/>
  <c r="I162" i="44"/>
  <c r="F162" i="44"/>
  <c r="O161" i="44"/>
  <c r="O160" i="44" s="1"/>
  <c r="L161" i="44"/>
  <c r="L160" i="44" s="1"/>
  <c r="I161" i="44"/>
  <c r="F161" i="44"/>
  <c r="F160" i="44" s="1"/>
  <c r="N160" i="44"/>
  <c r="M160" i="44"/>
  <c r="K160" i="44"/>
  <c r="J160" i="44"/>
  <c r="H160" i="44"/>
  <c r="G160" i="44"/>
  <c r="E160" i="44"/>
  <c r="D160" i="44"/>
  <c r="O159" i="44"/>
  <c r="L159" i="44"/>
  <c r="I159" i="44"/>
  <c r="F159" i="44"/>
  <c r="O158" i="44"/>
  <c r="L158" i="44"/>
  <c r="I158" i="44"/>
  <c r="F158" i="44"/>
  <c r="O157" i="44"/>
  <c r="L157" i="44"/>
  <c r="I157" i="44"/>
  <c r="F157" i="44"/>
  <c r="O156" i="44"/>
  <c r="L156" i="44"/>
  <c r="I156" i="44"/>
  <c r="F156" i="44"/>
  <c r="O155" i="44"/>
  <c r="L155" i="44"/>
  <c r="I155" i="44"/>
  <c r="F155" i="44"/>
  <c r="O154" i="44"/>
  <c r="L154" i="44"/>
  <c r="I154" i="44"/>
  <c r="F154" i="44"/>
  <c r="O153" i="44"/>
  <c r="L153" i="44"/>
  <c r="I153" i="44"/>
  <c r="F153" i="44"/>
  <c r="O152" i="44"/>
  <c r="L152" i="44"/>
  <c r="I152" i="44"/>
  <c r="F152" i="44"/>
  <c r="N151" i="44"/>
  <c r="M151" i="44"/>
  <c r="K151" i="44"/>
  <c r="J151" i="44"/>
  <c r="H151" i="44"/>
  <c r="G151" i="44"/>
  <c r="E151" i="44"/>
  <c r="D151" i="44"/>
  <c r="O150" i="44"/>
  <c r="L150" i="44"/>
  <c r="I150" i="44"/>
  <c r="F150" i="44"/>
  <c r="O149" i="44"/>
  <c r="L149" i="44"/>
  <c r="I149" i="44"/>
  <c r="F149" i="44"/>
  <c r="O148" i="44"/>
  <c r="L148" i="44"/>
  <c r="I148" i="44"/>
  <c r="F148" i="44"/>
  <c r="O147" i="44"/>
  <c r="L147" i="44"/>
  <c r="I147" i="44"/>
  <c r="F147" i="44"/>
  <c r="O146" i="44"/>
  <c r="L146" i="44"/>
  <c r="I146" i="44"/>
  <c r="F146" i="44"/>
  <c r="O145" i="44"/>
  <c r="O144" i="44" s="1"/>
  <c r="L145" i="44"/>
  <c r="I145" i="44"/>
  <c r="F145" i="44"/>
  <c r="F144" i="44" s="1"/>
  <c r="N144" i="44"/>
  <c r="M144" i="44"/>
  <c r="K144" i="44"/>
  <c r="J144" i="44"/>
  <c r="H144" i="44"/>
  <c r="G144" i="44"/>
  <c r="E144" i="44"/>
  <c r="D144" i="44"/>
  <c r="O143" i="44"/>
  <c r="L143" i="44"/>
  <c r="I143" i="44"/>
  <c r="F143" i="44"/>
  <c r="C143" i="44" s="1"/>
  <c r="O142" i="44"/>
  <c r="L142" i="44"/>
  <c r="I142" i="44"/>
  <c r="I141" i="44" s="1"/>
  <c r="F142" i="44"/>
  <c r="N141" i="44"/>
  <c r="M141" i="44"/>
  <c r="L141" i="44"/>
  <c r="K141" i="44"/>
  <c r="J141" i="44"/>
  <c r="H141" i="44"/>
  <c r="G141" i="44"/>
  <c r="E141" i="44"/>
  <c r="D141" i="44"/>
  <c r="O140" i="44"/>
  <c r="L140" i="44"/>
  <c r="I140" i="44"/>
  <c r="F140" i="44"/>
  <c r="O139" i="44"/>
  <c r="L139" i="44"/>
  <c r="I139" i="44"/>
  <c r="F139" i="44"/>
  <c r="O138" i="44"/>
  <c r="L138" i="44"/>
  <c r="I138" i="44"/>
  <c r="F138" i="44"/>
  <c r="O137" i="44"/>
  <c r="L137" i="44"/>
  <c r="I137" i="44"/>
  <c r="F137" i="44"/>
  <c r="N136" i="44"/>
  <c r="M136" i="44"/>
  <c r="K136" i="44"/>
  <c r="J136" i="44"/>
  <c r="H136" i="44"/>
  <c r="G136" i="44"/>
  <c r="F136" i="44"/>
  <c r="E136" i="44"/>
  <c r="D136" i="44"/>
  <c r="O135" i="44"/>
  <c r="L135" i="44"/>
  <c r="I135" i="44"/>
  <c r="F135" i="44"/>
  <c r="O134" i="44"/>
  <c r="L134" i="44"/>
  <c r="I134" i="44"/>
  <c r="F134" i="44"/>
  <c r="O133" i="44"/>
  <c r="L133" i="44"/>
  <c r="I133" i="44"/>
  <c r="F133" i="44"/>
  <c r="O132" i="44"/>
  <c r="L132" i="44"/>
  <c r="L131" i="44" s="1"/>
  <c r="I132" i="44"/>
  <c r="F132" i="44"/>
  <c r="F131" i="44" s="1"/>
  <c r="O131" i="44"/>
  <c r="N131" i="44"/>
  <c r="M131" i="44"/>
  <c r="K131" i="44"/>
  <c r="J131" i="44"/>
  <c r="H131" i="44"/>
  <c r="G131" i="44"/>
  <c r="E131" i="44"/>
  <c r="D131" i="44"/>
  <c r="D130" i="44" s="1"/>
  <c r="O129" i="44"/>
  <c r="L129" i="44"/>
  <c r="L128" i="44" s="1"/>
  <c r="I129" i="44"/>
  <c r="F129" i="44"/>
  <c r="O128" i="44"/>
  <c r="N128" i="44"/>
  <c r="M128" i="44"/>
  <c r="K128" i="44"/>
  <c r="J128" i="44"/>
  <c r="H128" i="44"/>
  <c r="G128" i="44"/>
  <c r="F128" i="44"/>
  <c r="E128" i="44"/>
  <c r="D128" i="44"/>
  <c r="O127" i="44"/>
  <c r="L127" i="44"/>
  <c r="I127" i="44"/>
  <c r="F127" i="44"/>
  <c r="O126" i="44"/>
  <c r="L126" i="44"/>
  <c r="I126" i="44"/>
  <c r="F126" i="44"/>
  <c r="O125" i="44"/>
  <c r="L125" i="44"/>
  <c r="I125" i="44"/>
  <c r="F125" i="44"/>
  <c r="O124" i="44"/>
  <c r="L124" i="44"/>
  <c r="I124" i="44"/>
  <c r="F124" i="44"/>
  <c r="O123" i="44"/>
  <c r="L123" i="44"/>
  <c r="I123" i="44"/>
  <c r="F123" i="44"/>
  <c r="N122" i="44"/>
  <c r="M122" i="44"/>
  <c r="K122" i="44"/>
  <c r="J122" i="44"/>
  <c r="H122" i="44"/>
  <c r="G122" i="44"/>
  <c r="E122" i="44"/>
  <c r="D122" i="44"/>
  <c r="O121" i="44"/>
  <c r="L121" i="44"/>
  <c r="I121" i="44"/>
  <c r="F121" i="44"/>
  <c r="O120" i="44"/>
  <c r="L120" i="44"/>
  <c r="I120" i="44"/>
  <c r="F120" i="44"/>
  <c r="O119" i="44"/>
  <c r="L119" i="44"/>
  <c r="I119" i="44"/>
  <c r="F119" i="44"/>
  <c r="O118" i="44"/>
  <c r="L118" i="44"/>
  <c r="I118" i="44"/>
  <c r="F118" i="44"/>
  <c r="O117" i="44"/>
  <c r="L117" i="44"/>
  <c r="I117" i="44"/>
  <c r="F117" i="44"/>
  <c r="F116" i="44" s="1"/>
  <c r="N116" i="44"/>
  <c r="M116" i="44"/>
  <c r="K116" i="44"/>
  <c r="J116" i="44"/>
  <c r="H116" i="44"/>
  <c r="G116" i="44"/>
  <c r="E116" i="44"/>
  <c r="D116" i="44"/>
  <c r="O115" i="44"/>
  <c r="L115" i="44"/>
  <c r="I115" i="44"/>
  <c r="F115" i="44"/>
  <c r="O114" i="44"/>
  <c r="L114" i="44"/>
  <c r="I114" i="44"/>
  <c r="F114" i="44"/>
  <c r="O113" i="44"/>
  <c r="O112" i="44" s="1"/>
  <c r="L113" i="44"/>
  <c r="L112" i="44" s="1"/>
  <c r="I113" i="44"/>
  <c r="F113" i="44"/>
  <c r="N112" i="44"/>
  <c r="M112" i="44"/>
  <c r="K112" i="44"/>
  <c r="J112" i="44"/>
  <c r="H112" i="44"/>
  <c r="G112" i="44"/>
  <c r="E112" i="44"/>
  <c r="D112" i="44"/>
  <c r="O111" i="44"/>
  <c r="L111" i="44"/>
  <c r="I111" i="44"/>
  <c r="F111" i="44"/>
  <c r="O110" i="44"/>
  <c r="L110" i="44"/>
  <c r="I110" i="44"/>
  <c r="F110" i="44"/>
  <c r="O109" i="44"/>
  <c r="L109" i="44"/>
  <c r="I109" i="44"/>
  <c r="F109" i="44"/>
  <c r="O108" i="44"/>
  <c r="L108" i="44"/>
  <c r="I108" i="44"/>
  <c r="F108" i="44"/>
  <c r="O107" i="44"/>
  <c r="L107" i="44"/>
  <c r="I107" i="44"/>
  <c r="F107" i="44"/>
  <c r="O106" i="44"/>
  <c r="L106" i="44"/>
  <c r="I106" i="44"/>
  <c r="F106" i="44"/>
  <c r="O105" i="44"/>
  <c r="L105" i="44"/>
  <c r="I105" i="44"/>
  <c r="F105" i="44"/>
  <c r="O104" i="44"/>
  <c r="L104" i="44"/>
  <c r="I104" i="44"/>
  <c r="F104" i="44"/>
  <c r="N103" i="44"/>
  <c r="M103" i="44"/>
  <c r="K103" i="44"/>
  <c r="J103" i="44"/>
  <c r="H103" i="44"/>
  <c r="G103" i="44"/>
  <c r="E103" i="44"/>
  <c r="D103" i="44"/>
  <c r="O102" i="44"/>
  <c r="L102" i="44"/>
  <c r="I102" i="44"/>
  <c r="F102" i="44"/>
  <c r="O101" i="44"/>
  <c r="L101" i="44"/>
  <c r="I101" i="44"/>
  <c r="F101" i="44"/>
  <c r="O100" i="44"/>
  <c r="L100" i="44"/>
  <c r="I100" i="44"/>
  <c r="F100" i="44"/>
  <c r="O99" i="44"/>
  <c r="L99" i="44"/>
  <c r="I99" i="44"/>
  <c r="F99" i="44"/>
  <c r="O98" i="44"/>
  <c r="L98" i="44"/>
  <c r="I98" i="44"/>
  <c r="F98" i="44"/>
  <c r="O97" i="44"/>
  <c r="L97" i="44"/>
  <c r="I97" i="44"/>
  <c r="F97" i="44"/>
  <c r="O96" i="44"/>
  <c r="L96" i="44"/>
  <c r="I96" i="44"/>
  <c r="F96" i="44"/>
  <c r="F95" i="44" s="1"/>
  <c r="N95" i="44"/>
  <c r="M95" i="44"/>
  <c r="K95" i="44"/>
  <c r="J95" i="44"/>
  <c r="H95" i="44"/>
  <c r="G95" i="44"/>
  <c r="E95" i="44"/>
  <c r="D95" i="44"/>
  <c r="O94" i="44"/>
  <c r="L94" i="44"/>
  <c r="I94" i="44"/>
  <c r="F94" i="44"/>
  <c r="O93" i="44"/>
  <c r="L93" i="44"/>
  <c r="I93" i="44"/>
  <c r="F93" i="44"/>
  <c r="O92" i="44"/>
  <c r="L92" i="44"/>
  <c r="I92" i="44"/>
  <c r="F92" i="44"/>
  <c r="O91" i="44"/>
  <c r="L91" i="44"/>
  <c r="I91" i="44"/>
  <c r="F91" i="44"/>
  <c r="O90" i="44"/>
  <c r="L90" i="44"/>
  <c r="I90" i="44"/>
  <c r="I89" i="44" s="1"/>
  <c r="F90" i="44"/>
  <c r="N89" i="44"/>
  <c r="M89" i="44"/>
  <c r="K89" i="44"/>
  <c r="J89" i="44"/>
  <c r="H89" i="44"/>
  <c r="G89" i="44"/>
  <c r="E89" i="44"/>
  <c r="D89" i="44"/>
  <c r="O88" i="44"/>
  <c r="L88" i="44"/>
  <c r="I88" i="44"/>
  <c r="F88" i="44"/>
  <c r="O87" i="44"/>
  <c r="L87" i="44"/>
  <c r="I87" i="44"/>
  <c r="C87" i="44" s="1"/>
  <c r="F87" i="44"/>
  <c r="O86" i="44"/>
  <c r="L86" i="44"/>
  <c r="I86" i="44"/>
  <c r="F86" i="44"/>
  <c r="O85" i="44"/>
  <c r="L85" i="44"/>
  <c r="I85" i="44"/>
  <c r="F85" i="44"/>
  <c r="F84" i="44" s="1"/>
  <c r="N84" i="44"/>
  <c r="M84" i="44"/>
  <c r="K84" i="44"/>
  <c r="J84" i="44"/>
  <c r="H84" i="44"/>
  <c r="G84" i="44"/>
  <c r="E84" i="44"/>
  <c r="D84" i="44"/>
  <c r="O82" i="44"/>
  <c r="L82" i="44"/>
  <c r="I82" i="44"/>
  <c r="F82" i="44"/>
  <c r="O81" i="44"/>
  <c r="L81" i="44"/>
  <c r="L80" i="44" s="1"/>
  <c r="I81" i="44"/>
  <c r="I80" i="44" s="1"/>
  <c r="F81" i="44"/>
  <c r="O80" i="44"/>
  <c r="N80" i="44"/>
  <c r="M80" i="44"/>
  <c r="K80" i="44"/>
  <c r="J80" i="44"/>
  <c r="H80" i="44"/>
  <c r="G80" i="44"/>
  <c r="E80" i="44"/>
  <c r="D80" i="44"/>
  <c r="O79" i="44"/>
  <c r="L79" i="44"/>
  <c r="I79" i="44"/>
  <c r="F79" i="44"/>
  <c r="O78" i="44"/>
  <c r="O77" i="44" s="1"/>
  <c r="L78" i="44"/>
  <c r="L77" i="44" s="1"/>
  <c r="I78" i="44"/>
  <c r="I77" i="44" s="1"/>
  <c r="F78" i="44"/>
  <c r="N77" i="44"/>
  <c r="M77" i="44"/>
  <c r="K77" i="44"/>
  <c r="J77" i="44"/>
  <c r="H77" i="44"/>
  <c r="H76" i="44" s="1"/>
  <c r="G77" i="44"/>
  <c r="G76" i="44" s="1"/>
  <c r="E77" i="44"/>
  <c r="E76" i="44" s="1"/>
  <c r="D77" i="44"/>
  <c r="D76" i="44" s="1"/>
  <c r="M76" i="44"/>
  <c r="O74" i="44"/>
  <c r="L74" i="44"/>
  <c r="I74" i="44"/>
  <c r="F74" i="44"/>
  <c r="O73" i="44"/>
  <c r="L73" i="44"/>
  <c r="I73" i="44"/>
  <c r="F73" i="44"/>
  <c r="O72" i="44"/>
  <c r="L72" i="44"/>
  <c r="I72" i="44"/>
  <c r="F72" i="44"/>
  <c r="O71" i="44"/>
  <c r="L71" i="44"/>
  <c r="I71" i="44"/>
  <c r="F71" i="44"/>
  <c r="O70" i="44"/>
  <c r="O69" i="44" s="1"/>
  <c r="L70" i="44"/>
  <c r="L69" i="44" s="1"/>
  <c r="I70" i="44"/>
  <c r="I69" i="44" s="1"/>
  <c r="F70" i="44"/>
  <c r="N69" i="44"/>
  <c r="M69" i="44"/>
  <c r="M67" i="44" s="1"/>
  <c r="K69" i="44"/>
  <c r="J69" i="44"/>
  <c r="J67" i="44" s="1"/>
  <c r="H69" i="44"/>
  <c r="H67" i="44" s="1"/>
  <c r="G69" i="44"/>
  <c r="E69" i="44"/>
  <c r="E67" i="44" s="1"/>
  <c r="D69" i="44"/>
  <c r="D67" i="44" s="1"/>
  <c r="O68" i="44"/>
  <c r="L68" i="44"/>
  <c r="I68" i="44"/>
  <c r="I67" i="44" s="1"/>
  <c r="F68" i="44"/>
  <c r="N67" i="44"/>
  <c r="K67" i="44"/>
  <c r="G67" i="44"/>
  <c r="O66" i="44"/>
  <c r="L66" i="44"/>
  <c r="I66" i="44"/>
  <c r="F66" i="44"/>
  <c r="O65" i="44"/>
  <c r="L65" i="44"/>
  <c r="I65" i="44"/>
  <c r="F65" i="44"/>
  <c r="C65" i="44" s="1"/>
  <c r="O64" i="44"/>
  <c r="L64" i="44"/>
  <c r="I64" i="44"/>
  <c r="F64" i="44"/>
  <c r="O63" i="44"/>
  <c r="L63" i="44"/>
  <c r="I63" i="44"/>
  <c r="F63" i="44"/>
  <c r="C63" i="44" s="1"/>
  <c r="O62" i="44"/>
  <c r="L62" i="44"/>
  <c r="I62" i="44"/>
  <c r="F62" i="44"/>
  <c r="C62" i="44" s="1"/>
  <c r="O61" i="44"/>
  <c r="L61" i="44"/>
  <c r="I61" i="44"/>
  <c r="F61" i="44"/>
  <c r="O60" i="44"/>
  <c r="L60" i="44"/>
  <c r="I60" i="44"/>
  <c r="F60" i="44"/>
  <c r="O59" i="44"/>
  <c r="L59" i="44"/>
  <c r="L58" i="44" s="1"/>
  <c r="I59" i="44"/>
  <c r="F59" i="44"/>
  <c r="O58" i="44"/>
  <c r="N58" i="44"/>
  <c r="M58" i="44"/>
  <c r="K58" i="44"/>
  <c r="J58" i="44"/>
  <c r="H58" i="44"/>
  <c r="G58" i="44"/>
  <c r="E58" i="44"/>
  <c r="D58" i="44"/>
  <c r="O57" i="44"/>
  <c r="L57" i="44"/>
  <c r="I57" i="44"/>
  <c r="F57" i="44"/>
  <c r="O56" i="44"/>
  <c r="O55" i="44" s="1"/>
  <c r="L56" i="44"/>
  <c r="L55" i="44" s="1"/>
  <c r="I56" i="44"/>
  <c r="I55" i="44" s="1"/>
  <c r="F56" i="44"/>
  <c r="F55" i="44" s="1"/>
  <c r="N55" i="44"/>
  <c r="N54" i="44" s="1"/>
  <c r="N53" i="44" s="1"/>
  <c r="M55" i="44"/>
  <c r="M54" i="44" s="1"/>
  <c r="K55" i="44"/>
  <c r="K54" i="44" s="1"/>
  <c r="K53" i="44" s="1"/>
  <c r="J55" i="44"/>
  <c r="J54" i="44" s="1"/>
  <c r="H55" i="44"/>
  <c r="H54" i="44" s="1"/>
  <c r="H53" i="44" s="1"/>
  <c r="G55" i="44"/>
  <c r="E55" i="44"/>
  <c r="E54" i="44" s="1"/>
  <c r="D55" i="44"/>
  <c r="G54" i="44"/>
  <c r="G53" i="44" s="1"/>
  <c r="O47" i="44"/>
  <c r="C47" i="44" s="1"/>
  <c r="O46" i="44"/>
  <c r="O45" i="44" s="1"/>
  <c r="N45" i="44"/>
  <c r="M45" i="44"/>
  <c r="L44" i="44"/>
  <c r="L43" i="44" s="1"/>
  <c r="I44" i="44"/>
  <c r="F44" i="44"/>
  <c r="K43" i="44"/>
  <c r="J43" i="44"/>
  <c r="H43" i="44"/>
  <c r="G43" i="44"/>
  <c r="F43" i="44"/>
  <c r="E43" i="44"/>
  <c r="D43" i="44"/>
  <c r="F42" i="44"/>
  <c r="E41" i="44"/>
  <c r="D41" i="44"/>
  <c r="L40" i="44"/>
  <c r="C40" i="44" s="1"/>
  <c r="L39" i="44"/>
  <c r="C39" i="44" s="1"/>
  <c r="L38" i="44"/>
  <c r="C38" i="44" s="1"/>
  <c r="L37" i="44"/>
  <c r="C37" i="44"/>
  <c r="K36" i="44"/>
  <c r="J36" i="44"/>
  <c r="L35" i="44"/>
  <c r="C35" i="44" s="1"/>
  <c r="L34" i="44"/>
  <c r="C34" i="44" s="1"/>
  <c r="K33" i="44"/>
  <c r="J33" i="44"/>
  <c r="L32" i="44"/>
  <c r="K31" i="44"/>
  <c r="J31" i="44"/>
  <c r="L30" i="44"/>
  <c r="C30" i="44" s="1"/>
  <c r="L29" i="44"/>
  <c r="C29" i="44" s="1"/>
  <c r="L28" i="44"/>
  <c r="C28" i="44" s="1"/>
  <c r="K27" i="44"/>
  <c r="J27" i="44"/>
  <c r="J26" i="44" s="1"/>
  <c r="F25" i="44"/>
  <c r="C25" i="44" s="1"/>
  <c r="I24" i="44"/>
  <c r="F24" i="44"/>
  <c r="O23" i="44"/>
  <c r="L23" i="44"/>
  <c r="I23" i="44"/>
  <c r="F23" i="44"/>
  <c r="O22" i="44"/>
  <c r="L22" i="44"/>
  <c r="L21" i="44" s="1"/>
  <c r="I22" i="44"/>
  <c r="F22" i="44"/>
  <c r="F21" i="44" s="1"/>
  <c r="O21" i="44"/>
  <c r="O292" i="44" s="1"/>
  <c r="N21" i="44"/>
  <c r="N292" i="44" s="1"/>
  <c r="N291" i="44" s="1"/>
  <c r="M21" i="44"/>
  <c r="M292" i="44" s="1"/>
  <c r="K21" i="44"/>
  <c r="K292" i="44" s="1"/>
  <c r="K291" i="44" s="1"/>
  <c r="J21" i="44"/>
  <c r="J292" i="44" s="1"/>
  <c r="J291" i="44" s="1"/>
  <c r="H21" i="44"/>
  <c r="H292" i="44" s="1"/>
  <c r="H291" i="44" s="1"/>
  <c r="G21" i="44"/>
  <c r="G292" i="44" s="1"/>
  <c r="E21" i="44"/>
  <c r="E292" i="44" s="1"/>
  <c r="E291" i="44" s="1"/>
  <c r="D21" i="44"/>
  <c r="D292" i="44" s="1"/>
  <c r="D291" i="44" s="1"/>
  <c r="N20" i="44"/>
  <c r="O301" i="43"/>
  <c r="L301" i="43"/>
  <c r="I301" i="43"/>
  <c r="F301" i="43"/>
  <c r="O300" i="43"/>
  <c r="L300" i="43"/>
  <c r="I300" i="43"/>
  <c r="F300" i="43"/>
  <c r="O299" i="43"/>
  <c r="L299" i="43"/>
  <c r="I299" i="43"/>
  <c r="F299" i="43"/>
  <c r="O298" i="43"/>
  <c r="L298" i="43"/>
  <c r="I298" i="43"/>
  <c r="F298" i="43"/>
  <c r="C298" i="43" s="1"/>
  <c r="O297" i="43"/>
  <c r="L297" i="43"/>
  <c r="I297" i="43"/>
  <c r="F297" i="43"/>
  <c r="O296" i="43"/>
  <c r="L296" i="43"/>
  <c r="I296" i="43"/>
  <c r="F296" i="43"/>
  <c r="O295" i="43"/>
  <c r="L295" i="43"/>
  <c r="I295" i="43"/>
  <c r="F295" i="43"/>
  <c r="O294" i="43"/>
  <c r="L294" i="43"/>
  <c r="L293" i="43" s="1"/>
  <c r="I294" i="43"/>
  <c r="F294" i="43"/>
  <c r="N293" i="43"/>
  <c r="M293" i="43"/>
  <c r="K293" i="43"/>
  <c r="J293" i="43"/>
  <c r="H293" i="43"/>
  <c r="G293" i="43"/>
  <c r="E293" i="43"/>
  <c r="D293" i="43"/>
  <c r="O288" i="43"/>
  <c r="L288" i="43"/>
  <c r="I288" i="43"/>
  <c r="F288" i="43"/>
  <c r="C288" i="43" s="1"/>
  <c r="O287" i="43"/>
  <c r="L287" i="43"/>
  <c r="L286" i="43" s="1"/>
  <c r="I287" i="43"/>
  <c r="F287" i="43"/>
  <c r="C287" i="43" s="1"/>
  <c r="O286" i="43"/>
  <c r="N286" i="43"/>
  <c r="M286" i="43"/>
  <c r="K286" i="43"/>
  <c r="J286" i="43"/>
  <c r="H286" i="43"/>
  <c r="G286" i="43"/>
  <c r="F286" i="43"/>
  <c r="E286" i="43"/>
  <c r="D286" i="43"/>
  <c r="O285" i="43"/>
  <c r="L285" i="43"/>
  <c r="L284" i="43" s="1"/>
  <c r="L283" i="43" s="1"/>
  <c r="I285" i="43"/>
  <c r="F285" i="43"/>
  <c r="O284" i="43"/>
  <c r="N284" i="43"/>
  <c r="N283" i="43" s="1"/>
  <c r="M284" i="43"/>
  <c r="M283" i="43" s="1"/>
  <c r="K284" i="43"/>
  <c r="J284" i="43"/>
  <c r="J283" i="43" s="1"/>
  <c r="I284" i="43"/>
  <c r="I283" i="43" s="1"/>
  <c r="H284" i="43"/>
  <c r="G284" i="43"/>
  <c r="E284" i="43"/>
  <c r="E283" i="43" s="1"/>
  <c r="D284" i="43"/>
  <c r="D283" i="43" s="1"/>
  <c r="O283" i="43"/>
  <c r="K283" i="43"/>
  <c r="H283" i="43"/>
  <c r="G283" i="43"/>
  <c r="O282" i="43"/>
  <c r="O281" i="43" s="1"/>
  <c r="L282" i="43"/>
  <c r="I282" i="43"/>
  <c r="I281" i="43" s="1"/>
  <c r="F282" i="43"/>
  <c r="N281" i="43"/>
  <c r="M281" i="43"/>
  <c r="L281" i="43"/>
  <c r="K281" i="43"/>
  <c r="J281" i="43"/>
  <c r="H281" i="43"/>
  <c r="G281" i="43"/>
  <c r="E281" i="43"/>
  <c r="D281" i="43"/>
  <c r="O280" i="43"/>
  <c r="L280" i="43"/>
  <c r="I280" i="43"/>
  <c r="F280" i="43"/>
  <c r="O279" i="43"/>
  <c r="L279" i="43"/>
  <c r="I279" i="43"/>
  <c r="F279" i="43"/>
  <c r="O278" i="43"/>
  <c r="L278" i="43"/>
  <c r="I278" i="43"/>
  <c r="F278" i="43"/>
  <c r="O277" i="43"/>
  <c r="L277" i="43"/>
  <c r="I277" i="43"/>
  <c r="I276" i="43" s="1"/>
  <c r="F277" i="43"/>
  <c r="N276" i="43"/>
  <c r="M276" i="43"/>
  <c r="K276" i="43"/>
  <c r="J276" i="43"/>
  <c r="H276" i="43"/>
  <c r="G276" i="43"/>
  <c r="E276" i="43"/>
  <c r="D276" i="43"/>
  <c r="O275" i="43"/>
  <c r="L275" i="43"/>
  <c r="I275" i="43"/>
  <c r="F275" i="43"/>
  <c r="O274" i="43"/>
  <c r="L274" i="43"/>
  <c r="I274" i="43"/>
  <c r="F274" i="43"/>
  <c r="C274" i="43" s="1"/>
  <c r="O273" i="43"/>
  <c r="L273" i="43"/>
  <c r="I273" i="43"/>
  <c r="F273" i="43"/>
  <c r="N272" i="43"/>
  <c r="M272" i="43"/>
  <c r="M270" i="43" s="1"/>
  <c r="M269" i="43" s="1"/>
  <c r="K272" i="43"/>
  <c r="J272" i="43"/>
  <c r="I272" i="43"/>
  <c r="H272" i="43"/>
  <c r="G272" i="43"/>
  <c r="G270" i="43" s="1"/>
  <c r="G269" i="43" s="1"/>
  <c r="E272" i="43"/>
  <c r="D272" i="43"/>
  <c r="O271" i="43"/>
  <c r="L271" i="43"/>
  <c r="I271" i="43"/>
  <c r="F271" i="43"/>
  <c r="C271" i="43" s="1"/>
  <c r="N270" i="43"/>
  <c r="K270" i="43"/>
  <c r="K269" i="43" s="1"/>
  <c r="J270" i="43"/>
  <c r="H270" i="43"/>
  <c r="H269" i="43" s="1"/>
  <c r="D270" i="43"/>
  <c r="D269" i="43" s="1"/>
  <c r="N269" i="43"/>
  <c r="J269" i="43"/>
  <c r="O268" i="43"/>
  <c r="L268" i="43"/>
  <c r="I268" i="43"/>
  <c r="F268" i="43"/>
  <c r="O267" i="43"/>
  <c r="L267" i="43"/>
  <c r="I267" i="43"/>
  <c r="F267" i="43"/>
  <c r="O266" i="43"/>
  <c r="L266" i="43"/>
  <c r="I266" i="43"/>
  <c r="F266" i="43"/>
  <c r="O265" i="43"/>
  <c r="L265" i="43"/>
  <c r="I265" i="43"/>
  <c r="F265" i="43"/>
  <c r="N264" i="43"/>
  <c r="M264" i="43"/>
  <c r="K264" i="43"/>
  <c r="J264" i="43"/>
  <c r="H264" i="43"/>
  <c r="G264" i="43"/>
  <c r="E264" i="43"/>
  <c r="D264" i="43"/>
  <c r="O263" i="43"/>
  <c r="L263" i="43"/>
  <c r="I263" i="43"/>
  <c r="F263" i="43"/>
  <c r="O262" i="43"/>
  <c r="L262" i="43"/>
  <c r="I262" i="43"/>
  <c r="F262" i="43"/>
  <c r="C262" i="43"/>
  <c r="O261" i="43"/>
  <c r="L261" i="43"/>
  <c r="I261" i="43"/>
  <c r="F261" i="43"/>
  <c r="N260" i="43"/>
  <c r="M260" i="43"/>
  <c r="K260" i="43"/>
  <c r="J260" i="43"/>
  <c r="J259" i="43" s="1"/>
  <c r="H260" i="43"/>
  <c r="H259" i="43" s="1"/>
  <c r="G260" i="43"/>
  <c r="E260" i="43"/>
  <c r="E259" i="43" s="1"/>
  <c r="D260" i="43"/>
  <c r="N259" i="43"/>
  <c r="K259" i="43"/>
  <c r="G259" i="43"/>
  <c r="D259" i="43"/>
  <c r="O258" i="43"/>
  <c r="L258" i="43"/>
  <c r="I258" i="43"/>
  <c r="F258" i="43"/>
  <c r="C258" i="43" s="1"/>
  <c r="O257" i="43"/>
  <c r="L257" i="43"/>
  <c r="I257" i="43"/>
  <c r="F257" i="43"/>
  <c r="O256" i="43"/>
  <c r="L256" i="43"/>
  <c r="I256" i="43"/>
  <c r="F256" i="43"/>
  <c r="O255" i="43"/>
  <c r="L255" i="43"/>
  <c r="I255" i="43"/>
  <c r="F255" i="43"/>
  <c r="C255" i="43" s="1"/>
  <c r="O254" i="43"/>
  <c r="L254" i="43"/>
  <c r="I254" i="43"/>
  <c r="F254" i="43"/>
  <c r="C254" i="43" s="1"/>
  <c r="O253" i="43"/>
  <c r="L253" i="43"/>
  <c r="L252" i="43" s="1"/>
  <c r="L251" i="43" s="1"/>
  <c r="I253" i="43"/>
  <c r="F253" i="43"/>
  <c r="N252" i="43"/>
  <c r="M252" i="43"/>
  <c r="M251" i="43" s="1"/>
  <c r="K252" i="43"/>
  <c r="J252" i="43"/>
  <c r="H252" i="43"/>
  <c r="G252" i="43"/>
  <c r="G251" i="43" s="1"/>
  <c r="E252" i="43"/>
  <c r="E251" i="43" s="1"/>
  <c r="D252" i="43"/>
  <c r="D251" i="43" s="1"/>
  <c r="N251" i="43"/>
  <c r="K251" i="43"/>
  <c r="J251" i="43"/>
  <c r="H251" i="43"/>
  <c r="O250" i="43"/>
  <c r="L250" i="43"/>
  <c r="I250" i="43"/>
  <c r="C250" i="43" s="1"/>
  <c r="F250" i="43"/>
  <c r="O249" i="43"/>
  <c r="L249" i="43"/>
  <c r="I249" i="43"/>
  <c r="F249" i="43"/>
  <c r="O248" i="43"/>
  <c r="L248" i="43"/>
  <c r="I248" i="43"/>
  <c r="F248" i="43"/>
  <c r="O247" i="43"/>
  <c r="L247" i="43"/>
  <c r="L246" i="43" s="1"/>
  <c r="I247" i="43"/>
  <c r="F247" i="43"/>
  <c r="F246" i="43" s="1"/>
  <c r="N246" i="43"/>
  <c r="M246" i="43"/>
  <c r="K246" i="43"/>
  <c r="J246" i="43"/>
  <c r="H246" i="43"/>
  <c r="G246" i="43"/>
  <c r="E246" i="43"/>
  <c r="D246" i="43"/>
  <c r="O245" i="43"/>
  <c r="L245" i="43"/>
  <c r="I245" i="43"/>
  <c r="F245" i="43"/>
  <c r="O244" i="43"/>
  <c r="L244" i="43"/>
  <c r="I244" i="43"/>
  <c r="F244" i="43"/>
  <c r="O243" i="43"/>
  <c r="L243" i="43"/>
  <c r="I243" i="43"/>
  <c r="F243" i="43"/>
  <c r="O242" i="43"/>
  <c r="L242" i="43"/>
  <c r="I242" i="43"/>
  <c r="F242" i="43"/>
  <c r="O241" i="43"/>
  <c r="L241" i="43"/>
  <c r="I241" i="43"/>
  <c r="F241" i="43"/>
  <c r="O240" i="43"/>
  <c r="L240" i="43"/>
  <c r="I240" i="43"/>
  <c r="F240" i="43"/>
  <c r="O239" i="43"/>
  <c r="L239" i="43"/>
  <c r="L238" i="43" s="1"/>
  <c r="I239" i="43"/>
  <c r="F239" i="43"/>
  <c r="F238" i="43" s="1"/>
  <c r="N238" i="43"/>
  <c r="M238" i="43"/>
  <c r="K238" i="43"/>
  <c r="J238" i="43"/>
  <c r="H238" i="43"/>
  <c r="G238" i="43"/>
  <c r="E238" i="43"/>
  <c r="D238" i="43"/>
  <c r="O237" i="43"/>
  <c r="L237" i="43"/>
  <c r="I237" i="43"/>
  <c r="F237" i="43"/>
  <c r="O236" i="43"/>
  <c r="L236" i="43"/>
  <c r="L235" i="43" s="1"/>
  <c r="I236" i="43"/>
  <c r="F236" i="43"/>
  <c r="O235" i="43"/>
  <c r="N235" i="43"/>
  <c r="M235" i="43"/>
  <c r="K235" i="43"/>
  <c r="J235" i="43"/>
  <c r="H235" i="43"/>
  <c r="G235" i="43"/>
  <c r="E235" i="43"/>
  <c r="D235" i="43"/>
  <c r="O234" i="43"/>
  <c r="O233" i="43" s="1"/>
  <c r="L234" i="43"/>
  <c r="I234" i="43"/>
  <c r="F234" i="43"/>
  <c r="N233" i="43"/>
  <c r="M233" i="43"/>
  <c r="M231" i="43" s="1"/>
  <c r="L233" i="43"/>
  <c r="K233" i="43"/>
  <c r="J233" i="43"/>
  <c r="I233" i="43"/>
  <c r="H233" i="43"/>
  <c r="H231" i="43" s="1"/>
  <c r="G233" i="43"/>
  <c r="E233" i="43"/>
  <c r="D233" i="43"/>
  <c r="D231" i="43" s="1"/>
  <c r="O232" i="43"/>
  <c r="L232" i="43"/>
  <c r="I232" i="43"/>
  <c r="F232" i="43"/>
  <c r="N231" i="43"/>
  <c r="N230" i="43" s="1"/>
  <c r="E231" i="43"/>
  <c r="O229" i="43"/>
  <c r="L229" i="43"/>
  <c r="I229" i="43"/>
  <c r="F229" i="43"/>
  <c r="O228" i="43"/>
  <c r="L228" i="43"/>
  <c r="L227" i="43" s="1"/>
  <c r="I228" i="43"/>
  <c r="F228" i="43"/>
  <c r="O227" i="43"/>
  <c r="N227" i="43"/>
  <c r="M227" i="43"/>
  <c r="K227" i="43"/>
  <c r="J227" i="43"/>
  <c r="H227" i="43"/>
  <c r="G227" i="43"/>
  <c r="F227" i="43"/>
  <c r="E227" i="43"/>
  <c r="D227" i="43"/>
  <c r="O226" i="43"/>
  <c r="L226" i="43"/>
  <c r="I226" i="43"/>
  <c r="F226" i="43"/>
  <c r="O225" i="43"/>
  <c r="L225" i="43"/>
  <c r="I225" i="43"/>
  <c r="F225" i="43"/>
  <c r="O224" i="43"/>
  <c r="L224" i="43"/>
  <c r="I224" i="43"/>
  <c r="F224" i="43"/>
  <c r="O223" i="43"/>
  <c r="L223" i="43"/>
  <c r="I223" i="43"/>
  <c r="F223" i="43"/>
  <c r="O222" i="43"/>
  <c r="L222" i="43"/>
  <c r="I222" i="43"/>
  <c r="F222" i="43"/>
  <c r="O221" i="43"/>
  <c r="L221" i="43"/>
  <c r="I221" i="43"/>
  <c r="F221" i="43"/>
  <c r="O220" i="43"/>
  <c r="L220" i="43"/>
  <c r="I220" i="43"/>
  <c r="F220" i="43"/>
  <c r="O219" i="43"/>
  <c r="L219" i="43"/>
  <c r="I219" i="43"/>
  <c r="F219" i="43"/>
  <c r="O218" i="43"/>
  <c r="L218" i="43"/>
  <c r="I218" i="43"/>
  <c r="F218" i="43"/>
  <c r="O217" i="43"/>
  <c r="L217" i="43"/>
  <c r="I217" i="43"/>
  <c r="I216" i="43" s="1"/>
  <c r="F217" i="43"/>
  <c r="N216" i="43"/>
  <c r="M216" i="43"/>
  <c r="K216" i="43"/>
  <c r="J216" i="43"/>
  <c r="H216" i="43"/>
  <c r="G216" i="43"/>
  <c r="E216" i="43"/>
  <c r="D216" i="43"/>
  <c r="O215" i="43"/>
  <c r="L215" i="43"/>
  <c r="I215" i="43"/>
  <c r="F215" i="43"/>
  <c r="O214" i="43"/>
  <c r="L214" i="43"/>
  <c r="I214" i="43"/>
  <c r="F214" i="43"/>
  <c r="C214" i="43" s="1"/>
  <c r="O213" i="43"/>
  <c r="L213" i="43"/>
  <c r="I213" i="43"/>
  <c r="F213" i="43"/>
  <c r="O212" i="43"/>
  <c r="L212" i="43"/>
  <c r="I212" i="43"/>
  <c r="F212" i="43"/>
  <c r="O211" i="43"/>
  <c r="L211" i="43"/>
  <c r="I211" i="43"/>
  <c r="F211" i="43"/>
  <c r="O210" i="43"/>
  <c r="L210" i="43"/>
  <c r="I210" i="43"/>
  <c r="F210" i="43"/>
  <c r="O209" i="43"/>
  <c r="L209" i="43"/>
  <c r="I209" i="43"/>
  <c r="F209" i="43"/>
  <c r="O208" i="43"/>
  <c r="L208" i="43"/>
  <c r="I208" i="43"/>
  <c r="F208" i="43"/>
  <c r="O207" i="43"/>
  <c r="L207" i="43"/>
  <c r="I207" i="43"/>
  <c r="F207" i="43"/>
  <c r="C207" i="43" s="1"/>
  <c r="O206" i="43"/>
  <c r="O205" i="43" s="1"/>
  <c r="L206" i="43"/>
  <c r="I206" i="43"/>
  <c r="F206" i="43"/>
  <c r="C206" i="43" s="1"/>
  <c r="N205" i="43"/>
  <c r="M205" i="43"/>
  <c r="M204" i="43" s="1"/>
  <c r="K205" i="43"/>
  <c r="K204" i="43" s="1"/>
  <c r="J205" i="43"/>
  <c r="H205" i="43"/>
  <c r="H204" i="43" s="1"/>
  <c r="G205" i="43"/>
  <c r="E205" i="43"/>
  <c r="D205" i="43"/>
  <c r="D204" i="43" s="1"/>
  <c r="G204" i="43"/>
  <c r="O203" i="43"/>
  <c r="L203" i="43"/>
  <c r="I203" i="43"/>
  <c r="F203" i="43"/>
  <c r="O202" i="43"/>
  <c r="L202" i="43"/>
  <c r="I202" i="43"/>
  <c r="F202" i="43"/>
  <c r="C202" i="43" s="1"/>
  <c r="O201" i="43"/>
  <c r="L201" i="43"/>
  <c r="I201" i="43"/>
  <c r="F201" i="43"/>
  <c r="O200" i="43"/>
  <c r="L200" i="43"/>
  <c r="I200" i="43"/>
  <c r="F200" i="43"/>
  <c r="O199" i="43"/>
  <c r="L199" i="43"/>
  <c r="L198" i="43" s="1"/>
  <c r="I199" i="43"/>
  <c r="F199" i="43"/>
  <c r="F198" i="43" s="1"/>
  <c r="O198" i="43"/>
  <c r="N198" i="43"/>
  <c r="M198" i="43"/>
  <c r="K198" i="43"/>
  <c r="K196" i="43" s="1"/>
  <c r="J198" i="43"/>
  <c r="H198" i="43"/>
  <c r="G198" i="43"/>
  <c r="G196" i="43" s="1"/>
  <c r="G195" i="43" s="1"/>
  <c r="E198" i="43"/>
  <c r="E196" i="43" s="1"/>
  <c r="D198" i="43"/>
  <c r="O197" i="43"/>
  <c r="L197" i="43"/>
  <c r="I197" i="43"/>
  <c r="F197" i="43"/>
  <c r="N196" i="43"/>
  <c r="M196" i="43"/>
  <c r="J196" i="43"/>
  <c r="H196" i="43"/>
  <c r="D196" i="43"/>
  <c r="O193" i="43"/>
  <c r="L193" i="43"/>
  <c r="L192" i="43" s="1"/>
  <c r="L191" i="43" s="1"/>
  <c r="I193" i="43"/>
  <c r="F193" i="43"/>
  <c r="O192" i="43"/>
  <c r="O191" i="43" s="1"/>
  <c r="N192" i="43"/>
  <c r="N191" i="43" s="1"/>
  <c r="M192" i="43"/>
  <c r="M191" i="43" s="1"/>
  <c r="K192" i="43"/>
  <c r="J192" i="43"/>
  <c r="J191" i="43" s="1"/>
  <c r="I192" i="43"/>
  <c r="I191" i="43" s="1"/>
  <c r="H192" i="43"/>
  <c r="H191" i="43" s="1"/>
  <c r="G192" i="43"/>
  <c r="E192" i="43"/>
  <c r="E191" i="43" s="1"/>
  <c r="D192" i="43"/>
  <c r="D191" i="43" s="1"/>
  <c r="K191" i="43"/>
  <c r="G191" i="43"/>
  <c r="O190" i="43"/>
  <c r="L190" i="43"/>
  <c r="I190" i="43"/>
  <c r="F190" i="43"/>
  <c r="O189" i="43"/>
  <c r="L189" i="43"/>
  <c r="L188" i="43" s="1"/>
  <c r="I189" i="43"/>
  <c r="F189" i="43"/>
  <c r="O188" i="43"/>
  <c r="N188" i="43"/>
  <c r="M188" i="43"/>
  <c r="K188" i="43"/>
  <c r="K187" i="43" s="1"/>
  <c r="J188" i="43"/>
  <c r="H188" i="43"/>
  <c r="G188" i="43"/>
  <c r="G187" i="43" s="1"/>
  <c r="F188" i="43"/>
  <c r="E188" i="43"/>
  <c r="D188" i="43"/>
  <c r="M187" i="43"/>
  <c r="O186" i="43"/>
  <c r="L186" i="43"/>
  <c r="I186" i="43"/>
  <c r="F186" i="43"/>
  <c r="O185" i="43"/>
  <c r="L185" i="43"/>
  <c r="L184" i="43" s="1"/>
  <c r="I185" i="43"/>
  <c r="F185" i="43"/>
  <c r="O184" i="43"/>
  <c r="N184" i="43"/>
  <c r="M184" i="43"/>
  <c r="K184" i="43"/>
  <c r="J184" i="43"/>
  <c r="H184" i="43"/>
  <c r="G184" i="43"/>
  <c r="F184" i="43"/>
  <c r="E184" i="43"/>
  <c r="D184" i="43"/>
  <c r="O183" i="43"/>
  <c r="L183" i="43"/>
  <c r="I183" i="43"/>
  <c r="F183" i="43"/>
  <c r="O182" i="43"/>
  <c r="L182" i="43"/>
  <c r="I182" i="43"/>
  <c r="F182" i="43"/>
  <c r="O181" i="43"/>
  <c r="L181" i="43"/>
  <c r="I181" i="43"/>
  <c r="F181" i="43"/>
  <c r="O180" i="43"/>
  <c r="O179" i="43" s="1"/>
  <c r="L180" i="43"/>
  <c r="I180" i="43"/>
  <c r="F180" i="43"/>
  <c r="N179" i="43"/>
  <c r="M179" i="43"/>
  <c r="K179" i="43"/>
  <c r="J179" i="43"/>
  <c r="H179" i="43"/>
  <c r="G179" i="43"/>
  <c r="E179" i="43"/>
  <c r="D179" i="43"/>
  <c r="O178" i="43"/>
  <c r="L178" i="43"/>
  <c r="I178" i="43"/>
  <c r="F178" i="43"/>
  <c r="O177" i="43"/>
  <c r="L177" i="43"/>
  <c r="I177" i="43"/>
  <c r="F177" i="43"/>
  <c r="O176" i="43"/>
  <c r="O175" i="43" s="1"/>
  <c r="L176" i="43"/>
  <c r="L175" i="43" s="1"/>
  <c r="I176" i="43"/>
  <c r="F176" i="43"/>
  <c r="N175" i="43"/>
  <c r="N174" i="43" s="1"/>
  <c r="N173" i="43" s="1"/>
  <c r="M175" i="43"/>
  <c r="M174" i="43" s="1"/>
  <c r="M173" i="43" s="1"/>
  <c r="K175" i="43"/>
  <c r="J175" i="43"/>
  <c r="J174" i="43" s="1"/>
  <c r="J173" i="43" s="1"/>
  <c r="H175" i="43"/>
  <c r="G175" i="43"/>
  <c r="E175" i="43"/>
  <c r="E174" i="43" s="1"/>
  <c r="E173" i="43" s="1"/>
  <c r="D175" i="43"/>
  <c r="K174" i="43"/>
  <c r="G174" i="43"/>
  <c r="O172" i="43"/>
  <c r="L172" i="43"/>
  <c r="I172" i="43"/>
  <c r="F172" i="43"/>
  <c r="O171" i="43"/>
  <c r="L171" i="43"/>
  <c r="I171" i="43"/>
  <c r="F171" i="43"/>
  <c r="O170" i="43"/>
  <c r="L170" i="43"/>
  <c r="I170" i="43"/>
  <c r="F170" i="43"/>
  <c r="O169" i="43"/>
  <c r="L169" i="43"/>
  <c r="I169" i="43"/>
  <c r="F169" i="43"/>
  <c r="O168" i="43"/>
  <c r="L168" i="43"/>
  <c r="I168" i="43"/>
  <c r="F168" i="43"/>
  <c r="O167" i="43"/>
  <c r="L167" i="43"/>
  <c r="I167" i="43"/>
  <c r="F167" i="43"/>
  <c r="N166" i="43"/>
  <c r="M166" i="43"/>
  <c r="M165" i="43" s="1"/>
  <c r="K166" i="43"/>
  <c r="J166" i="43"/>
  <c r="H166" i="43"/>
  <c r="H165" i="43" s="1"/>
  <c r="G166" i="43"/>
  <c r="G165" i="43" s="1"/>
  <c r="E166" i="43"/>
  <c r="E165" i="43" s="1"/>
  <c r="D166" i="43"/>
  <c r="N165" i="43"/>
  <c r="K165" i="43"/>
  <c r="J165" i="43"/>
  <c r="D165" i="43"/>
  <c r="O164" i="43"/>
  <c r="L164" i="43"/>
  <c r="I164" i="43"/>
  <c r="F164" i="43"/>
  <c r="O163" i="43"/>
  <c r="L163" i="43"/>
  <c r="I163" i="43"/>
  <c r="F163" i="43"/>
  <c r="O162" i="43"/>
  <c r="L162" i="43"/>
  <c r="I162" i="43"/>
  <c r="F162" i="43"/>
  <c r="O161" i="43"/>
  <c r="L161" i="43"/>
  <c r="I161" i="43"/>
  <c r="F161" i="43"/>
  <c r="O160" i="43"/>
  <c r="N160" i="43"/>
  <c r="M160" i="43"/>
  <c r="K160" i="43"/>
  <c r="J160" i="43"/>
  <c r="H160" i="43"/>
  <c r="G160" i="43"/>
  <c r="F160" i="43"/>
  <c r="E160" i="43"/>
  <c r="D160" i="43"/>
  <c r="O159" i="43"/>
  <c r="L159" i="43"/>
  <c r="I159" i="43"/>
  <c r="F159" i="43"/>
  <c r="O158" i="43"/>
  <c r="L158" i="43"/>
  <c r="I158" i="43"/>
  <c r="F158" i="43"/>
  <c r="O157" i="43"/>
  <c r="L157" i="43"/>
  <c r="I157" i="43"/>
  <c r="F157" i="43"/>
  <c r="O156" i="43"/>
  <c r="L156" i="43"/>
  <c r="I156" i="43"/>
  <c r="F156" i="43"/>
  <c r="C156" i="43" s="1"/>
  <c r="O155" i="43"/>
  <c r="L155" i="43"/>
  <c r="I155" i="43"/>
  <c r="F155" i="43"/>
  <c r="O154" i="43"/>
  <c r="L154" i="43"/>
  <c r="I154" i="43"/>
  <c r="F154" i="43"/>
  <c r="O153" i="43"/>
  <c r="L153" i="43"/>
  <c r="I153" i="43"/>
  <c r="F153" i="43"/>
  <c r="O152" i="43"/>
  <c r="L152" i="43"/>
  <c r="L151" i="43" s="1"/>
  <c r="I152" i="43"/>
  <c r="F152" i="43"/>
  <c r="C152" i="43" s="1"/>
  <c r="N151" i="43"/>
  <c r="M151" i="43"/>
  <c r="K151" i="43"/>
  <c r="J151" i="43"/>
  <c r="H151" i="43"/>
  <c r="G151" i="43"/>
  <c r="E151" i="43"/>
  <c r="D151" i="43"/>
  <c r="O150" i="43"/>
  <c r="L150" i="43"/>
  <c r="I150" i="43"/>
  <c r="F150" i="43"/>
  <c r="O149" i="43"/>
  <c r="L149" i="43"/>
  <c r="I149" i="43"/>
  <c r="F149" i="43"/>
  <c r="O148" i="43"/>
  <c r="L148" i="43"/>
  <c r="I148" i="43"/>
  <c r="F148" i="43"/>
  <c r="C148" i="43" s="1"/>
  <c r="O147" i="43"/>
  <c r="L147" i="43"/>
  <c r="I147" i="43"/>
  <c r="F147" i="43"/>
  <c r="O146" i="43"/>
  <c r="L146" i="43"/>
  <c r="I146" i="43"/>
  <c r="F146" i="43"/>
  <c r="O145" i="43"/>
  <c r="L145" i="43"/>
  <c r="I145" i="43"/>
  <c r="F145" i="43"/>
  <c r="F144" i="43" s="1"/>
  <c r="N144" i="43"/>
  <c r="M144" i="43"/>
  <c r="K144" i="43"/>
  <c r="J144" i="43"/>
  <c r="H144" i="43"/>
  <c r="G144" i="43"/>
  <c r="E144" i="43"/>
  <c r="D144" i="43"/>
  <c r="O143" i="43"/>
  <c r="L143" i="43"/>
  <c r="I143" i="43"/>
  <c r="F143" i="43"/>
  <c r="O142" i="43"/>
  <c r="L142" i="43"/>
  <c r="I142" i="43"/>
  <c r="F142" i="43"/>
  <c r="O141" i="43"/>
  <c r="N141" i="43"/>
  <c r="M141" i="43"/>
  <c r="L141" i="43"/>
  <c r="K141" i="43"/>
  <c r="J141" i="43"/>
  <c r="H141" i="43"/>
  <c r="G141" i="43"/>
  <c r="E141" i="43"/>
  <c r="D141" i="43"/>
  <c r="O140" i="43"/>
  <c r="L140" i="43"/>
  <c r="I140" i="43"/>
  <c r="F140" i="43"/>
  <c r="O139" i="43"/>
  <c r="L139" i="43"/>
  <c r="I139" i="43"/>
  <c r="F139" i="43"/>
  <c r="O138" i="43"/>
  <c r="L138" i="43"/>
  <c r="I138" i="43"/>
  <c r="F138" i="43"/>
  <c r="O137" i="43"/>
  <c r="L137" i="43"/>
  <c r="I137" i="43"/>
  <c r="F137" i="43"/>
  <c r="F136" i="43" s="1"/>
  <c r="O136" i="43"/>
  <c r="N136" i="43"/>
  <c r="M136" i="43"/>
  <c r="K136" i="43"/>
  <c r="J136" i="43"/>
  <c r="H136" i="43"/>
  <c r="G136" i="43"/>
  <c r="E136" i="43"/>
  <c r="D136" i="43"/>
  <c r="O135" i="43"/>
  <c r="L135" i="43"/>
  <c r="I135" i="43"/>
  <c r="F135" i="43"/>
  <c r="O134" i="43"/>
  <c r="L134" i="43"/>
  <c r="I134" i="43"/>
  <c r="F134" i="43"/>
  <c r="O133" i="43"/>
  <c r="L133" i="43"/>
  <c r="I133" i="43"/>
  <c r="F133" i="43"/>
  <c r="O132" i="43"/>
  <c r="O131" i="43" s="1"/>
  <c r="L132" i="43"/>
  <c r="I132" i="43"/>
  <c r="F132" i="43"/>
  <c r="N131" i="43"/>
  <c r="M131" i="43"/>
  <c r="K131" i="43"/>
  <c r="J131" i="43"/>
  <c r="H131" i="43"/>
  <c r="H130" i="43" s="1"/>
  <c r="G131" i="43"/>
  <c r="E131" i="43"/>
  <c r="E130" i="43" s="1"/>
  <c r="D131" i="43"/>
  <c r="D130" i="43" s="1"/>
  <c r="M130" i="43"/>
  <c r="O129" i="43"/>
  <c r="L129" i="43"/>
  <c r="I129" i="43"/>
  <c r="I128" i="43" s="1"/>
  <c r="F129" i="43"/>
  <c r="F128" i="43" s="1"/>
  <c r="O128" i="43"/>
  <c r="N128" i="43"/>
  <c r="M128" i="43"/>
  <c r="K128" i="43"/>
  <c r="J128" i="43"/>
  <c r="H128" i="43"/>
  <c r="G128" i="43"/>
  <c r="E128" i="43"/>
  <c r="D128" i="43"/>
  <c r="O127" i="43"/>
  <c r="L127" i="43"/>
  <c r="I127" i="43"/>
  <c r="F127" i="43"/>
  <c r="O126" i="43"/>
  <c r="L126" i="43"/>
  <c r="I126" i="43"/>
  <c r="F126" i="43"/>
  <c r="O125" i="43"/>
  <c r="L125" i="43"/>
  <c r="I125" i="43"/>
  <c r="F125" i="43"/>
  <c r="O124" i="43"/>
  <c r="L124" i="43"/>
  <c r="I124" i="43"/>
  <c r="F124" i="43"/>
  <c r="O123" i="43"/>
  <c r="L123" i="43"/>
  <c r="I123" i="43"/>
  <c r="F123" i="43"/>
  <c r="N122" i="43"/>
  <c r="M122" i="43"/>
  <c r="K122" i="43"/>
  <c r="J122" i="43"/>
  <c r="I122" i="43"/>
  <c r="H122" i="43"/>
  <c r="G122" i="43"/>
  <c r="E122" i="43"/>
  <c r="D122" i="43"/>
  <c r="O121" i="43"/>
  <c r="L121" i="43"/>
  <c r="I121" i="43"/>
  <c r="F121" i="43"/>
  <c r="O120" i="43"/>
  <c r="L120" i="43"/>
  <c r="I120" i="43"/>
  <c r="F120" i="43"/>
  <c r="O119" i="43"/>
  <c r="L119" i="43"/>
  <c r="I119" i="43"/>
  <c r="F119" i="43"/>
  <c r="O118" i="43"/>
  <c r="L118" i="43"/>
  <c r="I118" i="43"/>
  <c r="F118" i="43"/>
  <c r="O117" i="43"/>
  <c r="L117" i="43"/>
  <c r="I117" i="43"/>
  <c r="F117" i="43"/>
  <c r="N116" i="43"/>
  <c r="M116" i="43"/>
  <c r="K116" i="43"/>
  <c r="J116" i="43"/>
  <c r="H116" i="43"/>
  <c r="G116" i="43"/>
  <c r="E116" i="43"/>
  <c r="D116" i="43"/>
  <c r="O115" i="43"/>
  <c r="L115" i="43"/>
  <c r="I115" i="43"/>
  <c r="F115" i="43"/>
  <c r="O114" i="43"/>
  <c r="L114" i="43"/>
  <c r="I114" i="43"/>
  <c r="F114" i="43"/>
  <c r="O113" i="43"/>
  <c r="L113" i="43"/>
  <c r="I113" i="43"/>
  <c r="F113" i="43"/>
  <c r="F112" i="43" s="1"/>
  <c r="O112" i="43"/>
  <c r="N112" i="43"/>
  <c r="M112" i="43"/>
  <c r="K112" i="43"/>
  <c r="J112" i="43"/>
  <c r="H112" i="43"/>
  <c r="G112" i="43"/>
  <c r="E112" i="43"/>
  <c r="D112" i="43"/>
  <c r="O111" i="43"/>
  <c r="L111" i="43"/>
  <c r="I111" i="43"/>
  <c r="F111" i="43"/>
  <c r="O110" i="43"/>
  <c r="L110" i="43"/>
  <c r="I110" i="43"/>
  <c r="F110" i="43"/>
  <c r="O109" i="43"/>
  <c r="L109" i="43"/>
  <c r="I109" i="43"/>
  <c r="F109" i="43"/>
  <c r="O108" i="43"/>
  <c r="L108" i="43"/>
  <c r="I108" i="43"/>
  <c r="F108" i="43"/>
  <c r="C108" i="43" s="1"/>
  <c r="O107" i="43"/>
  <c r="L107" i="43"/>
  <c r="I107" i="43"/>
  <c r="F107" i="43"/>
  <c r="O106" i="43"/>
  <c r="L106" i="43"/>
  <c r="I106" i="43"/>
  <c r="F106" i="43"/>
  <c r="O105" i="43"/>
  <c r="L105" i="43"/>
  <c r="I105" i="43"/>
  <c r="F105" i="43"/>
  <c r="O104" i="43"/>
  <c r="O103" i="43" s="1"/>
  <c r="L104" i="43"/>
  <c r="I104" i="43"/>
  <c r="F104" i="43"/>
  <c r="N103" i="43"/>
  <c r="M103" i="43"/>
  <c r="K103" i="43"/>
  <c r="J103" i="43"/>
  <c r="H103" i="43"/>
  <c r="G103" i="43"/>
  <c r="E103" i="43"/>
  <c r="D103" i="43"/>
  <c r="O102" i="43"/>
  <c r="L102" i="43"/>
  <c r="I102" i="43"/>
  <c r="F102" i="43"/>
  <c r="O101" i="43"/>
  <c r="L101" i="43"/>
  <c r="I101" i="43"/>
  <c r="F101" i="43"/>
  <c r="O100" i="43"/>
  <c r="L100" i="43"/>
  <c r="I100" i="43"/>
  <c r="F100" i="43"/>
  <c r="O99" i="43"/>
  <c r="L99" i="43"/>
  <c r="I99" i="43"/>
  <c r="F99" i="43"/>
  <c r="O98" i="43"/>
  <c r="L98" i="43"/>
  <c r="I98" i="43"/>
  <c r="F98" i="43"/>
  <c r="O97" i="43"/>
  <c r="L97" i="43"/>
  <c r="I97" i="43"/>
  <c r="F97" i="43"/>
  <c r="O96" i="43"/>
  <c r="L96" i="43"/>
  <c r="I96" i="43"/>
  <c r="F96" i="43"/>
  <c r="F95" i="43" s="1"/>
  <c r="N95" i="43"/>
  <c r="M95" i="43"/>
  <c r="K95" i="43"/>
  <c r="J95" i="43"/>
  <c r="H95" i="43"/>
  <c r="G95" i="43"/>
  <c r="E95" i="43"/>
  <c r="D95" i="43"/>
  <c r="O94" i="43"/>
  <c r="L94" i="43"/>
  <c r="I94" i="43"/>
  <c r="F94" i="43"/>
  <c r="O93" i="43"/>
  <c r="L93" i="43"/>
  <c r="I93" i="43"/>
  <c r="F93" i="43"/>
  <c r="O92" i="43"/>
  <c r="L92" i="43"/>
  <c r="I92" i="43"/>
  <c r="F92" i="43"/>
  <c r="O91" i="43"/>
  <c r="L91" i="43"/>
  <c r="I91" i="43"/>
  <c r="F91" i="43"/>
  <c r="O90" i="43"/>
  <c r="L90" i="43"/>
  <c r="I90" i="43"/>
  <c r="F90" i="43"/>
  <c r="F89" i="43" s="1"/>
  <c r="N89" i="43"/>
  <c r="M89" i="43"/>
  <c r="K89" i="43"/>
  <c r="J89" i="43"/>
  <c r="H89" i="43"/>
  <c r="G89" i="43"/>
  <c r="E89" i="43"/>
  <c r="D89" i="43"/>
  <c r="O88" i="43"/>
  <c r="L88" i="43"/>
  <c r="I88" i="43"/>
  <c r="F88" i="43"/>
  <c r="O87" i="43"/>
  <c r="L87" i="43"/>
  <c r="I87" i="43"/>
  <c r="F87" i="43"/>
  <c r="O86" i="43"/>
  <c r="L86" i="43"/>
  <c r="I86" i="43"/>
  <c r="F86" i="43"/>
  <c r="O85" i="43"/>
  <c r="L85" i="43"/>
  <c r="I85" i="43"/>
  <c r="F85" i="43"/>
  <c r="O84" i="43"/>
  <c r="N84" i="43"/>
  <c r="M84" i="43"/>
  <c r="K84" i="43"/>
  <c r="J84" i="43"/>
  <c r="H84" i="43"/>
  <c r="G84" i="43"/>
  <c r="E84" i="43"/>
  <c r="E83" i="43" s="1"/>
  <c r="D84" i="43"/>
  <c r="O82" i="43"/>
  <c r="L82" i="43"/>
  <c r="I82" i="43"/>
  <c r="F82" i="43"/>
  <c r="O81" i="43"/>
  <c r="L81" i="43"/>
  <c r="L80" i="43" s="1"/>
  <c r="I81" i="43"/>
  <c r="F81" i="43"/>
  <c r="O80" i="43"/>
  <c r="N80" i="43"/>
  <c r="M80" i="43"/>
  <c r="K80" i="43"/>
  <c r="J80" i="43"/>
  <c r="H80" i="43"/>
  <c r="G80" i="43"/>
  <c r="F80" i="43"/>
  <c r="E80" i="43"/>
  <c r="D80" i="43"/>
  <c r="O79" i="43"/>
  <c r="L79" i="43"/>
  <c r="I79" i="43"/>
  <c r="F79" i="43"/>
  <c r="O78" i="43"/>
  <c r="O77" i="43" s="1"/>
  <c r="L78" i="43"/>
  <c r="L77" i="43" s="1"/>
  <c r="I78" i="43"/>
  <c r="I77" i="43" s="1"/>
  <c r="F78" i="43"/>
  <c r="F77" i="43" s="1"/>
  <c r="N77" i="43"/>
  <c r="M77" i="43"/>
  <c r="M76" i="43" s="1"/>
  <c r="K77" i="43"/>
  <c r="J77" i="43"/>
  <c r="H77" i="43"/>
  <c r="G77" i="43"/>
  <c r="E77" i="43"/>
  <c r="D77" i="43"/>
  <c r="G76" i="43"/>
  <c r="O74" i="43"/>
  <c r="L74" i="43"/>
  <c r="I74" i="43"/>
  <c r="F74" i="43"/>
  <c r="O73" i="43"/>
  <c r="L73" i="43"/>
  <c r="I73" i="43"/>
  <c r="F73" i="43"/>
  <c r="O72" i="43"/>
  <c r="L72" i="43"/>
  <c r="I72" i="43"/>
  <c r="F72" i="43"/>
  <c r="O71" i="43"/>
  <c r="L71" i="43"/>
  <c r="I71" i="43"/>
  <c r="F71" i="43"/>
  <c r="O70" i="43"/>
  <c r="O69" i="43" s="1"/>
  <c r="L70" i="43"/>
  <c r="I70" i="43"/>
  <c r="I69" i="43" s="1"/>
  <c r="F70" i="43"/>
  <c r="N69" i="43"/>
  <c r="N67" i="43" s="1"/>
  <c r="M69" i="43"/>
  <c r="M67" i="43" s="1"/>
  <c r="K69" i="43"/>
  <c r="J69" i="43"/>
  <c r="J67" i="43" s="1"/>
  <c r="H69" i="43"/>
  <c r="H67" i="43" s="1"/>
  <c r="G69" i="43"/>
  <c r="E69" i="43"/>
  <c r="E67" i="43" s="1"/>
  <c r="D69" i="43"/>
  <c r="D67" i="43" s="1"/>
  <c r="O68" i="43"/>
  <c r="L68" i="43"/>
  <c r="I68" i="43"/>
  <c r="F68" i="43"/>
  <c r="K67" i="43"/>
  <c r="G67" i="43"/>
  <c r="O66" i="43"/>
  <c r="L66" i="43"/>
  <c r="I66" i="43"/>
  <c r="F66" i="43"/>
  <c r="O65" i="43"/>
  <c r="L65" i="43"/>
  <c r="I65" i="43"/>
  <c r="F65" i="43"/>
  <c r="O64" i="43"/>
  <c r="L64" i="43"/>
  <c r="I64" i="43"/>
  <c r="F64" i="43"/>
  <c r="O63" i="43"/>
  <c r="L63" i="43"/>
  <c r="I63" i="43"/>
  <c r="F63" i="43"/>
  <c r="O62" i="43"/>
  <c r="L62" i="43"/>
  <c r="I62" i="43"/>
  <c r="F62" i="43"/>
  <c r="O61" i="43"/>
  <c r="L61" i="43"/>
  <c r="I61" i="43"/>
  <c r="F61" i="43"/>
  <c r="O60" i="43"/>
  <c r="L60" i="43"/>
  <c r="I60" i="43"/>
  <c r="F60" i="43"/>
  <c r="O59" i="43"/>
  <c r="O58" i="43" s="1"/>
  <c r="L59" i="43"/>
  <c r="I59" i="43"/>
  <c r="F59" i="43"/>
  <c r="N58" i="43"/>
  <c r="M58" i="43"/>
  <c r="K58" i="43"/>
  <c r="J58" i="43"/>
  <c r="H58" i="43"/>
  <c r="G58" i="43"/>
  <c r="E58" i="43"/>
  <c r="D58" i="43"/>
  <c r="O57" i="43"/>
  <c r="L57" i="43"/>
  <c r="I57" i="43"/>
  <c r="F57" i="43"/>
  <c r="O56" i="43"/>
  <c r="O55" i="43" s="1"/>
  <c r="O54" i="43" s="1"/>
  <c r="L56" i="43"/>
  <c r="L55" i="43" s="1"/>
  <c r="I56" i="43"/>
  <c r="I55" i="43" s="1"/>
  <c r="F56" i="43"/>
  <c r="N55" i="43"/>
  <c r="N54" i="43" s="1"/>
  <c r="M55" i="43"/>
  <c r="K55" i="43"/>
  <c r="K54" i="43" s="1"/>
  <c r="K53" i="43" s="1"/>
  <c r="J55" i="43"/>
  <c r="J54" i="43" s="1"/>
  <c r="J53" i="43" s="1"/>
  <c r="H55" i="43"/>
  <c r="G55" i="43"/>
  <c r="F55" i="43"/>
  <c r="E55" i="43"/>
  <c r="E54" i="43" s="1"/>
  <c r="E53" i="43" s="1"/>
  <c r="D55" i="43"/>
  <c r="D54" i="43" s="1"/>
  <c r="O47" i="43"/>
  <c r="C47" i="43" s="1"/>
  <c r="O46" i="43"/>
  <c r="C46" i="43" s="1"/>
  <c r="N45" i="43"/>
  <c r="M45" i="43"/>
  <c r="L44" i="43"/>
  <c r="L43" i="43" s="1"/>
  <c r="I44" i="43"/>
  <c r="I43" i="43" s="1"/>
  <c r="F44" i="43"/>
  <c r="K43" i="43"/>
  <c r="J43" i="43"/>
  <c r="H43" i="43"/>
  <c r="G43" i="43"/>
  <c r="E43" i="43"/>
  <c r="D43" i="43"/>
  <c r="F42" i="43"/>
  <c r="C42" i="43" s="1"/>
  <c r="E41" i="43"/>
  <c r="D41" i="43"/>
  <c r="L40" i="43"/>
  <c r="C40" i="43" s="1"/>
  <c r="L39" i="43"/>
  <c r="C39" i="43" s="1"/>
  <c r="L38" i="43"/>
  <c r="C38" i="43" s="1"/>
  <c r="L37" i="43"/>
  <c r="C37" i="43" s="1"/>
  <c r="K36" i="43"/>
  <c r="J36" i="43"/>
  <c r="L35" i="43"/>
  <c r="C35" i="43" s="1"/>
  <c r="L34" i="43"/>
  <c r="C34" i="43" s="1"/>
  <c r="K33" i="43"/>
  <c r="J33" i="43"/>
  <c r="L32" i="43"/>
  <c r="C32" i="43" s="1"/>
  <c r="K31" i="43"/>
  <c r="J31" i="43"/>
  <c r="L30" i="43"/>
  <c r="C30" i="43" s="1"/>
  <c r="L29" i="43"/>
  <c r="C29" i="43" s="1"/>
  <c r="L28" i="43"/>
  <c r="C28" i="43" s="1"/>
  <c r="K27" i="43"/>
  <c r="J27" i="43"/>
  <c r="J26" i="43" s="1"/>
  <c r="F25" i="43"/>
  <c r="C25" i="43" s="1"/>
  <c r="I24" i="43"/>
  <c r="F24" i="43"/>
  <c r="C24" i="43" s="1"/>
  <c r="O23" i="43"/>
  <c r="L23" i="43"/>
  <c r="I23" i="43"/>
  <c r="F23" i="43"/>
  <c r="C23" i="43" s="1"/>
  <c r="O22" i="43"/>
  <c r="O21" i="43" s="1"/>
  <c r="L22" i="43"/>
  <c r="I22" i="43"/>
  <c r="F22" i="43"/>
  <c r="N21" i="43"/>
  <c r="N292" i="43" s="1"/>
  <c r="N291" i="43" s="1"/>
  <c r="M21" i="43"/>
  <c r="M20" i="43" s="1"/>
  <c r="K21" i="43"/>
  <c r="K292" i="43" s="1"/>
  <c r="K291" i="43" s="1"/>
  <c r="J21" i="43"/>
  <c r="J292" i="43" s="1"/>
  <c r="J291" i="43" s="1"/>
  <c r="I21" i="43"/>
  <c r="H21" i="43"/>
  <c r="H292" i="43" s="1"/>
  <c r="G21" i="43"/>
  <c r="G292" i="43" s="1"/>
  <c r="G291" i="43" s="1"/>
  <c r="E21" i="43"/>
  <c r="E292" i="43" s="1"/>
  <c r="E291" i="43" s="1"/>
  <c r="D21" i="43"/>
  <c r="D292" i="43" s="1"/>
  <c r="D291" i="43" s="1"/>
  <c r="O301" i="42"/>
  <c r="L301" i="42"/>
  <c r="I301" i="42"/>
  <c r="F301" i="42"/>
  <c r="O300" i="42"/>
  <c r="L300" i="42"/>
  <c r="I300" i="42"/>
  <c r="F300" i="42"/>
  <c r="O299" i="42"/>
  <c r="L299" i="42"/>
  <c r="I299" i="42"/>
  <c r="F299" i="42"/>
  <c r="O298" i="42"/>
  <c r="L298" i="42"/>
  <c r="I298" i="42"/>
  <c r="F298" i="42"/>
  <c r="O297" i="42"/>
  <c r="L297" i="42"/>
  <c r="I297" i="42"/>
  <c r="F297" i="42"/>
  <c r="O296" i="42"/>
  <c r="L296" i="42"/>
  <c r="I296" i="42"/>
  <c r="F296" i="42"/>
  <c r="O295" i="42"/>
  <c r="L295" i="42"/>
  <c r="I295" i="42"/>
  <c r="F295" i="42"/>
  <c r="O294" i="42"/>
  <c r="L294" i="42"/>
  <c r="I294" i="42"/>
  <c r="F294" i="42"/>
  <c r="N293" i="42"/>
  <c r="M293" i="42"/>
  <c r="K293" i="42"/>
  <c r="J293" i="42"/>
  <c r="H293" i="42"/>
  <c r="G293" i="42"/>
  <c r="E293" i="42"/>
  <c r="D293" i="42"/>
  <c r="O288" i="42"/>
  <c r="L288" i="42"/>
  <c r="I288" i="42"/>
  <c r="F288" i="42"/>
  <c r="O287" i="42"/>
  <c r="L287" i="42"/>
  <c r="L286" i="42" s="1"/>
  <c r="I287" i="42"/>
  <c r="I286" i="42" s="1"/>
  <c r="F287" i="42"/>
  <c r="O286" i="42"/>
  <c r="N286" i="42"/>
  <c r="M286" i="42"/>
  <c r="K286" i="42"/>
  <c r="J286" i="42"/>
  <c r="H286" i="42"/>
  <c r="G286" i="42"/>
  <c r="F286" i="42"/>
  <c r="E286" i="42"/>
  <c r="D286" i="42"/>
  <c r="O285" i="42"/>
  <c r="O284" i="42" s="1"/>
  <c r="O283" i="42" s="1"/>
  <c r="L285" i="42"/>
  <c r="I285" i="42"/>
  <c r="I284" i="42" s="1"/>
  <c r="I283" i="42" s="1"/>
  <c r="F285" i="42"/>
  <c r="F284" i="42" s="1"/>
  <c r="N284" i="42"/>
  <c r="M284" i="42"/>
  <c r="L284" i="42"/>
  <c r="L283" i="42" s="1"/>
  <c r="K284" i="42"/>
  <c r="K283" i="42" s="1"/>
  <c r="J284" i="42"/>
  <c r="J283" i="42" s="1"/>
  <c r="H284" i="42"/>
  <c r="H283" i="42" s="1"/>
  <c r="G284" i="42"/>
  <c r="E284" i="42"/>
  <c r="D284" i="42"/>
  <c r="D283" i="42" s="1"/>
  <c r="N283" i="42"/>
  <c r="M283" i="42"/>
  <c r="G283" i="42"/>
  <c r="E283" i="42"/>
  <c r="O282" i="42"/>
  <c r="L282" i="42"/>
  <c r="I282" i="42"/>
  <c r="F282" i="42"/>
  <c r="F281" i="42" s="1"/>
  <c r="O281" i="42"/>
  <c r="N281" i="42"/>
  <c r="M281" i="42"/>
  <c r="K281" i="42"/>
  <c r="J281" i="42"/>
  <c r="I281" i="42"/>
  <c r="H281" i="42"/>
  <c r="G281" i="42"/>
  <c r="E281" i="42"/>
  <c r="D281" i="42"/>
  <c r="O280" i="42"/>
  <c r="L280" i="42"/>
  <c r="I280" i="42"/>
  <c r="F280" i="42"/>
  <c r="O279" i="42"/>
  <c r="L279" i="42"/>
  <c r="I279" i="42"/>
  <c r="F279" i="42"/>
  <c r="O278" i="42"/>
  <c r="L278" i="42"/>
  <c r="I278" i="42"/>
  <c r="F278" i="42"/>
  <c r="O277" i="42"/>
  <c r="O276" i="42" s="1"/>
  <c r="L277" i="42"/>
  <c r="L276" i="42" s="1"/>
  <c r="I277" i="42"/>
  <c r="F277" i="42"/>
  <c r="F276" i="42" s="1"/>
  <c r="N276" i="42"/>
  <c r="M276" i="42"/>
  <c r="K276" i="42"/>
  <c r="J276" i="42"/>
  <c r="H276" i="42"/>
  <c r="G276" i="42"/>
  <c r="E276" i="42"/>
  <c r="D276" i="42"/>
  <c r="O275" i="42"/>
  <c r="L275" i="42"/>
  <c r="I275" i="42"/>
  <c r="F275" i="42"/>
  <c r="O274" i="42"/>
  <c r="L274" i="42"/>
  <c r="I274" i="42"/>
  <c r="F274" i="42"/>
  <c r="O273" i="42"/>
  <c r="O272" i="42" s="1"/>
  <c r="L273" i="42"/>
  <c r="I273" i="42"/>
  <c r="F273" i="42"/>
  <c r="C273" i="42"/>
  <c r="N272" i="42"/>
  <c r="N270" i="42" s="1"/>
  <c r="N269" i="42" s="1"/>
  <c r="M272" i="42"/>
  <c r="K272" i="42"/>
  <c r="J272" i="42"/>
  <c r="J270" i="42" s="1"/>
  <c r="J269" i="42" s="1"/>
  <c r="I272" i="42"/>
  <c r="H272" i="42"/>
  <c r="G272" i="42"/>
  <c r="F272" i="42"/>
  <c r="F270" i="42" s="1"/>
  <c r="E272" i="42"/>
  <c r="E270" i="42" s="1"/>
  <c r="D272" i="42"/>
  <c r="D270" i="42" s="1"/>
  <c r="O271" i="42"/>
  <c r="L271" i="42"/>
  <c r="I271" i="42"/>
  <c r="F271" i="42"/>
  <c r="K270" i="42"/>
  <c r="K269" i="42" s="1"/>
  <c r="O268" i="42"/>
  <c r="L268" i="42"/>
  <c r="I268" i="42"/>
  <c r="F268" i="42"/>
  <c r="O267" i="42"/>
  <c r="L267" i="42"/>
  <c r="I267" i="42"/>
  <c r="F267" i="42"/>
  <c r="O266" i="42"/>
  <c r="L266" i="42"/>
  <c r="I266" i="42"/>
  <c r="F266" i="42"/>
  <c r="O265" i="42"/>
  <c r="O264" i="42" s="1"/>
  <c r="L265" i="42"/>
  <c r="L264" i="42" s="1"/>
  <c r="I265" i="42"/>
  <c r="F265" i="42"/>
  <c r="N264" i="42"/>
  <c r="M264" i="42"/>
  <c r="K264" i="42"/>
  <c r="J264" i="42"/>
  <c r="H264" i="42"/>
  <c r="G264" i="42"/>
  <c r="E264" i="42"/>
  <c r="D264" i="42"/>
  <c r="O263" i="42"/>
  <c r="L263" i="42"/>
  <c r="I263" i="42"/>
  <c r="F263" i="42"/>
  <c r="O262" i="42"/>
  <c r="L262" i="42"/>
  <c r="I262" i="42"/>
  <c r="F262" i="42"/>
  <c r="O261" i="42"/>
  <c r="O260" i="42" s="1"/>
  <c r="L261" i="42"/>
  <c r="I261" i="42"/>
  <c r="I260" i="42" s="1"/>
  <c r="F261" i="42"/>
  <c r="C261" i="42"/>
  <c r="N260" i="42"/>
  <c r="N259" i="42" s="1"/>
  <c r="M260" i="42"/>
  <c r="K260" i="42"/>
  <c r="J260" i="42"/>
  <c r="J259" i="42" s="1"/>
  <c r="H260" i="42"/>
  <c r="G260" i="42"/>
  <c r="F260" i="42"/>
  <c r="E260" i="42"/>
  <c r="E259" i="42" s="1"/>
  <c r="D260" i="42"/>
  <c r="G259" i="42"/>
  <c r="O258" i="42"/>
  <c r="L258" i="42"/>
  <c r="I258" i="42"/>
  <c r="F258" i="42"/>
  <c r="O257" i="42"/>
  <c r="L257" i="42"/>
  <c r="I257" i="42"/>
  <c r="F257" i="42"/>
  <c r="O256" i="42"/>
  <c r="L256" i="42"/>
  <c r="I256" i="42"/>
  <c r="F256" i="42"/>
  <c r="O255" i="42"/>
  <c r="L255" i="42"/>
  <c r="I255" i="42"/>
  <c r="F255" i="42"/>
  <c r="O254" i="42"/>
  <c r="L254" i="42"/>
  <c r="I254" i="42"/>
  <c r="F254" i="42"/>
  <c r="O253" i="42"/>
  <c r="O252" i="42" s="1"/>
  <c r="L253" i="42"/>
  <c r="I253" i="42"/>
  <c r="F253" i="42"/>
  <c r="N252" i="42"/>
  <c r="N251" i="42" s="1"/>
  <c r="M252" i="42"/>
  <c r="M251" i="42" s="1"/>
  <c r="K252" i="42"/>
  <c r="K251" i="42" s="1"/>
  <c r="J252" i="42"/>
  <c r="J251" i="42" s="1"/>
  <c r="H252" i="42"/>
  <c r="H251" i="42" s="1"/>
  <c r="G252" i="42"/>
  <c r="G251" i="42" s="1"/>
  <c r="E252" i="42"/>
  <c r="D252" i="42"/>
  <c r="D251" i="42" s="1"/>
  <c r="E251" i="42"/>
  <c r="O250" i="42"/>
  <c r="L250" i="42"/>
  <c r="I250" i="42"/>
  <c r="F250" i="42"/>
  <c r="O249" i="42"/>
  <c r="L249" i="42"/>
  <c r="I249" i="42"/>
  <c r="F249" i="42"/>
  <c r="O248" i="42"/>
  <c r="L248" i="42"/>
  <c r="I248" i="42"/>
  <c r="F248" i="42"/>
  <c r="O247" i="42"/>
  <c r="L247" i="42"/>
  <c r="L246" i="42" s="1"/>
  <c r="I247" i="42"/>
  <c r="F247" i="42"/>
  <c r="N246" i="42"/>
  <c r="M246" i="42"/>
  <c r="K246" i="42"/>
  <c r="J246" i="42"/>
  <c r="H246" i="42"/>
  <c r="G246" i="42"/>
  <c r="E246" i="42"/>
  <c r="D246" i="42"/>
  <c r="O245" i="42"/>
  <c r="L245" i="42"/>
  <c r="I245" i="42"/>
  <c r="F245" i="42"/>
  <c r="O244" i="42"/>
  <c r="L244" i="42"/>
  <c r="I244" i="42"/>
  <c r="F244" i="42"/>
  <c r="O243" i="42"/>
  <c r="L243" i="42"/>
  <c r="I243" i="42"/>
  <c r="F243" i="42"/>
  <c r="C243" i="42" s="1"/>
  <c r="O242" i="42"/>
  <c r="L242" i="42"/>
  <c r="I242" i="42"/>
  <c r="F242" i="42"/>
  <c r="O241" i="42"/>
  <c r="L241" i="42"/>
  <c r="I241" i="42"/>
  <c r="F241" i="42"/>
  <c r="O240" i="42"/>
  <c r="L240" i="42"/>
  <c r="I240" i="42"/>
  <c r="F240" i="42"/>
  <c r="O239" i="42"/>
  <c r="L239" i="42"/>
  <c r="I239" i="42"/>
  <c r="F239" i="42"/>
  <c r="N238" i="42"/>
  <c r="M238" i="42"/>
  <c r="K238" i="42"/>
  <c r="J238" i="42"/>
  <c r="H238" i="42"/>
  <c r="G238" i="42"/>
  <c r="E238" i="42"/>
  <c r="D238" i="42"/>
  <c r="O237" i="42"/>
  <c r="L237" i="42"/>
  <c r="I237" i="42"/>
  <c r="F237" i="42"/>
  <c r="O236" i="42"/>
  <c r="L236" i="42"/>
  <c r="L235" i="42" s="1"/>
  <c r="I236" i="42"/>
  <c r="I235" i="42" s="1"/>
  <c r="F236" i="42"/>
  <c r="N235" i="42"/>
  <c r="M235" i="42"/>
  <c r="K235" i="42"/>
  <c r="J235" i="42"/>
  <c r="H235" i="42"/>
  <c r="G235" i="42"/>
  <c r="E235" i="42"/>
  <c r="D235" i="42"/>
  <c r="O234" i="42"/>
  <c r="L234" i="42"/>
  <c r="L233" i="42" s="1"/>
  <c r="I234" i="42"/>
  <c r="I233" i="42" s="1"/>
  <c r="F234" i="42"/>
  <c r="O233" i="42"/>
  <c r="N233" i="42"/>
  <c r="M233" i="42"/>
  <c r="M231" i="42" s="1"/>
  <c r="K233" i="42"/>
  <c r="K231" i="42" s="1"/>
  <c r="J233" i="42"/>
  <c r="H233" i="42"/>
  <c r="G233" i="42"/>
  <c r="E233" i="42"/>
  <c r="E231" i="42" s="1"/>
  <c r="D233" i="42"/>
  <c r="O232" i="42"/>
  <c r="L232" i="42"/>
  <c r="I232" i="42"/>
  <c r="F232" i="42"/>
  <c r="O229" i="42"/>
  <c r="L229" i="42"/>
  <c r="I229" i="42"/>
  <c r="F229" i="42"/>
  <c r="O228" i="42"/>
  <c r="L228" i="42"/>
  <c r="L227" i="42" s="1"/>
  <c r="I228" i="42"/>
  <c r="I227" i="42" s="1"/>
  <c r="F228" i="42"/>
  <c r="O227" i="42"/>
  <c r="N227" i="42"/>
  <c r="M227" i="42"/>
  <c r="K227" i="42"/>
  <c r="J227" i="42"/>
  <c r="H227" i="42"/>
  <c r="G227" i="42"/>
  <c r="E227" i="42"/>
  <c r="D227" i="42"/>
  <c r="O226" i="42"/>
  <c r="L226" i="42"/>
  <c r="I226" i="42"/>
  <c r="F226" i="42"/>
  <c r="O225" i="42"/>
  <c r="L225" i="42"/>
  <c r="I225" i="42"/>
  <c r="F225" i="42"/>
  <c r="O224" i="42"/>
  <c r="L224" i="42"/>
  <c r="I224" i="42"/>
  <c r="F224" i="42"/>
  <c r="O223" i="42"/>
  <c r="L223" i="42"/>
  <c r="I223" i="42"/>
  <c r="F223" i="42"/>
  <c r="O222" i="42"/>
  <c r="L222" i="42"/>
  <c r="I222" i="42"/>
  <c r="F222" i="42"/>
  <c r="O221" i="42"/>
  <c r="L221" i="42"/>
  <c r="I221" i="42"/>
  <c r="F221" i="42"/>
  <c r="O220" i="42"/>
  <c r="L220" i="42"/>
  <c r="I220" i="42"/>
  <c r="F220" i="42"/>
  <c r="O219" i="42"/>
  <c r="L219" i="42"/>
  <c r="I219" i="42"/>
  <c r="F219" i="42"/>
  <c r="O218" i="42"/>
  <c r="L218" i="42"/>
  <c r="I218" i="42"/>
  <c r="F218" i="42"/>
  <c r="O217" i="42"/>
  <c r="L217" i="42"/>
  <c r="I217" i="42"/>
  <c r="F217" i="42"/>
  <c r="N216" i="42"/>
  <c r="M216" i="42"/>
  <c r="K216" i="42"/>
  <c r="J216" i="42"/>
  <c r="H216" i="42"/>
  <c r="G216" i="42"/>
  <c r="E216" i="42"/>
  <c r="D216" i="42"/>
  <c r="O215" i="42"/>
  <c r="L215" i="42"/>
  <c r="I215" i="42"/>
  <c r="F215" i="42"/>
  <c r="O214" i="42"/>
  <c r="L214" i="42"/>
  <c r="I214" i="42"/>
  <c r="F214" i="42"/>
  <c r="O213" i="42"/>
  <c r="L213" i="42"/>
  <c r="I213" i="42"/>
  <c r="C213" i="42" s="1"/>
  <c r="F213" i="42"/>
  <c r="O212" i="42"/>
  <c r="L212" i="42"/>
  <c r="I212" i="42"/>
  <c r="F212" i="42"/>
  <c r="O211" i="42"/>
  <c r="L211" i="42"/>
  <c r="I211" i="42"/>
  <c r="C211" i="42" s="1"/>
  <c r="F211" i="42"/>
  <c r="O210" i="42"/>
  <c r="L210" i="42"/>
  <c r="I210" i="42"/>
  <c r="F210" i="42"/>
  <c r="O209" i="42"/>
  <c r="L209" i="42"/>
  <c r="I209" i="42"/>
  <c r="F209" i="42"/>
  <c r="O208" i="42"/>
  <c r="L208" i="42"/>
  <c r="I208" i="42"/>
  <c r="F208" i="42"/>
  <c r="O207" i="42"/>
  <c r="L207" i="42"/>
  <c r="I207" i="42"/>
  <c r="F207" i="42"/>
  <c r="O206" i="42"/>
  <c r="L206" i="42"/>
  <c r="I206" i="42"/>
  <c r="F206" i="42"/>
  <c r="N205" i="42"/>
  <c r="M205" i="42"/>
  <c r="M204" i="42" s="1"/>
  <c r="K205" i="42"/>
  <c r="J205" i="42"/>
  <c r="H205" i="42"/>
  <c r="G205" i="42"/>
  <c r="E205" i="42"/>
  <c r="E204" i="42" s="1"/>
  <c r="D205" i="42"/>
  <c r="N204" i="42"/>
  <c r="O203" i="42"/>
  <c r="L203" i="42"/>
  <c r="I203" i="42"/>
  <c r="F203" i="42"/>
  <c r="O202" i="42"/>
  <c r="L202" i="42"/>
  <c r="I202" i="42"/>
  <c r="F202" i="42"/>
  <c r="O201" i="42"/>
  <c r="L201" i="42"/>
  <c r="I201" i="42"/>
  <c r="F201" i="42"/>
  <c r="O200" i="42"/>
  <c r="L200" i="42"/>
  <c r="I200" i="42"/>
  <c r="F200" i="42"/>
  <c r="O199" i="42"/>
  <c r="O198" i="42" s="1"/>
  <c r="L199" i="42"/>
  <c r="L198" i="42" s="1"/>
  <c r="I199" i="42"/>
  <c r="I198" i="42" s="1"/>
  <c r="F199" i="42"/>
  <c r="N198" i="42"/>
  <c r="N196" i="42" s="1"/>
  <c r="N195" i="42" s="1"/>
  <c r="M198" i="42"/>
  <c r="M196" i="42" s="1"/>
  <c r="K198" i="42"/>
  <c r="J198" i="42"/>
  <c r="J196" i="42" s="1"/>
  <c r="H198" i="42"/>
  <c r="G198" i="42"/>
  <c r="G196" i="42" s="1"/>
  <c r="E198" i="42"/>
  <c r="D198" i="42"/>
  <c r="D196" i="42" s="1"/>
  <c r="O197" i="42"/>
  <c r="O196" i="42" s="1"/>
  <c r="L197" i="42"/>
  <c r="I197" i="42"/>
  <c r="F197" i="42"/>
  <c r="K196" i="42"/>
  <c r="H196" i="42"/>
  <c r="E196" i="42"/>
  <c r="E195" i="42"/>
  <c r="O193" i="42"/>
  <c r="O192" i="42" s="1"/>
  <c r="O191" i="42" s="1"/>
  <c r="L193" i="42"/>
  <c r="L192" i="42" s="1"/>
  <c r="L191" i="42" s="1"/>
  <c r="I193" i="42"/>
  <c r="I192" i="42" s="1"/>
  <c r="I191" i="42" s="1"/>
  <c r="F193" i="42"/>
  <c r="N192" i="42"/>
  <c r="M192" i="42"/>
  <c r="M191" i="42" s="1"/>
  <c r="K192" i="42"/>
  <c r="K191" i="42" s="1"/>
  <c r="J192" i="42"/>
  <c r="J191" i="42" s="1"/>
  <c r="H192" i="42"/>
  <c r="H191" i="42" s="1"/>
  <c r="G192" i="42"/>
  <c r="G191" i="42" s="1"/>
  <c r="E192" i="42"/>
  <c r="E191" i="42" s="1"/>
  <c r="D192" i="42"/>
  <c r="D191" i="42" s="1"/>
  <c r="N191" i="42"/>
  <c r="O190" i="42"/>
  <c r="L190" i="42"/>
  <c r="I190" i="42"/>
  <c r="F190" i="42"/>
  <c r="O189" i="42"/>
  <c r="L189" i="42"/>
  <c r="L188" i="42" s="1"/>
  <c r="I189" i="42"/>
  <c r="F189" i="42"/>
  <c r="F188" i="42" s="1"/>
  <c r="O188" i="42"/>
  <c r="O187" i="42" s="1"/>
  <c r="N188" i="42"/>
  <c r="M188" i="42"/>
  <c r="M187" i="42" s="1"/>
  <c r="K188" i="42"/>
  <c r="J188" i="42"/>
  <c r="H188" i="42"/>
  <c r="G188" i="42"/>
  <c r="E188" i="42"/>
  <c r="E187" i="42" s="1"/>
  <c r="D188" i="42"/>
  <c r="D187" i="42" s="1"/>
  <c r="N187" i="42"/>
  <c r="O186" i="42"/>
  <c r="L186" i="42"/>
  <c r="I186" i="42"/>
  <c r="F186" i="42"/>
  <c r="O185" i="42"/>
  <c r="L185" i="42"/>
  <c r="L184" i="42" s="1"/>
  <c r="I185" i="42"/>
  <c r="I184" i="42" s="1"/>
  <c r="F185" i="42"/>
  <c r="O184" i="42"/>
  <c r="N184" i="42"/>
  <c r="M184" i="42"/>
  <c r="K184" i="42"/>
  <c r="J184" i="42"/>
  <c r="H184" i="42"/>
  <c r="G184" i="42"/>
  <c r="E184" i="42"/>
  <c r="D184" i="42"/>
  <c r="O183" i="42"/>
  <c r="L183" i="42"/>
  <c r="I183" i="42"/>
  <c r="F183" i="42"/>
  <c r="O182" i="42"/>
  <c r="L182" i="42"/>
  <c r="I182" i="42"/>
  <c r="F182" i="42"/>
  <c r="O181" i="42"/>
  <c r="L181" i="42"/>
  <c r="I181" i="42"/>
  <c r="F181" i="42"/>
  <c r="O180" i="42"/>
  <c r="L180" i="42"/>
  <c r="I180" i="42"/>
  <c r="F180" i="42"/>
  <c r="N179" i="42"/>
  <c r="M179" i="42"/>
  <c r="K179" i="42"/>
  <c r="J179" i="42"/>
  <c r="H179" i="42"/>
  <c r="G179" i="42"/>
  <c r="E179" i="42"/>
  <c r="D179" i="42"/>
  <c r="O178" i="42"/>
  <c r="L178" i="42"/>
  <c r="I178" i="42"/>
  <c r="F178" i="42"/>
  <c r="O177" i="42"/>
  <c r="L177" i="42"/>
  <c r="I177" i="42"/>
  <c r="F177" i="42"/>
  <c r="O176" i="42"/>
  <c r="L176" i="42"/>
  <c r="I176" i="42"/>
  <c r="F176" i="42"/>
  <c r="N175" i="42"/>
  <c r="N174" i="42" s="1"/>
  <c r="M175" i="42"/>
  <c r="M174" i="42" s="1"/>
  <c r="K175" i="42"/>
  <c r="J175" i="42"/>
  <c r="J174" i="42" s="1"/>
  <c r="J173" i="42" s="1"/>
  <c r="H175" i="42"/>
  <c r="H174" i="42" s="1"/>
  <c r="H173" i="42" s="1"/>
  <c r="G175" i="42"/>
  <c r="G174" i="42" s="1"/>
  <c r="G173" i="42" s="1"/>
  <c r="E175" i="42"/>
  <c r="D175" i="42"/>
  <c r="D174" i="42" s="1"/>
  <c r="D173" i="42" s="1"/>
  <c r="K174" i="42"/>
  <c r="K173" i="42" s="1"/>
  <c r="E174" i="42"/>
  <c r="E173" i="42" s="1"/>
  <c r="O172" i="42"/>
  <c r="L172" i="42"/>
  <c r="I172" i="42"/>
  <c r="F172" i="42"/>
  <c r="O171" i="42"/>
  <c r="L171" i="42"/>
  <c r="I171" i="42"/>
  <c r="F171" i="42"/>
  <c r="O170" i="42"/>
  <c r="L170" i="42"/>
  <c r="I170" i="42"/>
  <c r="F170" i="42"/>
  <c r="O169" i="42"/>
  <c r="L169" i="42"/>
  <c r="I169" i="42"/>
  <c r="F169" i="42"/>
  <c r="O168" i="42"/>
  <c r="L168" i="42"/>
  <c r="I168" i="42"/>
  <c r="F168" i="42"/>
  <c r="O167" i="42"/>
  <c r="L167" i="42"/>
  <c r="I167" i="42"/>
  <c r="F167" i="42"/>
  <c r="N166" i="42"/>
  <c r="M166" i="42"/>
  <c r="M165" i="42" s="1"/>
  <c r="K166" i="42"/>
  <c r="K165" i="42" s="1"/>
  <c r="J166" i="42"/>
  <c r="J165" i="42" s="1"/>
  <c r="H166" i="42"/>
  <c r="H165" i="42" s="1"/>
  <c r="G166" i="42"/>
  <c r="G165" i="42" s="1"/>
  <c r="E166" i="42"/>
  <c r="E165" i="42" s="1"/>
  <c r="D166" i="42"/>
  <c r="N165" i="42"/>
  <c r="D165" i="42"/>
  <c r="O164" i="42"/>
  <c r="L164" i="42"/>
  <c r="I164" i="42"/>
  <c r="F164" i="42"/>
  <c r="O163" i="42"/>
  <c r="L163" i="42"/>
  <c r="I163" i="42"/>
  <c r="F163" i="42"/>
  <c r="O162" i="42"/>
  <c r="L162" i="42"/>
  <c r="I162" i="42"/>
  <c r="F162" i="42"/>
  <c r="O161" i="42"/>
  <c r="L161" i="42"/>
  <c r="L160" i="42" s="1"/>
  <c r="I161" i="42"/>
  <c r="F161" i="42"/>
  <c r="N160" i="42"/>
  <c r="M160" i="42"/>
  <c r="K160" i="42"/>
  <c r="J160" i="42"/>
  <c r="H160" i="42"/>
  <c r="G160" i="42"/>
  <c r="E160" i="42"/>
  <c r="D160" i="42"/>
  <c r="O159" i="42"/>
  <c r="L159" i="42"/>
  <c r="I159" i="42"/>
  <c r="F159" i="42"/>
  <c r="O158" i="42"/>
  <c r="L158" i="42"/>
  <c r="I158" i="42"/>
  <c r="F158" i="42"/>
  <c r="O157" i="42"/>
  <c r="L157" i="42"/>
  <c r="I157" i="42"/>
  <c r="F157" i="42"/>
  <c r="O156" i="42"/>
  <c r="L156" i="42"/>
  <c r="I156" i="42"/>
  <c r="F156" i="42"/>
  <c r="O155" i="42"/>
  <c r="L155" i="42"/>
  <c r="I155" i="42"/>
  <c r="F155" i="42"/>
  <c r="O154" i="42"/>
  <c r="L154" i="42"/>
  <c r="I154" i="42"/>
  <c r="F154" i="42"/>
  <c r="O153" i="42"/>
  <c r="L153" i="42"/>
  <c r="I153" i="42"/>
  <c r="F153" i="42"/>
  <c r="O152" i="42"/>
  <c r="L152" i="42"/>
  <c r="I152" i="42"/>
  <c r="F152" i="42"/>
  <c r="N151" i="42"/>
  <c r="M151" i="42"/>
  <c r="K151" i="42"/>
  <c r="J151" i="42"/>
  <c r="H151" i="42"/>
  <c r="G151" i="42"/>
  <c r="E151" i="42"/>
  <c r="D151" i="42"/>
  <c r="O150" i="42"/>
  <c r="L150" i="42"/>
  <c r="I150" i="42"/>
  <c r="F150" i="42"/>
  <c r="O149" i="42"/>
  <c r="L149" i="42"/>
  <c r="I149" i="42"/>
  <c r="F149" i="42"/>
  <c r="O148" i="42"/>
  <c r="L148" i="42"/>
  <c r="I148" i="42"/>
  <c r="F148" i="42"/>
  <c r="O147" i="42"/>
  <c r="L147" i="42"/>
  <c r="I147" i="42"/>
  <c r="F147" i="42"/>
  <c r="O146" i="42"/>
  <c r="L146" i="42"/>
  <c r="I146" i="42"/>
  <c r="F146" i="42"/>
  <c r="O145" i="42"/>
  <c r="L145" i="42"/>
  <c r="I145" i="42"/>
  <c r="F145" i="42"/>
  <c r="N144" i="42"/>
  <c r="M144" i="42"/>
  <c r="K144" i="42"/>
  <c r="J144" i="42"/>
  <c r="H144" i="42"/>
  <c r="G144" i="42"/>
  <c r="E144" i="42"/>
  <c r="D144" i="42"/>
  <c r="O143" i="42"/>
  <c r="L143" i="42"/>
  <c r="I143" i="42"/>
  <c r="F143" i="42"/>
  <c r="O142" i="42"/>
  <c r="L142" i="42"/>
  <c r="L141" i="42" s="1"/>
  <c r="I142" i="42"/>
  <c r="I141" i="42" s="1"/>
  <c r="F142" i="42"/>
  <c r="N141" i="42"/>
  <c r="M141" i="42"/>
  <c r="K141" i="42"/>
  <c r="J141" i="42"/>
  <c r="H141" i="42"/>
  <c r="G141" i="42"/>
  <c r="E141" i="42"/>
  <c r="D141" i="42"/>
  <c r="O140" i="42"/>
  <c r="L140" i="42"/>
  <c r="I140" i="42"/>
  <c r="F140" i="42"/>
  <c r="O139" i="42"/>
  <c r="L139" i="42"/>
  <c r="I139" i="42"/>
  <c r="F139" i="42"/>
  <c r="O138" i="42"/>
  <c r="L138" i="42"/>
  <c r="I138" i="42"/>
  <c r="F138" i="42"/>
  <c r="O137" i="42"/>
  <c r="L137" i="42"/>
  <c r="I137" i="42"/>
  <c r="F137" i="42"/>
  <c r="N136" i="42"/>
  <c r="M136" i="42"/>
  <c r="K136" i="42"/>
  <c r="J136" i="42"/>
  <c r="H136" i="42"/>
  <c r="G136" i="42"/>
  <c r="E136" i="42"/>
  <c r="D136" i="42"/>
  <c r="O135" i="42"/>
  <c r="L135" i="42"/>
  <c r="I135" i="42"/>
  <c r="F135" i="42"/>
  <c r="O134" i="42"/>
  <c r="L134" i="42"/>
  <c r="I134" i="42"/>
  <c r="F134" i="42"/>
  <c r="O133" i="42"/>
  <c r="L133" i="42"/>
  <c r="I133" i="42"/>
  <c r="F133" i="42"/>
  <c r="O132" i="42"/>
  <c r="L132" i="42"/>
  <c r="L131" i="42" s="1"/>
  <c r="I132" i="42"/>
  <c r="F132" i="42"/>
  <c r="O131" i="42"/>
  <c r="N131" i="42"/>
  <c r="M131" i="42"/>
  <c r="K131" i="42"/>
  <c r="J131" i="42"/>
  <c r="H131" i="42"/>
  <c r="G131" i="42"/>
  <c r="F131" i="42"/>
  <c r="E131" i="42"/>
  <c r="D131" i="42"/>
  <c r="D130" i="42" s="1"/>
  <c r="H130" i="42"/>
  <c r="O129" i="42"/>
  <c r="L129" i="42"/>
  <c r="L128" i="42" s="1"/>
  <c r="I129" i="42"/>
  <c r="I128" i="42" s="1"/>
  <c r="F129" i="42"/>
  <c r="F128" i="42" s="1"/>
  <c r="O128" i="42"/>
  <c r="N128" i="42"/>
  <c r="M128" i="42"/>
  <c r="K128" i="42"/>
  <c r="J128" i="42"/>
  <c r="H128" i="42"/>
  <c r="G128" i="42"/>
  <c r="E128" i="42"/>
  <c r="D128" i="42"/>
  <c r="O127" i="42"/>
  <c r="L127" i="42"/>
  <c r="I127" i="42"/>
  <c r="F127" i="42"/>
  <c r="O126" i="42"/>
  <c r="L126" i="42"/>
  <c r="I126" i="42"/>
  <c r="F126" i="42"/>
  <c r="O125" i="42"/>
  <c r="L125" i="42"/>
  <c r="I125" i="42"/>
  <c r="F125" i="42"/>
  <c r="O124" i="42"/>
  <c r="L124" i="42"/>
  <c r="I124" i="42"/>
  <c r="F124" i="42"/>
  <c r="O123" i="42"/>
  <c r="L123" i="42"/>
  <c r="L122" i="42" s="1"/>
  <c r="I123" i="42"/>
  <c r="F123" i="42"/>
  <c r="N122" i="42"/>
  <c r="M122" i="42"/>
  <c r="K122" i="42"/>
  <c r="J122" i="42"/>
  <c r="I122" i="42"/>
  <c r="H122" i="42"/>
  <c r="G122" i="42"/>
  <c r="E122" i="42"/>
  <c r="D122" i="42"/>
  <c r="O121" i="42"/>
  <c r="L121" i="42"/>
  <c r="I121" i="42"/>
  <c r="F121" i="42"/>
  <c r="O120" i="42"/>
  <c r="L120" i="42"/>
  <c r="I120" i="42"/>
  <c r="F120" i="42"/>
  <c r="O119" i="42"/>
  <c r="L119" i="42"/>
  <c r="I119" i="42"/>
  <c r="F119" i="42"/>
  <c r="O118" i="42"/>
  <c r="L118" i="42"/>
  <c r="I118" i="42"/>
  <c r="F118" i="42"/>
  <c r="O117" i="42"/>
  <c r="L117" i="42"/>
  <c r="I117" i="42"/>
  <c r="F117" i="42"/>
  <c r="O116" i="42"/>
  <c r="N116" i="42"/>
  <c r="M116" i="42"/>
  <c r="K116" i="42"/>
  <c r="J116" i="42"/>
  <c r="H116" i="42"/>
  <c r="G116" i="42"/>
  <c r="E116" i="42"/>
  <c r="D116" i="42"/>
  <c r="O115" i="42"/>
  <c r="L115" i="42"/>
  <c r="I115" i="42"/>
  <c r="F115" i="42"/>
  <c r="O114" i="42"/>
  <c r="L114" i="42"/>
  <c r="I114" i="42"/>
  <c r="F114" i="42"/>
  <c r="O113" i="42"/>
  <c r="L113" i="42"/>
  <c r="L112" i="42" s="1"/>
  <c r="I113" i="42"/>
  <c r="I112" i="42" s="1"/>
  <c r="F113" i="42"/>
  <c r="O112" i="42"/>
  <c r="N112" i="42"/>
  <c r="M112" i="42"/>
  <c r="K112" i="42"/>
  <c r="J112" i="42"/>
  <c r="H112" i="42"/>
  <c r="G112" i="42"/>
  <c r="E112" i="42"/>
  <c r="D112" i="42"/>
  <c r="O111" i="42"/>
  <c r="L111" i="42"/>
  <c r="I111" i="42"/>
  <c r="F111" i="42"/>
  <c r="O110" i="42"/>
  <c r="L110" i="42"/>
  <c r="I110" i="42"/>
  <c r="F110" i="42"/>
  <c r="O109" i="42"/>
  <c r="L109" i="42"/>
  <c r="I109" i="42"/>
  <c r="F109" i="42"/>
  <c r="O108" i="42"/>
  <c r="L108" i="42"/>
  <c r="I108" i="42"/>
  <c r="F108" i="42"/>
  <c r="C108" i="42" s="1"/>
  <c r="O107" i="42"/>
  <c r="L107" i="42"/>
  <c r="I107" i="42"/>
  <c r="F107" i="42"/>
  <c r="O106" i="42"/>
  <c r="L106" i="42"/>
  <c r="I106" i="42"/>
  <c r="F106" i="42"/>
  <c r="O105" i="42"/>
  <c r="L105" i="42"/>
  <c r="I105" i="42"/>
  <c r="F105" i="42"/>
  <c r="O104" i="42"/>
  <c r="L104" i="42"/>
  <c r="I104" i="42"/>
  <c r="F104" i="42"/>
  <c r="N103" i="42"/>
  <c r="M103" i="42"/>
  <c r="K103" i="42"/>
  <c r="J103" i="42"/>
  <c r="H103" i="42"/>
  <c r="G103" i="42"/>
  <c r="E103" i="42"/>
  <c r="D103" i="42"/>
  <c r="O102" i="42"/>
  <c r="L102" i="42"/>
  <c r="I102" i="42"/>
  <c r="F102" i="42"/>
  <c r="O101" i="42"/>
  <c r="L101" i="42"/>
  <c r="I101" i="42"/>
  <c r="F101" i="42"/>
  <c r="O100" i="42"/>
  <c r="L100" i="42"/>
  <c r="I100" i="42"/>
  <c r="F100" i="42"/>
  <c r="C100" i="42" s="1"/>
  <c r="O99" i="42"/>
  <c r="L99" i="42"/>
  <c r="I99" i="42"/>
  <c r="F99" i="42"/>
  <c r="O98" i="42"/>
  <c r="L98" i="42"/>
  <c r="I98" i="42"/>
  <c r="F98" i="42"/>
  <c r="O97" i="42"/>
  <c r="L97" i="42"/>
  <c r="I97" i="42"/>
  <c r="F97" i="42"/>
  <c r="O96" i="42"/>
  <c r="O95" i="42" s="1"/>
  <c r="L96" i="42"/>
  <c r="I96" i="42"/>
  <c r="I95" i="42" s="1"/>
  <c r="F96" i="42"/>
  <c r="C96" i="42" s="1"/>
  <c r="N95" i="42"/>
  <c r="M95" i="42"/>
  <c r="K95" i="42"/>
  <c r="J95" i="42"/>
  <c r="H95" i="42"/>
  <c r="G95" i="42"/>
  <c r="E95" i="42"/>
  <c r="D95" i="42"/>
  <c r="O94" i="42"/>
  <c r="L94" i="42"/>
  <c r="I94" i="42"/>
  <c r="F94" i="42"/>
  <c r="O93" i="42"/>
  <c r="L93" i="42"/>
  <c r="I93" i="42"/>
  <c r="F93" i="42"/>
  <c r="O92" i="42"/>
  <c r="L92" i="42"/>
  <c r="I92" i="42"/>
  <c r="F92" i="42"/>
  <c r="O91" i="42"/>
  <c r="L91" i="42"/>
  <c r="I91" i="42"/>
  <c r="F91" i="42"/>
  <c r="O90" i="42"/>
  <c r="L90" i="42"/>
  <c r="I90" i="42"/>
  <c r="F90" i="42"/>
  <c r="N89" i="42"/>
  <c r="M89" i="42"/>
  <c r="K89" i="42"/>
  <c r="J89" i="42"/>
  <c r="H89" i="42"/>
  <c r="G89" i="42"/>
  <c r="E89" i="42"/>
  <c r="D89" i="42"/>
  <c r="O88" i="42"/>
  <c r="L88" i="42"/>
  <c r="I88" i="42"/>
  <c r="F88" i="42"/>
  <c r="O87" i="42"/>
  <c r="L87" i="42"/>
  <c r="I87" i="42"/>
  <c r="F87" i="42"/>
  <c r="O86" i="42"/>
  <c r="L86" i="42"/>
  <c r="I86" i="42"/>
  <c r="F86" i="42"/>
  <c r="O85" i="42"/>
  <c r="L85" i="42"/>
  <c r="I85" i="42"/>
  <c r="I84" i="42" s="1"/>
  <c r="F85" i="42"/>
  <c r="N84" i="42"/>
  <c r="N83" i="42" s="1"/>
  <c r="M84" i="42"/>
  <c r="K84" i="42"/>
  <c r="J84" i="42"/>
  <c r="H84" i="42"/>
  <c r="G84" i="42"/>
  <c r="E84" i="42"/>
  <c r="D84" i="42"/>
  <c r="O82" i="42"/>
  <c r="L82" i="42"/>
  <c r="I82" i="42"/>
  <c r="F82" i="42"/>
  <c r="O81" i="42"/>
  <c r="L81" i="42"/>
  <c r="L80" i="42" s="1"/>
  <c r="I81" i="42"/>
  <c r="I80" i="42" s="1"/>
  <c r="F81" i="42"/>
  <c r="O80" i="42"/>
  <c r="N80" i="42"/>
  <c r="M80" i="42"/>
  <c r="K80" i="42"/>
  <c r="J80" i="42"/>
  <c r="H80" i="42"/>
  <c r="G80" i="42"/>
  <c r="F80" i="42"/>
  <c r="E80" i="42"/>
  <c r="D80" i="42"/>
  <c r="O79" i="42"/>
  <c r="L79" i="42"/>
  <c r="I79" i="42"/>
  <c r="F79" i="42"/>
  <c r="O78" i="42"/>
  <c r="O77" i="42" s="1"/>
  <c r="L78" i="42"/>
  <c r="L77" i="42" s="1"/>
  <c r="L76" i="42" s="1"/>
  <c r="I78" i="42"/>
  <c r="I77" i="42" s="1"/>
  <c r="F78" i="42"/>
  <c r="N77" i="42"/>
  <c r="N76" i="42" s="1"/>
  <c r="M77" i="42"/>
  <c r="K77" i="42"/>
  <c r="J77" i="42"/>
  <c r="H77" i="42"/>
  <c r="H76" i="42" s="1"/>
  <c r="G77" i="42"/>
  <c r="F77" i="42"/>
  <c r="E77" i="42"/>
  <c r="D77" i="42"/>
  <c r="D76" i="42" s="1"/>
  <c r="K76" i="42"/>
  <c r="O74" i="42"/>
  <c r="L74" i="42"/>
  <c r="I74" i="42"/>
  <c r="F74" i="42"/>
  <c r="O73" i="42"/>
  <c r="L73" i="42"/>
  <c r="I73" i="42"/>
  <c r="F73" i="42"/>
  <c r="O72" i="42"/>
  <c r="L72" i="42"/>
  <c r="I72" i="42"/>
  <c r="F72" i="42"/>
  <c r="O71" i="42"/>
  <c r="L71" i="42"/>
  <c r="I71" i="42"/>
  <c r="F71" i="42"/>
  <c r="O70" i="42"/>
  <c r="L70" i="42"/>
  <c r="I70" i="42"/>
  <c r="F70" i="42"/>
  <c r="N69" i="42"/>
  <c r="N67" i="42" s="1"/>
  <c r="M69" i="42"/>
  <c r="M67" i="42" s="1"/>
  <c r="K69" i="42"/>
  <c r="K67" i="42" s="1"/>
  <c r="J69" i="42"/>
  <c r="J67" i="42" s="1"/>
  <c r="H69" i="42"/>
  <c r="G69" i="42"/>
  <c r="G67" i="42" s="1"/>
  <c r="E69" i="42"/>
  <c r="E67" i="42" s="1"/>
  <c r="D69" i="42"/>
  <c r="O68" i="42"/>
  <c r="L68" i="42"/>
  <c r="I68" i="42"/>
  <c r="F68" i="42"/>
  <c r="H67" i="42"/>
  <c r="D67" i="42"/>
  <c r="O66" i="42"/>
  <c r="L66" i="42"/>
  <c r="I66" i="42"/>
  <c r="F66" i="42"/>
  <c r="O65" i="42"/>
  <c r="L65" i="42"/>
  <c r="I65" i="42"/>
  <c r="F65" i="42"/>
  <c r="O64" i="42"/>
  <c r="L64" i="42"/>
  <c r="I64" i="42"/>
  <c r="F64" i="42"/>
  <c r="O63" i="42"/>
  <c r="L63" i="42"/>
  <c r="I63" i="42"/>
  <c r="F63" i="42"/>
  <c r="O62" i="42"/>
  <c r="L62" i="42"/>
  <c r="I62" i="42"/>
  <c r="F62" i="42"/>
  <c r="O61" i="42"/>
  <c r="L61" i="42"/>
  <c r="I61" i="42"/>
  <c r="F61" i="42"/>
  <c r="O60" i="42"/>
  <c r="L60" i="42"/>
  <c r="I60" i="42"/>
  <c r="F60" i="42"/>
  <c r="C60" i="42" s="1"/>
  <c r="O59" i="42"/>
  <c r="L59" i="42"/>
  <c r="I59" i="42"/>
  <c r="I58" i="42" s="1"/>
  <c r="F59" i="42"/>
  <c r="N58" i="42"/>
  <c r="M58" i="42"/>
  <c r="K58" i="42"/>
  <c r="J58" i="42"/>
  <c r="H58" i="42"/>
  <c r="G58" i="42"/>
  <c r="E58" i="42"/>
  <c r="D58" i="42"/>
  <c r="O57" i="42"/>
  <c r="L57" i="42"/>
  <c r="I57" i="42"/>
  <c r="F57" i="42"/>
  <c r="O56" i="42"/>
  <c r="O55" i="42" s="1"/>
  <c r="L56" i="42"/>
  <c r="I56" i="42"/>
  <c r="I55" i="42" s="1"/>
  <c r="F56" i="42"/>
  <c r="N55" i="42"/>
  <c r="N54" i="42" s="1"/>
  <c r="N53" i="42" s="1"/>
  <c r="M55" i="42"/>
  <c r="K55" i="42"/>
  <c r="K54" i="42" s="1"/>
  <c r="J55" i="42"/>
  <c r="H55" i="42"/>
  <c r="G55" i="42"/>
  <c r="G54" i="42" s="1"/>
  <c r="F55" i="42"/>
  <c r="E55" i="42"/>
  <c r="E54" i="42" s="1"/>
  <c r="E53" i="42" s="1"/>
  <c r="D55" i="42"/>
  <c r="D54" i="42" s="1"/>
  <c r="D53" i="42" s="1"/>
  <c r="M54" i="42"/>
  <c r="M53" i="42" s="1"/>
  <c r="O47" i="42"/>
  <c r="C47" i="42" s="1"/>
  <c r="O46" i="42"/>
  <c r="N45" i="42"/>
  <c r="M45" i="42"/>
  <c r="L44" i="42"/>
  <c r="L43" i="42" s="1"/>
  <c r="I44" i="42"/>
  <c r="I43" i="42" s="1"/>
  <c r="F44" i="42"/>
  <c r="F43" i="42" s="1"/>
  <c r="K43" i="42"/>
  <c r="J43" i="42"/>
  <c r="H43" i="42"/>
  <c r="G43" i="42"/>
  <c r="E43" i="42"/>
  <c r="D43" i="42"/>
  <c r="F42" i="42"/>
  <c r="E41" i="42"/>
  <c r="D41" i="42"/>
  <c r="L40" i="42"/>
  <c r="C40" i="42" s="1"/>
  <c r="L39" i="42"/>
  <c r="C39" i="42" s="1"/>
  <c r="L38" i="42"/>
  <c r="C38" i="42" s="1"/>
  <c r="L37" i="42"/>
  <c r="K36" i="42"/>
  <c r="J36" i="42"/>
  <c r="L35" i="42"/>
  <c r="C35" i="42" s="1"/>
  <c r="L34" i="42"/>
  <c r="K33" i="42"/>
  <c r="J33" i="42"/>
  <c r="L32" i="42"/>
  <c r="C32" i="42" s="1"/>
  <c r="K31" i="42"/>
  <c r="J31" i="42"/>
  <c r="L30" i="42"/>
  <c r="C30" i="42" s="1"/>
  <c r="L29" i="42"/>
  <c r="C29" i="42" s="1"/>
  <c r="L28" i="42"/>
  <c r="K27" i="42"/>
  <c r="J27" i="42"/>
  <c r="F25" i="42"/>
  <c r="C25" i="42" s="1"/>
  <c r="I24" i="42"/>
  <c r="F24" i="42"/>
  <c r="O23" i="42"/>
  <c r="L23" i="42"/>
  <c r="I23" i="42"/>
  <c r="F23" i="42"/>
  <c r="O22" i="42"/>
  <c r="O21" i="42" s="1"/>
  <c r="L22" i="42"/>
  <c r="I22" i="42"/>
  <c r="F22" i="42"/>
  <c r="F21" i="42" s="1"/>
  <c r="N21" i="42"/>
  <c r="M21" i="42"/>
  <c r="M292" i="42" s="1"/>
  <c r="M291" i="42" s="1"/>
  <c r="K21" i="42"/>
  <c r="K292" i="42" s="1"/>
  <c r="K291" i="42" s="1"/>
  <c r="J21" i="42"/>
  <c r="J292" i="42" s="1"/>
  <c r="J291" i="42" s="1"/>
  <c r="H21" i="42"/>
  <c r="H292" i="42" s="1"/>
  <c r="H291" i="42" s="1"/>
  <c r="G21" i="42"/>
  <c r="G292" i="42" s="1"/>
  <c r="E21" i="42"/>
  <c r="E292" i="42" s="1"/>
  <c r="E291" i="42" s="1"/>
  <c r="D21" i="42"/>
  <c r="N20" i="42"/>
  <c r="D187" i="43" l="1"/>
  <c r="N187" i="43"/>
  <c r="C201" i="43"/>
  <c r="C234" i="43"/>
  <c r="C266" i="44"/>
  <c r="C189" i="45"/>
  <c r="C274" i="45"/>
  <c r="C278" i="45"/>
  <c r="C176" i="43"/>
  <c r="C180" i="43"/>
  <c r="C241" i="43"/>
  <c r="C249" i="43"/>
  <c r="I260" i="43"/>
  <c r="I67" i="45"/>
  <c r="C202" i="45"/>
  <c r="M231" i="45"/>
  <c r="C242" i="45"/>
  <c r="M54" i="43"/>
  <c r="C68" i="43"/>
  <c r="K76" i="43"/>
  <c r="C81" i="43"/>
  <c r="C164" i="43"/>
  <c r="C222" i="43"/>
  <c r="C226" i="43"/>
  <c r="D230" i="43"/>
  <c r="C24" i="44"/>
  <c r="C274" i="44"/>
  <c r="E187" i="45"/>
  <c r="C156" i="42"/>
  <c r="C158" i="42"/>
  <c r="C249" i="42"/>
  <c r="D76" i="43"/>
  <c r="H76" i="43"/>
  <c r="N76" i="43"/>
  <c r="C124" i="43"/>
  <c r="C168" i="43"/>
  <c r="C172" i="43"/>
  <c r="L272" i="43"/>
  <c r="C66" i="44"/>
  <c r="C186" i="44"/>
  <c r="J187" i="44"/>
  <c r="C242" i="44"/>
  <c r="C153" i="45"/>
  <c r="C156" i="45"/>
  <c r="C157" i="45"/>
  <c r="C170" i="45"/>
  <c r="C185" i="45"/>
  <c r="K269" i="45"/>
  <c r="C157" i="42"/>
  <c r="C56" i="43"/>
  <c r="O76" i="43"/>
  <c r="C120" i="43"/>
  <c r="O122" i="43"/>
  <c r="C132" i="43"/>
  <c r="C159" i="43"/>
  <c r="I166" i="43"/>
  <c r="I165" i="43" s="1"/>
  <c r="C170" i="43"/>
  <c r="J187" i="43"/>
  <c r="M195" i="43"/>
  <c r="C242" i="43"/>
  <c r="C244" i="43"/>
  <c r="C266" i="43"/>
  <c r="C278" i="43"/>
  <c r="C280" i="43"/>
  <c r="C294" i="43"/>
  <c r="C295" i="43"/>
  <c r="L33" i="44"/>
  <c r="C33" i="44" s="1"/>
  <c r="C70" i="44"/>
  <c r="C111" i="44"/>
  <c r="C157" i="44"/>
  <c r="F174" i="44"/>
  <c r="C243" i="44"/>
  <c r="O272" i="44"/>
  <c r="C57" i="45"/>
  <c r="C61" i="45"/>
  <c r="C73" i="45"/>
  <c r="C190" i="45"/>
  <c r="C64" i="42"/>
  <c r="C92" i="42"/>
  <c r="C193" i="42"/>
  <c r="D231" i="42"/>
  <c r="C242" i="42"/>
  <c r="M259" i="42"/>
  <c r="M270" i="42"/>
  <c r="M269" i="42" s="1"/>
  <c r="G54" i="43"/>
  <c r="C64" i="43"/>
  <c r="L69" i="43"/>
  <c r="L67" i="43" s="1"/>
  <c r="E76" i="43"/>
  <c r="J76" i="43"/>
  <c r="C88" i="43"/>
  <c r="J83" i="43"/>
  <c r="C92" i="43"/>
  <c r="C100" i="43"/>
  <c r="C107" i="43"/>
  <c r="C140" i="43"/>
  <c r="C210" i="43"/>
  <c r="C257" i="43"/>
  <c r="C119" i="44"/>
  <c r="O187" i="44"/>
  <c r="C278" i="44"/>
  <c r="C279" i="44"/>
  <c r="C237" i="45"/>
  <c r="C241" i="45"/>
  <c r="C296" i="45"/>
  <c r="L31" i="42"/>
  <c r="C31" i="42" s="1"/>
  <c r="C219" i="42"/>
  <c r="O270" i="42"/>
  <c r="O269" i="42" s="1"/>
  <c r="K26" i="43"/>
  <c r="C44" i="43"/>
  <c r="I58" i="43"/>
  <c r="C96" i="43"/>
  <c r="O116" i="43"/>
  <c r="H187" i="43"/>
  <c r="O216" i="43"/>
  <c r="O204" i="43" s="1"/>
  <c r="C229" i="43"/>
  <c r="J231" i="43"/>
  <c r="C282" i="43"/>
  <c r="C91" i="44"/>
  <c r="C99" i="44"/>
  <c r="C206" i="44"/>
  <c r="C87" i="45"/>
  <c r="C91" i="45"/>
  <c r="C93" i="45"/>
  <c r="J26" i="42"/>
  <c r="C72" i="42"/>
  <c r="C170" i="42"/>
  <c r="L21" i="43"/>
  <c r="L292" i="43" s="1"/>
  <c r="L291" i="43" s="1"/>
  <c r="C147" i="43"/>
  <c r="O144" i="43"/>
  <c r="L187" i="43"/>
  <c r="C218" i="43"/>
  <c r="C221" i="43"/>
  <c r="O246" i="43"/>
  <c r="O260" i="43"/>
  <c r="C258" i="44"/>
  <c r="C164" i="45"/>
  <c r="C222" i="45"/>
  <c r="C234" i="45"/>
  <c r="L238" i="45"/>
  <c r="D20" i="42"/>
  <c r="C68" i="42"/>
  <c r="C88" i="42"/>
  <c r="C124" i="42"/>
  <c r="O136" i="42"/>
  <c r="O144" i="42"/>
  <c r="N173" i="42"/>
  <c r="J187" i="42"/>
  <c r="C201" i="42"/>
  <c r="C203" i="42"/>
  <c r="C207" i="42"/>
  <c r="C209" i="42"/>
  <c r="C215" i="42"/>
  <c r="D204" i="42"/>
  <c r="J204" i="42"/>
  <c r="C218" i="42"/>
  <c r="G270" i="42"/>
  <c r="G269" i="42" s="1"/>
  <c r="I276" i="42"/>
  <c r="E269" i="42"/>
  <c r="C65" i="43"/>
  <c r="C66" i="43"/>
  <c r="N83" i="43"/>
  <c r="C22" i="42"/>
  <c r="L69" i="42"/>
  <c r="L67" i="42" s="1"/>
  <c r="C109" i="42"/>
  <c r="C111" i="42"/>
  <c r="O160" i="42"/>
  <c r="L196" i="42"/>
  <c r="I205" i="42"/>
  <c r="F238" i="42"/>
  <c r="L252" i="42"/>
  <c r="L251" i="42" s="1"/>
  <c r="O293" i="42"/>
  <c r="L58" i="43"/>
  <c r="C104" i="42"/>
  <c r="E130" i="42"/>
  <c r="I136" i="42"/>
  <c r="C146" i="42"/>
  <c r="I144" i="42"/>
  <c r="C150" i="42"/>
  <c r="C152" i="42"/>
  <c r="C154" i="42"/>
  <c r="C168" i="42"/>
  <c r="C169" i="42"/>
  <c r="H187" i="42"/>
  <c r="C221" i="42"/>
  <c r="C245" i="42"/>
  <c r="C297" i="42"/>
  <c r="C301" i="42"/>
  <c r="J20" i="43"/>
  <c r="C22" i="43"/>
  <c r="L31" i="43"/>
  <c r="C31" i="43" s="1"/>
  <c r="G53" i="43"/>
  <c r="C57" i="43"/>
  <c r="C60" i="43"/>
  <c r="C70" i="43"/>
  <c r="C71" i="43"/>
  <c r="C72" i="43"/>
  <c r="E75" i="43"/>
  <c r="C82" i="43"/>
  <c r="J20" i="42"/>
  <c r="O76" i="42"/>
  <c r="L95" i="42"/>
  <c r="C120" i="42"/>
  <c r="C162" i="42"/>
  <c r="C164" i="42"/>
  <c r="L179" i="42"/>
  <c r="C197" i="42"/>
  <c r="C199" i="42"/>
  <c r="C247" i="42"/>
  <c r="C255" i="42"/>
  <c r="C257" i="42"/>
  <c r="K259" i="42"/>
  <c r="C265" i="42"/>
  <c r="N20" i="43"/>
  <c r="F43" i="43"/>
  <c r="C43" i="43" s="1"/>
  <c r="D53" i="43"/>
  <c r="H54" i="43"/>
  <c r="H53" i="43" s="1"/>
  <c r="C59" i="43"/>
  <c r="C61" i="43"/>
  <c r="C62" i="43"/>
  <c r="C63" i="43"/>
  <c r="F69" i="43"/>
  <c r="F67" i="43" s="1"/>
  <c r="C73" i="43"/>
  <c r="C74" i="43"/>
  <c r="F76" i="43"/>
  <c r="C78" i="43"/>
  <c r="C79" i="43"/>
  <c r="D83" i="43"/>
  <c r="D75" i="43" s="1"/>
  <c r="C101" i="43"/>
  <c r="C105" i="43"/>
  <c r="C110" i="43"/>
  <c r="C115" i="43"/>
  <c r="M83" i="43"/>
  <c r="M75" i="43" s="1"/>
  <c r="C126" i="43"/>
  <c r="C143" i="43"/>
  <c r="C149" i="43"/>
  <c r="C171" i="43"/>
  <c r="C177" i="43"/>
  <c r="G173" i="43"/>
  <c r="O187" i="43"/>
  <c r="O196" i="43"/>
  <c r="H195" i="43"/>
  <c r="C212" i="43"/>
  <c r="C215" i="43"/>
  <c r="C224" i="43"/>
  <c r="N204" i="43"/>
  <c r="N195" i="43" s="1"/>
  <c r="F233" i="43"/>
  <c r="O238" i="43"/>
  <c r="C267" i="43"/>
  <c r="O272" i="43"/>
  <c r="C74" i="44"/>
  <c r="C79" i="44"/>
  <c r="C109" i="44"/>
  <c r="C118" i="44"/>
  <c r="C159" i="44"/>
  <c r="K187" i="44"/>
  <c r="C220" i="44"/>
  <c r="N231" i="44"/>
  <c r="O252" i="44"/>
  <c r="I260" i="44"/>
  <c r="I259" i="44" s="1"/>
  <c r="K259" i="44"/>
  <c r="I264" i="44"/>
  <c r="G270" i="44"/>
  <c r="G269" i="44" s="1"/>
  <c r="C300" i="44"/>
  <c r="G20" i="45"/>
  <c r="L58" i="45"/>
  <c r="C86" i="45"/>
  <c r="O89" i="45"/>
  <c r="C109" i="45"/>
  <c r="C137" i="45"/>
  <c r="C298" i="45"/>
  <c r="C299" i="45"/>
  <c r="C94" i="43"/>
  <c r="C99" i="43"/>
  <c r="C109" i="43"/>
  <c r="C125" i="43"/>
  <c r="C139" i="43"/>
  <c r="K195" i="43"/>
  <c r="D195" i="43"/>
  <c r="D194" i="43" s="1"/>
  <c r="L205" i="43"/>
  <c r="E204" i="43"/>
  <c r="J204" i="43"/>
  <c r="J195" i="43" s="1"/>
  <c r="O231" i="43"/>
  <c r="K231" i="43"/>
  <c r="K230" i="43" s="1"/>
  <c r="C243" i="43"/>
  <c r="C245" i="43"/>
  <c r="O252" i="43"/>
  <c r="O251" i="43" s="1"/>
  <c r="C275" i="43"/>
  <c r="L276" i="43"/>
  <c r="F281" i="43"/>
  <c r="I286" i="43"/>
  <c r="I292" i="43" s="1"/>
  <c r="J53" i="44"/>
  <c r="C57" i="44"/>
  <c r="G83" i="44"/>
  <c r="C127" i="44"/>
  <c r="H174" i="44"/>
  <c r="H173" i="44" s="1"/>
  <c r="N174" i="44"/>
  <c r="N173" i="44" s="1"/>
  <c r="L174" i="44"/>
  <c r="L173" i="44" s="1"/>
  <c r="G187" i="44"/>
  <c r="C214" i="44"/>
  <c r="G204" i="44"/>
  <c r="C250" i="44"/>
  <c r="H270" i="44"/>
  <c r="H269" i="44" s="1"/>
  <c r="O276" i="44"/>
  <c r="O270" i="44" s="1"/>
  <c r="O269" i="44" s="1"/>
  <c r="O69" i="45"/>
  <c r="O67" i="45" s="1"/>
  <c r="C99" i="45"/>
  <c r="C100" i="45"/>
  <c r="C102" i="45"/>
  <c r="C108" i="45"/>
  <c r="C133" i="45"/>
  <c r="C135" i="45"/>
  <c r="C186" i="45"/>
  <c r="C193" i="45"/>
  <c r="O238" i="45"/>
  <c r="O246" i="45"/>
  <c r="O260" i="45"/>
  <c r="C93" i="43"/>
  <c r="L131" i="43"/>
  <c r="G130" i="43"/>
  <c r="J130" i="43"/>
  <c r="J75" i="43" s="1"/>
  <c r="N130" i="43"/>
  <c r="N75" i="43" s="1"/>
  <c r="C153" i="43"/>
  <c r="C158" i="43"/>
  <c r="E187" i="43"/>
  <c r="H230" i="43"/>
  <c r="G231" i="43"/>
  <c r="G230" i="43" s="1"/>
  <c r="G194" i="43" s="1"/>
  <c r="L264" i="43"/>
  <c r="I270" i="43"/>
  <c r="I269" i="43" s="1"/>
  <c r="O276" i="43"/>
  <c r="O270" i="43" s="1"/>
  <c r="O269" i="43" s="1"/>
  <c r="K76" i="44"/>
  <c r="O89" i="44"/>
  <c r="O103" i="44"/>
  <c r="O141" i="44"/>
  <c r="D269" i="44"/>
  <c r="C24" i="45"/>
  <c r="J26" i="45"/>
  <c r="D54" i="45"/>
  <c r="D53" i="45" s="1"/>
  <c r="K83" i="45"/>
  <c r="O122" i="45"/>
  <c r="C177" i="45"/>
  <c r="C181" i="45"/>
  <c r="C183" i="45"/>
  <c r="C214" i="45"/>
  <c r="C218" i="45"/>
  <c r="C221" i="45"/>
  <c r="C254" i="45"/>
  <c r="C266" i="45"/>
  <c r="C267" i="45"/>
  <c r="L293" i="45"/>
  <c r="C91" i="43"/>
  <c r="O89" i="43"/>
  <c r="H83" i="43"/>
  <c r="H75" i="43" s="1"/>
  <c r="C97" i="43"/>
  <c r="C102" i="43"/>
  <c r="C111" i="43"/>
  <c r="C121" i="43"/>
  <c r="C127" i="43"/>
  <c r="C150" i="43"/>
  <c r="C157" i="43"/>
  <c r="C163" i="43"/>
  <c r="O166" i="43"/>
  <c r="O165" i="43" s="1"/>
  <c r="F175" i="43"/>
  <c r="O174" i="43"/>
  <c r="C181" i="43"/>
  <c r="K173" i="43"/>
  <c r="C213" i="43"/>
  <c r="C220" i="43"/>
  <c r="C225" i="43"/>
  <c r="O264" i="43"/>
  <c r="O259" i="43" s="1"/>
  <c r="C286" i="43"/>
  <c r="I293" i="43"/>
  <c r="C299" i="43"/>
  <c r="C300" i="43"/>
  <c r="D20" i="44"/>
  <c r="L36" i="44"/>
  <c r="C36" i="44" s="1"/>
  <c r="C44" i="44"/>
  <c r="C46" i="44"/>
  <c r="E83" i="44"/>
  <c r="K83" i="44"/>
  <c r="L136" i="44"/>
  <c r="H130" i="44"/>
  <c r="C167" i="44"/>
  <c r="L187" i="44"/>
  <c r="C222" i="44"/>
  <c r="C225" i="44"/>
  <c r="G231" i="44"/>
  <c r="C262" i="44"/>
  <c r="J259" i="44"/>
  <c r="O264" i="44"/>
  <c r="C79" i="45"/>
  <c r="M83" i="45"/>
  <c r="C113" i="45"/>
  <c r="C115" i="45"/>
  <c r="C117" i="45"/>
  <c r="C145" i="45"/>
  <c r="K130" i="45"/>
  <c r="K75" i="45" s="1"/>
  <c r="K52" i="45" s="1"/>
  <c r="C169" i="45"/>
  <c r="K174" i="45"/>
  <c r="K173" i="45" s="1"/>
  <c r="C226" i="45"/>
  <c r="J231" i="45"/>
  <c r="J230" i="45" s="1"/>
  <c r="C250" i="45"/>
  <c r="C258" i="45"/>
  <c r="C262" i="45"/>
  <c r="K259" i="45"/>
  <c r="M269" i="45"/>
  <c r="L272" i="45"/>
  <c r="G270" i="45"/>
  <c r="G269" i="45" s="1"/>
  <c r="C282" i="45"/>
  <c r="M187" i="45"/>
  <c r="E195" i="45"/>
  <c r="K195" i="45"/>
  <c r="G53" i="45"/>
  <c r="I144" i="45"/>
  <c r="L175" i="45"/>
  <c r="F21" i="45"/>
  <c r="F292" i="45" s="1"/>
  <c r="M20" i="45"/>
  <c r="M54" i="45"/>
  <c r="M53" i="45" s="1"/>
  <c r="L55" i="45"/>
  <c r="L54" i="45" s="1"/>
  <c r="C60" i="45"/>
  <c r="C63" i="45"/>
  <c r="C72" i="45"/>
  <c r="M76" i="45"/>
  <c r="L77" i="45"/>
  <c r="L76" i="45" s="1"/>
  <c r="J76" i="45"/>
  <c r="G83" i="45"/>
  <c r="G75" i="45" s="1"/>
  <c r="L95" i="45"/>
  <c r="C101" i="45"/>
  <c r="E130" i="45"/>
  <c r="C138" i="45"/>
  <c r="C143" i="45"/>
  <c r="C146" i="45"/>
  <c r="C150" i="45"/>
  <c r="M130" i="45"/>
  <c r="I151" i="45"/>
  <c r="C159" i="45"/>
  <c r="C167" i="45"/>
  <c r="C168" i="45"/>
  <c r="O166" i="45"/>
  <c r="O165" i="45" s="1"/>
  <c r="C197" i="45"/>
  <c r="C213" i="45"/>
  <c r="C220" i="45"/>
  <c r="C225" i="45"/>
  <c r="C229" i="45"/>
  <c r="D231" i="45"/>
  <c r="D230" i="45" s="1"/>
  <c r="H231" i="45"/>
  <c r="H230" i="45" s="1"/>
  <c r="H194" i="45" s="1"/>
  <c r="K231" i="45"/>
  <c r="C243" i="45"/>
  <c r="C245" i="45"/>
  <c r="O252" i="45"/>
  <c r="L264" i="45"/>
  <c r="C268" i="45"/>
  <c r="O272" i="45"/>
  <c r="C280" i="45"/>
  <c r="K292" i="45"/>
  <c r="K291" i="45" s="1"/>
  <c r="C44" i="45"/>
  <c r="C62" i="45"/>
  <c r="C71" i="45"/>
  <c r="C74" i="45"/>
  <c r="C82" i="45"/>
  <c r="E83" i="45"/>
  <c r="E75" i="45" s="1"/>
  <c r="C114" i="45"/>
  <c r="C121" i="45"/>
  <c r="F131" i="45"/>
  <c r="J130" i="45"/>
  <c r="C134" i="45"/>
  <c r="C149" i="45"/>
  <c r="C162" i="45"/>
  <c r="C172" i="45"/>
  <c r="L179" i="45"/>
  <c r="C201" i="45"/>
  <c r="L205" i="45"/>
  <c r="C212" i="45"/>
  <c r="C215" i="45"/>
  <c r="C224" i="45"/>
  <c r="M230" i="45"/>
  <c r="M194" i="45" s="1"/>
  <c r="G231" i="45"/>
  <c r="G230" i="45" s="1"/>
  <c r="G194" i="45" s="1"/>
  <c r="C244" i="45"/>
  <c r="C249" i="45"/>
  <c r="C255" i="45"/>
  <c r="C257" i="45"/>
  <c r="E259" i="45"/>
  <c r="E230" i="45" s="1"/>
  <c r="C275" i="45"/>
  <c r="L276" i="45"/>
  <c r="F281" i="45"/>
  <c r="C281" i="45" s="1"/>
  <c r="C294" i="45"/>
  <c r="F103" i="45"/>
  <c r="I174" i="45"/>
  <c r="I173" i="45" s="1"/>
  <c r="E292" i="45"/>
  <c r="E291" i="45" s="1"/>
  <c r="L21" i="45"/>
  <c r="L292" i="45" s="1"/>
  <c r="L291" i="45" s="1"/>
  <c r="O55" i="45"/>
  <c r="C65" i="45"/>
  <c r="L69" i="45"/>
  <c r="L67" i="45" s="1"/>
  <c r="O77" i="45"/>
  <c r="O76" i="45" s="1"/>
  <c r="D83" i="45"/>
  <c r="H83" i="45"/>
  <c r="N83" i="45"/>
  <c r="N75" i="45" s="1"/>
  <c r="N52" i="45" s="1"/>
  <c r="O84" i="45"/>
  <c r="L84" i="45"/>
  <c r="C92" i="45"/>
  <c r="C94" i="45"/>
  <c r="C98" i="45"/>
  <c r="O95" i="45"/>
  <c r="O103" i="45"/>
  <c r="C120" i="45"/>
  <c r="C132" i="45"/>
  <c r="C140" i="45"/>
  <c r="C147" i="45"/>
  <c r="C148" i="45"/>
  <c r="C158" i="45"/>
  <c r="C161" i="45"/>
  <c r="L166" i="45"/>
  <c r="L165" i="45" s="1"/>
  <c r="M173" i="45"/>
  <c r="C203" i="45"/>
  <c r="D204" i="45"/>
  <c r="D195" i="45" s="1"/>
  <c r="O205" i="45"/>
  <c r="O216" i="45"/>
  <c r="J204" i="45"/>
  <c r="J195" i="45" s="1"/>
  <c r="N204" i="45"/>
  <c r="N195" i="45" s="1"/>
  <c r="C233" i="45"/>
  <c r="L252" i="45"/>
  <c r="L251" i="45" s="1"/>
  <c r="C256" i="45"/>
  <c r="O264" i="45"/>
  <c r="O259" i="45" s="1"/>
  <c r="C271" i="45"/>
  <c r="O276" i="45"/>
  <c r="C295" i="45"/>
  <c r="C301" i="45"/>
  <c r="D20" i="45"/>
  <c r="H20" i="45"/>
  <c r="C22" i="45"/>
  <c r="L31" i="45"/>
  <c r="C31" i="45" s="1"/>
  <c r="L33" i="45"/>
  <c r="C33" i="45" s="1"/>
  <c r="F41" i="45"/>
  <c r="C41" i="45" s="1"/>
  <c r="F43" i="45"/>
  <c r="C43" i="45" s="1"/>
  <c r="O45" i="45"/>
  <c r="I54" i="45"/>
  <c r="I53" i="45" s="1"/>
  <c r="C64" i="45"/>
  <c r="H75" i="45"/>
  <c r="H52" i="45" s="1"/>
  <c r="C78" i="45"/>
  <c r="F77" i="45"/>
  <c r="I80" i="45"/>
  <c r="I76" i="45" s="1"/>
  <c r="C81" i="45"/>
  <c r="L89" i="45"/>
  <c r="C118" i="45"/>
  <c r="C123" i="45"/>
  <c r="F122" i="45"/>
  <c r="C104" i="45"/>
  <c r="F128" i="45"/>
  <c r="C128" i="45" s="1"/>
  <c r="C129" i="45"/>
  <c r="C23" i="45"/>
  <c r="L36" i="45"/>
  <c r="C36" i="45" s="1"/>
  <c r="F58" i="45"/>
  <c r="C59" i="45"/>
  <c r="O58" i="45"/>
  <c r="O54" i="45" s="1"/>
  <c r="O53" i="45" s="1"/>
  <c r="C66" i="45"/>
  <c r="C70" i="45"/>
  <c r="F69" i="45"/>
  <c r="C84" i="45"/>
  <c r="I84" i="45"/>
  <c r="C85" i="45"/>
  <c r="C88" i="45"/>
  <c r="F95" i="45"/>
  <c r="C106" i="45"/>
  <c r="I103" i="45"/>
  <c r="C125" i="45"/>
  <c r="N292" i="45"/>
  <c r="N291" i="45" s="1"/>
  <c r="N20" i="45"/>
  <c r="C142" i="45"/>
  <c r="L141" i="45"/>
  <c r="C141" i="45" s="1"/>
  <c r="J20" i="45"/>
  <c r="H291" i="45"/>
  <c r="L27" i="45"/>
  <c r="F55" i="45"/>
  <c r="C56" i="45"/>
  <c r="C68" i="45"/>
  <c r="C90" i="45"/>
  <c r="F89" i="45"/>
  <c r="C97" i="45"/>
  <c r="I95" i="45"/>
  <c r="L103" i="45"/>
  <c r="C110" i="45"/>
  <c r="C126" i="45"/>
  <c r="I122" i="45"/>
  <c r="C240" i="45"/>
  <c r="I238" i="45"/>
  <c r="C238" i="45" s="1"/>
  <c r="C96" i="45"/>
  <c r="C105" i="45"/>
  <c r="I116" i="45"/>
  <c r="F116" i="45"/>
  <c r="O131" i="45"/>
  <c r="O151" i="45"/>
  <c r="L151" i="45"/>
  <c r="C154" i="45"/>
  <c r="E174" i="45"/>
  <c r="E173" i="45" s="1"/>
  <c r="C176" i="45"/>
  <c r="F175" i="45"/>
  <c r="C182" i="45"/>
  <c r="I227" i="45"/>
  <c r="C227" i="45" s="1"/>
  <c r="C228" i="45"/>
  <c r="C111" i="45"/>
  <c r="C119" i="45"/>
  <c r="L122" i="45"/>
  <c r="D130" i="45"/>
  <c r="D75" i="45" s="1"/>
  <c r="C152" i="45"/>
  <c r="F151" i="45"/>
  <c r="F231" i="45"/>
  <c r="C107" i="45"/>
  <c r="F112" i="45"/>
  <c r="C112" i="45" s="1"/>
  <c r="C127" i="45"/>
  <c r="C136" i="45"/>
  <c r="C139" i="45"/>
  <c r="O144" i="45"/>
  <c r="C144" i="45" s="1"/>
  <c r="C155" i="45"/>
  <c r="C160" i="45"/>
  <c r="C163" i="45"/>
  <c r="F166" i="45"/>
  <c r="I165" i="45"/>
  <c r="C171" i="45"/>
  <c r="C178" i="45"/>
  <c r="C180" i="45"/>
  <c r="F179" i="45"/>
  <c r="C184" i="45"/>
  <c r="C188" i="45"/>
  <c r="C192" i="45"/>
  <c r="F191" i="45"/>
  <c r="C191" i="45" s="1"/>
  <c r="C217" i="45"/>
  <c r="F216" i="45"/>
  <c r="O231" i="45"/>
  <c r="C261" i="45"/>
  <c r="F260" i="45"/>
  <c r="I270" i="45"/>
  <c r="I269" i="45" s="1"/>
  <c r="C277" i="45"/>
  <c r="F276" i="45"/>
  <c r="C288" i="45"/>
  <c r="I286" i="45"/>
  <c r="C286" i="45" s="1"/>
  <c r="C300" i="45"/>
  <c r="L196" i="45"/>
  <c r="C207" i="45"/>
  <c r="C209" i="45"/>
  <c r="F205" i="45"/>
  <c r="C219" i="45"/>
  <c r="L231" i="45"/>
  <c r="I235" i="45"/>
  <c r="C235" i="45" s="1"/>
  <c r="C236" i="45"/>
  <c r="I252" i="45"/>
  <c r="I251" i="45" s="1"/>
  <c r="C263" i="45"/>
  <c r="I264" i="45"/>
  <c r="I259" i="45" s="1"/>
  <c r="E270" i="45"/>
  <c r="E269" i="45" s="1"/>
  <c r="C279" i="45"/>
  <c r="C285" i="45"/>
  <c r="F284" i="45"/>
  <c r="O293" i="45"/>
  <c r="O291" i="45" s="1"/>
  <c r="C200" i="45"/>
  <c r="I198" i="45"/>
  <c r="C208" i="45"/>
  <c r="I205" i="45"/>
  <c r="C211" i="45"/>
  <c r="L216" i="45"/>
  <c r="L204" i="45" s="1"/>
  <c r="C223" i="45"/>
  <c r="C232" i="45"/>
  <c r="C248" i="45"/>
  <c r="I246" i="45"/>
  <c r="C246" i="45" s="1"/>
  <c r="C253" i="45"/>
  <c r="F252" i="45"/>
  <c r="O251" i="45"/>
  <c r="L260" i="45"/>
  <c r="L259" i="45" s="1"/>
  <c r="C265" i="45"/>
  <c r="F264" i="45"/>
  <c r="L270" i="45"/>
  <c r="L269" i="45" s="1"/>
  <c r="C273" i="45"/>
  <c r="F272" i="45"/>
  <c r="C297" i="45"/>
  <c r="F293" i="45"/>
  <c r="C199" i="45"/>
  <c r="C239" i="45"/>
  <c r="C247" i="45"/>
  <c r="C287" i="45"/>
  <c r="C115" i="44"/>
  <c r="F112" i="44"/>
  <c r="L166" i="44"/>
  <c r="L165" i="44" s="1"/>
  <c r="C78" i="44"/>
  <c r="F77" i="44"/>
  <c r="C77" i="44" s="1"/>
  <c r="C94" i="44"/>
  <c r="C213" i="44"/>
  <c r="C268" i="44"/>
  <c r="C280" i="44"/>
  <c r="H20" i="44"/>
  <c r="I43" i="44"/>
  <c r="C43" i="44" s="1"/>
  <c r="M53" i="44"/>
  <c r="L54" i="44"/>
  <c r="C60" i="44"/>
  <c r="C64" i="44"/>
  <c r="L67" i="44"/>
  <c r="C71" i="44"/>
  <c r="C73" i="44"/>
  <c r="L76" i="44"/>
  <c r="I76" i="44"/>
  <c r="L84" i="44"/>
  <c r="C107" i="44"/>
  <c r="C110" i="44"/>
  <c r="C123" i="44"/>
  <c r="C135" i="44"/>
  <c r="J130" i="44"/>
  <c r="C138" i="44"/>
  <c r="C139" i="44"/>
  <c r="O136" i="44"/>
  <c r="C155" i="44"/>
  <c r="C158" i="44"/>
  <c r="C183" i="44"/>
  <c r="C202" i="44"/>
  <c r="M204" i="44"/>
  <c r="M195" i="44" s="1"/>
  <c r="C218" i="44"/>
  <c r="C221" i="44"/>
  <c r="C234" i="44"/>
  <c r="F233" i="44"/>
  <c r="C233" i="44" s="1"/>
  <c r="N230" i="44"/>
  <c r="I251" i="44"/>
  <c r="L260" i="44"/>
  <c r="C271" i="44"/>
  <c r="I270" i="44"/>
  <c r="I269" i="44" s="1"/>
  <c r="C282" i="44"/>
  <c r="F281" i="44"/>
  <c r="L293" i="44"/>
  <c r="L31" i="44"/>
  <c r="C31" i="44" s="1"/>
  <c r="C32" i="44"/>
  <c r="F41" i="44"/>
  <c r="C41" i="44" s="1"/>
  <c r="C42" i="44"/>
  <c r="E53" i="44"/>
  <c r="L144" i="44"/>
  <c r="L27" i="44"/>
  <c r="C27" i="44" s="1"/>
  <c r="C92" i="44"/>
  <c r="C98" i="44"/>
  <c r="O95" i="44"/>
  <c r="K173" i="44"/>
  <c r="C178" i="44"/>
  <c r="G230" i="44"/>
  <c r="C244" i="44"/>
  <c r="C249" i="44"/>
  <c r="I293" i="44"/>
  <c r="J20" i="44"/>
  <c r="K26" i="44"/>
  <c r="K20" i="44" s="1"/>
  <c r="D54" i="44"/>
  <c r="D53" i="44" s="1"/>
  <c r="O54" i="44"/>
  <c r="H83" i="44"/>
  <c r="H75" i="44" s="1"/>
  <c r="H52" i="44" s="1"/>
  <c r="N83" i="44"/>
  <c r="O116" i="44"/>
  <c r="L116" i="44"/>
  <c r="L122" i="44"/>
  <c r="C147" i="44"/>
  <c r="C149" i="44"/>
  <c r="C171" i="44"/>
  <c r="I165" i="44"/>
  <c r="M187" i="44"/>
  <c r="G195" i="44"/>
  <c r="H230" i="44"/>
  <c r="J231" i="44"/>
  <c r="J230" i="44" s="1"/>
  <c r="C72" i="44"/>
  <c r="J76" i="44"/>
  <c r="N76" i="44"/>
  <c r="C81" i="44"/>
  <c r="C82" i="44"/>
  <c r="C86" i="44"/>
  <c r="O84" i="44"/>
  <c r="M83" i="44"/>
  <c r="C93" i="44"/>
  <c r="C100" i="44"/>
  <c r="C102" i="44"/>
  <c r="C120" i="44"/>
  <c r="D83" i="44"/>
  <c r="D75" i="44" s="1"/>
  <c r="C134" i="44"/>
  <c r="C140" i="44"/>
  <c r="M130" i="44"/>
  <c r="C146" i="44"/>
  <c r="C182" i="44"/>
  <c r="C190" i="44"/>
  <c r="O196" i="44"/>
  <c r="H204" i="44"/>
  <c r="H195" i="44" s="1"/>
  <c r="L205" i="44"/>
  <c r="C212" i="44"/>
  <c r="C215" i="44"/>
  <c r="C224" i="44"/>
  <c r="C237" i="44"/>
  <c r="C255" i="44"/>
  <c r="C257" i="44"/>
  <c r="E259" i="44"/>
  <c r="E230" i="44" s="1"/>
  <c r="O260" i="44"/>
  <c r="O259" i="44" s="1"/>
  <c r="O293" i="44"/>
  <c r="O291" i="44" s="1"/>
  <c r="G291" i="44"/>
  <c r="M291" i="44"/>
  <c r="C23" i="44"/>
  <c r="F58" i="44"/>
  <c r="F54" i="44" s="1"/>
  <c r="C61" i="44"/>
  <c r="O76" i="44"/>
  <c r="L95" i="44"/>
  <c r="C101" i="44"/>
  <c r="C106" i="44"/>
  <c r="C114" i="44"/>
  <c r="C121" i="44"/>
  <c r="G130" i="44"/>
  <c r="G75" i="44" s="1"/>
  <c r="E130" i="44"/>
  <c r="E75" i="44" s="1"/>
  <c r="C148" i="44"/>
  <c r="C150" i="44"/>
  <c r="O151" i="44"/>
  <c r="O130" i="44" s="1"/>
  <c r="C162" i="44"/>
  <c r="C169" i="44"/>
  <c r="E187" i="44"/>
  <c r="K195" i="44"/>
  <c r="C201" i="44"/>
  <c r="D195" i="44"/>
  <c r="D194" i="44" s="1"/>
  <c r="O205" i="44"/>
  <c r="E204" i="44"/>
  <c r="E195" i="44" s="1"/>
  <c r="O216" i="44"/>
  <c r="J204" i="44"/>
  <c r="J195" i="44" s="1"/>
  <c r="N204" i="44"/>
  <c r="N195" i="44" s="1"/>
  <c r="N194" i="44" s="1"/>
  <c r="K231" i="44"/>
  <c r="K230" i="44" s="1"/>
  <c r="K194" i="44" s="1"/>
  <c r="F238" i="44"/>
  <c r="C241" i="44"/>
  <c r="L246" i="44"/>
  <c r="L231" i="44" s="1"/>
  <c r="L252" i="44"/>
  <c r="L251" i="44" s="1"/>
  <c r="C256" i="44"/>
  <c r="L264" i="44"/>
  <c r="M270" i="44"/>
  <c r="M269" i="44" s="1"/>
  <c r="L272" i="44"/>
  <c r="L270" i="44" s="1"/>
  <c r="L269" i="44" s="1"/>
  <c r="C45" i="44"/>
  <c r="L292" i="44"/>
  <c r="F292" i="44"/>
  <c r="F20" i="44"/>
  <c r="O67" i="44"/>
  <c r="I144" i="44"/>
  <c r="C144" i="44" s="1"/>
  <c r="C145" i="44"/>
  <c r="C152" i="44"/>
  <c r="L151" i="44"/>
  <c r="L130" i="44" s="1"/>
  <c r="C232" i="44"/>
  <c r="C301" i="44"/>
  <c r="E20" i="44"/>
  <c r="M20" i="44"/>
  <c r="C22" i="44"/>
  <c r="C55" i="44"/>
  <c r="C59" i="44"/>
  <c r="F80" i="44"/>
  <c r="C80" i="44" s="1"/>
  <c r="J83" i="44"/>
  <c r="L89" i="44"/>
  <c r="F103" i="44"/>
  <c r="O122" i="44"/>
  <c r="N130" i="44"/>
  <c r="C142" i="44"/>
  <c r="F141" i="44"/>
  <c r="C141" i="44" s="1"/>
  <c r="O165" i="44"/>
  <c r="F173" i="44"/>
  <c r="C217" i="44"/>
  <c r="F216" i="44"/>
  <c r="C133" i="44"/>
  <c r="I131" i="44"/>
  <c r="C181" i="44"/>
  <c r="I179" i="44"/>
  <c r="C179" i="44" s="1"/>
  <c r="C277" i="44"/>
  <c r="F276" i="44"/>
  <c r="C276" i="44" s="1"/>
  <c r="I21" i="44"/>
  <c r="C56" i="44"/>
  <c r="I58" i="44"/>
  <c r="I54" i="44" s="1"/>
  <c r="I53" i="44" s="1"/>
  <c r="C68" i="44"/>
  <c r="F69" i="44"/>
  <c r="I84" i="44"/>
  <c r="C85" i="44"/>
  <c r="C88" i="44"/>
  <c r="C105" i="44"/>
  <c r="I103" i="44"/>
  <c r="C108" i="44"/>
  <c r="I112" i="44"/>
  <c r="C113" i="44"/>
  <c r="C124" i="44"/>
  <c r="C126" i="44"/>
  <c r="F122" i="44"/>
  <c r="C154" i="44"/>
  <c r="F151" i="44"/>
  <c r="C168" i="44"/>
  <c r="C170" i="44"/>
  <c r="F166" i="44"/>
  <c r="G174" i="44"/>
  <c r="G173" i="44" s="1"/>
  <c r="C177" i="44"/>
  <c r="I175" i="44"/>
  <c r="I188" i="44"/>
  <c r="I187" i="44" s="1"/>
  <c r="C189" i="44"/>
  <c r="I116" i="44"/>
  <c r="C117" i="44"/>
  <c r="G20" i="44"/>
  <c r="O20" i="44"/>
  <c r="C90" i="44"/>
  <c r="F89" i="44"/>
  <c r="C89" i="44" s="1"/>
  <c r="C97" i="44"/>
  <c r="I95" i="44"/>
  <c r="L103" i="44"/>
  <c r="C125" i="44"/>
  <c r="I122" i="44"/>
  <c r="I128" i="44"/>
  <c r="C128" i="44" s="1"/>
  <c r="C129" i="44"/>
  <c r="K130" i="44"/>
  <c r="K75" i="44" s="1"/>
  <c r="I136" i="44"/>
  <c r="C137" i="44"/>
  <c r="C153" i="44"/>
  <c r="I151" i="44"/>
  <c r="C156" i="44"/>
  <c r="I160" i="44"/>
  <c r="C160" i="44" s="1"/>
  <c r="C161" i="44"/>
  <c r="C164" i="44"/>
  <c r="C172" i="44"/>
  <c r="I184" i="44"/>
  <c r="C184" i="44" s="1"/>
  <c r="C185" i="44"/>
  <c r="C240" i="44"/>
  <c r="I238" i="44"/>
  <c r="C245" i="44"/>
  <c r="F231" i="44"/>
  <c r="C96" i="44"/>
  <c r="C104" i="44"/>
  <c r="C132" i="44"/>
  <c r="C176" i="44"/>
  <c r="C180" i="44"/>
  <c r="C193" i="44"/>
  <c r="F192" i="44"/>
  <c r="L196" i="44"/>
  <c r="C207" i="44"/>
  <c r="C209" i="44"/>
  <c r="F205" i="44"/>
  <c r="C219" i="44"/>
  <c r="C235" i="44"/>
  <c r="C261" i="44"/>
  <c r="F260" i="44"/>
  <c r="C267" i="44"/>
  <c r="C285" i="44"/>
  <c r="F284" i="44"/>
  <c r="C288" i="44"/>
  <c r="I286" i="44"/>
  <c r="C200" i="44"/>
  <c r="I198" i="44"/>
  <c r="C203" i="44"/>
  <c r="C208" i="44"/>
  <c r="I205" i="44"/>
  <c r="C211" i="44"/>
  <c r="L216" i="44"/>
  <c r="C223" i="44"/>
  <c r="O231" i="44"/>
  <c r="I235" i="44"/>
  <c r="C236" i="44"/>
  <c r="C263" i="44"/>
  <c r="E270" i="44"/>
  <c r="E269" i="44" s="1"/>
  <c r="C273" i="44"/>
  <c r="F272" i="44"/>
  <c r="C197" i="44"/>
  <c r="F196" i="44"/>
  <c r="I227" i="44"/>
  <c r="C227" i="44" s="1"/>
  <c r="C228" i="44"/>
  <c r="C248" i="44"/>
  <c r="I246" i="44"/>
  <c r="C253" i="44"/>
  <c r="F252" i="44"/>
  <c r="O251" i="44"/>
  <c r="M259" i="44"/>
  <c r="M230" i="44" s="1"/>
  <c r="C265" i="44"/>
  <c r="F264" i="44"/>
  <c r="C275" i="44"/>
  <c r="C281" i="44"/>
  <c r="C295" i="44"/>
  <c r="C296" i="44"/>
  <c r="C297" i="44"/>
  <c r="F293" i="44"/>
  <c r="C293" i="44" s="1"/>
  <c r="C199" i="44"/>
  <c r="C239" i="44"/>
  <c r="C247" i="44"/>
  <c r="O292" i="43"/>
  <c r="M53" i="43"/>
  <c r="L54" i="43"/>
  <c r="L53" i="43" s="1"/>
  <c r="I67" i="43"/>
  <c r="C55" i="43"/>
  <c r="I54" i="43"/>
  <c r="N53" i="43"/>
  <c r="O67" i="43"/>
  <c r="O53" i="43" s="1"/>
  <c r="L76" i="43"/>
  <c r="C104" i="43"/>
  <c r="C123" i="43"/>
  <c r="F122" i="43"/>
  <c r="L166" i="43"/>
  <c r="L165" i="43" s="1"/>
  <c r="C169" i="43"/>
  <c r="M292" i="43"/>
  <c r="M291" i="43" s="1"/>
  <c r="C301" i="43"/>
  <c r="G20" i="43"/>
  <c r="K20" i="43"/>
  <c r="F21" i="43"/>
  <c r="L27" i="43"/>
  <c r="L33" i="43"/>
  <c r="C33" i="43" s="1"/>
  <c r="L36" i="43"/>
  <c r="C36" i="43" s="1"/>
  <c r="F41" i="43"/>
  <c r="C41" i="43" s="1"/>
  <c r="O45" i="43"/>
  <c r="F58" i="43"/>
  <c r="C58" i="43" s="1"/>
  <c r="C69" i="43"/>
  <c r="C77" i="43"/>
  <c r="K83" i="43"/>
  <c r="C87" i="43"/>
  <c r="F84" i="43"/>
  <c r="L89" i="43"/>
  <c r="O95" i="43"/>
  <c r="O83" i="43" s="1"/>
  <c r="L103" i="43"/>
  <c r="F103" i="43"/>
  <c r="C114" i="43"/>
  <c r="I112" i="43"/>
  <c r="C133" i="43"/>
  <c r="C135" i="43"/>
  <c r="F131" i="43"/>
  <c r="C137" i="43"/>
  <c r="L136" i="43"/>
  <c r="C154" i="43"/>
  <c r="I151" i="43"/>
  <c r="C162" i="43"/>
  <c r="I160" i="43"/>
  <c r="C167" i="43"/>
  <c r="F166" i="43"/>
  <c r="D174" i="43"/>
  <c r="D173" i="43" s="1"/>
  <c r="H174" i="43"/>
  <c r="H173" i="43" s="1"/>
  <c r="C178" i="43"/>
  <c r="I175" i="43"/>
  <c r="C185" i="43"/>
  <c r="C189" i="43"/>
  <c r="J230" i="43"/>
  <c r="J194" i="43" s="1"/>
  <c r="C268" i="43"/>
  <c r="I264" i="43"/>
  <c r="C117" i="43"/>
  <c r="L116" i="43"/>
  <c r="I141" i="43"/>
  <c r="C142" i="43"/>
  <c r="D20" i="43"/>
  <c r="H20" i="43"/>
  <c r="I80" i="43"/>
  <c r="C80" i="43" s="1"/>
  <c r="G83" i="43"/>
  <c r="G75" i="43" s="1"/>
  <c r="C86" i="43"/>
  <c r="I84" i="43"/>
  <c r="L95" i="43"/>
  <c r="C106" i="43"/>
  <c r="I103" i="43"/>
  <c r="C113" i="43"/>
  <c r="L112" i="43"/>
  <c r="C119" i="43"/>
  <c r="F116" i="43"/>
  <c r="L122" i="43"/>
  <c r="C129" i="43"/>
  <c r="L128" i="43"/>
  <c r="C128" i="43" s="1"/>
  <c r="C134" i="43"/>
  <c r="I131" i="43"/>
  <c r="F141" i="43"/>
  <c r="C146" i="43"/>
  <c r="I144" i="43"/>
  <c r="C161" i="43"/>
  <c r="L160" i="43"/>
  <c r="L179" i="43"/>
  <c r="L174" i="43" s="1"/>
  <c r="L173" i="43" s="1"/>
  <c r="C183" i="43"/>
  <c r="F179" i="43"/>
  <c r="C186" i="43"/>
  <c r="I184" i="43"/>
  <c r="C184" i="43" s="1"/>
  <c r="C190" i="43"/>
  <c r="I188" i="43"/>
  <c r="C261" i="43"/>
  <c r="F260" i="43"/>
  <c r="I89" i="43"/>
  <c r="C90" i="43"/>
  <c r="C138" i="43"/>
  <c r="I136" i="43"/>
  <c r="C136" i="43" s="1"/>
  <c r="C155" i="43"/>
  <c r="F151" i="43"/>
  <c r="E20" i="43"/>
  <c r="I20" i="43"/>
  <c r="H291" i="43"/>
  <c r="C85" i="43"/>
  <c r="L84" i="43"/>
  <c r="C98" i="43"/>
  <c r="I95" i="43"/>
  <c r="C118" i="43"/>
  <c r="I116" i="43"/>
  <c r="K130" i="43"/>
  <c r="C145" i="43"/>
  <c r="L144" i="43"/>
  <c r="O151" i="43"/>
  <c r="O130" i="43" s="1"/>
  <c r="O173" i="43"/>
  <c r="C182" i="43"/>
  <c r="I179" i="43"/>
  <c r="C217" i="43"/>
  <c r="F216" i="43"/>
  <c r="C237" i="43"/>
  <c r="F235" i="43"/>
  <c r="C256" i="43"/>
  <c r="I252" i="43"/>
  <c r="I251" i="43" s="1"/>
  <c r="C277" i="43"/>
  <c r="F276" i="43"/>
  <c r="C276" i="43" s="1"/>
  <c r="C193" i="43"/>
  <c r="F192" i="43"/>
  <c r="E195" i="43"/>
  <c r="L196" i="43"/>
  <c r="C209" i="43"/>
  <c r="F205" i="43"/>
  <c r="C219" i="43"/>
  <c r="L231" i="43"/>
  <c r="I235" i="43"/>
  <c r="C236" i="43"/>
  <c r="C263" i="43"/>
  <c r="E270" i="43"/>
  <c r="E269" i="43" s="1"/>
  <c r="C279" i="43"/>
  <c r="C281" i="43"/>
  <c r="C285" i="43"/>
  <c r="F284" i="43"/>
  <c r="C200" i="43"/>
  <c r="I198" i="43"/>
  <c r="C203" i="43"/>
  <c r="H194" i="43"/>
  <c r="C208" i="43"/>
  <c r="I205" i="43"/>
  <c r="C211" i="43"/>
  <c r="L216" i="43"/>
  <c r="L204" i="43" s="1"/>
  <c r="C223" i="43"/>
  <c r="I227" i="43"/>
  <c r="C227" i="43" s="1"/>
  <c r="C228" i="43"/>
  <c r="C232" i="43"/>
  <c r="M230" i="43"/>
  <c r="M194" i="43" s="1"/>
  <c r="C248" i="43"/>
  <c r="I246" i="43"/>
  <c r="C246" i="43" s="1"/>
  <c r="E230" i="43"/>
  <c r="C253" i="43"/>
  <c r="F252" i="43"/>
  <c r="M259" i="43"/>
  <c r="L260" i="43"/>
  <c r="L259" i="43" s="1"/>
  <c r="C265" i="43"/>
  <c r="F264" i="43"/>
  <c r="C264" i="43" s="1"/>
  <c r="L270" i="43"/>
  <c r="L269" i="43" s="1"/>
  <c r="C273" i="43"/>
  <c r="F272" i="43"/>
  <c r="O293" i="43"/>
  <c r="N194" i="43"/>
  <c r="C197" i="43"/>
  <c r="F196" i="43"/>
  <c r="C233" i="43"/>
  <c r="C240" i="43"/>
  <c r="I238" i="43"/>
  <c r="C238" i="43" s="1"/>
  <c r="I259" i="43"/>
  <c r="C296" i="43"/>
  <c r="C297" i="43"/>
  <c r="F293" i="43"/>
  <c r="C199" i="43"/>
  <c r="C239" i="43"/>
  <c r="C247" i="43"/>
  <c r="J195" i="42"/>
  <c r="E230" i="42"/>
  <c r="E194" i="42" s="1"/>
  <c r="D292" i="42"/>
  <c r="D291" i="42" s="1"/>
  <c r="I21" i="42"/>
  <c r="N292" i="42"/>
  <c r="N291" i="42" s="1"/>
  <c r="C23" i="42"/>
  <c r="K26" i="42"/>
  <c r="H54" i="42"/>
  <c r="H53" i="42" s="1"/>
  <c r="H52" i="42" s="1"/>
  <c r="L55" i="42"/>
  <c r="C61" i="42"/>
  <c r="C62" i="42"/>
  <c r="C63" i="42"/>
  <c r="M76" i="42"/>
  <c r="C86" i="42"/>
  <c r="O84" i="42"/>
  <c r="L89" i="42"/>
  <c r="C97" i="42"/>
  <c r="C99" i="42"/>
  <c r="L103" i="42"/>
  <c r="L151" i="42"/>
  <c r="I160" i="42"/>
  <c r="C186" i="42"/>
  <c r="I196" i="42"/>
  <c r="C229" i="42"/>
  <c r="G231" i="42"/>
  <c r="G230" i="42" s="1"/>
  <c r="C237" i="42"/>
  <c r="C239" i="42"/>
  <c r="C241" i="42"/>
  <c r="C244" i="42"/>
  <c r="C254" i="42"/>
  <c r="C278" i="42"/>
  <c r="C298" i="42"/>
  <c r="G53" i="42"/>
  <c r="C138" i="42"/>
  <c r="E20" i="42"/>
  <c r="J54" i="42"/>
  <c r="J53" i="42" s="1"/>
  <c r="C56" i="42"/>
  <c r="E76" i="42"/>
  <c r="J76" i="42"/>
  <c r="G76" i="42"/>
  <c r="E83" i="42"/>
  <c r="K83" i="42"/>
  <c r="C90" i="42"/>
  <c r="C91" i="42"/>
  <c r="H83" i="42"/>
  <c r="H75" i="42" s="1"/>
  <c r="C101" i="42"/>
  <c r="C102" i="42"/>
  <c r="D83" i="42"/>
  <c r="D75" i="42" s="1"/>
  <c r="D52" i="42" s="1"/>
  <c r="C117" i="42"/>
  <c r="C126" i="42"/>
  <c r="C127" i="42"/>
  <c r="C140" i="42"/>
  <c r="C143" i="42"/>
  <c r="I166" i="42"/>
  <c r="I165" i="42" s="1"/>
  <c r="C172" i="42"/>
  <c r="F175" i="42"/>
  <c r="F174" i="42" s="1"/>
  <c r="F179" i="42"/>
  <c r="C183" i="42"/>
  <c r="F192" i="42"/>
  <c r="C208" i="42"/>
  <c r="O205" i="42"/>
  <c r="C226" i="42"/>
  <c r="L238" i="42"/>
  <c r="L231" i="42" s="1"/>
  <c r="C263" i="42"/>
  <c r="D269" i="42"/>
  <c r="C275" i="42"/>
  <c r="C277" i="42"/>
  <c r="C288" i="42"/>
  <c r="C295" i="42"/>
  <c r="I54" i="42"/>
  <c r="M130" i="42"/>
  <c r="L175" i="42"/>
  <c r="L174" i="42" s="1"/>
  <c r="L173" i="42" s="1"/>
  <c r="M230" i="42"/>
  <c r="J231" i="42"/>
  <c r="H20" i="42"/>
  <c r="G291" i="42"/>
  <c r="C24" i="42"/>
  <c r="C43" i="42"/>
  <c r="K53" i="42"/>
  <c r="L58" i="42"/>
  <c r="C70" i="42"/>
  <c r="C71" i="42"/>
  <c r="C78" i="42"/>
  <c r="C79" i="42"/>
  <c r="L84" i="42"/>
  <c r="C106" i="42"/>
  <c r="C107" i="42"/>
  <c r="I116" i="42"/>
  <c r="C121" i="42"/>
  <c r="C128" i="42"/>
  <c r="K130" i="42"/>
  <c r="C134" i="42"/>
  <c r="C135" i="42"/>
  <c r="C155" i="42"/>
  <c r="C176" i="42"/>
  <c r="C178" i="42"/>
  <c r="C180" i="42"/>
  <c r="C182" i="42"/>
  <c r="L187" i="42"/>
  <c r="M195" i="42"/>
  <c r="C214" i="42"/>
  <c r="H204" i="42"/>
  <c r="L216" i="42"/>
  <c r="C223" i="42"/>
  <c r="C225" i="42"/>
  <c r="K230" i="42"/>
  <c r="O235" i="42"/>
  <c r="H231" i="42"/>
  <c r="N231" i="42"/>
  <c r="N230" i="42" s="1"/>
  <c r="N194" i="42" s="1"/>
  <c r="H259" i="42"/>
  <c r="L260" i="42"/>
  <c r="L259" i="42" s="1"/>
  <c r="C266" i="42"/>
  <c r="C274" i="42"/>
  <c r="C280" i="42"/>
  <c r="C285" i="42"/>
  <c r="C137" i="42"/>
  <c r="F136" i="42"/>
  <c r="C145" i="42"/>
  <c r="F144" i="42"/>
  <c r="F160" i="42"/>
  <c r="C160" i="42" s="1"/>
  <c r="C161" i="42"/>
  <c r="C294" i="42"/>
  <c r="L293" i="42"/>
  <c r="C37" i="42"/>
  <c r="L36" i="42"/>
  <c r="C36" i="42" s="1"/>
  <c r="C42" i="42"/>
  <c r="F41" i="42"/>
  <c r="C65" i="42"/>
  <c r="C66" i="42"/>
  <c r="F69" i="42"/>
  <c r="I69" i="42"/>
  <c r="I67" i="42" s="1"/>
  <c r="C73" i="42"/>
  <c r="C74" i="42"/>
  <c r="E75" i="42"/>
  <c r="E52" i="42" s="1"/>
  <c r="C81" i="42"/>
  <c r="C82" i="42"/>
  <c r="J83" i="42"/>
  <c r="F89" i="42"/>
  <c r="I89" i="42"/>
  <c r="C93" i="42"/>
  <c r="C94" i="42"/>
  <c r="O103" i="42"/>
  <c r="C113" i="42"/>
  <c r="C114" i="42"/>
  <c r="C115" i="42"/>
  <c r="F112" i="42"/>
  <c r="C112" i="42" s="1"/>
  <c r="L116" i="42"/>
  <c r="O122" i="42"/>
  <c r="G130" i="42"/>
  <c r="C139" i="42"/>
  <c r="F151" i="42"/>
  <c r="I252" i="42"/>
  <c r="I251" i="42" s="1"/>
  <c r="C253" i="42"/>
  <c r="C256" i="42"/>
  <c r="F252" i="42"/>
  <c r="M20" i="42"/>
  <c r="O292" i="42"/>
  <c r="O20" i="42"/>
  <c r="C57" i="42"/>
  <c r="O58" i="42"/>
  <c r="O54" i="42" s="1"/>
  <c r="F76" i="42"/>
  <c r="C77" i="42"/>
  <c r="C80" i="42"/>
  <c r="C85" i="42"/>
  <c r="C87" i="42"/>
  <c r="F84" i="42"/>
  <c r="C105" i="42"/>
  <c r="C123" i="42"/>
  <c r="F122" i="42"/>
  <c r="O166" i="42"/>
  <c r="O165" i="42" s="1"/>
  <c r="C28" i="42"/>
  <c r="L27" i="42"/>
  <c r="C34" i="42"/>
  <c r="L33" i="42"/>
  <c r="C33" i="42" s="1"/>
  <c r="C46" i="42"/>
  <c r="O45" i="42"/>
  <c r="L21" i="42"/>
  <c r="F292" i="42"/>
  <c r="C44" i="42"/>
  <c r="C55" i="42"/>
  <c r="C59" i="42"/>
  <c r="F58" i="42"/>
  <c r="O69" i="42"/>
  <c r="O67" i="42" s="1"/>
  <c r="I76" i="42"/>
  <c r="G83" i="42"/>
  <c r="G75" i="42" s="1"/>
  <c r="M83" i="42"/>
  <c r="O89" i="42"/>
  <c r="C98" i="42"/>
  <c r="I103" i="42"/>
  <c r="C110" i="42"/>
  <c r="C118" i="42"/>
  <c r="C119" i="42"/>
  <c r="F116" i="42"/>
  <c r="C132" i="42"/>
  <c r="C142" i="42"/>
  <c r="G20" i="42"/>
  <c r="K20" i="42"/>
  <c r="C125" i="42"/>
  <c r="F141" i="42"/>
  <c r="C147" i="42"/>
  <c r="C148" i="42"/>
  <c r="O151" i="42"/>
  <c r="C159" i="42"/>
  <c r="C163" i="42"/>
  <c r="L166" i="42"/>
  <c r="L165" i="42" s="1"/>
  <c r="C171" i="42"/>
  <c r="M173" i="42"/>
  <c r="O175" i="42"/>
  <c r="O179" i="42"/>
  <c r="K187" i="42"/>
  <c r="C200" i="42"/>
  <c r="F198" i="42"/>
  <c r="C232" i="42"/>
  <c r="J230" i="42"/>
  <c r="J194" i="42" s="1"/>
  <c r="C248" i="42"/>
  <c r="F246" i="42"/>
  <c r="F95" i="42"/>
  <c r="C95" i="42" s="1"/>
  <c r="F103" i="42"/>
  <c r="C133" i="42"/>
  <c r="L136" i="42"/>
  <c r="O141" i="42"/>
  <c r="L144" i="42"/>
  <c r="C149" i="42"/>
  <c r="C153" i="42"/>
  <c r="C177" i="42"/>
  <c r="C181" i="42"/>
  <c r="F184" i="42"/>
  <c r="C184" i="42" s="1"/>
  <c r="C185" i="42"/>
  <c r="G187" i="42"/>
  <c r="C190" i="42"/>
  <c r="I188" i="42"/>
  <c r="I216" i="42"/>
  <c r="I204" i="42" s="1"/>
  <c r="I195" i="42" s="1"/>
  <c r="C217" i="42"/>
  <c r="C220" i="42"/>
  <c r="F216" i="42"/>
  <c r="O251" i="42"/>
  <c r="C268" i="42"/>
  <c r="F264" i="42"/>
  <c r="C129" i="42"/>
  <c r="J130" i="42"/>
  <c r="N130" i="42"/>
  <c r="N75" i="42" s="1"/>
  <c r="I131" i="42"/>
  <c r="I151" i="42"/>
  <c r="C167" i="42"/>
  <c r="F166" i="42"/>
  <c r="I175" i="42"/>
  <c r="I179" i="42"/>
  <c r="C189" i="42"/>
  <c r="C202" i="42"/>
  <c r="L205" i="42"/>
  <c r="C210" i="42"/>
  <c r="C222" i="42"/>
  <c r="O238" i="42"/>
  <c r="I246" i="42"/>
  <c r="C250" i="42"/>
  <c r="C258" i="42"/>
  <c r="O259" i="42"/>
  <c r="C267" i="42"/>
  <c r="I264" i="42"/>
  <c r="I259" i="42" s="1"/>
  <c r="H270" i="42"/>
  <c r="H269" i="42" s="1"/>
  <c r="L272" i="42"/>
  <c r="L270" i="42" s="1"/>
  <c r="C282" i="42"/>
  <c r="L281" i="42"/>
  <c r="C281" i="42" s="1"/>
  <c r="C284" i="42"/>
  <c r="F283" i="42"/>
  <c r="C283" i="42" s="1"/>
  <c r="D195" i="42"/>
  <c r="H195" i="42"/>
  <c r="C212" i="42"/>
  <c r="O216" i="42"/>
  <c r="O204" i="42" s="1"/>
  <c r="O195" i="42" s="1"/>
  <c r="C224" i="42"/>
  <c r="C228" i="42"/>
  <c r="F227" i="42"/>
  <c r="C227" i="42" s="1"/>
  <c r="C236" i="42"/>
  <c r="F235" i="42"/>
  <c r="C240" i="42"/>
  <c r="C262" i="42"/>
  <c r="I270" i="42"/>
  <c r="I269" i="42" s="1"/>
  <c r="C271" i="42"/>
  <c r="C296" i="42"/>
  <c r="F293" i="42"/>
  <c r="G204" i="42"/>
  <c r="G195" i="42" s="1"/>
  <c r="G194" i="42" s="1"/>
  <c r="K204" i="42"/>
  <c r="K195" i="42" s="1"/>
  <c r="K194" i="42" s="1"/>
  <c r="F205" i="42"/>
  <c r="C206" i="42"/>
  <c r="F233" i="42"/>
  <c r="C233" i="42" s="1"/>
  <c r="C234" i="42"/>
  <c r="I238" i="42"/>
  <c r="I231" i="42" s="1"/>
  <c r="O246" i="42"/>
  <c r="D259" i="42"/>
  <c r="D230" i="42" s="1"/>
  <c r="F269" i="42"/>
  <c r="C272" i="42"/>
  <c r="C276" i="42"/>
  <c r="C279" i="42"/>
  <c r="C286" i="42"/>
  <c r="C287" i="42"/>
  <c r="I293" i="42"/>
  <c r="C299" i="42"/>
  <c r="C300" i="42"/>
  <c r="F291" i="42"/>
  <c r="O291" i="42"/>
  <c r="C260" i="42" l="1"/>
  <c r="L130" i="43"/>
  <c r="C238" i="44"/>
  <c r="O195" i="43"/>
  <c r="J194" i="44"/>
  <c r="H289" i="45"/>
  <c r="O231" i="42"/>
  <c r="O230" i="42" s="1"/>
  <c r="C293" i="43"/>
  <c r="M75" i="44"/>
  <c r="M52" i="44" s="1"/>
  <c r="K230" i="45"/>
  <c r="I291" i="43"/>
  <c r="H289" i="44"/>
  <c r="E52" i="43"/>
  <c r="I53" i="42"/>
  <c r="K75" i="42"/>
  <c r="C89" i="43"/>
  <c r="C103" i="43"/>
  <c r="E52" i="45"/>
  <c r="N289" i="43"/>
  <c r="H289" i="43"/>
  <c r="J52" i="43"/>
  <c r="J51" i="43" s="1"/>
  <c r="J289" i="43"/>
  <c r="L204" i="42"/>
  <c r="L195" i="42" s="1"/>
  <c r="K52" i="42"/>
  <c r="O130" i="42"/>
  <c r="M75" i="42"/>
  <c r="M52" i="42" s="1"/>
  <c r="I83" i="42"/>
  <c r="C179" i="42"/>
  <c r="L54" i="42"/>
  <c r="L53" i="42" s="1"/>
  <c r="N52" i="43"/>
  <c r="N75" i="44"/>
  <c r="H51" i="45"/>
  <c r="K194" i="43"/>
  <c r="L83" i="44"/>
  <c r="L75" i="44" s="1"/>
  <c r="L53" i="45"/>
  <c r="E289" i="42"/>
  <c r="L130" i="42"/>
  <c r="O174" i="42"/>
  <c r="O173" i="42" s="1"/>
  <c r="L230" i="42"/>
  <c r="E289" i="43"/>
  <c r="I231" i="43"/>
  <c r="I230" i="43" s="1"/>
  <c r="C95" i="43"/>
  <c r="C151" i="43"/>
  <c r="H52" i="43"/>
  <c r="H51" i="43" s="1"/>
  <c r="C160" i="43"/>
  <c r="I53" i="43"/>
  <c r="M52" i="43"/>
  <c r="O204" i="44"/>
  <c r="O195" i="44" s="1"/>
  <c r="G289" i="44"/>
  <c r="C131" i="45"/>
  <c r="K194" i="45"/>
  <c r="K51" i="45" s="1"/>
  <c r="C216" i="43"/>
  <c r="C116" i="43"/>
  <c r="D52" i="43"/>
  <c r="D51" i="43" s="1"/>
  <c r="C112" i="43"/>
  <c r="O75" i="43"/>
  <c r="K75" i="43"/>
  <c r="F54" i="43"/>
  <c r="D289" i="44"/>
  <c r="C264" i="45"/>
  <c r="I204" i="45"/>
  <c r="G289" i="45"/>
  <c r="L83" i="45"/>
  <c r="D194" i="45"/>
  <c r="O230" i="43"/>
  <c r="O194" i="43" s="1"/>
  <c r="J194" i="45"/>
  <c r="N194" i="45"/>
  <c r="N289" i="45"/>
  <c r="E194" i="45"/>
  <c r="L195" i="45"/>
  <c r="C179" i="45"/>
  <c r="C21" i="45"/>
  <c r="O204" i="45"/>
  <c r="O195" i="45" s="1"/>
  <c r="I130" i="45"/>
  <c r="M75" i="45"/>
  <c r="M289" i="45" s="1"/>
  <c r="L174" i="45"/>
  <c r="L173" i="45" s="1"/>
  <c r="C293" i="45"/>
  <c r="F187" i="45"/>
  <c r="C187" i="45" s="1"/>
  <c r="F130" i="45"/>
  <c r="C95" i="45"/>
  <c r="C80" i="45"/>
  <c r="O230" i="45"/>
  <c r="N51" i="45"/>
  <c r="N290" i="45" s="1"/>
  <c r="C276" i="45"/>
  <c r="K289" i="45"/>
  <c r="C69" i="45"/>
  <c r="O83" i="45"/>
  <c r="O270" i="45"/>
  <c r="O269" i="45" s="1"/>
  <c r="J75" i="45"/>
  <c r="J52" i="45" s="1"/>
  <c r="G52" i="45"/>
  <c r="G51" i="45" s="1"/>
  <c r="N50" i="45"/>
  <c r="H290" i="45"/>
  <c r="H50" i="45"/>
  <c r="D52" i="45"/>
  <c r="D51" i="45" s="1"/>
  <c r="D289" i="45"/>
  <c r="C103" i="45"/>
  <c r="C77" i="45"/>
  <c r="F76" i="45"/>
  <c r="F20" i="45"/>
  <c r="I196" i="45"/>
  <c r="C198" i="45"/>
  <c r="C284" i="45"/>
  <c r="F283" i="45"/>
  <c r="C283" i="45" s="1"/>
  <c r="C205" i="45"/>
  <c r="F204" i="45"/>
  <c r="C216" i="45"/>
  <c r="C151" i="45"/>
  <c r="F67" i="45"/>
  <c r="C67" i="45" s="1"/>
  <c r="I83" i="45"/>
  <c r="C58" i="45"/>
  <c r="C122" i="45"/>
  <c r="C175" i="45"/>
  <c r="F174" i="45"/>
  <c r="E51" i="45"/>
  <c r="C252" i="45"/>
  <c r="F251" i="45"/>
  <c r="C251" i="45" s="1"/>
  <c r="L230" i="45"/>
  <c r="C260" i="45"/>
  <c r="F259" i="45"/>
  <c r="C259" i="45" s="1"/>
  <c r="O130" i="45"/>
  <c r="C27" i="45"/>
  <c r="L26" i="45"/>
  <c r="C45" i="45"/>
  <c r="O20" i="45"/>
  <c r="F270" i="45"/>
  <c r="C272" i="45"/>
  <c r="I231" i="45"/>
  <c r="I230" i="45" s="1"/>
  <c r="F165" i="45"/>
  <c r="C165" i="45" s="1"/>
  <c r="C166" i="45"/>
  <c r="L130" i="45"/>
  <c r="E289" i="45"/>
  <c r="C116" i="45"/>
  <c r="C89" i="45"/>
  <c r="F54" i="45"/>
  <c r="C55" i="45"/>
  <c r="I292" i="45"/>
  <c r="I291" i="45" s="1"/>
  <c r="I75" i="45"/>
  <c r="I52" i="45" s="1"/>
  <c r="F83" i="45"/>
  <c r="F291" i="45"/>
  <c r="C291" i="45" s="1"/>
  <c r="N289" i="44"/>
  <c r="N52" i="44"/>
  <c r="N51" i="44" s="1"/>
  <c r="N50" i="44" s="1"/>
  <c r="D52" i="44"/>
  <c r="D51" i="44" s="1"/>
  <c r="E52" i="44"/>
  <c r="M289" i="44"/>
  <c r="C246" i="44"/>
  <c r="L204" i="44"/>
  <c r="L195" i="44" s="1"/>
  <c r="J75" i="44"/>
  <c r="J289" i="44" s="1"/>
  <c r="C116" i="44"/>
  <c r="O83" i="44"/>
  <c r="O75" i="44" s="1"/>
  <c r="G194" i="44"/>
  <c r="L259" i="44"/>
  <c r="L230" i="44" s="1"/>
  <c r="H194" i="44"/>
  <c r="H51" i="44" s="1"/>
  <c r="I231" i="44"/>
  <c r="I230" i="44" s="1"/>
  <c r="C95" i="44"/>
  <c r="G52" i="44"/>
  <c r="L26" i="44"/>
  <c r="C264" i="44"/>
  <c r="E289" i="44"/>
  <c r="O230" i="44"/>
  <c r="O194" i="44" s="1"/>
  <c r="I204" i="44"/>
  <c r="C136" i="44"/>
  <c r="C112" i="44"/>
  <c r="C58" i="44"/>
  <c r="O53" i="44"/>
  <c r="L291" i="44"/>
  <c r="L53" i="44"/>
  <c r="L52" i="44" s="1"/>
  <c r="K289" i="44"/>
  <c r="K52" i="44"/>
  <c r="K51" i="44" s="1"/>
  <c r="E194" i="44"/>
  <c r="E51" i="44" s="1"/>
  <c r="I83" i="44"/>
  <c r="I292" i="44"/>
  <c r="I291" i="44" s="1"/>
  <c r="I20" i="44"/>
  <c r="C54" i="44"/>
  <c r="C21" i="44"/>
  <c r="C260" i="44"/>
  <c r="F259" i="44"/>
  <c r="C192" i="44"/>
  <c r="F191" i="44"/>
  <c r="C231" i="44"/>
  <c r="F130" i="44"/>
  <c r="C84" i="44"/>
  <c r="I130" i="44"/>
  <c r="C131" i="44"/>
  <c r="C216" i="44"/>
  <c r="C26" i="44"/>
  <c r="F270" i="44"/>
  <c r="C272" i="44"/>
  <c r="C286" i="44"/>
  <c r="C284" i="44"/>
  <c r="F283" i="44"/>
  <c r="C283" i="44" s="1"/>
  <c r="C166" i="44"/>
  <c r="F165" i="44"/>
  <c r="C165" i="44" s="1"/>
  <c r="C151" i="44"/>
  <c r="C122" i="44"/>
  <c r="F83" i="44"/>
  <c r="C83" i="44" s="1"/>
  <c r="C103" i="44"/>
  <c r="F76" i="44"/>
  <c r="F291" i="44"/>
  <c r="L20" i="44"/>
  <c r="C252" i="44"/>
  <c r="F251" i="44"/>
  <c r="C251" i="44" s="1"/>
  <c r="C198" i="44"/>
  <c r="I196" i="44"/>
  <c r="I195" i="44" s="1"/>
  <c r="I194" i="44" s="1"/>
  <c r="C205" i="44"/>
  <c r="F204" i="44"/>
  <c r="M194" i="44"/>
  <c r="M51" i="44" s="1"/>
  <c r="I174" i="44"/>
  <c r="C175" i="44"/>
  <c r="C69" i="44"/>
  <c r="F67" i="44"/>
  <c r="C67" i="44" s="1"/>
  <c r="N290" i="44"/>
  <c r="C188" i="44"/>
  <c r="H290" i="43"/>
  <c r="H50" i="43"/>
  <c r="D290" i="43"/>
  <c r="D50" i="43"/>
  <c r="K52" i="43"/>
  <c r="K51" i="43" s="1"/>
  <c r="K289" i="43"/>
  <c r="O52" i="43"/>
  <c r="G52" i="43"/>
  <c r="G51" i="43" s="1"/>
  <c r="G289" i="43"/>
  <c r="C205" i="43"/>
  <c r="F204" i="43"/>
  <c r="C235" i="43"/>
  <c r="F231" i="43"/>
  <c r="C260" i="43"/>
  <c r="F259" i="43"/>
  <c r="C259" i="43" s="1"/>
  <c r="C45" i="43"/>
  <c r="F53" i="43"/>
  <c r="C54" i="43"/>
  <c r="C284" i="43"/>
  <c r="F283" i="43"/>
  <c r="C283" i="43" s="1"/>
  <c r="L230" i="43"/>
  <c r="C192" i="43"/>
  <c r="F191" i="43"/>
  <c r="L83" i="43"/>
  <c r="C141" i="43"/>
  <c r="C175" i="43"/>
  <c r="I174" i="43"/>
  <c r="I173" i="43" s="1"/>
  <c r="C166" i="43"/>
  <c r="F165" i="43"/>
  <c r="C165" i="43" s="1"/>
  <c r="C131" i="43"/>
  <c r="F130" i="43"/>
  <c r="F292" i="43"/>
  <c r="C21" i="43"/>
  <c r="F20" i="43"/>
  <c r="D289" i="43"/>
  <c r="C27" i="43"/>
  <c r="L26" i="43"/>
  <c r="M51" i="43"/>
  <c r="C252" i="43"/>
  <c r="F251" i="43"/>
  <c r="C251" i="43" s="1"/>
  <c r="L195" i="43"/>
  <c r="L194" i="43" s="1"/>
  <c r="I187" i="43"/>
  <c r="C188" i="43"/>
  <c r="C179" i="43"/>
  <c r="F174" i="43"/>
  <c r="I130" i="43"/>
  <c r="F83" i="43"/>
  <c r="C84" i="43"/>
  <c r="C122" i="43"/>
  <c r="C67" i="43"/>
  <c r="O20" i="43"/>
  <c r="E194" i="43"/>
  <c r="E51" i="43" s="1"/>
  <c r="L75" i="43"/>
  <c r="L52" i="43" s="1"/>
  <c r="L51" i="43" s="1"/>
  <c r="L50" i="43" s="1"/>
  <c r="F270" i="43"/>
  <c r="C272" i="43"/>
  <c r="I204" i="43"/>
  <c r="C198" i="43"/>
  <c r="I196" i="43"/>
  <c r="C196" i="43" s="1"/>
  <c r="M289" i="43"/>
  <c r="C144" i="43"/>
  <c r="I83" i="43"/>
  <c r="I76" i="43"/>
  <c r="N51" i="43"/>
  <c r="O291" i="43"/>
  <c r="D289" i="42"/>
  <c r="C235" i="42"/>
  <c r="I174" i="42"/>
  <c r="I173" i="42" s="1"/>
  <c r="I130" i="42"/>
  <c r="G52" i="42"/>
  <c r="G51" i="42" s="1"/>
  <c r="G290" i="42" s="1"/>
  <c r="J75" i="42"/>
  <c r="J52" i="42" s="1"/>
  <c r="J51" i="42" s="1"/>
  <c r="J50" i="42" s="1"/>
  <c r="F130" i="42"/>
  <c r="H230" i="42"/>
  <c r="H194" i="42" s="1"/>
  <c r="H51" i="42" s="1"/>
  <c r="M194" i="42"/>
  <c r="H289" i="42"/>
  <c r="K289" i="42"/>
  <c r="K51" i="42"/>
  <c r="K50" i="42" s="1"/>
  <c r="M51" i="42"/>
  <c r="M290" i="42" s="1"/>
  <c r="E51" i="42"/>
  <c r="E290" i="42" s="1"/>
  <c r="C192" i="42"/>
  <c r="F191" i="42"/>
  <c r="C21" i="42"/>
  <c r="O53" i="42"/>
  <c r="O83" i="42"/>
  <c r="O75" i="42" s="1"/>
  <c r="I292" i="42"/>
  <c r="I20" i="42"/>
  <c r="C270" i="42"/>
  <c r="O194" i="42"/>
  <c r="L83" i="42"/>
  <c r="L75" i="42" s="1"/>
  <c r="L52" i="42" s="1"/>
  <c r="C144" i="42"/>
  <c r="N52" i="42"/>
  <c r="N51" i="42" s="1"/>
  <c r="N289" i="42"/>
  <c r="M289" i="42"/>
  <c r="M50" i="42"/>
  <c r="G50" i="42"/>
  <c r="C41" i="42"/>
  <c r="F20" i="42"/>
  <c r="C293" i="42"/>
  <c r="L269" i="42"/>
  <c r="F165" i="42"/>
  <c r="C165" i="42" s="1"/>
  <c r="C166" i="42"/>
  <c r="I187" i="42"/>
  <c r="C188" i="42"/>
  <c r="C246" i="42"/>
  <c r="F231" i="42"/>
  <c r="C45" i="42"/>
  <c r="C27" i="42"/>
  <c r="L26" i="42"/>
  <c r="L20" i="42" s="1"/>
  <c r="F173" i="42"/>
  <c r="C174" i="42"/>
  <c r="F83" i="42"/>
  <c r="C83" i="42" s="1"/>
  <c r="C84" i="42"/>
  <c r="C89" i="42"/>
  <c r="C264" i="42"/>
  <c r="C198" i="42"/>
  <c r="F196" i="42"/>
  <c r="G289" i="42"/>
  <c r="C151" i="42"/>
  <c r="F259" i="42"/>
  <c r="C259" i="42" s="1"/>
  <c r="I230" i="42"/>
  <c r="F204" i="42"/>
  <c r="C204" i="42" s="1"/>
  <c r="C205" i="42"/>
  <c r="D194" i="42"/>
  <c r="D51" i="42" s="1"/>
  <c r="C103" i="42"/>
  <c r="C175" i="42"/>
  <c r="C122" i="42"/>
  <c r="C76" i="42"/>
  <c r="C136" i="42"/>
  <c r="L292" i="42"/>
  <c r="L291" i="42" s="1"/>
  <c r="C131" i="42"/>
  <c r="C252" i="42"/>
  <c r="F251" i="42"/>
  <c r="C251" i="42" s="1"/>
  <c r="J289" i="42"/>
  <c r="C216" i="42"/>
  <c r="C238" i="42"/>
  <c r="I194" i="42"/>
  <c r="C141" i="42"/>
  <c r="C116" i="42"/>
  <c r="C58" i="42"/>
  <c r="F67" i="42"/>
  <c r="C67" i="42" s="1"/>
  <c r="C69" i="42"/>
  <c r="F54" i="42"/>
  <c r="O52" i="42" l="1"/>
  <c r="O51" i="42" s="1"/>
  <c r="O50" i="42" s="1"/>
  <c r="F230" i="45"/>
  <c r="C173" i="42"/>
  <c r="C204" i="43"/>
  <c r="O51" i="43"/>
  <c r="O50" i="43" s="1"/>
  <c r="O289" i="43"/>
  <c r="O75" i="45"/>
  <c r="O52" i="45" s="1"/>
  <c r="O51" i="45" s="1"/>
  <c r="C130" i="42"/>
  <c r="C292" i="44"/>
  <c r="K50" i="45"/>
  <c r="K290" i="45"/>
  <c r="J290" i="42"/>
  <c r="O289" i="42"/>
  <c r="C259" i="44"/>
  <c r="C20" i="44"/>
  <c r="J52" i="44"/>
  <c r="J51" i="44" s="1"/>
  <c r="J50" i="44" s="1"/>
  <c r="C292" i="42"/>
  <c r="O194" i="45"/>
  <c r="J50" i="43"/>
  <c r="J290" i="43"/>
  <c r="M52" i="45"/>
  <c r="M51" i="45" s="1"/>
  <c r="C130" i="45"/>
  <c r="J289" i="45"/>
  <c r="C230" i="45"/>
  <c r="G50" i="45"/>
  <c r="G290" i="45"/>
  <c r="J51" i="45"/>
  <c r="E290" i="45"/>
  <c r="E50" i="45"/>
  <c r="I195" i="45"/>
  <c r="I194" i="45" s="1"/>
  <c r="I51" i="45" s="1"/>
  <c r="C196" i="45"/>
  <c r="C83" i="45"/>
  <c r="C54" i="45"/>
  <c r="F53" i="45"/>
  <c r="F173" i="45"/>
  <c r="C173" i="45" s="1"/>
  <c r="C174" i="45"/>
  <c r="O289" i="45"/>
  <c r="D290" i="45"/>
  <c r="D50" i="45"/>
  <c r="F269" i="45"/>
  <c r="C270" i="45"/>
  <c r="L75" i="45"/>
  <c r="L52" i="45" s="1"/>
  <c r="C231" i="45"/>
  <c r="C292" i="45"/>
  <c r="C26" i="45"/>
  <c r="L20" i="45"/>
  <c r="C20" i="45" s="1"/>
  <c r="L194" i="45"/>
  <c r="C204" i="45"/>
  <c r="F195" i="45"/>
  <c r="F75" i="45"/>
  <c r="C75" i="45" s="1"/>
  <c r="C76" i="45"/>
  <c r="H50" i="44"/>
  <c r="H290" i="44"/>
  <c r="D50" i="44"/>
  <c r="D290" i="44"/>
  <c r="C204" i="44"/>
  <c r="F53" i="44"/>
  <c r="C53" i="44" s="1"/>
  <c r="O289" i="44"/>
  <c r="G51" i="44"/>
  <c r="C291" i="44"/>
  <c r="O52" i="44"/>
  <c r="O51" i="44" s="1"/>
  <c r="M50" i="44"/>
  <c r="M290" i="44"/>
  <c r="I173" i="44"/>
  <c r="C173" i="44" s="1"/>
  <c r="C174" i="44"/>
  <c r="E290" i="44"/>
  <c r="E50" i="44"/>
  <c r="K50" i="44"/>
  <c r="K290" i="44"/>
  <c r="F269" i="44"/>
  <c r="C270" i="44"/>
  <c r="F230" i="44"/>
  <c r="C230" i="44" s="1"/>
  <c r="J290" i="44"/>
  <c r="F195" i="44"/>
  <c r="C130" i="44"/>
  <c r="C191" i="44"/>
  <c r="F187" i="44"/>
  <c r="C187" i="44" s="1"/>
  <c r="C76" i="44"/>
  <c r="F75" i="44"/>
  <c r="F52" i="44"/>
  <c r="C196" i="44"/>
  <c r="L194" i="44"/>
  <c r="L51" i="44" s="1"/>
  <c r="L289" i="44"/>
  <c r="I75" i="44"/>
  <c r="I52" i="44" s="1"/>
  <c r="I51" i="44" s="1"/>
  <c r="N50" i="43"/>
  <c r="N290" i="43"/>
  <c r="M50" i="43"/>
  <c r="M290" i="43"/>
  <c r="I75" i="43"/>
  <c r="I52" i="43" s="1"/>
  <c r="C76" i="43"/>
  <c r="I195" i="43"/>
  <c r="F269" i="43"/>
  <c r="C270" i="43"/>
  <c r="C83" i="43"/>
  <c r="F75" i="43"/>
  <c r="L290" i="43"/>
  <c r="C26" i="43"/>
  <c r="L20" i="43"/>
  <c r="C20" i="43" s="1"/>
  <c r="L289" i="43"/>
  <c r="C53" i="43"/>
  <c r="F195" i="43"/>
  <c r="C292" i="43"/>
  <c r="F291" i="43"/>
  <c r="C291" i="43" s="1"/>
  <c r="F230" i="43"/>
  <c r="C230" i="43" s="1"/>
  <c r="C231" i="43"/>
  <c r="K50" i="43"/>
  <c r="K290" i="43"/>
  <c r="E290" i="43"/>
  <c r="E50" i="43"/>
  <c r="C174" i="43"/>
  <c r="F173" i="43"/>
  <c r="C173" i="43" s="1"/>
  <c r="C130" i="43"/>
  <c r="C191" i="43"/>
  <c r="F187" i="43"/>
  <c r="C187" i="43" s="1"/>
  <c r="O290" i="43"/>
  <c r="G290" i="43"/>
  <c r="G50" i="43"/>
  <c r="E50" i="42"/>
  <c r="O290" i="42"/>
  <c r="L289" i="42"/>
  <c r="C191" i="42"/>
  <c r="F187" i="42"/>
  <c r="C187" i="42" s="1"/>
  <c r="I291" i="42"/>
  <c r="C291" i="42" s="1"/>
  <c r="K290" i="42"/>
  <c r="C269" i="42"/>
  <c r="F75" i="42"/>
  <c r="I75" i="42"/>
  <c r="I52" i="42" s="1"/>
  <c r="I51" i="42" s="1"/>
  <c r="I50" i="42" s="1"/>
  <c r="C196" i="42"/>
  <c r="F195" i="42"/>
  <c r="L194" i="42"/>
  <c r="L51" i="42" s="1"/>
  <c r="C54" i="42"/>
  <c r="F53" i="42"/>
  <c r="C26" i="42"/>
  <c r="C231" i="42"/>
  <c r="F230" i="42"/>
  <c r="N50" i="42"/>
  <c r="N290" i="42"/>
  <c r="H290" i="42"/>
  <c r="H50" i="42"/>
  <c r="C20" i="42"/>
  <c r="D290" i="42"/>
  <c r="D50" i="42"/>
  <c r="O290" i="45" l="1"/>
  <c r="O50" i="45"/>
  <c r="O290" i="44"/>
  <c r="O50" i="44"/>
  <c r="I290" i="42"/>
  <c r="C75" i="42"/>
  <c r="L289" i="45"/>
  <c r="J50" i="45"/>
  <c r="J290" i="45"/>
  <c r="L51" i="45"/>
  <c r="M50" i="45"/>
  <c r="M290" i="45"/>
  <c r="I290" i="45"/>
  <c r="I50" i="45"/>
  <c r="C53" i="45"/>
  <c r="F52" i="45"/>
  <c r="I289" i="45"/>
  <c r="C269" i="45"/>
  <c r="F289" i="45"/>
  <c r="F194" i="45"/>
  <c r="C194" i="45" s="1"/>
  <c r="C195" i="45"/>
  <c r="G290" i="44"/>
  <c r="G50" i="44"/>
  <c r="F194" i="44"/>
  <c r="C194" i="44" s="1"/>
  <c r="C195" i="44"/>
  <c r="I289" i="44"/>
  <c r="I290" i="44"/>
  <c r="I50" i="44"/>
  <c r="C52" i="44"/>
  <c r="F51" i="44"/>
  <c r="C269" i="44"/>
  <c r="F289" i="44"/>
  <c r="L50" i="44"/>
  <c r="L290" i="44"/>
  <c r="C75" i="44"/>
  <c r="F52" i="43"/>
  <c r="C269" i="43"/>
  <c r="F289" i="43"/>
  <c r="C75" i="43"/>
  <c r="I194" i="43"/>
  <c r="I51" i="43" s="1"/>
  <c r="I289" i="43"/>
  <c r="F194" i="43"/>
  <c r="C195" i="43"/>
  <c r="I289" i="42"/>
  <c r="L50" i="42"/>
  <c r="L290" i="42"/>
  <c r="C230" i="42"/>
  <c r="F289" i="42"/>
  <c r="C289" i="42" s="1"/>
  <c r="F52" i="42"/>
  <c r="C53" i="42"/>
  <c r="C195" i="42"/>
  <c r="F194" i="42"/>
  <c r="C194" i="42" s="1"/>
  <c r="C289" i="43" l="1"/>
  <c r="L50" i="45"/>
  <c r="L290" i="45"/>
  <c r="F51" i="45"/>
  <c r="C52" i="45"/>
  <c r="C289" i="45"/>
  <c r="F290" i="44"/>
  <c r="C290" i="44" s="1"/>
  <c r="F50" i="44"/>
  <c r="C50" i="44" s="1"/>
  <c r="C51" i="44"/>
  <c r="C289" i="44"/>
  <c r="I290" i="43"/>
  <c r="I50" i="43"/>
  <c r="F51" i="43"/>
  <c r="C52" i="43"/>
  <c r="C194" i="43"/>
  <c r="F51" i="42"/>
  <c r="C52" i="42"/>
  <c r="F290" i="45" l="1"/>
  <c r="C290" i="45" s="1"/>
  <c r="C51" i="45"/>
  <c r="F50" i="45"/>
  <c r="C50" i="45" s="1"/>
  <c r="F290" i="43"/>
  <c r="C290" i="43" s="1"/>
  <c r="C51" i="43"/>
  <c r="F50" i="43"/>
  <c r="C50" i="43" s="1"/>
  <c r="F290" i="42"/>
  <c r="C290" i="42" s="1"/>
  <c r="C51" i="42"/>
  <c r="F50" i="42"/>
  <c r="C50" i="42" s="1"/>
  <c r="F36" i="41" l="1"/>
  <c r="F35" i="41"/>
  <c r="F34" i="41"/>
  <c r="F33" i="41"/>
  <c r="F31" i="41" s="1"/>
  <c r="F32" i="41"/>
  <c r="E31" i="41"/>
  <c r="D31" i="41"/>
  <c r="F26" i="41"/>
  <c r="F25" i="41" s="1"/>
  <c r="E25" i="41"/>
  <c r="D25" i="41"/>
  <c r="F20" i="41"/>
  <c r="F19" i="41"/>
  <c r="F18" i="41"/>
  <c r="F17" i="41"/>
  <c r="F16" i="41"/>
  <c r="F15" i="41"/>
  <c r="F14" i="41"/>
  <c r="F13" i="41"/>
  <c r="F12" i="41"/>
  <c r="E11" i="41"/>
  <c r="D11" i="41"/>
  <c r="F11" i="41" l="1"/>
  <c r="E38" i="41"/>
  <c r="O301" i="40"/>
  <c r="L301" i="40"/>
  <c r="I301" i="40"/>
  <c r="F301" i="40"/>
  <c r="O300" i="40"/>
  <c r="L300" i="40"/>
  <c r="I300" i="40"/>
  <c r="F300" i="40"/>
  <c r="O299" i="40"/>
  <c r="L299" i="40"/>
  <c r="I299" i="40"/>
  <c r="F299" i="40"/>
  <c r="O298" i="40"/>
  <c r="L298" i="40"/>
  <c r="I298" i="40"/>
  <c r="F298" i="40"/>
  <c r="O297" i="40"/>
  <c r="L297" i="40"/>
  <c r="I297" i="40"/>
  <c r="F297" i="40"/>
  <c r="O296" i="40"/>
  <c r="L296" i="40"/>
  <c r="I296" i="40"/>
  <c r="F296" i="40"/>
  <c r="O295" i="40"/>
  <c r="L295" i="40"/>
  <c r="I295" i="40"/>
  <c r="F295" i="40"/>
  <c r="O294" i="40"/>
  <c r="O293" i="40" s="1"/>
  <c r="L294" i="40"/>
  <c r="I294" i="40"/>
  <c r="F294" i="40"/>
  <c r="N293" i="40"/>
  <c r="M293" i="40"/>
  <c r="K293" i="40"/>
  <c r="J293" i="40"/>
  <c r="H293" i="40"/>
  <c r="G293" i="40"/>
  <c r="E293" i="40"/>
  <c r="D293" i="40"/>
  <c r="O288" i="40"/>
  <c r="L288" i="40"/>
  <c r="I288" i="40"/>
  <c r="F288" i="40"/>
  <c r="O287" i="40"/>
  <c r="O286" i="40" s="1"/>
  <c r="L287" i="40"/>
  <c r="L286" i="40" s="1"/>
  <c r="I287" i="40"/>
  <c r="F287" i="40"/>
  <c r="F286" i="40" s="1"/>
  <c r="N286" i="40"/>
  <c r="M286" i="40"/>
  <c r="K286" i="40"/>
  <c r="J286" i="40"/>
  <c r="H286" i="40"/>
  <c r="G286" i="40"/>
  <c r="E286" i="40"/>
  <c r="D286" i="40"/>
  <c r="O285" i="40"/>
  <c r="L285" i="40"/>
  <c r="L284" i="40" s="1"/>
  <c r="L283" i="40" s="1"/>
  <c r="I285" i="40"/>
  <c r="I284" i="40" s="1"/>
  <c r="I283" i="40" s="1"/>
  <c r="F285" i="40"/>
  <c r="O284" i="40"/>
  <c r="N284" i="40"/>
  <c r="N283" i="40" s="1"/>
  <c r="M284" i="40"/>
  <c r="M283" i="40" s="1"/>
  <c r="K284" i="40"/>
  <c r="J284" i="40"/>
  <c r="J283" i="40" s="1"/>
  <c r="H284" i="40"/>
  <c r="H283" i="40" s="1"/>
  <c r="G284" i="40"/>
  <c r="G283" i="40" s="1"/>
  <c r="E284" i="40"/>
  <c r="E283" i="40" s="1"/>
  <c r="D284" i="40"/>
  <c r="D283" i="40" s="1"/>
  <c r="O283" i="40"/>
  <c r="K283" i="40"/>
  <c r="O282" i="40"/>
  <c r="O281" i="40" s="1"/>
  <c r="L282" i="40"/>
  <c r="L281" i="40" s="1"/>
  <c r="I282" i="40"/>
  <c r="I281" i="40" s="1"/>
  <c r="F282" i="40"/>
  <c r="F281" i="40" s="1"/>
  <c r="N281" i="40"/>
  <c r="M281" i="40"/>
  <c r="K281" i="40"/>
  <c r="J281" i="40"/>
  <c r="H281" i="40"/>
  <c r="G281" i="40"/>
  <c r="E281" i="40"/>
  <c r="D281" i="40"/>
  <c r="O280" i="40"/>
  <c r="L280" i="40"/>
  <c r="I280" i="40"/>
  <c r="F280" i="40"/>
  <c r="O279" i="40"/>
  <c r="L279" i="40"/>
  <c r="I279" i="40"/>
  <c r="F279" i="40"/>
  <c r="O278" i="40"/>
  <c r="L278" i="40"/>
  <c r="I278" i="40"/>
  <c r="F278" i="40"/>
  <c r="O277" i="40"/>
  <c r="L277" i="40"/>
  <c r="I277" i="40"/>
  <c r="F277" i="40"/>
  <c r="N276" i="40"/>
  <c r="M276" i="40"/>
  <c r="K276" i="40"/>
  <c r="J276" i="40"/>
  <c r="H276" i="40"/>
  <c r="G276" i="40"/>
  <c r="E276" i="40"/>
  <c r="D276" i="40"/>
  <c r="O275" i="40"/>
  <c r="L275" i="40"/>
  <c r="I275" i="40"/>
  <c r="F275" i="40"/>
  <c r="O274" i="40"/>
  <c r="L274" i="40"/>
  <c r="I274" i="40"/>
  <c r="F274" i="40"/>
  <c r="O273" i="40"/>
  <c r="L273" i="40"/>
  <c r="L272" i="40" s="1"/>
  <c r="I273" i="40"/>
  <c r="I272" i="40" s="1"/>
  <c r="F273" i="40"/>
  <c r="N272" i="40"/>
  <c r="M272" i="40"/>
  <c r="K272" i="40"/>
  <c r="J272" i="40"/>
  <c r="J270" i="40" s="1"/>
  <c r="J269" i="40" s="1"/>
  <c r="H272" i="40"/>
  <c r="G272" i="40"/>
  <c r="G270" i="40" s="1"/>
  <c r="E272" i="40"/>
  <c r="D272" i="40"/>
  <c r="O271" i="40"/>
  <c r="L271" i="40"/>
  <c r="I271" i="40"/>
  <c r="F271" i="40"/>
  <c r="N270" i="40"/>
  <c r="K270" i="40"/>
  <c r="D270" i="40"/>
  <c r="D269" i="40" s="1"/>
  <c r="N269" i="40"/>
  <c r="O268" i="40"/>
  <c r="L268" i="40"/>
  <c r="I268" i="40"/>
  <c r="F268" i="40"/>
  <c r="O267" i="40"/>
  <c r="L267" i="40"/>
  <c r="I267" i="40"/>
  <c r="F267" i="40"/>
  <c r="O266" i="40"/>
  <c r="L266" i="40"/>
  <c r="I266" i="40"/>
  <c r="F266" i="40"/>
  <c r="O265" i="40"/>
  <c r="L265" i="40"/>
  <c r="L264" i="40" s="1"/>
  <c r="I265" i="40"/>
  <c r="F265" i="40"/>
  <c r="N264" i="40"/>
  <c r="M264" i="40"/>
  <c r="K264" i="40"/>
  <c r="J264" i="40"/>
  <c r="H264" i="40"/>
  <c r="G264" i="40"/>
  <c r="E264" i="40"/>
  <c r="D264" i="40"/>
  <c r="O263" i="40"/>
  <c r="L263" i="40"/>
  <c r="I263" i="40"/>
  <c r="F263" i="40"/>
  <c r="O262" i="40"/>
  <c r="L262" i="40"/>
  <c r="I262" i="40"/>
  <c r="F262" i="40"/>
  <c r="O261" i="40"/>
  <c r="L261" i="40"/>
  <c r="I261" i="40"/>
  <c r="F261" i="40"/>
  <c r="N260" i="40"/>
  <c r="M260" i="40"/>
  <c r="K260" i="40"/>
  <c r="J260" i="40"/>
  <c r="J259" i="40" s="1"/>
  <c r="H260" i="40"/>
  <c r="H259" i="40" s="1"/>
  <c r="G260" i="40"/>
  <c r="E260" i="40"/>
  <c r="D260" i="40"/>
  <c r="D259" i="40" s="1"/>
  <c r="N259" i="40"/>
  <c r="G259" i="40"/>
  <c r="O258" i="40"/>
  <c r="L258" i="40"/>
  <c r="I258" i="40"/>
  <c r="F258" i="40"/>
  <c r="O257" i="40"/>
  <c r="L257" i="40"/>
  <c r="I257" i="40"/>
  <c r="F257" i="40"/>
  <c r="O256" i="40"/>
  <c r="L256" i="40"/>
  <c r="I256" i="40"/>
  <c r="F256" i="40"/>
  <c r="O255" i="40"/>
  <c r="L255" i="40"/>
  <c r="I255" i="40"/>
  <c r="F255" i="40"/>
  <c r="O254" i="40"/>
  <c r="L254" i="40"/>
  <c r="I254" i="40"/>
  <c r="F254" i="40"/>
  <c r="O253" i="40"/>
  <c r="L253" i="40"/>
  <c r="I253" i="40"/>
  <c r="F253" i="40"/>
  <c r="N252" i="40"/>
  <c r="M252" i="40"/>
  <c r="M251" i="40" s="1"/>
  <c r="K252" i="40"/>
  <c r="K251" i="40" s="1"/>
  <c r="J252" i="40"/>
  <c r="J251" i="40" s="1"/>
  <c r="H252" i="40"/>
  <c r="H251" i="40" s="1"/>
  <c r="G252" i="40"/>
  <c r="G251" i="40" s="1"/>
  <c r="E252" i="40"/>
  <c r="E251" i="40" s="1"/>
  <c r="D252" i="40"/>
  <c r="D251" i="40" s="1"/>
  <c r="N251" i="40"/>
  <c r="O250" i="40"/>
  <c r="L250" i="40"/>
  <c r="I250" i="40"/>
  <c r="F250" i="40"/>
  <c r="O249" i="40"/>
  <c r="L249" i="40"/>
  <c r="I249" i="40"/>
  <c r="F249" i="40"/>
  <c r="O248" i="40"/>
  <c r="L248" i="40"/>
  <c r="I248" i="40"/>
  <c r="F248" i="40"/>
  <c r="O247" i="40"/>
  <c r="L247" i="40"/>
  <c r="L246" i="40" s="1"/>
  <c r="I247" i="40"/>
  <c r="F247" i="40"/>
  <c r="F246" i="40" s="1"/>
  <c r="O246" i="40"/>
  <c r="N246" i="40"/>
  <c r="M246" i="40"/>
  <c r="K246" i="40"/>
  <c r="J246" i="40"/>
  <c r="H246" i="40"/>
  <c r="G246" i="40"/>
  <c r="E246" i="40"/>
  <c r="D246" i="40"/>
  <c r="O245" i="40"/>
  <c r="L245" i="40"/>
  <c r="I245" i="40"/>
  <c r="F245" i="40"/>
  <c r="O244" i="40"/>
  <c r="L244" i="40"/>
  <c r="I244" i="40"/>
  <c r="F244" i="40"/>
  <c r="O243" i="40"/>
  <c r="L243" i="40"/>
  <c r="I243" i="40"/>
  <c r="F243" i="40"/>
  <c r="O242" i="40"/>
  <c r="L242" i="40"/>
  <c r="I242" i="40"/>
  <c r="F242" i="40"/>
  <c r="O241" i="40"/>
  <c r="L241" i="40"/>
  <c r="I241" i="40"/>
  <c r="F241" i="40"/>
  <c r="O240" i="40"/>
  <c r="L240" i="40"/>
  <c r="I240" i="40"/>
  <c r="F240" i="40"/>
  <c r="O239" i="40"/>
  <c r="L239" i="40"/>
  <c r="I239" i="40"/>
  <c r="F239" i="40"/>
  <c r="F238" i="40" s="1"/>
  <c r="N238" i="40"/>
  <c r="M238" i="40"/>
  <c r="K238" i="40"/>
  <c r="J238" i="40"/>
  <c r="H238" i="40"/>
  <c r="G238" i="40"/>
  <c r="E238" i="40"/>
  <c r="D238" i="40"/>
  <c r="O237" i="40"/>
  <c r="L237" i="40"/>
  <c r="I237" i="40"/>
  <c r="F237" i="40"/>
  <c r="O236" i="40"/>
  <c r="L236" i="40"/>
  <c r="I236" i="40"/>
  <c r="F236" i="40"/>
  <c r="F235" i="40" s="1"/>
  <c r="O235" i="40"/>
  <c r="N235" i="40"/>
  <c r="M235" i="40"/>
  <c r="L235" i="40"/>
  <c r="K235" i="40"/>
  <c r="J235" i="40"/>
  <c r="H235" i="40"/>
  <c r="G235" i="40"/>
  <c r="E235" i="40"/>
  <c r="D235" i="40"/>
  <c r="O234" i="40"/>
  <c r="O233" i="40" s="1"/>
  <c r="L234" i="40"/>
  <c r="L233" i="40" s="1"/>
  <c r="I234" i="40"/>
  <c r="F234" i="40"/>
  <c r="F233" i="40" s="1"/>
  <c r="N233" i="40"/>
  <c r="M233" i="40"/>
  <c r="M231" i="40" s="1"/>
  <c r="K233" i="40"/>
  <c r="J233" i="40"/>
  <c r="H233" i="40"/>
  <c r="G233" i="40"/>
  <c r="E233" i="40"/>
  <c r="D233" i="40"/>
  <c r="O232" i="40"/>
  <c r="L232" i="40"/>
  <c r="I232" i="40"/>
  <c r="F232" i="40"/>
  <c r="O229" i="40"/>
  <c r="L229" i="40"/>
  <c r="I229" i="40"/>
  <c r="F229" i="40"/>
  <c r="O228" i="40"/>
  <c r="L228" i="40"/>
  <c r="L227" i="40" s="1"/>
  <c r="I228" i="40"/>
  <c r="F228" i="40"/>
  <c r="O227" i="40"/>
  <c r="N227" i="40"/>
  <c r="M227" i="40"/>
  <c r="K227" i="40"/>
  <c r="J227" i="40"/>
  <c r="H227" i="40"/>
  <c r="G227" i="40"/>
  <c r="F227" i="40"/>
  <c r="E227" i="40"/>
  <c r="D227" i="40"/>
  <c r="O226" i="40"/>
  <c r="L226" i="40"/>
  <c r="I226" i="40"/>
  <c r="F226" i="40"/>
  <c r="C226" i="40" s="1"/>
  <c r="O225" i="40"/>
  <c r="L225" i="40"/>
  <c r="I225" i="40"/>
  <c r="F225" i="40"/>
  <c r="O224" i="40"/>
  <c r="L224" i="40"/>
  <c r="I224" i="40"/>
  <c r="F224" i="40"/>
  <c r="O223" i="40"/>
  <c r="L223" i="40"/>
  <c r="I223" i="40"/>
  <c r="F223" i="40"/>
  <c r="O222" i="40"/>
  <c r="L222" i="40"/>
  <c r="I222" i="40"/>
  <c r="F222" i="40"/>
  <c r="O221" i="40"/>
  <c r="L221" i="40"/>
  <c r="I221" i="40"/>
  <c r="F221" i="40"/>
  <c r="C221" i="40" s="1"/>
  <c r="O220" i="40"/>
  <c r="L220" i="40"/>
  <c r="I220" i="40"/>
  <c r="F220" i="40"/>
  <c r="O219" i="40"/>
  <c r="L219" i="40"/>
  <c r="I219" i="40"/>
  <c r="F219" i="40"/>
  <c r="O218" i="40"/>
  <c r="L218" i="40"/>
  <c r="I218" i="40"/>
  <c r="F218" i="40"/>
  <c r="C218" i="40" s="1"/>
  <c r="O217" i="40"/>
  <c r="L217" i="40"/>
  <c r="I217" i="40"/>
  <c r="I216" i="40" s="1"/>
  <c r="F217" i="40"/>
  <c r="N216" i="40"/>
  <c r="M216" i="40"/>
  <c r="K216" i="40"/>
  <c r="J216" i="40"/>
  <c r="H216" i="40"/>
  <c r="G216" i="40"/>
  <c r="E216" i="40"/>
  <c r="D216" i="40"/>
  <c r="O215" i="40"/>
  <c r="L215" i="40"/>
  <c r="I215" i="40"/>
  <c r="F215" i="40"/>
  <c r="O214" i="40"/>
  <c r="L214" i="40"/>
  <c r="I214" i="40"/>
  <c r="F214" i="40"/>
  <c r="C214" i="40" s="1"/>
  <c r="O213" i="40"/>
  <c r="L213" i="40"/>
  <c r="I213" i="40"/>
  <c r="F213" i="40"/>
  <c r="O212" i="40"/>
  <c r="L212" i="40"/>
  <c r="I212" i="40"/>
  <c r="F212" i="40"/>
  <c r="O211" i="40"/>
  <c r="L211" i="40"/>
  <c r="I211" i="40"/>
  <c r="F211" i="40"/>
  <c r="O210" i="40"/>
  <c r="L210" i="40"/>
  <c r="I210" i="40"/>
  <c r="F210" i="40"/>
  <c r="C210" i="40" s="1"/>
  <c r="O209" i="40"/>
  <c r="L209" i="40"/>
  <c r="I209" i="40"/>
  <c r="F209" i="40"/>
  <c r="O208" i="40"/>
  <c r="L208" i="40"/>
  <c r="I208" i="40"/>
  <c r="F208" i="40"/>
  <c r="O207" i="40"/>
  <c r="L207" i="40"/>
  <c r="I207" i="40"/>
  <c r="F207" i="40"/>
  <c r="O206" i="40"/>
  <c r="L206" i="40"/>
  <c r="I206" i="40"/>
  <c r="F206" i="40"/>
  <c r="N205" i="40"/>
  <c r="M205" i="40"/>
  <c r="K205" i="40"/>
  <c r="K204" i="40" s="1"/>
  <c r="J205" i="40"/>
  <c r="H205" i="40"/>
  <c r="H204" i="40" s="1"/>
  <c r="G205" i="40"/>
  <c r="E205" i="40"/>
  <c r="D205" i="40"/>
  <c r="M204" i="40"/>
  <c r="G204" i="40"/>
  <c r="O203" i="40"/>
  <c r="L203" i="40"/>
  <c r="I203" i="40"/>
  <c r="F203" i="40"/>
  <c r="O202" i="40"/>
  <c r="L202" i="40"/>
  <c r="I202" i="40"/>
  <c r="F202" i="40"/>
  <c r="O201" i="40"/>
  <c r="L201" i="40"/>
  <c r="I201" i="40"/>
  <c r="F201" i="40"/>
  <c r="O200" i="40"/>
  <c r="L200" i="40"/>
  <c r="I200" i="40"/>
  <c r="F200" i="40"/>
  <c r="O199" i="40"/>
  <c r="L199" i="40"/>
  <c r="I199" i="40"/>
  <c r="I198" i="40" s="1"/>
  <c r="F199" i="40"/>
  <c r="O198" i="40"/>
  <c r="N198" i="40"/>
  <c r="M198" i="40"/>
  <c r="M196" i="40" s="1"/>
  <c r="M195" i="40" s="1"/>
  <c r="K198" i="40"/>
  <c r="K196" i="40" s="1"/>
  <c r="J198" i="40"/>
  <c r="J196" i="40" s="1"/>
  <c r="H198" i="40"/>
  <c r="H196" i="40" s="1"/>
  <c r="H195" i="40" s="1"/>
  <c r="G198" i="40"/>
  <c r="G196" i="40" s="1"/>
  <c r="E198" i="40"/>
  <c r="E196" i="40" s="1"/>
  <c r="D198" i="40"/>
  <c r="D196" i="40" s="1"/>
  <c r="O197" i="40"/>
  <c r="L197" i="40"/>
  <c r="I197" i="40"/>
  <c r="I196" i="40" s="1"/>
  <c r="F197" i="40"/>
  <c r="N196" i="40"/>
  <c r="O193" i="40"/>
  <c r="O192" i="40" s="1"/>
  <c r="O191" i="40" s="1"/>
  <c r="L193" i="40"/>
  <c r="L192" i="40" s="1"/>
  <c r="L191" i="40" s="1"/>
  <c r="I193" i="40"/>
  <c r="F193" i="40"/>
  <c r="N192" i="40"/>
  <c r="N191" i="40" s="1"/>
  <c r="M192" i="40"/>
  <c r="M191" i="40" s="1"/>
  <c r="K192" i="40"/>
  <c r="J192" i="40"/>
  <c r="J191" i="40" s="1"/>
  <c r="I192" i="40"/>
  <c r="I191" i="40" s="1"/>
  <c r="H192" i="40"/>
  <c r="H191" i="40" s="1"/>
  <c r="G192" i="40"/>
  <c r="E192" i="40"/>
  <c r="E191" i="40" s="1"/>
  <c r="D192" i="40"/>
  <c r="D191" i="40" s="1"/>
  <c r="K191" i="40"/>
  <c r="G191" i="40"/>
  <c r="O190" i="40"/>
  <c r="L190" i="40"/>
  <c r="I190" i="40"/>
  <c r="F190" i="40"/>
  <c r="O189" i="40"/>
  <c r="O188" i="40" s="1"/>
  <c r="O187" i="40" s="1"/>
  <c r="L189" i="40"/>
  <c r="L188" i="40" s="1"/>
  <c r="I189" i="40"/>
  <c r="I188" i="40" s="1"/>
  <c r="I187" i="40" s="1"/>
  <c r="F189" i="40"/>
  <c r="N188" i="40"/>
  <c r="M188" i="40"/>
  <c r="K188" i="40"/>
  <c r="J188" i="40"/>
  <c r="J187" i="40" s="1"/>
  <c r="H188" i="40"/>
  <c r="H187" i="40" s="1"/>
  <c r="G188" i="40"/>
  <c r="E188" i="40"/>
  <c r="E187" i="40" s="1"/>
  <c r="D188" i="40"/>
  <c r="K187" i="40"/>
  <c r="O186" i="40"/>
  <c r="L186" i="40"/>
  <c r="I186" i="40"/>
  <c r="F186" i="40"/>
  <c r="O185" i="40"/>
  <c r="L185" i="40"/>
  <c r="L184" i="40" s="1"/>
  <c r="I185" i="40"/>
  <c r="F185" i="40"/>
  <c r="N184" i="40"/>
  <c r="M184" i="40"/>
  <c r="K184" i="40"/>
  <c r="J184" i="40"/>
  <c r="I184" i="40"/>
  <c r="H184" i="40"/>
  <c r="G184" i="40"/>
  <c r="E184" i="40"/>
  <c r="D184" i="40"/>
  <c r="O183" i="40"/>
  <c r="L183" i="40"/>
  <c r="I183" i="40"/>
  <c r="F183" i="40"/>
  <c r="O182" i="40"/>
  <c r="L182" i="40"/>
  <c r="I182" i="40"/>
  <c r="F182" i="40"/>
  <c r="O181" i="40"/>
  <c r="L181" i="40"/>
  <c r="I181" i="40"/>
  <c r="F181" i="40"/>
  <c r="O180" i="40"/>
  <c r="L180" i="40"/>
  <c r="I180" i="40"/>
  <c r="I179" i="40" s="1"/>
  <c r="F180" i="40"/>
  <c r="N179" i="40"/>
  <c r="M179" i="40"/>
  <c r="K179" i="40"/>
  <c r="J179" i="40"/>
  <c r="H179" i="40"/>
  <c r="G179" i="40"/>
  <c r="E179" i="40"/>
  <c r="D179" i="40"/>
  <c r="O178" i="40"/>
  <c r="L178" i="40"/>
  <c r="I178" i="40"/>
  <c r="F178" i="40"/>
  <c r="O177" i="40"/>
  <c r="L177" i="40"/>
  <c r="I177" i="40"/>
  <c r="F177" i="40"/>
  <c r="O176" i="40"/>
  <c r="L176" i="40"/>
  <c r="L175" i="40" s="1"/>
  <c r="I176" i="40"/>
  <c r="I175" i="40" s="1"/>
  <c r="I174" i="40" s="1"/>
  <c r="I173" i="40" s="1"/>
  <c r="F176" i="40"/>
  <c r="N175" i="40"/>
  <c r="M175" i="40"/>
  <c r="M174" i="40" s="1"/>
  <c r="K175" i="40"/>
  <c r="K174" i="40" s="1"/>
  <c r="J175" i="40"/>
  <c r="H175" i="40"/>
  <c r="G175" i="40"/>
  <c r="G174" i="40" s="1"/>
  <c r="G173" i="40" s="1"/>
  <c r="E175" i="40"/>
  <c r="E174" i="40" s="1"/>
  <c r="D175" i="40"/>
  <c r="O172" i="40"/>
  <c r="L172" i="40"/>
  <c r="I172" i="40"/>
  <c r="F172" i="40"/>
  <c r="O171" i="40"/>
  <c r="L171" i="40"/>
  <c r="I171" i="40"/>
  <c r="F171" i="40"/>
  <c r="O170" i="40"/>
  <c r="L170" i="40"/>
  <c r="I170" i="40"/>
  <c r="F170" i="40"/>
  <c r="O169" i="40"/>
  <c r="L169" i="40"/>
  <c r="I169" i="40"/>
  <c r="F169" i="40"/>
  <c r="O168" i="40"/>
  <c r="L168" i="40"/>
  <c r="I168" i="40"/>
  <c r="F168" i="40"/>
  <c r="O167" i="40"/>
  <c r="L167" i="40"/>
  <c r="I167" i="40"/>
  <c r="F167" i="40"/>
  <c r="O166" i="40"/>
  <c r="O165" i="40" s="1"/>
  <c r="N166" i="40"/>
  <c r="M166" i="40"/>
  <c r="K166" i="40"/>
  <c r="K165" i="40" s="1"/>
  <c r="J166" i="40"/>
  <c r="J165" i="40" s="1"/>
  <c r="H166" i="40"/>
  <c r="H165" i="40" s="1"/>
  <c r="G166" i="40"/>
  <c r="G165" i="40" s="1"/>
  <c r="E166" i="40"/>
  <c r="D166" i="40"/>
  <c r="N165" i="40"/>
  <c r="M165" i="40"/>
  <c r="E165" i="40"/>
  <c r="D165" i="40"/>
  <c r="O164" i="40"/>
  <c r="L164" i="40"/>
  <c r="I164" i="40"/>
  <c r="F164" i="40"/>
  <c r="O163" i="40"/>
  <c r="L163" i="40"/>
  <c r="I163" i="40"/>
  <c r="F163" i="40"/>
  <c r="O162" i="40"/>
  <c r="L162" i="40"/>
  <c r="I162" i="40"/>
  <c r="F162" i="40"/>
  <c r="O161" i="40"/>
  <c r="L161" i="40"/>
  <c r="L160" i="40" s="1"/>
  <c r="I161" i="40"/>
  <c r="I160" i="40" s="1"/>
  <c r="F161" i="40"/>
  <c r="N160" i="40"/>
  <c r="M160" i="40"/>
  <c r="K160" i="40"/>
  <c r="J160" i="40"/>
  <c r="H160" i="40"/>
  <c r="G160" i="40"/>
  <c r="E160" i="40"/>
  <c r="D160" i="40"/>
  <c r="O159" i="40"/>
  <c r="L159" i="40"/>
  <c r="I159" i="40"/>
  <c r="F159" i="40"/>
  <c r="O158" i="40"/>
  <c r="L158" i="40"/>
  <c r="I158" i="40"/>
  <c r="F158" i="40"/>
  <c r="O157" i="40"/>
  <c r="L157" i="40"/>
  <c r="I157" i="40"/>
  <c r="F157" i="40"/>
  <c r="O156" i="40"/>
  <c r="L156" i="40"/>
  <c r="I156" i="40"/>
  <c r="F156" i="40"/>
  <c r="O155" i="40"/>
  <c r="L155" i="40"/>
  <c r="I155" i="40"/>
  <c r="F155" i="40"/>
  <c r="O154" i="40"/>
  <c r="L154" i="40"/>
  <c r="I154" i="40"/>
  <c r="F154" i="40"/>
  <c r="C154" i="40" s="1"/>
  <c r="O153" i="40"/>
  <c r="L153" i="40"/>
  <c r="I153" i="40"/>
  <c r="F153" i="40"/>
  <c r="O152" i="40"/>
  <c r="L152" i="40"/>
  <c r="I152" i="40"/>
  <c r="F152" i="40"/>
  <c r="N151" i="40"/>
  <c r="M151" i="40"/>
  <c r="K151" i="40"/>
  <c r="J151" i="40"/>
  <c r="H151" i="40"/>
  <c r="G151" i="40"/>
  <c r="E151" i="40"/>
  <c r="D151" i="40"/>
  <c r="O150" i="40"/>
  <c r="L150" i="40"/>
  <c r="I150" i="40"/>
  <c r="F150" i="40"/>
  <c r="O149" i="40"/>
  <c r="L149" i="40"/>
  <c r="I149" i="40"/>
  <c r="F149" i="40"/>
  <c r="O148" i="40"/>
  <c r="L148" i="40"/>
  <c r="I148" i="40"/>
  <c r="F148" i="40"/>
  <c r="O147" i="40"/>
  <c r="L147" i="40"/>
  <c r="I147" i="40"/>
  <c r="F147" i="40"/>
  <c r="O146" i="40"/>
  <c r="L146" i="40"/>
  <c r="I146" i="40"/>
  <c r="F146" i="40"/>
  <c r="O145" i="40"/>
  <c r="L145" i="40"/>
  <c r="I145" i="40"/>
  <c r="F145" i="40"/>
  <c r="N144" i="40"/>
  <c r="M144" i="40"/>
  <c r="K144" i="40"/>
  <c r="J144" i="40"/>
  <c r="H144" i="40"/>
  <c r="G144" i="40"/>
  <c r="E144" i="40"/>
  <c r="D144" i="40"/>
  <c r="O143" i="40"/>
  <c r="L143" i="40"/>
  <c r="I143" i="40"/>
  <c r="F143" i="40"/>
  <c r="O142" i="40"/>
  <c r="O141" i="40" s="1"/>
  <c r="L142" i="40"/>
  <c r="I142" i="40"/>
  <c r="I141" i="40" s="1"/>
  <c r="F142" i="40"/>
  <c r="F141" i="40" s="1"/>
  <c r="N141" i="40"/>
  <c r="M141" i="40"/>
  <c r="K141" i="40"/>
  <c r="J141" i="40"/>
  <c r="H141" i="40"/>
  <c r="G141" i="40"/>
  <c r="E141" i="40"/>
  <c r="D141" i="40"/>
  <c r="O140" i="40"/>
  <c r="L140" i="40"/>
  <c r="I140" i="40"/>
  <c r="C140" i="40" s="1"/>
  <c r="F140" i="40"/>
  <c r="O139" i="40"/>
  <c r="L139" i="40"/>
  <c r="I139" i="40"/>
  <c r="F139" i="40"/>
  <c r="O138" i="40"/>
  <c r="L138" i="40"/>
  <c r="I138" i="40"/>
  <c r="F138" i="40"/>
  <c r="O137" i="40"/>
  <c r="L137" i="40"/>
  <c r="L136" i="40" s="1"/>
  <c r="I137" i="40"/>
  <c r="F137" i="40"/>
  <c r="N136" i="40"/>
  <c r="M136" i="40"/>
  <c r="K136" i="40"/>
  <c r="J136" i="40"/>
  <c r="H136" i="40"/>
  <c r="G136" i="40"/>
  <c r="E136" i="40"/>
  <c r="D136" i="40"/>
  <c r="O135" i="40"/>
  <c r="L135" i="40"/>
  <c r="I135" i="40"/>
  <c r="F135" i="40"/>
  <c r="O134" i="40"/>
  <c r="L134" i="40"/>
  <c r="I134" i="40"/>
  <c r="F134" i="40"/>
  <c r="O133" i="40"/>
  <c r="L133" i="40"/>
  <c r="I133" i="40"/>
  <c r="F133" i="40"/>
  <c r="O132" i="40"/>
  <c r="L132" i="40"/>
  <c r="L131" i="40" s="1"/>
  <c r="I132" i="40"/>
  <c r="F132" i="40"/>
  <c r="N131" i="40"/>
  <c r="M131" i="40"/>
  <c r="K131" i="40"/>
  <c r="J131" i="40"/>
  <c r="H131" i="40"/>
  <c r="G131" i="40"/>
  <c r="E131" i="40"/>
  <c r="D131" i="40"/>
  <c r="O129" i="40"/>
  <c r="L129" i="40"/>
  <c r="L128" i="40" s="1"/>
  <c r="I129" i="40"/>
  <c r="I128" i="40" s="1"/>
  <c r="F129" i="40"/>
  <c r="O128" i="40"/>
  <c r="N128" i="40"/>
  <c r="M128" i="40"/>
  <c r="K128" i="40"/>
  <c r="J128" i="40"/>
  <c r="H128" i="40"/>
  <c r="G128" i="40"/>
  <c r="E128" i="40"/>
  <c r="D128" i="40"/>
  <c r="O127" i="40"/>
  <c r="L127" i="40"/>
  <c r="I127" i="40"/>
  <c r="F127" i="40"/>
  <c r="O126" i="40"/>
  <c r="L126" i="40"/>
  <c r="I126" i="40"/>
  <c r="F126" i="40"/>
  <c r="O125" i="40"/>
  <c r="L125" i="40"/>
  <c r="I125" i="40"/>
  <c r="F125" i="40"/>
  <c r="O124" i="40"/>
  <c r="L124" i="40"/>
  <c r="I124" i="40"/>
  <c r="F124" i="40"/>
  <c r="O123" i="40"/>
  <c r="L123" i="40"/>
  <c r="I123" i="40"/>
  <c r="F123" i="40"/>
  <c r="N122" i="40"/>
  <c r="M122" i="40"/>
  <c r="K122" i="40"/>
  <c r="J122" i="40"/>
  <c r="H122" i="40"/>
  <c r="G122" i="40"/>
  <c r="E122" i="40"/>
  <c r="D122" i="40"/>
  <c r="O121" i="40"/>
  <c r="L121" i="40"/>
  <c r="I121" i="40"/>
  <c r="F121" i="40"/>
  <c r="O120" i="40"/>
  <c r="L120" i="40"/>
  <c r="I120" i="40"/>
  <c r="F120" i="40"/>
  <c r="O119" i="40"/>
  <c r="L119" i="40"/>
  <c r="I119" i="40"/>
  <c r="F119" i="40"/>
  <c r="O118" i="40"/>
  <c r="L118" i="40"/>
  <c r="I118" i="40"/>
  <c r="F118" i="40"/>
  <c r="O117" i="40"/>
  <c r="L117" i="40"/>
  <c r="I117" i="40"/>
  <c r="I116" i="40" s="1"/>
  <c r="F117" i="40"/>
  <c r="N116" i="40"/>
  <c r="M116" i="40"/>
  <c r="K116" i="40"/>
  <c r="J116" i="40"/>
  <c r="H116" i="40"/>
  <c r="G116" i="40"/>
  <c r="E116" i="40"/>
  <c r="D116" i="40"/>
  <c r="O115" i="40"/>
  <c r="L115" i="40"/>
  <c r="I115" i="40"/>
  <c r="F115" i="40"/>
  <c r="O114" i="40"/>
  <c r="L114" i="40"/>
  <c r="I114" i="40"/>
  <c r="F114" i="40"/>
  <c r="O113" i="40"/>
  <c r="L113" i="40"/>
  <c r="I113" i="40"/>
  <c r="F113" i="40"/>
  <c r="N112" i="40"/>
  <c r="M112" i="40"/>
  <c r="K112" i="40"/>
  <c r="J112" i="40"/>
  <c r="H112" i="40"/>
  <c r="G112" i="40"/>
  <c r="E112" i="40"/>
  <c r="D112" i="40"/>
  <c r="O111" i="40"/>
  <c r="L111" i="40"/>
  <c r="I111" i="40"/>
  <c r="F111" i="40"/>
  <c r="O110" i="40"/>
  <c r="L110" i="40"/>
  <c r="I110" i="40"/>
  <c r="F110" i="40"/>
  <c r="O109" i="40"/>
  <c r="L109" i="40"/>
  <c r="I109" i="40"/>
  <c r="F109" i="40"/>
  <c r="O108" i="40"/>
  <c r="L108" i="40"/>
  <c r="I108" i="40"/>
  <c r="F108" i="40"/>
  <c r="O107" i="40"/>
  <c r="L107" i="40"/>
  <c r="I107" i="40"/>
  <c r="F107" i="40"/>
  <c r="O106" i="40"/>
  <c r="L106" i="40"/>
  <c r="I106" i="40"/>
  <c r="F106" i="40"/>
  <c r="O105" i="40"/>
  <c r="L105" i="40"/>
  <c r="I105" i="40"/>
  <c r="F105" i="40"/>
  <c r="O104" i="40"/>
  <c r="L104" i="40"/>
  <c r="I104" i="40"/>
  <c r="F104" i="40"/>
  <c r="N103" i="40"/>
  <c r="M103" i="40"/>
  <c r="K103" i="40"/>
  <c r="J103" i="40"/>
  <c r="H103" i="40"/>
  <c r="G103" i="40"/>
  <c r="E103" i="40"/>
  <c r="D103" i="40"/>
  <c r="O102" i="40"/>
  <c r="L102" i="40"/>
  <c r="I102" i="40"/>
  <c r="F102" i="40"/>
  <c r="O101" i="40"/>
  <c r="L101" i="40"/>
  <c r="I101" i="40"/>
  <c r="F101" i="40"/>
  <c r="O100" i="40"/>
  <c r="L100" i="40"/>
  <c r="I100" i="40"/>
  <c r="F100" i="40"/>
  <c r="O99" i="40"/>
  <c r="L99" i="40"/>
  <c r="I99" i="40"/>
  <c r="F99" i="40"/>
  <c r="O98" i="40"/>
  <c r="L98" i="40"/>
  <c r="I98" i="40"/>
  <c r="F98" i="40"/>
  <c r="O97" i="40"/>
  <c r="L97" i="40"/>
  <c r="I97" i="40"/>
  <c r="F97" i="40"/>
  <c r="O96" i="40"/>
  <c r="L96" i="40"/>
  <c r="I96" i="40"/>
  <c r="F96" i="40"/>
  <c r="N95" i="40"/>
  <c r="M95" i="40"/>
  <c r="K95" i="40"/>
  <c r="J95" i="40"/>
  <c r="H95" i="40"/>
  <c r="G95" i="40"/>
  <c r="E95" i="40"/>
  <c r="D95" i="40"/>
  <c r="O94" i="40"/>
  <c r="L94" i="40"/>
  <c r="I94" i="40"/>
  <c r="F94" i="40"/>
  <c r="O93" i="40"/>
  <c r="L93" i="40"/>
  <c r="I93" i="40"/>
  <c r="F93" i="40"/>
  <c r="O92" i="40"/>
  <c r="L92" i="40"/>
  <c r="I92" i="40"/>
  <c r="F92" i="40"/>
  <c r="O91" i="40"/>
  <c r="L91" i="40"/>
  <c r="I91" i="40"/>
  <c r="F91" i="40"/>
  <c r="O90" i="40"/>
  <c r="O89" i="40" s="1"/>
  <c r="L90" i="40"/>
  <c r="I90" i="40"/>
  <c r="F90" i="40"/>
  <c r="C90" i="40" s="1"/>
  <c r="N89" i="40"/>
  <c r="M89" i="40"/>
  <c r="K89" i="40"/>
  <c r="J89" i="40"/>
  <c r="H89" i="40"/>
  <c r="G89" i="40"/>
  <c r="E89" i="40"/>
  <c r="D89" i="40"/>
  <c r="O88" i="40"/>
  <c r="L88" i="40"/>
  <c r="I88" i="40"/>
  <c r="F88" i="40"/>
  <c r="O87" i="40"/>
  <c r="L87" i="40"/>
  <c r="I87" i="40"/>
  <c r="F87" i="40"/>
  <c r="O86" i="40"/>
  <c r="L86" i="40"/>
  <c r="I86" i="40"/>
  <c r="F86" i="40"/>
  <c r="O85" i="40"/>
  <c r="L85" i="40"/>
  <c r="I85" i="40"/>
  <c r="F85" i="40"/>
  <c r="N84" i="40"/>
  <c r="M84" i="40"/>
  <c r="K84" i="40"/>
  <c r="J84" i="40"/>
  <c r="H84" i="40"/>
  <c r="G84" i="40"/>
  <c r="E84" i="40"/>
  <c r="D84" i="40"/>
  <c r="O82" i="40"/>
  <c r="L82" i="40"/>
  <c r="I82" i="40"/>
  <c r="F82" i="40"/>
  <c r="O81" i="40"/>
  <c r="L81" i="40"/>
  <c r="L80" i="40" s="1"/>
  <c r="I81" i="40"/>
  <c r="I80" i="40" s="1"/>
  <c r="F81" i="40"/>
  <c r="N80" i="40"/>
  <c r="M80" i="40"/>
  <c r="K80" i="40"/>
  <c r="J80" i="40"/>
  <c r="H80" i="40"/>
  <c r="G80" i="40"/>
  <c r="E80" i="40"/>
  <c r="D80" i="40"/>
  <c r="O79" i="40"/>
  <c r="L79" i="40"/>
  <c r="I79" i="40"/>
  <c r="F79" i="40"/>
  <c r="O78" i="40"/>
  <c r="O77" i="40" s="1"/>
  <c r="L78" i="40"/>
  <c r="L77" i="40" s="1"/>
  <c r="I78" i="40"/>
  <c r="F78" i="40"/>
  <c r="N77" i="40"/>
  <c r="N76" i="40" s="1"/>
  <c r="M77" i="40"/>
  <c r="M76" i="40" s="1"/>
  <c r="K77" i="40"/>
  <c r="K76" i="40" s="1"/>
  <c r="J77" i="40"/>
  <c r="H77" i="40"/>
  <c r="H76" i="40" s="1"/>
  <c r="G77" i="40"/>
  <c r="G76" i="40" s="1"/>
  <c r="F77" i="40"/>
  <c r="E77" i="40"/>
  <c r="D77" i="40"/>
  <c r="D76" i="40" s="1"/>
  <c r="O74" i="40"/>
  <c r="L74" i="40"/>
  <c r="I74" i="40"/>
  <c r="F74" i="40"/>
  <c r="O73" i="40"/>
  <c r="L73" i="40"/>
  <c r="I73" i="40"/>
  <c r="F73" i="40"/>
  <c r="O72" i="40"/>
  <c r="L72" i="40"/>
  <c r="I72" i="40"/>
  <c r="F72" i="40"/>
  <c r="O71" i="40"/>
  <c r="L71" i="40"/>
  <c r="I71" i="40"/>
  <c r="F71" i="40"/>
  <c r="O70" i="40"/>
  <c r="O69" i="40" s="1"/>
  <c r="L70" i="40"/>
  <c r="L69" i="40" s="1"/>
  <c r="I70" i="40"/>
  <c r="I69" i="40" s="1"/>
  <c r="F70" i="40"/>
  <c r="N69" i="40"/>
  <c r="M69" i="40"/>
  <c r="M67" i="40" s="1"/>
  <c r="K69" i="40"/>
  <c r="K67" i="40" s="1"/>
  <c r="J69" i="40"/>
  <c r="H69" i="40"/>
  <c r="H67" i="40" s="1"/>
  <c r="G69" i="40"/>
  <c r="G67" i="40" s="1"/>
  <c r="E69" i="40"/>
  <c r="D69" i="40"/>
  <c r="D67" i="40" s="1"/>
  <c r="O68" i="40"/>
  <c r="O67" i="40" s="1"/>
  <c r="L68" i="40"/>
  <c r="I68" i="40"/>
  <c r="F68" i="40"/>
  <c r="N67" i="40"/>
  <c r="J67" i="40"/>
  <c r="E67" i="40"/>
  <c r="O66" i="40"/>
  <c r="L66" i="40"/>
  <c r="I66" i="40"/>
  <c r="F66" i="40"/>
  <c r="O65" i="40"/>
  <c r="L65" i="40"/>
  <c r="I65" i="40"/>
  <c r="F65" i="40"/>
  <c r="O64" i="40"/>
  <c r="L64" i="40"/>
  <c r="I64" i="40"/>
  <c r="F64" i="40"/>
  <c r="O63" i="40"/>
  <c r="L63" i="40"/>
  <c r="I63" i="40"/>
  <c r="F63" i="40"/>
  <c r="O62" i="40"/>
  <c r="L62" i="40"/>
  <c r="I62" i="40"/>
  <c r="F62" i="40"/>
  <c r="O61" i="40"/>
  <c r="L61" i="40"/>
  <c r="I61" i="40"/>
  <c r="F61" i="40"/>
  <c r="O60" i="40"/>
  <c r="L60" i="40"/>
  <c r="I60" i="40"/>
  <c r="F60" i="40"/>
  <c r="O59" i="40"/>
  <c r="L59" i="40"/>
  <c r="L58" i="40" s="1"/>
  <c r="I59" i="40"/>
  <c r="F59" i="40"/>
  <c r="F58" i="40" s="1"/>
  <c r="O58" i="40"/>
  <c r="N58" i="40"/>
  <c r="M58" i="40"/>
  <c r="K58" i="40"/>
  <c r="J58" i="40"/>
  <c r="H58" i="40"/>
  <c r="G58" i="40"/>
  <c r="E58" i="40"/>
  <c r="D58" i="40"/>
  <c r="O57" i="40"/>
  <c r="L57" i="40"/>
  <c r="I57" i="40"/>
  <c r="F57" i="40"/>
  <c r="O56" i="40"/>
  <c r="O55" i="40" s="1"/>
  <c r="O54" i="40" s="1"/>
  <c r="L56" i="40"/>
  <c r="L55" i="40" s="1"/>
  <c r="I56" i="40"/>
  <c r="I55" i="40" s="1"/>
  <c r="F56" i="40"/>
  <c r="N55" i="40"/>
  <c r="N54" i="40" s="1"/>
  <c r="M55" i="40"/>
  <c r="M54" i="40" s="1"/>
  <c r="K55" i="40"/>
  <c r="K54" i="40" s="1"/>
  <c r="J55" i="40"/>
  <c r="J54" i="40" s="1"/>
  <c r="J53" i="40" s="1"/>
  <c r="H55" i="40"/>
  <c r="H54" i="40" s="1"/>
  <c r="G55" i="40"/>
  <c r="F55" i="40"/>
  <c r="E55" i="40"/>
  <c r="D55" i="40"/>
  <c r="D54" i="40" s="1"/>
  <c r="D53" i="40" s="1"/>
  <c r="O47" i="40"/>
  <c r="C47" i="40" s="1"/>
  <c r="O46" i="40"/>
  <c r="C46" i="40" s="1"/>
  <c r="N45" i="40"/>
  <c r="M45" i="40"/>
  <c r="L44" i="40"/>
  <c r="L43" i="40" s="1"/>
  <c r="I44" i="40"/>
  <c r="F44" i="40"/>
  <c r="F43" i="40" s="1"/>
  <c r="K43" i="40"/>
  <c r="J43" i="40"/>
  <c r="H43" i="40"/>
  <c r="G43" i="40"/>
  <c r="E43" i="40"/>
  <c r="D43" i="40"/>
  <c r="F42" i="40"/>
  <c r="E41" i="40"/>
  <c r="D41" i="40"/>
  <c r="L40" i="40"/>
  <c r="C40" i="40" s="1"/>
  <c r="L39" i="40"/>
  <c r="C39" i="40" s="1"/>
  <c r="L38" i="40"/>
  <c r="C38" i="40" s="1"/>
  <c r="L37" i="40"/>
  <c r="C37" i="40" s="1"/>
  <c r="K36" i="40"/>
  <c r="J36" i="40"/>
  <c r="L35" i="40"/>
  <c r="C35" i="40" s="1"/>
  <c r="L34" i="40"/>
  <c r="K33" i="40"/>
  <c r="J33" i="40"/>
  <c r="L32" i="40"/>
  <c r="K31" i="40"/>
  <c r="J31" i="40"/>
  <c r="L30" i="40"/>
  <c r="C30" i="40" s="1"/>
  <c r="L29" i="40"/>
  <c r="C29" i="40" s="1"/>
  <c r="L28" i="40"/>
  <c r="C28" i="40" s="1"/>
  <c r="K27" i="40"/>
  <c r="J27" i="40"/>
  <c r="F25" i="40"/>
  <c r="C25" i="40" s="1"/>
  <c r="I24" i="40"/>
  <c r="O23" i="40"/>
  <c r="L23" i="40"/>
  <c r="I23" i="40"/>
  <c r="F23" i="40"/>
  <c r="O22" i="40"/>
  <c r="L22" i="40"/>
  <c r="L21" i="40" s="1"/>
  <c r="I22" i="40"/>
  <c r="F22" i="40"/>
  <c r="N21" i="40"/>
  <c r="N292" i="40" s="1"/>
  <c r="N291" i="40" s="1"/>
  <c r="M21" i="40"/>
  <c r="K21" i="40"/>
  <c r="K292" i="40" s="1"/>
  <c r="K291" i="40" s="1"/>
  <c r="J21" i="40"/>
  <c r="H21" i="40"/>
  <c r="G21" i="40"/>
  <c r="G292" i="40" s="1"/>
  <c r="E21" i="40"/>
  <c r="D21" i="40"/>
  <c r="D292" i="40" s="1"/>
  <c r="D291" i="40" s="1"/>
  <c r="N20" i="40"/>
  <c r="C102" i="40" l="1"/>
  <c r="C114" i="40"/>
  <c r="C118" i="40"/>
  <c r="C126" i="40"/>
  <c r="C178" i="40"/>
  <c r="C234" i="40"/>
  <c r="C254" i="40"/>
  <c r="C110" i="40"/>
  <c r="E54" i="40"/>
  <c r="E53" i="40" s="1"/>
  <c r="C150" i="40"/>
  <c r="C153" i="40"/>
  <c r="C266" i="40"/>
  <c r="O112" i="40"/>
  <c r="C186" i="40"/>
  <c r="K195" i="40"/>
  <c r="I233" i="40"/>
  <c r="C294" i="40"/>
  <c r="E76" i="40"/>
  <c r="C242" i="40"/>
  <c r="C250" i="40"/>
  <c r="K53" i="40"/>
  <c r="C66" i="40"/>
  <c r="C134" i="40"/>
  <c r="O151" i="40"/>
  <c r="N231" i="40"/>
  <c r="E231" i="40"/>
  <c r="N230" i="40"/>
  <c r="C267" i="40"/>
  <c r="L89" i="40"/>
  <c r="G83" i="40"/>
  <c r="M83" i="40"/>
  <c r="O116" i="40"/>
  <c r="C142" i="40"/>
  <c r="C158" i="40"/>
  <c r="C159" i="40"/>
  <c r="G130" i="40"/>
  <c r="D174" i="40"/>
  <c r="D173" i="40" s="1"/>
  <c r="J174" i="40"/>
  <c r="J173" i="40" s="1"/>
  <c r="C176" i="40"/>
  <c r="C177" i="40"/>
  <c r="O175" i="40"/>
  <c r="H174" i="40"/>
  <c r="H173" i="40" s="1"/>
  <c r="D204" i="40"/>
  <c r="C206" i="40"/>
  <c r="C222" i="40"/>
  <c r="C233" i="40"/>
  <c r="L238" i="40"/>
  <c r="L231" i="40" s="1"/>
  <c r="K269" i="40"/>
  <c r="C298" i="40"/>
  <c r="C300" i="40"/>
  <c r="D83" i="40"/>
  <c r="O272" i="40"/>
  <c r="H270" i="40"/>
  <c r="H269" i="40" s="1"/>
  <c r="J26" i="40"/>
  <c r="J20" i="40" s="1"/>
  <c r="O45" i="40"/>
  <c r="G54" i="40"/>
  <c r="C60" i="40"/>
  <c r="C64" i="40"/>
  <c r="C81" i="40"/>
  <c r="C106" i="40"/>
  <c r="I112" i="40"/>
  <c r="C120" i="40"/>
  <c r="N130" i="40"/>
  <c r="C148" i="40"/>
  <c r="C162" i="40"/>
  <c r="N187" i="40"/>
  <c r="C200" i="40"/>
  <c r="C237" i="40"/>
  <c r="J231" i="40"/>
  <c r="J230" i="40" s="1"/>
  <c r="C241" i="40"/>
  <c r="O238" i="40"/>
  <c r="O231" i="40" s="1"/>
  <c r="C258" i="40"/>
  <c r="C262" i="40"/>
  <c r="K259" i="40"/>
  <c r="C282" i="40"/>
  <c r="H53" i="40"/>
  <c r="N53" i="40"/>
  <c r="O53" i="40"/>
  <c r="C70" i="40"/>
  <c r="C71" i="40"/>
  <c r="C73" i="40"/>
  <c r="C86" i="40"/>
  <c r="C98" i="40"/>
  <c r="C101" i="40"/>
  <c r="C133" i="40"/>
  <c r="O131" i="40"/>
  <c r="O136" i="40"/>
  <c r="K130" i="40"/>
  <c r="C170" i="40"/>
  <c r="C172" i="40"/>
  <c r="C182" i="40"/>
  <c r="C183" i="40"/>
  <c r="C190" i="40"/>
  <c r="G187" i="40"/>
  <c r="C215" i="40"/>
  <c r="G269" i="40"/>
  <c r="C278" i="40"/>
  <c r="C280" i="40"/>
  <c r="C32" i="40"/>
  <c r="L31" i="40"/>
  <c r="C31" i="40" s="1"/>
  <c r="L67" i="40"/>
  <c r="I77" i="40"/>
  <c r="I76" i="40" s="1"/>
  <c r="C78" i="40"/>
  <c r="C138" i="40"/>
  <c r="I136" i="40"/>
  <c r="C23" i="40"/>
  <c r="I21" i="40"/>
  <c r="C44" i="40"/>
  <c r="I43" i="40"/>
  <c r="C43" i="40" s="1"/>
  <c r="C94" i="40"/>
  <c r="K83" i="40"/>
  <c r="K75" i="40" s="1"/>
  <c r="M130" i="40"/>
  <c r="M75" i="40" s="1"/>
  <c r="C146" i="40"/>
  <c r="I144" i="40"/>
  <c r="K173" i="40"/>
  <c r="J130" i="40"/>
  <c r="M53" i="40"/>
  <c r="G53" i="40"/>
  <c r="H292" i="40"/>
  <c r="H291" i="40" s="1"/>
  <c r="H20" i="40"/>
  <c r="L33" i="40"/>
  <c r="C33" i="40" s="1"/>
  <c r="C34" i="40"/>
  <c r="F41" i="40"/>
  <c r="C41" i="40" s="1"/>
  <c r="C42" i="40"/>
  <c r="F95" i="40"/>
  <c r="K26" i="40"/>
  <c r="C72" i="40"/>
  <c r="G75" i="40"/>
  <c r="J76" i="40"/>
  <c r="C91" i="40"/>
  <c r="C100" i="40"/>
  <c r="J83" i="40"/>
  <c r="C105" i="40"/>
  <c r="O103" i="40"/>
  <c r="C111" i="40"/>
  <c r="C139" i="40"/>
  <c r="C147" i="40"/>
  <c r="C157" i="40"/>
  <c r="C164" i="40"/>
  <c r="C180" i="40"/>
  <c r="C181" i="40"/>
  <c r="O179" i="40"/>
  <c r="O174" i="40" s="1"/>
  <c r="D187" i="40"/>
  <c r="M187" i="40"/>
  <c r="L198" i="40"/>
  <c r="L196" i="40" s="1"/>
  <c r="C202" i="40"/>
  <c r="C213" i="40"/>
  <c r="C220" i="40"/>
  <c r="C225" i="40"/>
  <c r="C229" i="40"/>
  <c r="D231" i="40"/>
  <c r="D230" i="40" s="1"/>
  <c r="H231" i="40"/>
  <c r="H230" i="40" s="1"/>
  <c r="K231" i="40"/>
  <c r="C243" i="40"/>
  <c r="C245" i="40"/>
  <c r="O252" i="40"/>
  <c r="I260" i="40"/>
  <c r="C268" i="40"/>
  <c r="I276" i="40"/>
  <c r="I270" i="40" s="1"/>
  <c r="I269" i="40" s="1"/>
  <c r="C288" i="40"/>
  <c r="L293" i="40"/>
  <c r="C299" i="40"/>
  <c r="C274" i="40"/>
  <c r="I293" i="40"/>
  <c r="J292" i="40"/>
  <c r="J291" i="40" s="1"/>
  <c r="O21" i="40"/>
  <c r="O292" i="40" s="1"/>
  <c r="O291" i="40" s="1"/>
  <c r="L27" i="40"/>
  <c r="L36" i="40"/>
  <c r="C36" i="40" s="1"/>
  <c r="F54" i="40"/>
  <c r="C57" i="40"/>
  <c r="C62" i="40"/>
  <c r="O84" i="40"/>
  <c r="H83" i="40"/>
  <c r="C92" i="40"/>
  <c r="N83" i="40"/>
  <c r="N75" i="40" s="1"/>
  <c r="O95" i="40"/>
  <c r="L95" i="40"/>
  <c r="C109" i="40"/>
  <c r="C127" i="40"/>
  <c r="E130" i="40"/>
  <c r="H130" i="40"/>
  <c r="L151" i="40"/>
  <c r="C156" i="40"/>
  <c r="C163" i="40"/>
  <c r="C171" i="40"/>
  <c r="M173" i="40"/>
  <c r="O196" i="40"/>
  <c r="C212" i="40"/>
  <c r="C219" i="40"/>
  <c r="C224" i="40"/>
  <c r="G231" i="40"/>
  <c r="G230" i="40" s="1"/>
  <c r="C244" i="40"/>
  <c r="C249" i="40"/>
  <c r="C255" i="40"/>
  <c r="C257" i="40"/>
  <c r="E259" i="40"/>
  <c r="E230" i="40" s="1"/>
  <c r="O260" i="40"/>
  <c r="M270" i="40"/>
  <c r="M269" i="40" s="1"/>
  <c r="O276" i="40"/>
  <c r="O270" i="40" s="1"/>
  <c r="O269" i="40" s="1"/>
  <c r="C287" i="40"/>
  <c r="I286" i="40"/>
  <c r="C286" i="40" s="1"/>
  <c r="L187" i="40"/>
  <c r="G291" i="40"/>
  <c r="C61" i="40"/>
  <c r="C63" i="40"/>
  <c r="C65" i="40"/>
  <c r="C74" i="40"/>
  <c r="C79" i="40"/>
  <c r="C82" i="40"/>
  <c r="I84" i="40"/>
  <c r="C87" i="40"/>
  <c r="C97" i="40"/>
  <c r="C108" i="40"/>
  <c r="C115" i="40"/>
  <c r="C121" i="40"/>
  <c r="O122" i="40"/>
  <c r="C135" i="40"/>
  <c r="D130" i="40"/>
  <c r="D75" i="40" s="1"/>
  <c r="C143" i="40"/>
  <c r="C149" i="40"/>
  <c r="C155" i="40"/>
  <c r="O160" i="40"/>
  <c r="N174" i="40"/>
  <c r="N173" i="40" s="1"/>
  <c r="L179" i="40"/>
  <c r="E173" i="40"/>
  <c r="O184" i="40"/>
  <c r="G195" i="40"/>
  <c r="D195" i="40"/>
  <c r="O205" i="40"/>
  <c r="C211" i="40"/>
  <c r="E204" i="40"/>
  <c r="E195" i="40" s="1"/>
  <c r="O216" i="40"/>
  <c r="C223" i="40"/>
  <c r="J204" i="40"/>
  <c r="J195" i="40" s="1"/>
  <c r="N204" i="40"/>
  <c r="N195" i="40" s="1"/>
  <c r="L252" i="40"/>
  <c r="L251" i="40" s="1"/>
  <c r="C256" i="40"/>
  <c r="O264" i="40"/>
  <c r="C271" i="40"/>
  <c r="C279" i="40"/>
  <c r="C297" i="40"/>
  <c r="C45" i="40"/>
  <c r="M20" i="40"/>
  <c r="M292" i="40"/>
  <c r="M291" i="40" s="1"/>
  <c r="E292" i="40"/>
  <c r="E291" i="40" s="1"/>
  <c r="L26" i="40"/>
  <c r="C27" i="40"/>
  <c r="C77" i="40"/>
  <c r="L292" i="40"/>
  <c r="I20" i="40"/>
  <c r="C22" i="40"/>
  <c r="F21" i="40"/>
  <c r="L54" i="40"/>
  <c r="L53" i="40" s="1"/>
  <c r="I67" i="40"/>
  <c r="L76" i="40"/>
  <c r="C88" i="40"/>
  <c r="C168" i="40"/>
  <c r="I166" i="40"/>
  <c r="I165" i="40" s="1"/>
  <c r="C240" i="40"/>
  <c r="I238" i="40"/>
  <c r="C301" i="40"/>
  <c r="G20" i="40"/>
  <c r="K20" i="40"/>
  <c r="C55" i="40"/>
  <c r="C59" i="40"/>
  <c r="F80" i="40"/>
  <c r="E83" i="40"/>
  <c r="L84" i="40"/>
  <c r="F103" i="40"/>
  <c r="I103" i="40"/>
  <c r="C104" i="40"/>
  <c r="C107" i="40"/>
  <c r="L112" i="40"/>
  <c r="C117" i="40"/>
  <c r="F116" i="40"/>
  <c r="C124" i="40"/>
  <c r="I122" i="40"/>
  <c r="F131" i="40"/>
  <c r="I131" i="40"/>
  <c r="C132" i="40"/>
  <c r="L144" i="40"/>
  <c r="C161" i="40"/>
  <c r="F160" i="40"/>
  <c r="C167" i="40"/>
  <c r="L166" i="40"/>
  <c r="L165" i="40" s="1"/>
  <c r="F175" i="40"/>
  <c r="C185" i="40"/>
  <c r="F184" i="40"/>
  <c r="C184" i="40" s="1"/>
  <c r="C189" i="40"/>
  <c r="F188" i="40"/>
  <c r="C193" i="40"/>
  <c r="F192" i="40"/>
  <c r="C207" i="40"/>
  <c r="L205" i="40"/>
  <c r="I227" i="40"/>
  <c r="C227" i="40" s="1"/>
  <c r="C228" i="40"/>
  <c r="I89" i="40"/>
  <c r="L116" i="40"/>
  <c r="C119" i="40"/>
  <c r="C125" i="40"/>
  <c r="F122" i="40"/>
  <c r="I58" i="40"/>
  <c r="I54" i="40" s="1"/>
  <c r="F69" i="40"/>
  <c r="O80" i="40"/>
  <c r="O76" i="40" s="1"/>
  <c r="F84" i="40"/>
  <c r="I95" i="40"/>
  <c r="C95" i="40" s="1"/>
  <c r="C96" i="40"/>
  <c r="C99" i="40"/>
  <c r="C123" i="40"/>
  <c r="L122" i="40"/>
  <c r="C137" i="40"/>
  <c r="F136" i="40"/>
  <c r="C136" i="40" s="1"/>
  <c r="L141" i="40"/>
  <c r="L174" i="40"/>
  <c r="L173" i="40" s="1"/>
  <c r="F231" i="40"/>
  <c r="C56" i="40"/>
  <c r="C68" i="40"/>
  <c r="C85" i="40"/>
  <c r="C93" i="40"/>
  <c r="F89" i="40"/>
  <c r="L103" i="40"/>
  <c r="C113" i="40"/>
  <c r="F112" i="40"/>
  <c r="C112" i="40" s="1"/>
  <c r="C129" i="40"/>
  <c r="F128" i="40"/>
  <c r="C128" i="40" s="1"/>
  <c r="C145" i="40"/>
  <c r="F144" i="40"/>
  <c r="O144" i="40"/>
  <c r="F151" i="40"/>
  <c r="I151" i="40"/>
  <c r="C152" i="40"/>
  <c r="C169" i="40"/>
  <c r="F166" i="40"/>
  <c r="F179" i="40"/>
  <c r="C179" i="40" s="1"/>
  <c r="C277" i="40"/>
  <c r="F276" i="40"/>
  <c r="F198" i="40"/>
  <c r="C199" i="40"/>
  <c r="C217" i="40"/>
  <c r="F216" i="40"/>
  <c r="C261" i="40"/>
  <c r="F260" i="40"/>
  <c r="C285" i="40"/>
  <c r="F284" i="40"/>
  <c r="C197" i="40"/>
  <c r="C201" i="40"/>
  <c r="C209" i="40"/>
  <c r="F205" i="40"/>
  <c r="I235" i="40"/>
  <c r="C235" i="40" s="1"/>
  <c r="C236" i="40"/>
  <c r="I252" i="40"/>
  <c r="I251" i="40" s="1"/>
  <c r="C263" i="40"/>
  <c r="I264" i="40"/>
  <c r="E270" i="40"/>
  <c r="E269" i="40" s="1"/>
  <c r="C273" i="40"/>
  <c r="F272" i="40"/>
  <c r="L276" i="40"/>
  <c r="L270" i="40" s="1"/>
  <c r="L269" i="40" s="1"/>
  <c r="C203" i="40"/>
  <c r="C208" i="40"/>
  <c r="I205" i="40"/>
  <c r="L216" i="40"/>
  <c r="C232" i="40"/>
  <c r="C248" i="40"/>
  <c r="I246" i="40"/>
  <c r="C246" i="40" s="1"/>
  <c r="C253" i="40"/>
  <c r="F252" i="40"/>
  <c r="O251" i="40"/>
  <c r="M259" i="40"/>
  <c r="M230" i="40" s="1"/>
  <c r="L260" i="40"/>
  <c r="L259" i="40" s="1"/>
  <c r="C265" i="40"/>
  <c r="F264" i="40"/>
  <c r="C275" i="40"/>
  <c r="C281" i="40"/>
  <c r="C295" i="40"/>
  <c r="C296" i="40"/>
  <c r="C239" i="40"/>
  <c r="C247" i="40"/>
  <c r="F293" i="40"/>
  <c r="G194" i="40" l="1"/>
  <c r="N52" i="40"/>
  <c r="I204" i="40"/>
  <c r="I195" i="40" s="1"/>
  <c r="C89" i="40"/>
  <c r="O204" i="40"/>
  <c r="H194" i="40"/>
  <c r="G289" i="40"/>
  <c r="C238" i="40"/>
  <c r="C264" i="40"/>
  <c r="O20" i="40"/>
  <c r="O83" i="40"/>
  <c r="I292" i="40"/>
  <c r="I291" i="40" s="1"/>
  <c r="H75" i="40"/>
  <c r="H289" i="40" s="1"/>
  <c r="K230" i="40"/>
  <c r="K194" i="40" s="1"/>
  <c r="K52" i="40"/>
  <c r="N194" i="40"/>
  <c r="N51" i="40" s="1"/>
  <c r="N50" i="40" s="1"/>
  <c r="N289" i="40"/>
  <c r="J194" i="40"/>
  <c r="D289" i="40"/>
  <c r="D52" i="40"/>
  <c r="O195" i="40"/>
  <c r="L130" i="40"/>
  <c r="I83" i="40"/>
  <c r="C160" i="40"/>
  <c r="I130" i="40"/>
  <c r="C116" i="40"/>
  <c r="E75" i="40"/>
  <c r="E289" i="40" s="1"/>
  <c r="D194" i="40"/>
  <c r="O259" i="40"/>
  <c r="J75" i="40"/>
  <c r="J52" i="40" s="1"/>
  <c r="O173" i="40"/>
  <c r="O130" i="40"/>
  <c r="O75" i="40" s="1"/>
  <c r="G52" i="40"/>
  <c r="G51" i="40" s="1"/>
  <c r="G50" i="40" s="1"/>
  <c r="C293" i="40"/>
  <c r="I259" i="40"/>
  <c r="L291" i="40"/>
  <c r="M52" i="40"/>
  <c r="I53" i="40"/>
  <c r="C54" i="40"/>
  <c r="M194" i="40"/>
  <c r="M289" i="40"/>
  <c r="F270" i="40"/>
  <c r="C272" i="40"/>
  <c r="C26" i="40"/>
  <c r="I231" i="40"/>
  <c r="I230" i="40" s="1"/>
  <c r="C144" i="40"/>
  <c r="E194" i="40"/>
  <c r="C188" i="40"/>
  <c r="F174" i="40"/>
  <c r="C175" i="40"/>
  <c r="F130" i="40"/>
  <c r="C131" i="40"/>
  <c r="C80" i="40"/>
  <c r="C58" i="40"/>
  <c r="L230" i="40"/>
  <c r="C260" i="40"/>
  <c r="F259" i="40"/>
  <c r="C69" i="40"/>
  <c r="F67" i="40"/>
  <c r="C205" i="40"/>
  <c r="F204" i="40"/>
  <c r="C284" i="40"/>
  <c r="F283" i="40"/>
  <c r="C283" i="40" s="1"/>
  <c r="O230" i="40"/>
  <c r="C198" i="40"/>
  <c r="F196" i="40"/>
  <c r="C84" i="40"/>
  <c r="F83" i="40"/>
  <c r="L204" i="40"/>
  <c r="L195" i="40" s="1"/>
  <c r="C103" i="40"/>
  <c r="F76" i="40"/>
  <c r="C252" i="40"/>
  <c r="F251" i="40"/>
  <c r="C251" i="40" s="1"/>
  <c r="C216" i="40"/>
  <c r="C276" i="40"/>
  <c r="F165" i="40"/>
  <c r="C165" i="40" s="1"/>
  <c r="C166" i="40"/>
  <c r="C151" i="40"/>
  <c r="C141" i="40"/>
  <c r="C122" i="40"/>
  <c r="C192" i="40"/>
  <c r="F191" i="40"/>
  <c r="C191" i="40" s="1"/>
  <c r="L83" i="40"/>
  <c r="F292" i="40"/>
  <c r="C21" i="40"/>
  <c r="L20" i="40"/>
  <c r="I75" i="40" l="1"/>
  <c r="I52" i="40"/>
  <c r="I289" i="40"/>
  <c r="K289" i="40"/>
  <c r="N290" i="40"/>
  <c r="G290" i="40"/>
  <c r="K51" i="40"/>
  <c r="K290" i="40" s="1"/>
  <c r="C130" i="40"/>
  <c r="O52" i="40"/>
  <c r="H52" i="40"/>
  <c r="H51" i="40" s="1"/>
  <c r="H50" i="40" s="1"/>
  <c r="E52" i="40"/>
  <c r="E51" i="40" s="1"/>
  <c r="E50" i="40" s="1"/>
  <c r="E24" i="40" s="1"/>
  <c r="E290" i="40" s="1"/>
  <c r="J289" i="40"/>
  <c r="L194" i="40"/>
  <c r="C204" i="40"/>
  <c r="C259" i="40"/>
  <c r="J51" i="40"/>
  <c r="L75" i="40"/>
  <c r="L52" i="40" s="1"/>
  <c r="L51" i="40" s="1"/>
  <c r="L290" i="40" s="1"/>
  <c r="M51" i="40"/>
  <c r="M50" i="40" s="1"/>
  <c r="D51" i="40"/>
  <c r="D50" i="40" s="1"/>
  <c r="D24" i="40" s="1"/>
  <c r="F187" i="40"/>
  <c r="C187" i="40" s="1"/>
  <c r="L289" i="40"/>
  <c r="C83" i="40"/>
  <c r="F269" i="40"/>
  <c r="C270" i="40"/>
  <c r="C292" i="40"/>
  <c r="F291" i="40"/>
  <c r="C291" i="40" s="1"/>
  <c r="F75" i="40"/>
  <c r="C76" i="40"/>
  <c r="C196" i="40"/>
  <c r="F195" i="40"/>
  <c r="C231" i="40"/>
  <c r="O194" i="40"/>
  <c r="O289" i="40"/>
  <c r="F230" i="40"/>
  <c r="C230" i="40" s="1"/>
  <c r="C67" i="40"/>
  <c r="F53" i="40"/>
  <c r="F173" i="40"/>
  <c r="C173" i="40" s="1"/>
  <c r="C174" i="40"/>
  <c r="I194" i="40"/>
  <c r="I51" i="40" s="1"/>
  <c r="M290" i="40" l="1"/>
  <c r="L50" i="40"/>
  <c r="K50" i="40"/>
  <c r="O51" i="40"/>
  <c r="O50" i="40" s="1"/>
  <c r="H290" i="40"/>
  <c r="C75" i="40"/>
  <c r="J290" i="40"/>
  <c r="J50" i="40"/>
  <c r="D290" i="40"/>
  <c r="D20" i="40"/>
  <c r="I290" i="40"/>
  <c r="I50" i="40"/>
  <c r="E20" i="40"/>
  <c r="F24" i="40"/>
  <c r="C53" i="40"/>
  <c r="F52" i="40"/>
  <c r="F194" i="40"/>
  <c r="C194" i="40" s="1"/>
  <c r="C195" i="40"/>
  <c r="C269" i="40"/>
  <c r="F289" i="40"/>
  <c r="C289" i="40" s="1"/>
  <c r="O290" i="40" l="1"/>
  <c r="F51" i="40"/>
  <c r="C52" i="40"/>
  <c r="C24" i="40"/>
  <c r="F20" i="40"/>
  <c r="C20" i="40" s="1"/>
  <c r="F290" i="40" l="1"/>
  <c r="C290" i="40" s="1"/>
  <c r="F50" i="40"/>
  <c r="C50" i="40" s="1"/>
  <c r="C51" i="40"/>
  <c r="E68" i="5" l="1"/>
  <c r="E74" i="5"/>
  <c r="D220" i="34" l="1"/>
  <c r="E220" i="34"/>
  <c r="F220" i="34"/>
  <c r="H220" i="34" s="1"/>
  <c r="G220" i="34"/>
  <c r="I220" i="34" s="1"/>
  <c r="H221" i="34"/>
  <c r="I221" i="34"/>
  <c r="H222" i="34"/>
  <c r="I222" i="34"/>
  <c r="H223" i="34"/>
  <c r="I223" i="34"/>
  <c r="H224" i="34"/>
  <c r="I224" i="34"/>
  <c r="D225" i="34"/>
  <c r="E225" i="34"/>
  <c r="F225" i="34"/>
  <c r="H225" i="34" s="1"/>
  <c r="G225" i="34"/>
  <c r="H226" i="34"/>
  <c r="I226" i="34"/>
  <c r="H228" i="34"/>
  <c r="I228" i="34"/>
  <c r="H229" i="34"/>
  <c r="I229" i="34"/>
  <c r="H230" i="34"/>
  <c r="I230" i="34"/>
  <c r="D231" i="34"/>
  <c r="E231" i="34"/>
  <c r="F231" i="34"/>
  <c r="H231" i="34" s="1"/>
  <c r="G231" i="34"/>
  <c r="H232" i="34"/>
  <c r="I232" i="34"/>
  <c r="H233" i="34"/>
  <c r="I233" i="34"/>
  <c r="D234" i="34"/>
  <c r="E234" i="34"/>
  <c r="F234" i="34"/>
  <c r="G234" i="34"/>
  <c r="H235" i="34"/>
  <c r="I235" i="34"/>
  <c r="H236" i="34"/>
  <c r="I236" i="34"/>
  <c r="H237" i="34"/>
  <c r="I237" i="34"/>
  <c r="I225" i="34" l="1"/>
  <c r="E227" i="34"/>
  <c r="I234" i="34"/>
  <c r="D227" i="34"/>
  <c r="H234" i="34"/>
  <c r="G227" i="34"/>
  <c r="F227" i="34"/>
  <c r="H227" i="34"/>
  <c r="I231" i="34"/>
  <c r="I227" i="34" l="1"/>
  <c r="O301" i="37"/>
  <c r="L301" i="37"/>
  <c r="I301" i="37"/>
  <c r="F301" i="37"/>
  <c r="O300" i="37"/>
  <c r="L300" i="37"/>
  <c r="I300" i="37"/>
  <c r="F300" i="37"/>
  <c r="O299" i="37"/>
  <c r="L299" i="37"/>
  <c r="I299" i="37"/>
  <c r="F299" i="37"/>
  <c r="O298" i="37"/>
  <c r="L298" i="37"/>
  <c r="I298" i="37"/>
  <c r="F298" i="37"/>
  <c r="O297" i="37"/>
  <c r="L297" i="37"/>
  <c r="I297" i="37"/>
  <c r="F297" i="37"/>
  <c r="O296" i="37"/>
  <c r="L296" i="37"/>
  <c r="I296" i="37"/>
  <c r="F296" i="37"/>
  <c r="O295" i="37"/>
  <c r="L295" i="37"/>
  <c r="I295" i="37"/>
  <c r="F295" i="37"/>
  <c r="O294" i="37"/>
  <c r="O293" i="37" s="1"/>
  <c r="L294" i="37"/>
  <c r="I294" i="37"/>
  <c r="F294" i="37"/>
  <c r="N293" i="37"/>
  <c r="M293" i="37"/>
  <c r="K293" i="37"/>
  <c r="J293" i="37"/>
  <c r="H293" i="37"/>
  <c r="G293" i="37"/>
  <c r="E293" i="37"/>
  <c r="D293" i="37"/>
  <c r="O288" i="37"/>
  <c r="L288" i="37"/>
  <c r="I288" i="37"/>
  <c r="F288" i="37"/>
  <c r="O287" i="37"/>
  <c r="L287" i="37"/>
  <c r="L286" i="37" s="1"/>
  <c r="I287" i="37"/>
  <c r="F287" i="37"/>
  <c r="N286" i="37"/>
  <c r="M286" i="37"/>
  <c r="K286" i="37"/>
  <c r="J286" i="37"/>
  <c r="H286" i="37"/>
  <c r="G286" i="37"/>
  <c r="F286" i="37"/>
  <c r="E286" i="37"/>
  <c r="D286" i="37"/>
  <c r="O285" i="37"/>
  <c r="L285" i="37"/>
  <c r="L284" i="37" s="1"/>
  <c r="L283" i="37" s="1"/>
  <c r="I285" i="37"/>
  <c r="I284" i="37" s="1"/>
  <c r="I283" i="37" s="1"/>
  <c r="F285" i="37"/>
  <c r="O284" i="37"/>
  <c r="O283" i="37" s="1"/>
  <c r="N284" i="37"/>
  <c r="N283" i="37" s="1"/>
  <c r="M284" i="37"/>
  <c r="M283" i="37" s="1"/>
  <c r="K284" i="37"/>
  <c r="K283" i="37" s="1"/>
  <c r="J284" i="37"/>
  <c r="J283" i="37" s="1"/>
  <c r="H284" i="37"/>
  <c r="G284" i="37"/>
  <c r="G283" i="37" s="1"/>
  <c r="E284" i="37"/>
  <c r="E283" i="37" s="1"/>
  <c r="D284" i="37"/>
  <c r="D283" i="37" s="1"/>
  <c r="H283" i="37"/>
  <c r="O282" i="37"/>
  <c r="O281" i="37" s="1"/>
  <c r="L282" i="37"/>
  <c r="L281" i="37" s="1"/>
  <c r="I282" i="37"/>
  <c r="I281" i="37" s="1"/>
  <c r="F282" i="37"/>
  <c r="N281" i="37"/>
  <c r="M281" i="37"/>
  <c r="K281" i="37"/>
  <c r="J281" i="37"/>
  <c r="H281" i="37"/>
  <c r="G281" i="37"/>
  <c r="E281" i="37"/>
  <c r="D281" i="37"/>
  <c r="O280" i="37"/>
  <c r="L280" i="37"/>
  <c r="I280" i="37"/>
  <c r="F280" i="37"/>
  <c r="O279" i="37"/>
  <c r="L279" i="37"/>
  <c r="I279" i="37"/>
  <c r="F279" i="37"/>
  <c r="O278" i="37"/>
  <c r="L278" i="37"/>
  <c r="I278" i="37"/>
  <c r="F278" i="37"/>
  <c r="O277" i="37"/>
  <c r="L277" i="37"/>
  <c r="I277" i="37"/>
  <c r="I276" i="37" s="1"/>
  <c r="F277" i="37"/>
  <c r="N276" i="37"/>
  <c r="M276" i="37"/>
  <c r="K276" i="37"/>
  <c r="J276" i="37"/>
  <c r="H276" i="37"/>
  <c r="G276" i="37"/>
  <c r="E276" i="37"/>
  <c r="D276" i="37"/>
  <c r="O275" i="37"/>
  <c r="L275" i="37"/>
  <c r="I275" i="37"/>
  <c r="F275" i="37"/>
  <c r="O274" i="37"/>
  <c r="L274" i="37"/>
  <c r="I274" i="37"/>
  <c r="F274" i="37"/>
  <c r="O273" i="37"/>
  <c r="L273" i="37"/>
  <c r="I273" i="37"/>
  <c r="I272" i="37" s="1"/>
  <c r="F273" i="37"/>
  <c r="N272" i="37"/>
  <c r="N270" i="37" s="1"/>
  <c r="M272" i="37"/>
  <c r="M270" i="37" s="1"/>
  <c r="M269" i="37" s="1"/>
  <c r="K272" i="37"/>
  <c r="J272" i="37"/>
  <c r="J270" i="37" s="1"/>
  <c r="H272" i="37"/>
  <c r="H270" i="37" s="1"/>
  <c r="H269" i="37" s="1"/>
  <c r="G272" i="37"/>
  <c r="E272" i="37"/>
  <c r="D272" i="37"/>
  <c r="O271" i="37"/>
  <c r="L271" i="37"/>
  <c r="I271" i="37"/>
  <c r="F271" i="37"/>
  <c r="O268" i="37"/>
  <c r="L268" i="37"/>
  <c r="I268" i="37"/>
  <c r="F268" i="37"/>
  <c r="O267" i="37"/>
  <c r="L267" i="37"/>
  <c r="I267" i="37"/>
  <c r="F267" i="37"/>
  <c r="O266" i="37"/>
  <c r="L266" i="37"/>
  <c r="I266" i="37"/>
  <c r="F266" i="37"/>
  <c r="O265" i="37"/>
  <c r="L265" i="37"/>
  <c r="I265" i="37"/>
  <c r="F265" i="37"/>
  <c r="N264" i="37"/>
  <c r="M264" i="37"/>
  <c r="K264" i="37"/>
  <c r="J264" i="37"/>
  <c r="H264" i="37"/>
  <c r="G264" i="37"/>
  <c r="E264" i="37"/>
  <c r="D264" i="37"/>
  <c r="O263" i="37"/>
  <c r="L263" i="37"/>
  <c r="I263" i="37"/>
  <c r="F263" i="37"/>
  <c r="O262" i="37"/>
  <c r="L262" i="37"/>
  <c r="I262" i="37"/>
  <c r="F262" i="37"/>
  <c r="O261" i="37"/>
  <c r="L261" i="37"/>
  <c r="I261" i="37"/>
  <c r="I260" i="37" s="1"/>
  <c r="F261" i="37"/>
  <c r="N260" i="37"/>
  <c r="M260" i="37"/>
  <c r="K260" i="37"/>
  <c r="J260" i="37"/>
  <c r="H260" i="37"/>
  <c r="H259" i="37" s="1"/>
  <c r="G260" i="37"/>
  <c r="E260" i="37"/>
  <c r="D260" i="37"/>
  <c r="N259" i="37"/>
  <c r="J259" i="37"/>
  <c r="G259" i="37"/>
  <c r="D259" i="37"/>
  <c r="O258" i="37"/>
  <c r="L258" i="37"/>
  <c r="I258" i="37"/>
  <c r="F258" i="37"/>
  <c r="O257" i="37"/>
  <c r="L257" i="37"/>
  <c r="I257" i="37"/>
  <c r="F257" i="37"/>
  <c r="O256" i="37"/>
  <c r="L256" i="37"/>
  <c r="I256" i="37"/>
  <c r="F256" i="37"/>
  <c r="O255" i="37"/>
  <c r="L255" i="37"/>
  <c r="I255" i="37"/>
  <c r="F255" i="37"/>
  <c r="O254" i="37"/>
  <c r="L254" i="37"/>
  <c r="I254" i="37"/>
  <c r="F254" i="37"/>
  <c r="O253" i="37"/>
  <c r="L253" i="37"/>
  <c r="I253" i="37"/>
  <c r="F253" i="37"/>
  <c r="N252" i="37"/>
  <c r="M252" i="37"/>
  <c r="M251" i="37" s="1"/>
  <c r="K252" i="37"/>
  <c r="K251" i="37" s="1"/>
  <c r="J252" i="37"/>
  <c r="H252" i="37"/>
  <c r="H251" i="37" s="1"/>
  <c r="G252" i="37"/>
  <c r="E252" i="37"/>
  <c r="E251" i="37" s="1"/>
  <c r="D252" i="37"/>
  <c r="N251" i="37"/>
  <c r="J251" i="37"/>
  <c r="G251" i="37"/>
  <c r="D251" i="37"/>
  <c r="O250" i="37"/>
  <c r="L250" i="37"/>
  <c r="I250" i="37"/>
  <c r="F250" i="37"/>
  <c r="O249" i="37"/>
  <c r="L249" i="37"/>
  <c r="I249" i="37"/>
  <c r="F249" i="37"/>
  <c r="O248" i="37"/>
  <c r="L248" i="37"/>
  <c r="I248" i="37"/>
  <c r="F248" i="37"/>
  <c r="O247" i="37"/>
  <c r="L247" i="37"/>
  <c r="L246" i="37" s="1"/>
  <c r="I247" i="37"/>
  <c r="F247" i="37"/>
  <c r="F246" i="37" s="1"/>
  <c r="N246" i="37"/>
  <c r="M246" i="37"/>
  <c r="K246" i="37"/>
  <c r="J246" i="37"/>
  <c r="H246" i="37"/>
  <c r="G246" i="37"/>
  <c r="E246" i="37"/>
  <c r="D246" i="37"/>
  <c r="O245" i="37"/>
  <c r="L245" i="37"/>
  <c r="I245" i="37"/>
  <c r="F245" i="37"/>
  <c r="O244" i="37"/>
  <c r="L244" i="37"/>
  <c r="I244" i="37"/>
  <c r="F244" i="37"/>
  <c r="O243" i="37"/>
  <c r="L243" i="37"/>
  <c r="I243" i="37"/>
  <c r="F243" i="37"/>
  <c r="O242" i="37"/>
  <c r="L242" i="37"/>
  <c r="I242" i="37"/>
  <c r="C242" i="37" s="1"/>
  <c r="F242" i="37"/>
  <c r="O241" i="37"/>
  <c r="L241" i="37"/>
  <c r="I241" i="37"/>
  <c r="F241" i="37"/>
  <c r="O240" i="37"/>
  <c r="L240" i="37"/>
  <c r="I240" i="37"/>
  <c r="F240" i="37"/>
  <c r="O239" i="37"/>
  <c r="L239" i="37"/>
  <c r="L238" i="37" s="1"/>
  <c r="I239" i="37"/>
  <c r="F239" i="37"/>
  <c r="N238" i="37"/>
  <c r="M238" i="37"/>
  <c r="K238" i="37"/>
  <c r="J238" i="37"/>
  <c r="H238" i="37"/>
  <c r="G238" i="37"/>
  <c r="E238" i="37"/>
  <c r="D238" i="37"/>
  <c r="O237" i="37"/>
  <c r="L237" i="37"/>
  <c r="I237" i="37"/>
  <c r="F237" i="37"/>
  <c r="O236" i="37"/>
  <c r="O235" i="37" s="1"/>
  <c r="L236" i="37"/>
  <c r="L235" i="37" s="1"/>
  <c r="I236" i="37"/>
  <c r="I235" i="37" s="1"/>
  <c r="F236" i="37"/>
  <c r="N235" i="37"/>
  <c r="M235" i="37"/>
  <c r="K235" i="37"/>
  <c r="J235" i="37"/>
  <c r="H235" i="37"/>
  <c r="G235" i="37"/>
  <c r="E235" i="37"/>
  <c r="D235" i="37"/>
  <c r="O234" i="37"/>
  <c r="O233" i="37" s="1"/>
  <c r="L234" i="37"/>
  <c r="L233" i="37" s="1"/>
  <c r="I234" i="37"/>
  <c r="I233" i="37" s="1"/>
  <c r="F234" i="37"/>
  <c r="N233" i="37"/>
  <c r="M233" i="37"/>
  <c r="K233" i="37"/>
  <c r="J233" i="37"/>
  <c r="H233" i="37"/>
  <c r="G233" i="37"/>
  <c r="F233" i="37"/>
  <c r="E233" i="37"/>
  <c r="D233" i="37"/>
  <c r="O232" i="37"/>
  <c r="L232" i="37"/>
  <c r="I232" i="37"/>
  <c r="F232" i="37"/>
  <c r="J231" i="37"/>
  <c r="O229" i="37"/>
  <c r="L229" i="37"/>
  <c r="I229" i="37"/>
  <c r="F229" i="37"/>
  <c r="O228" i="37"/>
  <c r="L228" i="37"/>
  <c r="I228" i="37"/>
  <c r="F228" i="37"/>
  <c r="F227" i="37" s="1"/>
  <c r="O227" i="37"/>
  <c r="N227" i="37"/>
  <c r="M227" i="37"/>
  <c r="L227" i="37"/>
  <c r="K227" i="37"/>
  <c r="J227" i="37"/>
  <c r="H227" i="37"/>
  <c r="G227" i="37"/>
  <c r="E227" i="37"/>
  <c r="D227" i="37"/>
  <c r="O226" i="37"/>
  <c r="L226" i="37"/>
  <c r="I226" i="37"/>
  <c r="F226" i="37"/>
  <c r="O225" i="37"/>
  <c r="L225" i="37"/>
  <c r="I225" i="37"/>
  <c r="F225" i="37"/>
  <c r="O224" i="37"/>
  <c r="L224" i="37"/>
  <c r="I224" i="37"/>
  <c r="F224" i="37"/>
  <c r="O223" i="37"/>
  <c r="L223" i="37"/>
  <c r="I223" i="37"/>
  <c r="F223" i="37"/>
  <c r="O222" i="37"/>
  <c r="L222" i="37"/>
  <c r="I222" i="37"/>
  <c r="F222" i="37"/>
  <c r="O221" i="37"/>
  <c r="L221" i="37"/>
  <c r="I221" i="37"/>
  <c r="F221" i="37"/>
  <c r="O220" i="37"/>
  <c r="L220" i="37"/>
  <c r="I220" i="37"/>
  <c r="F220" i="37"/>
  <c r="O219" i="37"/>
  <c r="L219" i="37"/>
  <c r="I219" i="37"/>
  <c r="F219" i="37"/>
  <c r="O218" i="37"/>
  <c r="L218" i="37"/>
  <c r="I218" i="37"/>
  <c r="F218" i="37"/>
  <c r="O217" i="37"/>
  <c r="L217" i="37"/>
  <c r="I217" i="37"/>
  <c r="F217" i="37"/>
  <c r="N216" i="37"/>
  <c r="M216" i="37"/>
  <c r="K216" i="37"/>
  <c r="J216" i="37"/>
  <c r="H216" i="37"/>
  <c r="G216" i="37"/>
  <c r="E216" i="37"/>
  <c r="D216" i="37"/>
  <c r="O215" i="37"/>
  <c r="L215" i="37"/>
  <c r="I215" i="37"/>
  <c r="F215" i="37"/>
  <c r="O214" i="37"/>
  <c r="L214" i="37"/>
  <c r="I214" i="37"/>
  <c r="F214" i="37"/>
  <c r="O213" i="37"/>
  <c r="L213" i="37"/>
  <c r="I213" i="37"/>
  <c r="F213" i="37"/>
  <c r="O212" i="37"/>
  <c r="L212" i="37"/>
  <c r="I212" i="37"/>
  <c r="F212" i="37"/>
  <c r="O211" i="37"/>
  <c r="L211" i="37"/>
  <c r="I211" i="37"/>
  <c r="F211" i="37"/>
  <c r="O210" i="37"/>
  <c r="L210" i="37"/>
  <c r="I210" i="37"/>
  <c r="F210" i="37"/>
  <c r="O209" i="37"/>
  <c r="L209" i="37"/>
  <c r="I209" i="37"/>
  <c r="F209" i="37"/>
  <c r="O208" i="37"/>
  <c r="L208" i="37"/>
  <c r="I208" i="37"/>
  <c r="F208" i="37"/>
  <c r="O207" i="37"/>
  <c r="L207" i="37"/>
  <c r="I207" i="37"/>
  <c r="F207" i="37"/>
  <c r="O206" i="37"/>
  <c r="L206" i="37"/>
  <c r="L205" i="37" s="1"/>
  <c r="I206" i="37"/>
  <c r="F206" i="37"/>
  <c r="N205" i="37"/>
  <c r="M205" i="37"/>
  <c r="K205" i="37"/>
  <c r="K204" i="37" s="1"/>
  <c r="J205" i="37"/>
  <c r="H205" i="37"/>
  <c r="G205" i="37"/>
  <c r="E205" i="37"/>
  <c r="D205" i="37"/>
  <c r="O203" i="37"/>
  <c r="L203" i="37"/>
  <c r="I203" i="37"/>
  <c r="F203" i="37"/>
  <c r="O202" i="37"/>
  <c r="L202" i="37"/>
  <c r="I202" i="37"/>
  <c r="F202" i="37"/>
  <c r="O201" i="37"/>
  <c r="L201" i="37"/>
  <c r="I201" i="37"/>
  <c r="F201" i="37"/>
  <c r="O200" i="37"/>
  <c r="L200" i="37"/>
  <c r="I200" i="37"/>
  <c r="F200" i="37"/>
  <c r="O199" i="37"/>
  <c r="L199" i="37"/>
  <c r="L198" i="37" s="1"/>
  <c r="I199" i="37"/>
  <c r="F199" i="37"/>
  <c r="F198" i="37" s="1"/>
  <c r="O198" i="37"/>
  <c r="N198" i="37"/>
  <c r="M198" i="37"/>
  <c r="K198" i="37"/>
  <c r="K196" i="37" s="1"/>
  <c r="J198" i="37"/>
  <c r="J196" i="37" s="1"/>
  <c r="H198" i="37"/>
  <c r="H196" i="37" s="1"/>
  <c r="G198" i="37"/>
  <c r="G196" i="37" s="1"/>
  <c r="E198" i="37"/>
  <c r="E196" i="37" s="1"/>
  <c r="D198" i="37"/>
  <c r="D196" i="37" s="1"/>
  <c r="O197" i="37"/>
  <c r="L197" i="37"/>
  <c r="I197" i="37"/>
  <c r="F197" i="37"/>
  <c r="N196" i="37"/>
  <c r="M196" i="37"/>
  <c r="O193" i="37"/>
  <c r="L193" i="37"/>
  <c r="L192" i="37" s="1"/>
  <c r="L191" i="37" s="1"/>
  <c r="I193" i="37"/>
  <c r="F193" i="37"/>
  <c r="O192" i="37"/>
  <c r="O191" i="37" s="1"/>
  <c r="N192" i="37"/>
  <c r="N191" i="37" s="1"/>
  <c r="M192" i="37"/>
  <c r="M191" i="37" s="1"/>
  <c r="K192" i="37"/>
  <c r="K191" i="37" s="1"/>
  <c r="J192" i="37"/>
  <c r="I192" i="37"/>
  <c r="I191" i="37" s="1"/>
  <c r="H192" i="37"/>
  <c r="H191" i="37" s="1"/>
  <c r="G192" i="37"/>
  <c r="G191" i="37" s="1"/>
  <c r="E192" i="37"/>
  <c r="E191" i="37" s="1"/>
  <c r="D192" i="37"/>
  <c r="D191" i="37" s="1"/>
  <c r="J191" i="37"/>
  <c r="O190" i="37"/>
  <c r="L190" i="37"/>
  <c r="I190" i="37"/>
  <c r="F190" i="37"/>
  <c r="O189" i="37"/>
  <c r="L189" i="37"/>
  <c r="L188" i="37" s="1"/>
  <c r="I189" i="37"/>
  <c r="I188" i="37" s="1"/>
  <c r="I187" i="37" s="1"/>
  <c r="F189" i="37"/>
  <c r="N188" i="37"/>
  <c r="M188" i="37"/>
  <c r="M187" i="37" s="1"/>
  <c r="K188" i="37"/>
  <c r="J188" i="37"/>
  <c r="H188" i="37"/>
  <c r="G188" i="37"/>
  <c r="E188" i="37"/>
  <c r="E187" i="37" s="1"/>
  <c r="D188" i="37"/>
  <c r="O186" i="37"/>
  <c r="L186" i="37"/>
  <c r="I186" i="37"/>
  <c r="F186" i="37"/>
  <c r="O185" i="37"/>
  <c r="O184" i="37" s="1"/>
  <c r="L185" i="37"/>
  <c r="L184" i="37" s="1"/>
  <c r="I185" i="37"/>
  <c r="I184" i="37" s="1"/>
  <c r="F185" i="37"/>
  <c r="N184" i="37"/>
  <c r="M184" i="37"/>
  <c r="K184" i="37"/>
  <c r="J184" i="37"/>
  <c r="H184" i="37"/>
  <c r="G184" i="37"/>
  <c r="F184" i="37"/>
  <c r="E184" i="37"/>
  <c r="D184" i="37"/>
  <c r="O183" i="37"/>
  <c r="L183" i="37"/>
  <c r="I183" i="37"/>
  <c r="F183" i="37"/>
  <c r="O182" i="37"/>
  <c r="L182" i="37"/>
  <c r="I182" i="37"/>
  <c r="F182" i="37"/>
  <c r="O181" i="37"/>
  <c r="L181" i="37"/>
  <c r="I181" i="37"/>
  <c r="F181" i="37"/>
  <c r="O180" i="37"/>
  <c r="L180" i="37"/>
  <c r="I180" i="37"/>
  <c r="I179" i="37" s="1"/>
  <c r="F180" i="37"/>
  <c r="N179" i="37"/>
  <c r="M179" i="37"/>
  <c r="K179" i="37"/>
  <c r="J179" i="37"/>
  <c r="H179" i="37"/>
  <c r="G179" i="37"/>
  <c r="E179" i="37"/>
  <c r="D179" i="37"/>
  <c r="O178" i="37"/>
  <c r="L178" i="37"/>
  <c r="I178" i="37"/>
  <c r="F178" i="37"/>
  <c r="O177" i="37"/>
  <c r="L177" i="37"/>
  <c r="I177" i="37"/>
  <c r="F177" i="37"/>
  <c r="O176" i="37"/>
  <c r="L176" i="37"/>
  <c r="I176" i="37"/>
  <c r="F176" i="37"/>
  <c r="N175" i="37"/>
  <c r="N174" i="37" s="1"/>
  <c r="N173" i="37" s="1"/>
  <c r="M175" i="37"/>
  <c r="K175" i="37"/>
  <c r="J175" i="37"/>
  <c r="J174" i="37" s="1"/>
  <c r="I175" i="37"/>
  <c r="H175" i="37"/>
  <c r="G175" i="37"/>
  <c r="E175" i="37"/>
  <c r="D175" i="37"/>
  <c r="D174" i="37" s="1"/>
  <c r="O172" i="37"/>
  <c r="L172" i="37"/>
  <c r="I172" i="37"/>
  <c r="F172" i="37"/>
  <c r="O171" i="37"/>
  <c r="L171" i="37"/>
  <c r="I171" i="37"/>
  <c r="F171" i="37"/>
  <c r="O170" i="37"/>
  <c r="L170" i="37"/>
  <c r="I170" i="37"/>
  <c r="F170" i="37"/>
  <c r="O169" i="37"/>
  <c r="L169" i="37"/>
  <c r="I169" i="37"/>
  <c r="F169" i="37"/>
  <c r="O168" i="37"/>
  <c r="L168" i="37"/>
  <c r="I168" i="37"/>
  <c r="F168" i="37"/>
  <c r="O167" i="37"/>
  <c r="J167" i="37"/>
  <c r="I167" i="37"/>
  <c r="I166" i="37" s="1"/>
  <c r="F167" i="37"/>
  <c r="N166" i="37"/>
  <c r="M166" i="37"/>
  <c r="M165" i="37" s="1"/>
  <c r="K166" i="37"/>
  <c r="K165" i="37" s="1"/>
  <c r="H166" i="37"/>
  <c r="H165" i="37" s="1"/>
  <c r="G166" i="37"/>
  <c r="G165" i="37" s="1"/>
  <c r="E166" i="37"/>
  <c r="E165" i="37" s="1"/>
  <c r="D166" i="37"/>
  <c r="D165" i="37" s="1"/>
  <c r="N165" i="37"/>
  <c r="O164" i="37"/>
  <c r="L164" i="37"/>
  <c r="I164" i="37"/>
  <c r="F164" i="37"/>
  <c r="O163" i="37"/>
  <c r="L163" i="37"/>
  <c r="I163" i="37"/>
  <c r="F163" i="37"/>
  <c r="O162" i="37"/>
  <c r="L162" i="37"/>
  <c r="I162" i="37"/>
  <c r="F162" i="37"/>
  <c r="O161" i="37"/>
  <c r="L161" i="37"/>
  <c r="L160" i="37" s="1"/>
  <c r="I161" i="37"/>
  <c r="F161" i="37"/>
  <c r="N160" i="37"/>
  <c r="M160" i="37"/>
  <c r="K160" i="37"/>
  <c r="J160" i="37"/>
  <c r="H160" i="37"/>
  <c r="G160" i="37"/>
  <c r="E160" i="37"/>
  <c r="D160" i="37"/>
  <c r="O159" i="37"/>
  <c r="L159" i="37"/>
  <c r="I159" i="37"/>
  <c r="F159" i="37"/>
  <c r="O158" i="37"/>
  <c r="L158" i="37"/>
  <c r="I158" i="37"/>
  <c r="F158" i="37"/>
  <c r="O157" i="37"/>
  <c r="L157" i="37"/>
  <c r="I157" i="37"/>
  <c r="F157" i="37"/>
  <c r="O156" i="37"/>
  <c r="L156" i="37"/>
  <c r="I156" i="37"/>
  <c r="F156" i="37"/>
  <c r="O155" i="37"/>
  <c r="L155" i="37"/>
  <c r="I155" i="37"/>
  <c r="F155" i="37"/>
  <c r="O154" i="37"/>
  <c r="L154" i="37"/>
  <c r="I154" i="37"/>
  <c r="F154" i="37"/>
  <c r="O153" i="37"/>
  <c r="L153" i="37"/>
  <c r="I153" i="37"/>
  <c r="F153" i="37"/>
  <c r="O152" i="37"/>
  <c r="L152" i="37"/>
  <c r="I152" i="37"/>
  <c r="F152" i="37"/>
  <c r="N151" i="37"/>
  <c r="M151" i="37"/>
  <c r="K151" i="37"/>
  <c r="J151" i="37"/>
  <c r="H151" i="37"/>
  <c r="G151" i="37"/>
  <c r="E151" i="37"/>
  <c r="D151" i="37"/>
  <c r="O150" i="37"/>
  <c r="L150" i="37"/>
  <c r="I150" i="37"/>
  <c r="F150" i="37"/>
  <c r="O149" i="37"/>
  <c r="L149" i="37"/>
  <c r="I149" i="37"/>
  <c r="F149" i="37"/>
  <c r="O148" i="37"/>
  <c r="L148" i="37"/>
  <c r="I148" i="37"/>
  <c r="F148" i="37"/>
  <c r="O147" i="37"/>
  <c r="L147" i="37"/>
  <c r="I147" i="37"/>
  <c r="F147" i="37"/>
  <c r="O146" i="37"/>
  <c r="L146" i="37"/>
  <c r="I146" i="37"/>
  <c r="F146" i="37"/>
  <c r="O145" i="37"/>
  <c r="L145" i="37"/>
  <c r="I145" i="37"/>
  <c r="I144" i="37" s="1"/>
  <c r="F145" i="37"/>
  <c r="N144" i="37"/>
  <c r="M144" i="37"/>
  <c r="K144" i="37"/>
  <c r="J144" i="37"/>
  <c r="H144" i="37"/>
  <c r="G144" i="37"/>
  <c r="E144" i="37"/>
  <c r="D144" i="37"/>
  <c r="O143" i="37"/>
  <c r="L143" i="37"/>
  <c r="I143" i="37"/>
  <c r="F143" i="37"/>
  <c r="O142" i="37"/>
  <c r="O141" i="37" s="1"/>
  <c r="L142" i="37"/>
  <c r="L141" i="37" s="1"/>
  <c r="I142" i="37"/>
  <c r="I141" i="37" s="1"/>
  <c r="F142" i="37"/>
  <c r="N141" i="37"/>
  <c r="M141" i="37"/>
  <c r="K141" i="37"/>
  <c r="J141" i="37"/>
  <c r="H141" i="37"/>
  <c r="G141" i="37"/>
  <c r="E141" i="37"/>
  <c r="D141" i="37"/>
  <c r="O140" i="37"/>
  <c r="L140" i="37"/>
  <c r="I140" i="37"/>
  <c r="F140" i="37"/>
  <c r="O139" i="37"/>
  <c r="L139" i="37"/>
  <c r="I139" i="37"/>
  <c r="F139" i="37"/>
  <c r="O138" i="37"/>
  <c r="L138" i="37"/>
  <c r="I138" i="37"/>
  <c r="F138" i="37"/>
  <c r="O137" i="37"/>
  <c r="L137" i="37"/>
  <c r="I137" i="37"/>
  <c r="F137" i="37"/>
  <c r="N136" i="37"/>
  <c r="M136" i="37"/>
  <c r="K136" i="37"/>
  <c r="J136" i="37"/>
  <c r="H136" i="37"/>
  <c r="G136" i="37"/>
  <c r="E136" i="37"/>
  <c r="D136" i="37"/>
  <c r="O135" i="37"/>
  <c r="L135" i="37"/>
  <c r="I135" i="37"/>
  <c r="F135" i="37"/>
  <c r="O134" i="37"/>
  <c r="L134" i="37"/>
  <c r="I134" i="37"/>
  <c r="F134" i="37"/>
  <c r="O133" i="37"/>
  <c r="L133" i="37"/>
  <c r="I133" i="37"/>
  <c r="F133" i="37"/>
  <c r="O132" i="37"/>
  <c r="L132" i="37"/>
  <c r="I132" i="37"/>
  <c r="F132" i="37"/>
  <c r="F131" i="37" s="1"/>
  <c r="N131" i="37"/>
  <c r="M131" i="37"/>
  <c r="K131" i="37"/>
  <c r="J131" i="37"/>
  <c r="H131" i="37"/>
  <c r="G131" i="37"/>
  <c r="E131" i="37"/>
  <c r="D131" i="37"/>
  <c r="O129" i="37"/>
  <c r="L129" i="37"/>
  <c r="L128" i="37" s="1"/>
  <c r="I129" i="37"/>
  <c r="I128" i="37" s="1"/>
  <c r="F129" i="37"/>
  <c r="O128" i="37"/>
  <c r="N128" i="37"/>
  <c r="M128" i="37"/>
  <c r="K128" i="37"/>
  <c r="J128" i="37"/>
  <c r="H128" i="37"/>
  <c r="G128" i="37"/>
  <c r="E128" i="37"/>
  <c r="D128" i="37"/>
  <c r="O127" i="37"/>
  <c r="L127" i="37"/>
  <c r="I127" i="37"/>
  <c r="F127" i="37"/>
  <c r="O126" i="37"/>
  <c r="L126" i="37"/>
  <c r="I126" i="37"/>
  <c r="F126" i="37"/>
  <c r="O125" i="37"/>
  <c r="L125" i="37"/>
  <c r="I125" i="37"/>
  <c r="F125" i="37"/>
  <c r="O124" i="37"/>
  <c r="L124" i="37"/>
  <c r="I124" i="37"/>
  <c r="F124" i="37"/>
  <c r="O123" i="37"/>
  <c r="L123" i="37"/>
  <c r="L122" i="37" s="1"/>
  <c r="I123" i="37"/>
  <c r="F123" i="37"/>
  <c r="F122" i="37" s="1"/>
  <c r="N122" i="37"/>
  <c r="M122" i="37"/>
  <c r="K122" i="37"/>
  <c r="J122" i="37"/>
  <c r="H122" i="37"/>
  <c r="G122" i="37"/>
  <c r="E122" i="37"/>
  <c r="D122" i="37"/>
  <c r="O121" i="37"/>
  <c r="L121" i="37"/>
  <c r="I121" i="37"/>
  <c r="F121" i="37"/>
  <c r="O120" i="37"/>
  <c r="L120" i="37"/>
  <c r="I120" i="37"/>
  <c r="F120" i="37"/>
  <c r="O119" i="37"/>
  <c r="L119" i="37"/>
  <c r="I119" i="37"/>
  <c r="F119" i="37"/>
  <c r="O118" i="37"/>
  <c r="L118" i="37"/>
  <c r="I118" i="37"/>
  <c r="F118" i="37"/>
  <c r="O117" i="37"/>
  <c r="L117" i="37"/>
  <c r="I117" i="37"/>
  <c r="I116" i="37" s="1"/>
  <c r="F117" i="37"/>
  <c r="N116" i="37"/>
  <c r="M116" i="37"/>
  <c r="K116" i="37"/>
  <c r="J116" i="37"/>
  <c r="H116" i="37"/>
  <c r="G116" i="37"/>
  <c r="E116" i="37"/>
  <c r="D116" i="37"/>
  <c r="O115" i="37"/>
  <c r="L115" i="37"/>
  <c r="I115" i="37"/>
  <c r="F115" i="37"/>
  <c r="O114" i="37"/>
  <c r="L114" i="37"/>
  <c r="I114" i="37"/>
  <c r="F114" i="37"/>
  <c r="O113" i="37"/>
  <c r="L113" i="37"/>
  <c r="I113" i="37"/>
  <c r="I112" i="37" s="1"/>
  <c r="F113" i="37"/>
  <c r="N112" i="37"/>
  <c r="M112" i="37"/>
  <c r="K112" i="37"/>
  <c r="J112" i="37"/>
  <c r="H112" i="37"/>
  <c r="G112" i="37"/>
  <c r="E112" i="37"/>
  <c r="D112" i="37"/>
  <c r="O111" i="37"/>
  <c r="L111" i="37"/>
  <c r="I111" i="37"/>
  <c r="F111" i="37"/>
  <c r="O110" i="37"/>
  <c r="L110" i="37"/>
  <c r="I110" i="37"/>
  <c r="F110" i="37"/>
  <c r="O109" i="37"/>
  <c r="L109" i="37"/>
  <c r="I109" i="37"/>
  <c r="F109" i="37"/>
  <c r="O108" i="37"/>
  <c r="L108" i="37"/>
  <c r="I108" i="37"/>
  <c r="F108" i="37"/>
  <c r="O107" i="37"/>
  <c r="L107" i="37"/>
  <c r="I107" i="37"/>
  <c r="F107" i="37"/>
  <c r="O106" i="37"/>
  <c r="L106" i="37"/>
  <c r="I106" i="37"/>
  <c r="F106" i="37"/>
  <c r="O105" i="37"/>
  <c r="L105" i="37"/>
  <c r="I105" i="37"/>
  <c r="F105" i="37"/>
  <c r="O104" i="37"/>
  <c r="L104" i="37"/>
  <c r="I104" i="37"/>
  <c r="F104" i="37"/>
  <c r="N103" i="37"/>
  <c r="M103" i="37"/>
  <c r="K103" i="37"/>
  <c r="J103" i="37"/>
  <c r="H103" i="37"/>
  <c r="G103" i="37"/>
  <c r="E103" i="37"/>
  <c r="D103" i="37"/>
  <c r="O102" i="37"/>
  <c r="L102" i="37"/>
  <c r="I102" i="37"/>
  <c r="F102" i="37"/>
  <c r="O101" i="37"/>
  <c r="L101" i="37"/>
  <c r="I101" i="37"/>
  <c r="F101" i="37"/>
  <c r="O100" i="37"/>
  <c r="L100" i="37"/>
  <c r="I100" i="37"/>
  <c r="F100" i="37"/>
  <c r="O99" i="37"/>
  <c r="L99" i="37"/>
  <c r="I99" i="37"/>
  <c r="F99" i="37"/>
  <c r="O98" i="37"/>
  <c r="L98" i="37"/>
  <c r="I98" i="37"/>
  <c r="F98" i="37"/>
  <c r="O97" i="37"/>
  <c r="L97" i="37"/>
  <c r="I97" i="37"/>
  <c r="F97" i="37"/>
  <c r="O96" i="37"/>
  <c r="L96" i="37"/>
  <c r="I96" i="37"/>
  <c r="C96" i="37" s="1"/>
  <c r="F96" i="37"/>
  <c r="N95" i="37"/>
  <c r="M95" i="37"/>
  <c r="K95" i="37"/>
  <c r="J95" i="37"/>
  <c r="H95" i="37"/>
  <c r="G95" i="37"/>
  <c r="E95" i="37"/>
  <c r="D95" i="37"/>
  <c r="O94" i="37"/>
  <c r="L94" i="37"/>
  <c r="I94" i="37"/>
  <c r="F94" i="37"/>
  <c r="O93" i="37"/>
  <c r="L93" i="37"/>
  <c r="I93" i="37"/>
  <c r="F93" i="37"/>
  <c r="O92" i="37"/>
  <c r="L92" i="37"/>
  <c r="I92" i="37"/>
  <c r="F92" i="37"/>
  <c r="O91" i="37"/>
  <c r="L91" i="37"/>
  <c r="I91" i="37"/>
  <c r="F91" i="37"/>
  <c r="O90" i="37"/>
  <c r="L90" i="37"/>
  <c r="I90" i="37"/>
  <c r="I89" i="37" s="1"/>
  <c r="F90" i="37"/>
  <c r="N89" i="37"/>
  <c r="M89" i="37"/>
  <c r="K89" i="37"/>
  <c r="J89" i="37"/>
  <c r="H89" i="37"/>
  <c r="G89" i="37"/>
  <c r="E89" i="37"/>
  <c r="D89" i="37"/>
  <c r="O88" i="37"/>
  <c r="L88" i="37"/>
  <c r="I88" i="37"/>
  <c r="F88" i="37"/>
  <c r="O87" i="37"/>
  <c r="L87" i="37"/>
  <c r="I87" i="37"/>
  <c r="F87" i="37"/>
  <c r="O86" i="37"/>
  <c r="L86" i="37"/>
  <c r="I86" i="37"/>
  <c r="F86" i="37"/>
  <c r="O85" i="37"/>
  <c r="L85" i="37"/>
  <c r="I85" i="37"/>
  <c r="F85" i="37"/>
  <c r="N84" i="37"/>
  <c r="M84" i="37"/>
  <c r="K84" i="37"/>
  <c r="J84" i="37"/>
  <c r="H84" i="37"/>
  <c r="G84" i="37"/>
  <c r="E84" i="37"/>
  <c r="E83" i="37" s="1"/>
  <c r="D84" i="37"/>
  <c r="O82" i="37"/>
  <c r="L82" i="37"/>
  <c r="I82" i="37"/>
  <c r="F82" i="37"/>
  <c r="O81" i="37"/>
  <c r="L81" i="37"/>
  <c r="L80" i="37" s="1"/>
  <c r="I81" i="37"/>
  <c r="I80" i="37" s="1"/>
  <c r="F81" i="37"/>
  <c r="N80" i="37"/>
  <c r="M80" i="37"/>
  <c r="K80" i="37"/>
  <c r="J80" i="37"/>
  <c r="H80" i="37"/>
  <c r="G80" i="37"/>
  <c r="E80" i="37"/>
  <c r="D80" i="37"/>
  <c r="O79" i="37"/>
  <c r="L79" i="37"/>
  <c r="I79" i="37"/>
  <c r="F79" i="37"/>
  <c r="O78" i="37"/>
  <c r="O77" i="37" s="1"/>
  <c r="L78" i="37"/>
  <c r="I78" i="37"/>
  <c r="I77" i="37" s="1"/>
  <c r="F78" i="37"/>
  <c r="N77" i="37"/>
  <c r="N76" i="37" s="1"/>
  <c r="M77" i="37"/>
  <c r="K77" i="37"/>
  <c r="K76" i="37" s="1"/>
  <c r="J77" i="37"/>
  <c r="H77" i="37"/>
  <c r="H76" i="37" s="1"/>
  <c r="G77" i="37"/>
  <c r="E77" i="37"/>
  <c r="E76" i="37" s="1"/>
  <c r="D77" i="37"/>
  <c r="O74" i="37"/>
  <c r="L74" i="37"/>
  <c r="I74" i="37"/>
  <c r="F74" i="37"/>
  <c r="O73" i="37"/>
  <c r="L73" i="37"/>
  <c r="I73" i="37"/>
  <c r="F73" i="37"/>
  <c r="O72" i="37"/>
  <c r="L72" i="37"/>
  <c r="I72" i="37"/>
  <c r="F72" i="37"/>
  <c r="O71" i="37"/>
  <c r="L71" i="37"/>
  <c r="I71" i="37"/>
  <c r="F71" i="37"/>
  <c r="O70" i="37"/>
  <c r="L70" i="37"/>
  <c r="L69" i="37" s="1"/>
  <c r="I70" i="37"/>
  <c r="F70" i="37"/>
  <c r="N69" i="37"/>
  <c r="N67" i="37" s="1"/>
  <c r="M69" i="37"/>
  <c r="M67" i="37" s="1"/>
  <c r="K69" i="37"/>
  <c r="K67" i="37" s="1"/>
  <c r="J69" i="37"/>
  <c r="J67" i="37" s="1"/>
  <c r="H69" i="37"/>
  <c r="H67" i="37" s="1"/>
  <c r="G69" i="37"/>
  <c r="G67" i="37" s="1"/>
  <c r="E69" i="37"/>
  <c r="E67" i="37" s="1"/>
  <c r="D69" i="37"/>
  <c r="O68" i="37"/>
  <c r="L68" i="37"/>
  <c r="I68" i="37"/>
  <c r="D68" i="37"/>
  <c r="F68" i="37" s="1"/>
  <c r="O66" i="37"/>
  <c r="L66" i="37"/>
  <c r="I66" i="37"/>
  <c r="F66" i="37"/>
  <c r="O65" i="37"/>
  <c r="L65" i="37"/>
  <c r="I65" i="37"/>
  <c r="F65" i="37"/>
  <c r="O64" i="37"/>
  <c r="L64" i="37"/>
  <c r="I64" i="37"/>
  <c r="F64" i="37"/>
  <c r="O63" i="37"/>
  <c r="L63" i="37"/>
  <c r="I63" i="37"/>
  <c r="D63" i="37"/>
  <c r="O62" i="37"/>
  <c r="L62" i="37"/>
  <c r="I62" i="37"/>
  <c r="F62" i="37"/>
  <c r="O61" i="37"/>
  <c r="L61" i="37"/>
  <c r="I61" i="37"/>
  <c r="F61" i="37"/>
  <c r="O60" i="37"/>
  <c r="L60" i="37"/>
  <c r="I60" i="37"/>
  <c r="F60" i="37"/>
  <c r="O59" i="37"/>
  <c r="L59" i="37"/>
  <c r="I59" i="37"/>
  <c r="F59" i="37"/>
  <c r="N58" i="37"/>
  <c r="M58" i="37"/>
  <c r="K58" i="37"/>
  <c r="J58" i="37"/>
  <c r="H58" i="37"/>
  <c r="G58" i="37"/>
  <c r="E58" i="37"/>
  <c r="O57" i="37"/>
  <c r="L57" i="37"/>
  <c r="I57" i="37"/>
  <c r="D57" i="37"/>
  <c r="F57" i="37" s="1"/>
  <c r="O56" i="37"/>
  <c r="O55" i="37" s="1"/>
  <c r="L56" i="37"/>
  <c r="I56" i="37"/>
  <c r="D56" i="37"/>
  <c r="N55" i="37"/>
  <c r="M55" i="37"/>
  <c r="K55" i="37"/>
  <c r="J55" i="37"/>
  <c r="H55" i="37"/>
  <c r="G55" i="37"/>
  <c r="E55" i="37"/>
  <c r="O47" i="37"/>
  <c r="C47" i="37" s="1"/>
  <c r="O46" i="37"/>
  <c r="C46" i="37" s="1"/>
  <c r="N45" i="37"/>
  <c r="M45" i="37"/>
  <c r="L44" i="37"/>
  <c r="L43" i="37" s="1"/>
  <c r="I44" i="37"/>
  <c r="F44" i="37"/>
  <c r="F43" i="37" s="1"/>
  <c r="K43" i="37"/>
  <c r="J43" i="37"/>
  <c r="H43" i="37"/>
  <c r="G43" i="37"/>
  <c r="E43" i="37"/>
  <c r="D43" i="37"/>
  <c r="F42" i="37"/>
  <c r="C42" i="37" s="1"/>
  <c r="E41" i="37"/>
  <c r="D41" i="37"/>
  <c r="L40" i="37"/>
  <c r="C40" i="37" s="1"/>
  <c r="L39" i="37"/>
  <c r="C39" i="37" s="1"/>
  <c r="L38" i="37"/>
  <c r="C38" i="37" s="1"/>
  <c r="L37" i="37"/>
  <c r="C37" i="37" s="1"/>
  <c r="K36" i="37"/>
  <c r="J36" i="37"/>
  <c r="L35" i="37"/>
  <c r="C35" i="37" s="1"/>
  <c r="L34" i="37"/>
  <c r="K33" i="37"/>
  <c r="J33" i="37"/>
  <c r="L32" i="37"/>
  <c r="C32" i="37" s="1"/>
  <c r="K31" i="37"/>
  <c r="J31" i="37"/>
  <c r="L30" i="37"/>
  <c r="C30" i="37" s="1"/>
  <c r="L29" i="37"/>
  <c r="C29" i="37" s="1"/>
  <c r="L28" i="37"/>
  <c r="C28" i="37" s="1"/>
  <c r="K27" i="37"/>
  <c r="J27" i="37"/>
  <c r="F25" i="37"/>
  <c r="C25" i="37" s="1"/>
  <c r="I24" i="37"/>
  <c r="F24" i="37"/>
  <c r="D24" i="37"/>
  <c r="O23" i="37"/>
  <c r="L23" i="37"/>
  <c r="I23" i="37"/>
  <c r="F23" i="37"/>
  <c r="O22" i="37"/>
  <c r="O21" i="37" s="1"/>
  <c r="L22" i="37"/>
  <c r="L21" i="37" s="1"/>
  <c r="I22" i="37"/>
  <c r="I21" i="37" s="1"/>
  <c r="F22" i="37"/>
  <c r="N21" i="37"/>
  <c r="M21" i="37"/>
  <c r="M292" i="37" s="1"/>
  <c r="K21" i="37"/>
  <c r="K292" i="37" s="1"/>
  <c r="K291" i="37" s="1"/>
  <c r="J21" i="37"/>
  <c r="H21" i="37"/>
  <c r="G21" i="37"/>
  <c r="G292" i="37" s="1"/>
  <c r="F21" i="37"/>
  <c r="F292" i="37" s="1"/>
  <c r="E21" i="37"/>
  <c r="D21" i="37"/>
  <c r="E20" i="37"/>
  <c r="C90" i="37" l="1"/>
  <c r="K187" i="37"/>
  <c r="C190" i="37"/>
  <c r="L33" i="37"/>
  <c r="C33" i="37" s="1"/>
  <c r="K54" i="37"/>
  <c r="C94" i="37"/>
  <c r="G187" i="37"/>
  <c r="F41" i="37"/>
  <c r="C41" i="37" s="1"/>
  <c r="G54" i="37"/>
  <c r="H174" i="37"/>
  <c r="M231" i="37"/>
  <c r="I136" i="37"/>
  <c r="C158" i="37"/>
  <c r="C164" i="37"/>
  <c r="O286" i="37"/>
  <c r="O122" i="37"/>
  <c r="M291" i="37"/>
  <c r="N292" i="37"/>
  <c r="N291" i="37" s="1"/>
  <c r="N54" i="37"/>
  <c r="N53" i="37" s="1"/>
  <c r="M76" i="37"/>
  <c r="C126" i="37"/>
  <c r="C133" i="37"/>
  <c r="C138" i="37"/>
  <c r="O136" i="37"/>
  <c r="O188" i="37"/>
  <c r="O187" i="37" s="1"/>
  <c r="C236" i="37"/>
  <c r="C237" i="37"/>
  <c r="O238" i="37"/>
  <c r="O260" i="37"/>
  <c r="C298" i="37"/>
  <c r="C299" i="37"/>
  <c r="G291" i="37"/>
  <c r="L36" i="37"/>
  <c r="C36" i="37" s="1"/>
  <c r="I76" i="37"/>
  <c r="C82" i="37"/>
  <c r="C202" i="37"/>
  <c r="E292" i="37"/>
  <c r="E291" i="37" s="1"/>
  <c r="J292" i="37"/>
  <c r="C60" i="37"/>
  <c r="C70" i="37"/>
  <c r="C71" i="37"/>
  <c r="C72" i="37"/>
  <c r="C73" i="37"/>
  <c r="C169" i="37"/>
  <c r="N187" i="37"/>
  <c r="N269" i="37"/>
  <c r="K270" i="37"/>
  <c r="K269" i="37" s="1"/>
  <c r="M54" i="37"/>
  <c r="M53" i="37" s="1"/>
  <c r="J76" i="37"/>
  <c r="C78" i="37"/>
  <c r="C114" i="37"/>
  <c r="C150" i="37"/>
  <c r="F166" i="37"/>
  <c r="F165" i="37" s="1"/>
  <c r="C168" i="37"/>
  <c r="O166" i="37"/>
  <c r="O165" i="37" s="1"/>
  <c r="D187" i="37"/>
  <c r="C214" i="37"/>
  <c r="C218" i="37"/>
  <c r="C226" i="37"/>
  <c r="M204" i="37"/>
  <c r="F235" i="37"/>
  <c r="C254" i="37"/>
  <c r="C266" i="37"/>
  <c r="C267" i="37"/>
  <c r="L272" i="37"/>
  <c r="G270" i="37"/>
  <c r="G269" i="37" s="1"/>
  <c r="C296" i="37"/>
  <c r="I55" i="37"/>
  <c r="I84" i="37"/>
  <c r="I160" i="37"/>
  <c r="L89" i="37"/>
  <c r="C106" i="37"/>
  <c r="C108" i="37"/>
  <c r="C118" i="37"/>
  <c r="C119" i="37"/>
  <c r="C121" i="37"/>
  <c r="C125" i="37"/>
  <c r="C146" i="37"/>
  <c r="C149" i="37"/>
  <c r="C154" i="37"/>
  <c r="C157" i="37"/>
  <c r="O160" i="37"/>
  <c r="C185" i="37"/>
  <c r="C210" i="37"/>
  <c r="C222" i="37"/>
  <c r="C224" i="37"/>
  <c r="E231" i="37"/>
  <c r="C250" i="37"/>
  <c r="C258" i="37"/>
  <c r="C262" i="37"/>
  <c r="K259" i="37"/>
  <c r="N83" i="37"/>
  <c r="O246" i="37"/>
  <c r="J291" i="37"/>
  <c r="C34" i="37"/>
  <c r="C44" i="37"/>
  <c r="D67" i="37"/>
  <c r="C74" i="37"/>
  <c r="C134" i="37"/>
  <c r="K130" i="37"/>
  <c r="J173" i="37"/>
  <c r="K195" i="37"/>
  <c r="C201" i="37"/>
  <c r="G204" i="37"/>
  <c r="J269" i="37"/>
  <c r="D270" i="37"/>
  <c r="D269" i="37" s="1"/>
  <c r="C278" i="37"/>
  <c r="I174" i="37"/>
  <c r="I173" i="37" s="1"/>
  <c r="C189" i="37"/>
  <c r="F188" i="37"/>
  <c r="C188" i="37" s="1"/>
  <c r="C282" i="37"/>
  <c r="F281" i="37"/>
  <c r="I293" i="37"/>
  <c r="C294" i="37"/>
  <c r="L103" i="37"/>
  <c r="G53" i="37"/>
  <c r="L67" i="37"/>
  <c r="F77" i="37"/>
  <c r="M83" i="37"/>
  <c r="M20" i="37"/>
  <c r="C22" i="37"/>
  <c r="C23" i="37"/>
  <c r="L27" i="37"/>
  <c r="C27" i="37" s="1"/>
  <c r="K26" i="37"/>
  <c r="J54" i="37"/>
  <c r="J53" i="37" s="1"/>
  <c r="D55" i="37"/>
  <c r="F56" i="37"/>
  <c r="C56" i="37" s="1"/>
  <c r="L77" i="37"/>
  <c r="L76" i="37" s="1"/>
  <c r="C98" i="37"/>
  <c r="F103" i="37"/>
  <c r="G130" i="37"/>
  <c r="E130" i="37"/>
  <c r="E75" i="37" s="1"/>
  <c r="C162" i="37"/>
  <c r="C177" i="37"/>
  <c r="L216" i="37"/>
  <c r="L204" i="37" s="1"/>
  <c r="C234" i="37"/>
  <c r="L95" i="37"/>
  <c r="I270" i="37"/>
  <c r="I269" i="37" s="1"/>
  <c r="N20" i="37"/>
  <c r="I43" i="37"/>
  <c r="C43" i="37" s="1"/>
  <c r="O45" i="37"/>
  <c r="C45" i="37" s="1"/>
  <c r="I58" i="37"/>
  <c r="I54" i="37" s="1"/>
  <c r="C68" i="37"/>
  <c r="D76" i="37"/>
  <c r="J83" i="37"/>
  <c r="C86" i="37"/>
  <c r="C110" i="37"/>
  <c r="C111" i="37"/>
  <c r="C140" i="37"/>
  <c r="C142" i="37"/>
  <c r="F141" i="37"/>
  <c r="C141" i="37" s="1"/>
  <c r="C143" i="37"/>
  <c r="L151" i="37"/>
  <c r="C171" i="37"/>
  <c r="G174" i="37"/>
  <c r="G173" i="37" s="1"/>
  <c r="K174" i="37"/>
  <c r="K173" i="37" s="1"/>
  <c r="C181" i="37"/>
  <c r="C182" i="37"/>
  <c r="L187" i="37"/>
  <c r="D204" i="37"/>
  <c r="D195" i="37" s="1"/>
  <c r="C206" i="37"/>
  <c r="I216" i="37"/>
  <c r="C274" i="37"/>
  <c r="J26" i="37"/>
  <c r="J20" i="37" s="1"/>
  <c r="L55" i="37"/>
  <c r="H54" i="37"/>
  <c r="H53" i="37" s="1"/>
  <c r="L58" i="37"/>
  <c r="I69" i="37"/>
  <c r="G83" i="37"/>
  <c r="K83" i="37"/>
  <c r="K75" i="37" s="1"/>
  <c r="C88" i="37"/>
  <c r="O112" i="37"/>
  <c r="C120" i="37"/>
  <c r="C127" i="37"/>
  <c r="D130" i="37"/>
  <c r="H130" i="37"/>
  <c r="L131" i="37"/>
  <c r="C156" i="37"/>
  <c r="O175" i="37"/>
  <c r="C183" i="37"/>
  <c r="H187" i="37"/>
  <c r="M195" i="37"/>
  <c r="L196" i="37"/>
  <c r="G195" i="37"/>
  <c r="E204" i="37"/>
  <c r="E195" i="37" s="1"/>
  <c r="J204" i="37"/>
  <c r="J195" i="37" s="1"/>
  <c r="N204" i="37"/>
  <c r="N195" i="37" s="1"/>
  <c r="K231" i="37"/>
  <c r="C243" i="37"/>
  <c r="C245" i="37"/>
  <c r="O252" i="37"/>
  <c r="O251" i="37" s="1"/>
  <c r="I264" i="37"/>
  <c r="I259" i="37" s="1"/>
  <c r="O272" i="37"/>
  <c r="C287" i="37"/>
  <c r="C207" i="37"/>
  <c r="C208" i="37"/>
  <c r="C219" i="37"/>
  <c r="C221" i="37"/>
  <c r="C232" i="37"/>
  <c r="D231" i="37"/>
  <c r="D230" i="37" s="1"/>
  <c r="H231" i="37"/>
  <c r="H230" i="37" s="1"/>
  <c r="C244" i="37"/>
  <c r="C249" i="37"/>
  <c r="C257" i="37"/>
  <c r="E259" i="37"/>
  <c r="E230" i="37" s="1"/>
  <c r="L264" i="37"/>
  <c r="C275" i="37"/>
  <c r="L276" i="37"/>
  <c r="L270" i="37" s="1"/>
  <c r="L269" i="37" s="1"/>
  <c r="L293" i="37"/>
  <c r="C57" i="37"/>
  <c r="C61" i="37"/>
  <c r="C62" i="37"/>
  <c r="C64" i="37"/>
  <c r="C65" i="37"/>
  <c r="C66" i="37"/>
  <c r="G76" i="37"/>
  <c r="D83" i="37"/>
  <c r="O84" i="37"/>
  <c r="L84" i="37"/>
  <c r="C91" i="37"/>
  <c r="C92" i="37"/>
  <c r="C93" i="37"/>
  <c r="C100" i="37"/>
  <c r="C102" i="37"/>
  <c r="C104" i="37"/>
  <c r="C107" i="37"/>
  <c r="C109" i="37"/>
  <c r="O116" i="37"/>
  <c r="C135" i="37"/>
  <c r="C148" i="37"/>
  <c r="C163" i="37"/>
  <c r="C170" i="37"/>
  <c r="C172" i="37"/>
  <c r="M174" i="37"/>
  <c r="M173" i="37" s="1"/>
  <c r="O179" i="37"/>
  <c r="O174" i="37" s="1"/>
  <c r="O173" i="37" s="1"/>
  <c r="C186" i="37"/>
  <c r="H204" i="37"/>
  <c r="H195" i="37" s="1"/>
  <c r="H194" i="37" s="1"/>
  <c r="C213" i="37"/>
  <c r="C220" i="37"/>
  <c r="C225" i="37"/>
  <c r="C229" i="37"/>
  <c r="N231" i="37"/>
  <c r="N230" i="37" s="1"/>
  <c r="N194" i="37" s="1"/>
  <c r="O264" i="37"/>
  <c r="O259" i="37" s="1"/>
  <c r="C271" i="37"/>
  <c r="O276" i="37"/>
  <c r="C295" i="37"/>
  <c r="C21" i="37"/>
  <c r="I20" i="37"/>
  <c r="C79" i="37"/>
  <c r="C87" i="37"/>
  <c r="C193" i="37"/>
  <c r="F192" i="37"/>
  <c r="O292" i="37"/>
  <c r="O291" i="37" s="1"/>
  <c r="O20" i="37"/>
  <c r="K53" i="37"/>
  <c r="O58" i="37"/>
  <c r="O54" i="37" s="1"/>
  <c r="I67" i="37"/>
  <c r="O69" i="37"/>
  <c r="O67" i="37" s="1"/>
  <c r="O80" i="37"/>
  <c r="O76" i="37" s="1"/>
  <c r="H83" i="37"/>
  <c r="O89" i="37"/>
  <c r="C97" i="37"/>
  <c r="F95" i="37"/>
  <c r="C153" i="37"/>
  <c r="F151" i="37"/>
  <c r="L292" i="37"/>
  <c r="C59" i="37"/>
  <c r="F58" i="37"/>
  <c r="C81" i="37"/>
  <c r="F80" i="37"/>
  <c r="C137" i="37"/>
  <c r="F136" i="37"/>
  <c r="D292" i="37"/>
  <c r="D291" i="37" s="1"/>
  <c r="D20" i="37"/>
  <c r="H292" i="37"/>
  <c r="H291" i="37" s="1"/>
  <c r="H20" i="37"/>
  <c r="C24" i="37"/>
  <c r="F20" i="37"/>
  <c r="E54" i="37"/>
  <c r="E53" i="37" s="1"/>
  <c r="D58" i="37"/>
  <c r="F63" i="37"/>
  <c r="C63" i="37" s="1"/>
  <c r="C85" i="37"/>
  <c r="F84" i="37"/>
  <c r="J166" i="37"/>
  <c r="J165" i="37" s="1"/>
  <c r="L167" i="37"/>
  <c r="L166" i="37" s="1"/>
  <c r="C209" i="37"/>
  <c r="F205" i="37"/>
  <c r="C277" i="37"/>
  <c r="F276" i="37"/>
  <c r="C301" i="37"/>
  <c r="L31" i="37"/>
  <c r="I95" i="37"/>
  <c r="C99" i="37"/>
  <c r="O103" i="37"/>
  <c r="C113" i="37"/>
  <c r="F112" i="37"/>
  <c r="L116" i="37"/>
  <c r="C129" i="37"/>
  <c r="F128" i="37"/>
  <c r="C128" i="37" s="1"/>
  <c r="N130" i="37"/>
  <c r="N75" i="37" s="1"/>
  <c r="N52" i="37" s="1"/>
  <c r="O131" i="37"/>
  <c r="C139" i="37"/>
  <c r="C145" i="37"/>
  <c r="F144" i="37"/>
  <c r="O144" i="37"/>
  <c r="I151" i="37"/>
  <c r="C152" i="37"/>
  <c r="C155" i="37"/>
  <c r="I165" i="37"/>
  <c r="H173" i="37"/>
  <c r="E174" i="37"/>
  <c r="E173" i="37" s="1"/>
  <c r="C176" i="37"/>
  <c r="F175" i="37"/>
  <c r="L179" i="37"/>
  <c r="G20" i="37"/>
  <c r="K20" i="37"/>
  <c r="F69" i="37"/>
  <c r="F89" i="37"/>
  <c r="C101" i="37"/>
  <c r="C105" i="37"/>
  <c r="C115" i="37"/>
  <c r="J130" i="37"/>
  <c r="M130" i="37"/>
  <c r="L136" i="37"/>
  <c r="C147" i="37"/>
  <c r="C159" i="37"/>
  <c r="C178" i="37"/>
  <c r="C184" i="37"/>
  <c r="C261" i="37"/>
  <c r="F260" i="37"/>
  <c r="O95" i="37"/>
  <c r="I103" i="37"/>
  <c r="L112" i="37"/>
  <c r="C117" i="37"/>
  <c r="F116" i="37"/>
  <c r="C116" i="37" s="1"/>
  <c r="C124" i="37"/>
  <c r="I122" i="37"/>
  <c r="C122" i="37" s="1"/>
  <c r="I131" i="37"/>
  <c r="C132" i="37"/>
  <c r="L144" i="37"/>
  <c r="O151" i="37"/>
  <c r="C161" i="37"/>
  <c r="F160" i="37"/>
  <c r="D173" i="37"/>
  <c r="L175" i="37"/>
  <c r="C180" i="37"/>
  <c r="F179" i="37"/>
  <c r="J187" i="37"/>
  <c r="C235" i="37"/>
  <c r="C256" i="37"/>
  <c r="I252" i="37"/>
  <c r="I251" i="37" s="1"/>
  <c r="C123" i="37"/>
  <c r="C200" i="37"/>
  <c r="I198" i="37"/>
  <c r="I196" i="37" s="1"/>
  <c r="C203" i="37"/>
  <c r="I205" i="37"/>
  <c r="C211" i="37"/>
  <c r="C212" i="37"/>
  <c r="C223" i="37"/>
  <c r="O231" i="37"/>
  <c r="L252" i="37"/>
  <c r="L251" i="37" s="1"/>
  <c r="C255" i="37"/>
  <c r="E270" i="37"/>
  <c r="E269" i="37" s="1"/>
  <c r="C279" i="37"/>
  <c r="C280" i="37"/>
  <c r="C281" i="37"/>
  <c r="C285" i="37"/>
  <c r="F284" i="37"/>
  <c r="C288" i="37"/>
  <c r="I286" i="37"/>
  <c r="C300" i="37"/>
  <c r="C197" i="37"/>
  <c r="F196" i="37"/>
  <c r="C215" i="37"/>
  <c r="I227" i="37"/>
  <c r="C227" i="37" s="1"/>
  <c r="C228" i="37"/>
  <c r="C233" i="37"/>
  <c r="L231" i="37"/>
  <c r="C239" i="37"/>
  <c r="C241" i="37"/>
  <c r="F238" i="37"/>
  <c r="C248" i="37"/>
  <c r="I246" i="37"/>
  <c r="C246" i="37" s="1"/>
  <c r="C253" i="37"/>
  <c r="F252" i="37"/>
  <c r="M259" i="37"/>
  <c r="M230" i="37" s="1"/>
  <c r="C265" i="37"/>
  <c r="F264" i="37"/>
  <c r="C273" i="37"/>
  <c r="F272" i="37"/>
  <c r="O196" i="37"/>
  <c r="O205" i="37"/>
  <c r="C217" i="37"/>
  <c r="F216" i="37"/>
  <c r="O216" i="37"/>
  <c r="J230" i="37"/>
  <c r="J194" i="37" s="1"/>
  <c r="G231" i="37"/>
  <c r="G230" i="37" s="1"/>
  <c r="C240" i="37"/>
  <c r="I238" i="37"/>
  <c r="L260" i="37"/>
  <c r="L259" i="37" s="1"/>
  <c r="C263" i="37"/>
  <c r="C268" i="37"/>
  <c r="C297" i="37"/>
  <c r="F293" i="37"/>
  <c r="C293" i="37" s="1"/>
  <c r="C199" i="37"/>
  <c r="C247" i="37"/>
  <c r="L195" i="37" l="1"/>
  <c r="J75" i="37"/>
  <c r="J52" i="37" s="1"/>
  <c r="J51" i="37" s="1"/>
  <c r="J50" i="37" s="1"/>
  <c r="C276" i="37"/>
  <c r="K230" i="37"/>
  <c r="K194" i="37" s="1"/>
  <c r="L54" i="37"/>
  <c r="L53" i="37" s="1"/>
  <c r="I53" i="37"/>
  <c r="C77" i="37"/>
  <c r="O270" i="37"/>
  <c r="O269" i="37" s="1"/>
  <c r="L130" i="37"/>
  <c r="F55" i="37"/>
  <c r="F54" i="37" s="1"/>
  <c r="D75" i="37"/>
  <c r="I231" i="37"/>
  <c r="L174" i="37"/>
  <c r="L173" i="37" s="1"/>
  <c r="M75" i="37"/>
  <c r="M52" i="37" s="1"/>
  <c r="L291" i="37"/>
  <c r="G194" i="37"/>
  <c r="C179" i="37"/>
  <c r="C160" i="37"/>
  <c r="C103" i="37"/>
  <c r="H75" i="37"/>
  <c r="H52" i="37" s="1"/>
  <c r="H51" i="37" s="1"/>
  <c r="H50" i="37" s="1"/>
  <c r="E194" i="37"/>
  <c r="K52" i="37"/>
  <c r="O230" i="37"/>
  <c r="E289" i="37"/>
  <c r="I130" i="37"/>
  <c r="I83" i="37"/>
  <c r="C80" i="37"/>
  <c r="N51" i="37"/>
  <c r="N290" i="37" s="1"/>
  <c r="C264" i="37"/>
  <c r="C238" i="37"/>
  <c r="L83" i="37"/>
  <c r="D54" i="37"/>
  <c r="D53" i="37" s="1"/>
  <c r="D52" i="37" s="1"/>
  <c r="O83" i="37"/>
  <c r="O53" i="37"/>
  <c r="G75" i="37"/>
  <c r="G289" i="37" s="1"/>
  <c r="D194" i="37"/>
  <c r="M289" i="37"/>
  <c r="M194" i="37"/>
  <c r="H290" i="37"/>
  <c r="L26" i="37"/>
  <c r="C31" i="37"/>
  <c r="C151" i="37"/>
  <c r="J289" i="37"/>
  <c r="C216" i="37"/>
  <c r="N289" i="37"/>
  <c r="C286" i="37"/>
  <c r="C284" i="37"/>
  <c r="F283" i="37"/>
  <c r="C283" i="37" s="1"/>
  <c r="I204" i="37"/>
  <c r="I195" i="37" s="1"/>
  <c r="I194" i="37" s="1"/>
  <c r="C131" i="37"/>
  <c r="C198" i="37"/>
  <c r="C89" i="37"/>
  <c r="C144" i="37"/>
  <c r="O130" i="37"/>
  <c r="F291" i="37"/>
  <c r="C205" i="37"/>
  <c r="F204" i="37"/>
  <c r="F195" i="37" s="1"/>
  <c r="F76" i="37"/>
  <c r="C192" i="37"/>
  <c r="F191" i="37"/>
  <c r="F231" i="37"/>
  <c r="L165" i="37"/>
  <c r="C165" i="37" s="1"/>
  <c r="C166" i="37"/>
  <c r="C55" i="37"/>
  <c r="I230" i="37"/>
  <c r="F270" i="37"/>
  <c r="C272" i="37"/>
  <c r="F130" i="37"/>
  <c r="C260" i="37"/>
  <c r="F259" i="37"/>
  <c r="C259" i="37" s="1"/>
  <c r="C69" i="37"/>
  <c r="F67" i="37"/>
  <c r="C67" i="37" s="1"/>
  <c r="C112" i="37"/>
  <c r="C84" i="37"/>
  <c r="F83" i="37"/>
  <c r="C136" i="37"/>
  <c r="C58" i="37"/>
  <c r="C95" i="37"/>
  <c r="I292" i="37"/>
  <c r="C196" i="37"/>
  <c r="C175" i="37"/>
  <c r="F174" i="37"/>
  <c r="O204" i="37"/>
  <c r="O195" i="37" s="1"/>
  <c r="C252" i="37"/>
  <c r="F251" i="37"/>
  <c r="C251" i="37" s="1"/>
  <c r="L230" i="37"/>
  <c r="L194" i="37" s="1"/>
  <c r="C167" i="37"/>
  <c r="E52" i="37"/>
  <c r="M51" i="37" l="1"/>
  <c r="G52" i="37"/>
  <c r="G51" i="37" s="1"/>
  <c r="G290" i="37" s="1"/>
  <c r="J290" i="37"/>
  <c r="N50" i="37"/>
  <c r="O75" i="37"/>
  <c r="O52" i="37" s="1"/>
  <c r="K289" i="37"/>
  <c r="K51" i="37"/>
  <c r="K50" i="37" s="1"/>
  <c r="C130" i="37"/>
  <c r="C83" i="37"/>
  <c r="H289" i="37"/>
  <c r="D51" i="37"/>
  <c r="I75" i="37"/>
  <c r="I52" i="37" s="1"/>
  <c r="I51" i="37" s="1"/>
  <c r="E51" i="37"/>
  <c r="E50" i="37" s="1"/>
  <c r="D289" i="37"/>
  <c r="C292" i="37"/>
  <c r="I291" i="37"/>
  <c r="C291" i="37" s="1"/>
  <c r="C195" i="37"/>
  <c r="F53" i="37"/>
  <c r="C54" i="37"/>
  <c r="C76" i="37"/>
  <c r="F75" i="37"/>
  <c r="C26" i="37"/>
  <c r="L20" i="37"/>
  <c r="C20" i="37" s="1"/>
  <c r="L75" i="37"/>
  <c r="L52" i="37" s="1"/>
  <c r="L51" i="37" s="1"/>
  <c r="L50" i="37" s="1"/>
  <c r="M50" i="37"/>
  <c r="M290" i="37"/>
  <c r="F173" i="37"/>
  <c r="C173" i="37" s="1"/>
  <c r="C174" i="37"/>
  <c r="F269" i="37"/>
  <c r="C270" i="37"/>
  <c r="F230" i="37"/>
  <c r="C230" i="37" s="1"/>
  <c r="C231" i="37"/>
  <c r="C204" i="37"/>
  <c r="O194" i="37"/>
  <c r="O51" i="37" s="1"/>
  <c r="O289" i="37"/>
  <c r="C191" i="37"/>
  <c r="F187" i="37"/>
  <c r="C187" i="37" s="1"/>
  <c r="G50" i="37" l="1"/>
  <c r="L289" i="37"/>
  <c r="K290" i="37"/>
  <c r="E290" i="37"/>
  <c r="F194" i="37"/>
  <c r="C194" i="37" s="1"/>
  <c r="D50" i="37"/>
  <c r="D290" i="37"/>
  <c r="I289" i="37"/>
  <c r="L290" i="37"/>
  <c r="O50" i="37"/>
  <c r="O290" i="37"/>
  <c r="I290" i="37"/>
  <c r="I50" i="37"/>
  <c r="C53" i="37"/>
  <c r="F52" i="37"/>
  <c r="C269" i="37"/>
  <c r="F289" i="37"/>
  <c r="C75" i="37"/>
  <c r="C289" i="37" l="1"/>
  <c r="C52" i="37"/>
  <c r="F51" i="37"/>
  <c r="F290" i="37" l="1"/>
  <c r="C290" i="37" s="1"/>
  <c r="F50" i="37"/>
  <c r="C50" i="37" s="1"/>
  <c r="C51" i="37"/>
  <c r="G22" i="36" l="1"/>
  <c r="G21" i="36"/>
  <c r="F20" i="36"/>
  <c r="G20" i="36" s="1"/>
  <c r="G19" i="36"/>
  <c r="G18" i="36"/>
  <c r="G17" i="36"/>
  <c r="G16" i="36"/>
  <c r="F15" i="36"/>
  <c r="G15" i="36" s="1"/>
  <c r="G14" i="36"/>
  <c r="G13" i="36"/>
  <c r="G12" i="36"/>
  <c r="F11" i="36"/>
  <c r="E11" i="36"/>
  <c r="O301" i="35"/>
  <c r="L301" i="35"/>
  <c r="I301" i="35"/>
  <c r="F301" i="35"/>
  <c r="O300" i="35"/>
  <c r="L300" i="35"/>
  <c r="I300" i="35"/>
  <c r="F300" i="35"/>
  <c r="O299" i="35"/>
  <c r="L299" i="35"/>
  <c r="I299" i="35"/>
  <c r="F299" i="35"/>
  <c r="O298" i="35"/>
  <c r="L298" i="35"/>
  <c r="I298" i="35"/>
  <c r="F298" i="35"/>
  <c r="O297" i="35"/>
  <c r="L297" i="35"/>
  <c r="I297" i="35"/>
  <c r="F297" i="35"/>
  <c r="O296" i="35"/>
  <c r="L296" i="35"/>
  <c r="I296" i="35"/>
  <c r="F296" i="35"/>
  <c r="O295" i="35"/>
  <c r="L295" i="35"/>
  <c r="I295" i="35"/>
  <c r="F295" i="35"/>
  <c r="O294" i="35"/>
  <c r="O293" i="35" s="1"/>
  <c r="L294" i="35"/>
  <c r="I294" i="35"/>
  <c r="F294" i="35"/>
  <c r="N293" i="35"/>
  <c r="M293" i="35"/>
  <c r="K293" i="35"/>
  <c r="J293" i="35"/>
  <c r="H293" i="35"/>
  <c r="G293" i="35"/>
  <c r="E293" i="35"/>
  <c r="D293" i="35"/>
  <c r="O288" i="35"/>
  <c r="L288" i="35"/>
  <c r="I288" i="35"/>
  <c r="F288" i="35"/>
  <c r="O287" i="35"/>
  <c r="L287" i="35"/>
  <c r="L286" i="35" s="1"/>
  <c r="I287" i="35"/>
  <c r="F287" i="35"/>
  <c r="F286" i="35" s="1"/>
  <c r="O286" i="35"/>
  <c r="N286" i="35"/>
  <c r="M286" i="35"/>
  <c r="K286" i="35"/>
  <c r="J286" i="35"/>
  <c r="H286" i="35"/>
  <c r="G286" i="35"/>
  <c r="E286" i="35"/>
  <c r="D286" i="35"/>
  <c r="O285" i="35"/>
  <c r="L285" i="35"/>
  <c r="L284" i="35" s="1"/>
  <c r="L283" i="35" s="1"/>
  <c r="I285" i="35"/>
  <c r="I284" i="35" s="1"/>
  <c r="I283" i="35" s="1"/>
  <c r="F285" i="35"/>
  <c r="O284" i="35"/>
  <c r="O283" i="35" s="1"/>
  <c r="N284" i="35"/>
  <c r="M284" i="35"/>
  <c r="M283" i="35" s="1"/>
  <c r="K284" i="35"/>
  <c r="K283" i="35" s="1"/>
  <c r="J284" i="35"/>
  <c r="J283" i="35" s="1"/>
  <c r="H284" i="35"/>
  <c r="G284" i="35"/>
  <c r="G283" i="35" s="1"/>
  <c r="E284" i="35"/>
  <c r="E283" i="35" s="1"/>
  <c r="D284" i="35"/>
  <c r="N283" i="35"/>
  <c r="H283" i="35"/>
  <c r="D283" i="35"/>
  <c r="O282" i="35"/>
  <c r="O281" i="35" s="1"/>
  <c r="L282" i="35"/>
  <c r="L281" i="35" s="1"/>
  <c r="I282" i="35"/>
  <c r="I281" i="35" s="1"/>
  <c r="F282" i="35"/>
  <c r="N281" i="35"/>
  <c r="M281" i="35"/>
  <c r="K281" i="35"/>
  <c r="J281" i="35"/>
  <c r="H281" i="35"/>
  <c r="G281" i="35"/>
  <c r="F281" i="35"/>
  <c r="E281" i="35"/>
  <c r="D281" i="35"/>
  <c r="O280" i="35"/>
  <c r="L280" i="35"/>
  <c r="I280" i="35"/>
  <c r="F280" i="35"/>
  <c r="O279" i="35"/>
  <c r="L279" i="35"/>
  <c r="I279" i="35"/>
  <c r="F279" i="35"/>
  <c r="O278" i="35"/>
  <c r="L278" i="35"/>
  <c r="I278" i="35"/>
  <c r="F278" i="35"/>
  <c r="O277" i="35"/>
  <c r="L277" i="35"/>
  <c r="I277" i="35"/>
  <c r="I276" i="35" s="1"/>
  <c r="F277" i="35"/>
  <c r="N276" i="35"/>
  <c r="M276" i="35"/>
  <c r="K276" i="35"/>
  <c r="J276" i="35"/>
  <c r="H276" i="35"/>
  <c r="G276" i="35"/>
  <c r="E276" i="35"/>
  <c r="D276" i="35"/>
  <c r="O275" i="35"/>
  <c r="L275" i="35"/>
  <c r="I275" i="35"/>
  <c r="F275" i="35"/>
  <c r="O274" i="35"/>
  <c r="L274" i="35"/>
  <c r="I274" i="35"/>
  <c r="F274" i="35"/>
  <c r="C274" i="35"/>
  <c r="O273" i="35"/>
  <c r="L273" i="35"/>
  <c r="I273" i="35"/>
  <c r="F273" i="35"/>
  <c r="N272" i="35"/>
  <c r="M272" i="35"/>
  <c r="K272" i="35"/>
  <c r="K270" i="35" s="1"/>
  <c r="K269" i="35" s="1"/>
  <c r="J272" i="35"/>
  <c r="J270" i="35" s="1"/>
  <c r="J269" i="35" s="1"/>
  <c r="I272" i="35"/>
  <c r="H272" i="35"/>
  <c r="G272" i="35"/>
  <c r="E272" i="35"/>
  <c r="E270" i="35" s="1"/>
  <c r="D272" i="35"/>
  <c r="O271" i="35"/>
  <c r="L271" i="35"/>
  <c r="I271" i="35"/>
  <c r="F271" i="35"/>
  <c r="N270" i="35"/>
  <c r="N269" i="35" s="1"/>
  <c r="G270" i="35"/>
  <c r="G269" i="35" s="1"/>
  <c r="D270" i="35"/>
  <c r="O268" i="35"/>
  <c r="L268" i="35"/>
  <c r="I268" i="35"/>
  <c r="F268" i="35"/>
  <c r="O267" i="35"/>
  <c r="L267" i="35"/>
  <c r="I267" i="35"/>
  <c r="F267" i="35"/>
  <c r="O266" i="35"/>
  <c r="L266" i="35"/>
  <c r="I266" i="35"/>
  <c r="F266" i="35"/>
  <c r="C266" i="35" s="1"/>
  <c r="O265" i="35"/>
  <c r="L265" i="35"/>
  <c r="I265" i="35"/>
  <c r="I264" i="35" s="1"/>
  <c r="F265" i="35"/>
  <c r="N264" i="35"/>
  <c r="M264" i="35"/>
  <c r="K264" i="35"/>
  <c r="J264" i="35"/>
  <c r="H264" i="35"/>
  <c r="G264" i="35"/>
  <c r="E264" i="35"/>
  <c r="D264" i="35"/>
  <c r="O263" i="35"/>
  <c r="L263" i="35"/>
  <c r="I263" i="35"/>
  <c r="F263" i="35"/>
  <c r="O262" i="35"/>
  <c r="L262" i="35"/>
  <c r="I262" i="35"/>
  <c r="F262" i="35"/>
  <c r="O261" i="35"/>
  <c r="L261" i="35"/>
  <c r="I261" i="35"/>
  <c r="I260" i="35" s="1"/>
  <c r="F261" i="35"/>
  <c r="N260" i="35"/>
  <c r="M260" i="35"/>
  <c r="K260" i="35"/>
  <c r="J260" i="35"/>
  <c r="H260" i="35"/>
  <c r="H259" i="35" s="1"/>
  <c r="G260" i="35"/>
  <c r="E260" i="35"/>
  <c r="D260" i="35"/>
  <c r="N259" i="35"/>
  <c r="K259" i="35"/>
  <c r="G259" i="35"/>
  <c r="D259" i="35"/>
  <c r="O258" i="35"/>
  <c r="L258" i="35"/>
  <c r="I258" i="35"/>
  <c r="F258" i="35"/>
  <c r="C258" i="35" s="1"/>
  <c r="O257" i="35"/>
  <c r="L257" i="35"/>
  <c r="I257" i="35"/>
  <c r="F257" i="35"/>
  <c r="O256" i="35"/>
  <c r="L256" i="35"/>
  <c r="I256" i="35"/>
  <c r="F256" i="35"/>
  <c r="O255" i="35"/>
  <c r="L255" i="35"/>
  <c r="I255" i="35"/>
  <c r="F255" i="35"/>
  <c r="O254" i="35"/>
  <c r="L254" i="35"/>
  <c r="I254" i="35"/>
  <c r="F254" i="35"/>
  <c r="C254" i="35" s="1"/>
  <c r="O253" i="35"/>
  <c r="L253" i="35"/>
  <c r="I253" i="35"/>
  <c r="F253" i="35"/>
  <c r="N252" i="35"/>
  <c r="N251" i="35" s="1"/>
  <c r="M252" i="35"/>
  <c r="M251" i="35" s="1"/>
  <c r="K252" i="35"/>
  <c r="J252" i="35"/>
  <c r="I252" i="35"/>
  <c r="I251" i="35" s="1"/>
  <c r="H252" i="35"/>
  <c r="G252" i="35"/>
  <c r="E252" i="35"/>
  <c r="E251" i="35" s="1"/>
  <c r="D252" i="35"/>
  <c r="D251" i="35" s="1"/>
  <c r="K251" i="35"/>
  <c r="J251" i="35"/>
  <c r="H251" i="35"/>
  <c r="G251" i="35"/>
  <c r="O250" i="35"/>
  <c r="L250" i="35"/>
  <c r="I250" i="35"/>
  <c r="F250" i="35"/>
  <c r="O249" i="35"/>
  <c r="L249" i="35"/>
  <c r="I249" i="35"/>
  <c r="F249" i="35"/>
  <c r="O248" i="35"/>
  <c r="L248" i="35"/>
  <c r="I248" i="35"/>
  <c r="F248" i="35"/>
  <c r="O247" i="35"/>
  <c r="L247" i="35"/>
  <c r="I247" i="35"/>
  <c r="F247" i="35"/>
  <c r="N246" i="35"/>
  <c r="M246" i="35"/>
  <c r="K246" i="35"/>
  <c r="J246" i="35"/>
  <c r="H246" i="35"/>
  <c r="G246" i="35"/>
  <c r="E246" i="35"/>
  <c r="D246" i="35"/>
  <c r="O245" i="35"/>
  <c r="L245" i="35"/>
  <c r="I245" i="35"/>
  <c r="F245" i="35"/>
  <c r="O244" i="35"/>
  <c r="L244" i="35"/>
  <c r="I244" i="35"/>
  <c r="F244" i="35"/>
  <c r="O243" i="35"/>
  <c r="L243" i="35"/>
  <c r="I243" i="35"/>
  <c r="F243" i="35"/>
  <c r="O242" i="35"/>
  <c r="L242" i="35"/>
  <c r="I242" i="35"/>
  <c r="F242" i="35"/>
  <c r="C242" i="35" s="1"/>
  <c r="O241" i="35"/>
  <c r="L241" i="35"/>
  <c r="I241" i="35"/>
  <c r="F241" i="35"/>
  <c r="O240" i="35"/>
  <c r="L240" i="35"/>
  <c r="I240" i="35"/>
  <c r="F240" i="35"/>
  <c r="O239" i="35"/>
  <c r="L239" i="35"/>
  <c r="I239" i="35"/>
  <c r="F239" i="35"/>
  <c r="N238" i="35"/>
  <c r="M238" i="35"/>
  <c r="K238" i="35"/>
  <c r="J238" i="35"/>
  <c r="H238" i="35"/>
  <c r="G238" i="35"/>
  <c r="E238" i="35"/>
  <c r="D238" i="35"/>
  <c r="O237" i="35"/>
  <c r="L237" i="35"/>
  <c r="I237" i="35"/>
  <c r="F237" i="35"/>
  <c r="O236" i="35"/>
  <c r="L236" i="35"/>
  <c r="I236" i="35"/>
  <c r="I235" i="35" s="1"/>
  <c r="F236" i="35"/>
  <c r="F235" i="35" s="1"/>
  <c r="O235" i="35"/>
  <c r="N235" i="35"/>
  <c r="M235" i="35"/>
  <c r="L235" i="35"/>
  <c r="K235" i="35"/>
  <c r="J235" i="35"/>
  <c r="H235" i="35"/>
  <c r="G235" i="35"/>
  <c r="E235" i="35"/>
  <c r="D235" i="35"/>
  <c r="O234" i="35"/>
  <c r="O233" i="35" s="1"/>
  <c r="L234" i="35"/>
  <c r="L233" i="35" s="1"/>
  <c r="I234" i="35"/>
  <c r="F234" i="35"/>
  <c r="F233" i="35" s="1"/>
  <c r="N233" i="35"/>
  <c r="N231" i="35" s="1"/>
  <c r="M233" i="35"/>
  <c r="K233" i="35"/>
  <c r="J233" i="35"/>
  <c r="I233" i="35"/>
  <c r="H233" i="35"/>
  <c r="G233" i="35"/>
  <c r="E233" i="35"/>
  <c r="D233" i="35"/>
  <c r="O232" i="35"/>
  <c r="L232" i="35"/>
  <c r="I232" i="35"/>
  <c r="F232" i="35"/>
  <c r="O229" i="35"/>
  <c r="L229" i="35"/>
  <c r="I229" i="35"/>
  <c r="F229" i="35"/>
  <c r="O228" i="35"/>
  <c r="L228" i="35"/>
  <c r="L227" i="35" s="1"/>
  <c r="I228" i="35"/>
  <c r="I227" i="35" s="1"/>
  <c r="F228" i="35"/>
  <c r="O227" i="35"/>
  <c r="N227" i="35"/>
  <c r="M227" i="35"/>
  <c r="K227" i="35"/>
  <c r="J227" i="35"/>
  <c r="H227" i="35"/>
  <c r="G227" i="35"/>
  <c r="F227" i="35"/>
  <c r="E227" i="35"/>
  <c r="D227" i="35"/>
  <c r="O226" i="35"/>
  <c r="L226" i="35"/>
  <c r="I226" i="35"/>
  <c r="F226" i="35"/>
  <c r="O225" i="35"/>
  <c r="L225" i="35"/>
  <c r="I225" i="35"/>
  <c r="F225" i="35"/>
  <c r="O224" i="35"/>
  <c r="L224" i="35"/>
  <c r="I224" i="35"/>
  <c r="F224" i="35"/>
  <c r="O223" i="35"/>
  <c r="L223" i="35"/>
  <c r="I223" i="35"/>
  <c r="F223" i="35"/>
  <c r="O222" i="35"/>
  <c r="L222" i="35"/>
  <c r="I222" i="35"/>
  <c r="F222" i="35"/>
  <c r="O221" i="35"/>
  <c r="L221" i="35"/>
  <c r="I221" i="35"/>
  <c r="F221" i="35"/>
  <c r="O220" i="35"/>
  <c r="L220" i="35"/>
  <c r="I220" i="35"/>
  <c r="F220" i="35"/>
  <c r="O219" i="35"/>
  <c r="L219" i="35"/>
  <c r="I219" i="35"/>
  <c r="F219" i="35"/>
  <c r="O218" i="35"/>
  <c r="L218" i="35"/>
  <c r="I218" i="35"/>
  <c r="F218" i="35"/>
  <c r="C218" i="35" s="1"/>
  <c r="O217" i="35"/>
  <c r="L217" i="35"/>
  <c r="I217" i="35"/>
  <c r="F217" i="35"/>
  <c r="N216" i="35"/>
  <c r="M216" i="35"/>
  <c r="K216" i="35"/>
  <c r="J216" i="35"/>
  <c r="H216" i="35"/>
  <c r="G216" i="35"/>
  <c r="E216" i="35"/>
  <c r="D216" i="35"/>
  <c r="O215" i="35"/>
  <c r="L215" i="35"/>
  <c r="I215" i="35"/>
  <c r="F215" i="35"/>
  <c r="O214" i="35"/>
  <c r="L214" i="35"/>
  <c r="I214" i="35"/>
  <c r="F214" i="35"/>
  <c r="O213" i="35"/>
  <c r="L213" i="35"/>
  <c r="I213" i="35"/>
  <c r="F213" i="35"/>
  <c r="O212" i="35"/>
  <c r="L212" i="35"/>
  <c r="I212" i="35"/>
  <c r="F212" i="35"/>
  <c r="O211" i="35"/>
  <c r="L211" i="35"/>
  <c r="I211" i="35"/>
  <c r="F211" i="35"/>
  <c r="O210" i="35"/>
  <c r="L210" i="35"/>
  <c r="I210" i="35"/>
  <c r="C210" i="35" s="1"/>
  <c r="F210" i="35"/>
  <c r="O209" i="35"/>
  <c r="L209" i="35"/>
  <c r="I209" i="35"/>
  <c r="F209" i="35"/>
  <c r="O208" i="35"/>
  <c r="L208" i="35"/>
  <c r="I208" i="35"/>
  <c r="F208" i="35"/>
  <c r="O207" i="35"/>
  <c r="L207" i="35"/>
  <c r="I207" i="35"/>
  <c r="F207" i="35"/>
  <c r="O206" i="35"/>
  <c r="L206" i="35"/>
  <c r="I206" i="35"/>
  <c r="F206" i="35"/>
  <c r="N205" i="35"/>
  <c r="M205" i="35"/>
  <c r="K205" i="35"/>
  <c r="J205" i="35"/>
  <c r="H205" i="35"/>
  <c r="H204" i="35" s="1"/>
  <c r="G205" i="35"/>
  <c r="E205" i="35"/>
  <c r="D205" i="35"/>
  <c r="D204" i="35" s="1"/>
  <c r="G204" i="35"/>
  <c r="O203" i="35"/>
  <c r="L203" i="35"/>
  <c r="I203" i="35"/>
  <c r="F203" i="35"/>
  <c r="O202" i="35"/>
  <c r="L202" i="35"/>
  <c r="I202" i="35"/>
  <c r="F202" i="35"/>
  <c r="C202" i="35" s="1"/>
  <c r="O201" i="35"/>
  <c r="L201" i="35"/>
  <c r="I201" i="35"/>
  <c r="F201" i="35"/>
  <c r="O200" i="35"/>
  <c r="L200" i="35"/>
  <c r="I200" i="35"/>
  <c r="F200" i="35"/>
  <c r="O199" i="35"/>
  <c r="L199" i="35"/>
  <c r="L198" i="35" s="1"/>
  <c r="I199" i="35"/>
  <c r="F199" i="35"/>
  <c r="F198" i="35" s="1"/>
  <c r="O198" i="35"/>
  <c r="N198" i="35"/>
  <c r="M198" i="35"/>
  <c r="K198" i="35"/>
  <c r="K196" i="35" s="1"/>
  <c r="J198" i="35"/>
  <c r="H198" i="35"/>
  <c r="H196" i="35" s="1"/>
  <c r="G198" i="35"/>
  <c r="G196" i="35" s="1"/>
  <c r="G195" i="35" s="1"/>
  <c r="E198" i="35"/>
  <c r="E196" i="35" s="1"/>
  <c r="D198" i="35"/>
  <c r="O197" i="35"/>
  <c r="L197" i="35"/>
  <c r="I197" i="35"/>
  <c r="F197" i="35"/>
  <c r="N196" i="35"/>
  <c r="M196" i="35"/>
  <c r="J196" i="35"/>
  <c r="D196" i="35"/>
  <c r="O193" i="35"/>
  <c r="L193" i="35"/>
  <c r="I193" i="35"/>
  <c r="F193" i="35"/>
  <c r="O192" i="35"/>
  <c r="N192" i="35"/>
  <c r="M192" i="35"/>
  <c r="M191" i="35" s="1"/>
  <c r="L192" i="35"/>
  <c r="K192" i="35"/>
  <c r="K191" i="35" s="1"/>
  <c r="J192" i="35"/>
  <c r="I192" i="35"/>
  <c r="I191" i="35" s="1"/>
  <c r="H192" i="35"/>
  <c r="G192" i="35"/>
  <c r="E192" i="35"/>
  <c r="D192" i="35"/>
  <c r="D191" i="35" s="1"/>
  <c r="O191" i="35"/>
  <c r="N191" i="35"/>
  <c r="L191" i="35"/>
  <c r="J191" i="35"/>
  <c r="H191" i="35"/>
  <c r="G191" i="35"/>
  <c r="E191" i="35"/>
  <c r="O190" i="35"/>
  <c r="L190" i="35"/>
  <c r="I190" i="35"/>
  <c r="F190" i="35"/>
  <c r="O189" i="35"/>
  <c r="L189" i="35"/>
  <c r="L188" i="35" s="1"/>
  <c r="L187" i="35" s="1"/>
  <c r="I189" i="35"/>
  <c r="F189" i="35"/>
  <c r="N188" i="35"/>
  <c r="M188" i="35"/>
  <c r="M187" i="35" s="1"/>
  <c r="K188" i="35"/>
  <c r="J188" i="35"/>
  <c r="H188" i="35"/>
  <c r="H187" i="35" s="1"/>
  <c r="G188" i="35"/>
  <c r="G187" i="35" s="1"/>
  <c r="E188" i="35"/>
  <c r="D188" i="35"/>
  <c r="N187" i="35"/>
  <c r="J187" i="35"/>
  <c r="O186" i="35"/>
  <c r="L186" i="35"/>
  <c r="I186" i="35"/>
  <c r="F186" i="35"/>
  <c r="C186" i="35" s="1"/>
  <c r="O185" i="35"/>
  <c r="L185" i="35"/>
  <c r="L184" i="35" s="1"/>
  <c r="I185" i="35"/>
  <c r="I184" i="35" s="1"/>
  <c r="F185" i="35"/>
  <c r="N184" i="35"/>
  <c r="M184" i="35"/>
  <c r="K184" i="35"/>
  <c r="J184" i="35"/>
  <c r="H184" i="35"/>
  <c r="G184" i="35"/>
  <c r="E184" i="35"/>
  <c r="D184" i="35"/>
  <c r="O183" i="35"/>
  <c r="L183" i="35"/>
  <c r="I183" i="35"/>
  <c r="F183" i="35"/>
  <c r="O182" i="35"/>
  <c r="L182" i="35"/>
  <c r="I182" i="35"/>
  <c r="F182" i="35"/>
  <c r="O181" i="35"/>
  <c r="L181" i="35"/>
  <c r="I181" i="35"/>
  <c r="F181" i="35"/>
  <c r="O180" i="35"/>
  <c r="O179" i="35" s="1"/>
  <c r="L180" i="35"/>
  <c r="I180" i="35"/>
  <c r="F180" i="35"/>
  <c r="F179" i="35" s="1"/>
  <c r="N179" i="35"/>
  <c r="M179" i="35"/>
  <c r="K179" i="35"/>
  <c r="J179" i="35"/>
  <c r="H179" i="35"/>
  <c r="G179" i="35"/>
  <c r="E179" i="35"/>
  <c r="D179" i="35"/>
  <c r="O178" i="35"/>
  <c r="L178" i="35"/>
  <c r="I178" i="35"/>
  <c r="F178" i="35"/>
  <c r="O177" i="35"/>
  <c r="L177" i="35"/>
  <c r="I177" i="35"/>
  <c r="F177" i="35"/>
  <c r="O176" i="35"/>
  <c r="L176" i="35"/>
  <c r="L175" i="35" s="1"/>
  <c r="I176" i="35"/>
  <c r="F176" i="35"/>
  <c r="N175" i="35"/>
  <c r="M175" i="35"/>
  <c r="K175" i="35"/>
  <c r="J175" i="35"/>
  <c r="J174" i="35" s="1"/>
  <c r="H175" i="35"/>
  <c r="H174" i="35" s="1"/>
  <c r="H173" i="35" s="1"/>
  <c r="G175" i="35"/>
  <c r="F175" i="35"/>
  <c r="E175" i="35"/>
  <c r="E174" i="35" s="1"/>
  <c r="D175" i="35"/>
  <c r="D174" i="35" s="1"/>
  <c r="D173" i="35" s="1"/>
  <c r="K174" i="35"/>
  <c r="K173" i="35" s="1"/>
  <c r="O172" i="35"/>
  <c r="L172" i="35"/>
  <c r="I172" i="35"/>
  <c r="F172" i="35"/>
  <c r="O171" i="35"/>
  <c r="L171" i="35"/>
  <c r="I171" i="35"/>
  <c r="F171" i="35"/>
  <c r="O170" i="35"/>
  <c r="L170" i="35"/>
  <c r="I170" i="35"/>
  <c r="F170" i="35"/>
  <c r="O169" i="35"/>
  <c r="L169" i="35"/>
  <c r="I169" i="35"/>
  <c r="F169" i="35"/>
  <c r="O168" i="35"/>
  <c r="L168" i="35"/>
  <c r="I168" i="35"/>
  <c r="F168" i="35"/>
  <c r="O167" i="35"/>
  <c r="L167" i="35"/>
  <c r="L166" i="35" s="1"/>
  <c r="I167" i="35"/>
  <c r="F167" i="35"/>
  <c r="N166" i="35"/>
  <c r="M166" i="35"/>
  <c r="M165" i="35" s="1"/>
  <c r="K166" i="35"/>
  <c r="K165" i="35" s="1"/>
  <c r="J166" i="35"/>
  <c r="H166" i="35"/>
  <c r="G166" i="35"/>
  <c r="G165" i="35" s="1"/>
  <c r="E166" i="35"/>
  <c r="E165" i="35" s="1"/>
  <c r="D166" i="35"/>
  <c r="N165" i="35"/>
  <c r="L165" i="35"/>
  <c r="J165" i="35"/>
  <c r="H165" i="35"/>
  <c r="D165" i="35"/>
  <c r="O164" i="35"/>
  <c r="L164" i="35"/>
  <c r="I164" i="35"/>
  <c r="F164" i="35"/>
  <c r="O163" i="35"/>
  <c r="L163" i="35"/>
  <c r="I163" i="35"/>
  <c r="F163" i="35"/>
  <c r="O162" i="35"/>
  <c r="L162" i="35"/>
  <c r="I162" i="35"/>
  <c r="F162" i="35"/>
  <c r="O161" i="35"/>
  <c r="L161" i="35"/>
  <c r="I161" i="35"/>
  <c r="F161" i="35"/>
  <c r="N160" i="35"/>
  <c r="M160" i="35"/>
  <c r="K160" i="35"/>
  <c r="J160" i="35"/>
  <c r="I160" i="35"/>
  <c r="H160" i="35"/>
  <c r="G160" i="35"/>
  <c r="E160" i="35"/>
  <c r="D160" i="35"/>
  <c r="O159" i="35"/>
  <c r="L159" i="35"/>
  <c r="I159" i="35"/>
  <c r="F159" i="35"/>
  <c r="O158" i="35"/>
  <c r="L158" i="35"/>
  <c r="I158" i="35"/>
  <c r="F158" i="35"/>
  <c r="C158" i="35" s="1"/>
  <c r="O157" i="35"/>
  <c r="L157" i="35"/>
  <c r="I157" i="35"/>
  <c r="F157" i="35"/>
  <c r="O156" i="35"/>
  <c r="L156" i="35"/>
  <c r="I156" i="35"/>
  <c r="F156" i="35"/>
  <c r="O155" i="35"/>
  <c r="L155" i="35"/>
  <c r="I155" i="35"/>
  <c r="F155" i="35"/>
  <c r="O154" i="35"/>
  <c r="L154" i="35"/>
  <c r="I154" i="35"/>
  <c r="F154" i="35"/>
  <c r="O153" i="35"/>
  <c r="L153" i="35"/>
  <c r="I153" i="35"/>
  <c r="F153" i="35"/>
  <c r="O152" i="35"/>
  <c r="L152" i="35"/>
  <c r="I152" i="35"/>
  <c r="F152" i="35"/>
  <c r="N151" i="35"/>
  <c r="M151" i="35"/>
  <c r="K151" i="35"/>
  <c r="J151" i="35"/>
  <c r="H151" i="35"/>
  <c r="G151" i="35"/>
  <c r="E151" i="35"/>
  <c r="D151" i="35"/>
  <c r="O150" i="35"/>
  <c r="L150" i="35"/>
  <c r="I150" i="35"/>
  <c r="F150" i="35"/>
  <c r="C150" i="35" s="1"/>
  <c r="O149" i="35"/>
  <c r="L149" i="35"/>
  <c r="I149" i="35"/>
  <c r="F149" i="35"/>
  <c r="O148" i="35"/>
  <c r="L148" i="35"/>
  <c r="I148" i="35"/>
  <c r="F148" i="35"/>
  <c r="O147" i="35"/>
  <c r="L147" i="35"/>
  <c r="I147" i="35"/>
  <c r="F147" i="35"/>
  <c r="O146" i="35"/>
  <c r="L146" i="35"/>
  <c r="I146" i="35"/>
  <c r="F146" i="35"/>
  <c r="O145" i="35"/>
  <c r="L145" i="35"/>
  <c r="I145" i="35"/>
  <c r="F145" i="35"/>
  <c r="N144" i="35"/>
  <c r="M144" i="35"/>
  <c r="K144" i="35"/>
  <c r="J144" i="35"/>
  <c r="H144" i="35"/>
  <c r="G144" i="35"/>
  <c r="E144" i="35"/>
  <c r="D144" i="35"/>
  <c r="O143" i="35"/>
  <c r="L143" i="35"/>
  <c r="I143" i="35"/>
  <c r="F143" i="35"/>
  <c r="O142" i="35"/>
  <c r="O141" i="35" s="1"/>
  <c r="L142" i="35"/>
  <c r="L141" i="35" s="1"/>
  <c r="I142" i="35"/>
  <c r="I141" i="35" s="1"/>
  <c r="F142" i="35"/>
  <c r="N141" i="35"/>
  <c r="M141" i="35"/>
  <c r="K141" i="35"/>
  <c r="J141" i="35"/>
  <c r="H141" i="35"/>
  <c r="G141" i="35"/>
  <c r="F141" i="35"/>
  <c r="E141" i="35"/>
  <c r="D141" i="35"/>
  <c r="O140" i="35"/>
  <c r="L140" i="35"/>
  <c r="I140" i="35"/>
  <c r="F140" i="35"/>
  <c r="O139" i="35"/>
  <c r="L139" i="35"/>
  <c r="I139" i="35"/>
  <c r="F139" i="35"/>
  <c r="O138" i="35"/>
  <c r="L138" i="35"/>
  <c r="I138" i="35"/>
  <c r="F138" i="35"/>
  <c r="C138" i="35" s="1"/>
  <c r="O137" i="35"/>
  <c r="L137" i="35"/>
  <c r="I137" i="35"/>
  <c r="I136" i="35" s="1"/>
  <c r="F137" i="35"/>
  <c r="N136" i="35"/>
  <c r="M136" i="35"/>
  <c r="K136" i="35"/>
  <c r="J136" i="35"/>
  <c r="H136" i="35"/>
  <c r="G136" i="35"/>
  <c r="E136" i="35"/>
  <c r="D136" i="35"/>
  <c r="O135" i="35"/>
  <c r="L135" i="35"/>
  <c r="I135" i="35"/>
  <c r="E135" i="35"/>
  <c r="F135" i="35" s="1"/>
  <c r="C135" i="35" s="1"/>
  <c r="O134" i="35"/>
  <c r="L134" i="35"/>
  <c r="I134" i="35"/>
  <c r="F134" i="35"/>
  <c r="C134" i="35" s="1"/>
  <c r="O133" i="35"/>
  <c r="L133" i="35"/>
  <c r="I133" i="35"/>
  <c r="F133" i="35"/>
  <c r="C133" i="35" s="1"/>
  <c r="O132" i="35"/>
  <c r="L132" i="35"/>
  <c r="I132" i="35"/>
  <c r="I131" i="35" s="1"/>
  <c r="F132" i="35"/>
  <c r="O131" i="35"/>
  <c r="N131" i="35"/>
  <c r="M131" i="35"/>
  <c r="K131" i="35"/>
  <c r="J131" i="35"/>
  <c r="H131" i="35"/>
  <c r="H130" i="35" s="1"/>
  <c r="G131" i="35"/>
  <c r="E131" i="35"/>
  <c r="D131" i="35"/>
  <c r="N130" i="35"/>
  <c r="O129" i="35"/>
  <c r="O128" i="35" s="1"/>
  <c r="L129" i="35"/>
  <c r="L128" i="35" s="1"/>
  <c r="I129" i="35"/>
  <c r="F129" i="35"/>
  <c r="F128" i="35" s="1"/>
  <c r="N128" i="35"/>
  <c r="M128" i="35"/>
  <c r="K128" i="35"/>
  <c r="J128" i="35"/>
  <c r="H128" i="35"/>
  <c r="G128" i="35"/>
  <c r="E128" i="35"/>
  <c r="D128" i="35"/>
  <c r="O127" i="35"/>
  <c r="L127" i="35"/>
  <c r="I127" i="35"/>
  <c r="E127" i="35"/>
  <c r="O126" i="35"/>
  <c r="L126" i="35"/>
  <c r="I126" i="35"/>
  <c r="F126" i="35"/>
  <c r="O125" i="35"/>
  <c r="L125" i="35"/>
  <c r="I125" i="35"/>
  <c r="F125" i="35"/>
  <c r="O124" i="35"/>
  <c r="L124" i="35"/>
  <c r="I124" i="35"/>
  <c r="F124" i="35"/>
  <c r="O123" i="35"/>
  <c r="L123" i="35"/>
  <c r="L122" i="35" s="1"/>
  <c r="I123" i="35"/>
  <c r="I122" i="35" s="1"/>
  <c r="F123" i="35"/>
  <c r="N122" i="35"/>
  <c r="M122" i="35"/>
  <c r="K122" i="35"/>
  <c r="J122" i="35"/>
  <c r="H122" i="35"/>
  <c r="G122" i="35"/>
  <c r="D122" i="35"/>
  <c r="O121" i="35"/>
  <c r="L121" i="35"/>
  <c r="I121" i="35"/>
  <c r="F121" i="35"/>
  <c r="O120" i="35"/>
  <c r="L120" i="35"/>
  <c r="I120" i="35"/>
  <c r="F120" i="35"/>
  <c r="O119" i="35"/>
  <c r="L119" i="35"/>
  <c r="I119" i="35"/>
  <c r="F119" i="35"/>
  <c r="O118" i="35"/>
  <c r="L118" i="35"/>
  <c r="I118" i="35"/>
  <c r="F118" i="35"/>
  <c r="O117" i="35"/>
  <c r="L117" i="35"/>
  <c r="I117" i="35"/>
  <c r="F117" i="35"/>
  <c r="O116" i="35"/>
  <c r="N116" i="35"/>
  <c r="M116" i="35"/>
  <c r="K116" i="35"/>
  <c r="J116" i="35"/>
  <c r="H116" i="35"/>
  <c r="G116" i="35"/>
  <c r="E116" i="35"/>
  <c r="D116" i="35"/>
  <c r="O115" i="35"/>
  <c r="L115" i="35"/>
  <c r="I115" i="35"/>
  <c r="F115" i="35"/>
  <c r="O114" i="35"/>
  <c r="L114" i="35"/>
  <c r="I114" i="35"/>
  <c r="F114" i="35"/>
  <c r="O113" i="35"/>
  <c r="L113" i="35"/>
  <c r="I113" i="35"/>
  <c r="I112" i="35" s="1"/>
  <c r="F113" i="35"/>
  <c r="O112" i="35"/>
  <c r="N112" i="35"/>
  <c r="M112" i="35"/>
  <c r="K112" i="35"/>
  <c r="J112" i="35"/>
  <c r="H112" i="35"/>
  <c r="G112" i="35"/>
  <c r="E112" i="35"/>
  <c r="D112" i="35"/>
  <c r="O111" i="35"/>
  <c r="L111" i="35"/>
  <c r="I111" i="35"/>
  <c r="F111" i="35"/>
  <c r="O110" i="35"/>
  <c r="L110" i="35"/>
  <c r="I110" i="35"/>
  <c r="F110" i="35"/>
  <c r="O109" i="35"/>
  <c r="L109" i="35"/>
  <c r="I109" i="35"/>
  <c r="F109" i="35"/>
  <c r="O108" i="35"/>
  <c r="L108" i="35"/>
  <c r="I108" i="35"/>
  <c r="F108" i="35"/>
  <c r="O107" i="35"/>
  <c r="L107" i="35"/>
  <c r="I107" i="35"/>
  <c r="F107" i="35"/>
  <c r="O106" i="35"/>
  <c r="L106" i="35"/>
  <c r="I106" i="35"/>
  <c r="C106" i="35" s="1"/>
  <c r="F106" i="35"/>
  <c r="O105" i="35"/>
  <c r="L105" i="35"/>
  <c r="I105" i="35"/>
  <c r="F105" i="35"/>
  <c r="O104" i="35"/>
  <c r="L104" i="35"/>
  <c r="I104" i="35"/>
  <c r="F104" i="35"/>
  <c r="N103" i="35"/>
  <c r="M103" i="35"/>
  <c r="K103" i="35"/>
  <c r="J103" i="35"/>
  <c r="H103" i="35"/>
  <c r="G103" i="35"/>
  <c r="E103" i="35"/>
  <c r="D103" i="35"/>
  <c r="O102" i="35"/>
  <c r="L102" i="35"/>
  <c r="I102" i="35"/>
  <c r="E102" i="35"/>
  <c r="F102" i="35" s="1"/>
  <c r="O101" i="35"/>
  <c r="L101" i="35"/>
  <c r="I101" i="35"/>
  <c r="F101" i="35"/>
  <c r="O100" i="35"/>
  <c r="L100" i="35"/>
  <c r="I100" i="35"/>
  <c r="F100" i="35"/>
  <c r="O99" i="35"/>
  <c r="L99" i="35"/>
  <c r="I99" i="35"/>
  <c r="F99" i="35"/>
  <c r="O98" i="35"/>
  <c r="L98" i="35"/>
  <c r="I98" i="35"/>
  <c r="F98" i="35"/>
  <c r="O97" i="35"/>
  <c r="L97" i="35"/>
  <c r="I97" i="35"/>
  <c r="C97" i="35" s="1"/>
  <c r="F97" i="35"/>
  <c r="O96" i="35"/>
  <c r="L96" i="35"/>
  <c r="I96" i="35"/>
  <c r="I95" i="35" s="1"/>
  <c r="E96" i="35"/>
  <c r="F96" i="35" s="1"/>
  <c r="N95" i="35"/>
  <c r="M95" i="35"/>
  <c r="K95" i="35"/>
  <c r="J95" i="35"/>
  <c r="H95" i="35"/>
  <c r="G95" i="35"/>
  <c r="D95" i="35"/>
  <c r="O94" i="35"/>
  <c r="L94" i="35"/>
  <c r="I94" i="35"/>
  <c r="F94" i="35"/>
  <c r="O93" i="35"/>
  <c r="L93" i="35"/>
  <c r="I93" i="35"/>
  <c r="F93" i="35"/>
  <c r="O92" i="35"/>
  <c r="L92" i="35"/>
  <c r="I92" i="35"/>
  <c r="C92" i="35" s="1"/>
  <c r="F92" i="35"/>
  <c r="O91" i="35"/>
  <c r="L91" i="35"/>
  <c r="I91" i="35"/>
  <c r="F91" i="35"/>
  <c r="O90" i="35"/>
  <c r="L90" i="35"/>
  <c r="I90" i="35"/>
  <c r="F90" i="35"/>
  <c r="F89" i="35" s="1"/>
  <c r="N89" i="35"/>
  <c r="M89" i="35"/>
  <c r="K89" i="35"/>
  <c r="J89" i="35"/>
  <c r="H89" i="35"/>
  <c r="G89" i="35"/>
  <c r="E89" i="35"/>
  <c r="D89" i="35"/>
  <c r="O88" i="35"/>
  <c r="L88" i="35"/>
  <c r="I88" i="35"/>
  <c r="E88" i="35"/>
  <c r="F88" i="35" s="1"/>
  <c r="O87" i="35"/>
  <c r="L87" i="35"/>
  <c r="I87" i="35"/>
  <c r="F87" i="35"/>
  <c r="O86" i="35"/>
  <c r="L86" i="35"/>
  <c r="I86" i="35"/>
  <c r="F86" i="35"/>
  <c r="O85" i="35"/>
  <c r="L85" i="35"/>
  <c r="I85" i="35"/>
  <c r="F85" i="35"/>
  <c r="N84" i="35"/>
  <c r="N83" i="35" s="1"/>
  <c r="M84" i="35"/>
  <c r="K84" i="35"/>
  <c r="J84" i="35"/>
  <c r="J83" i="35" s="1"/>
  <c r="H84" i="35"/>
  <c r="G84" i="35"/>
  <c r="D84" i="35"/>
  <c r="O82" i="35"/>
  <c r="L82" i="35"/>
  <c r="I82" i="35"/>
  <c r="F82" i="35"/>
  <c r="O81" i="35"/>
  <c r="L81" i="35"/>
  <c r="L80" i="35" s="1"/>
  <c r="I81" i="35"/>
  <c r="I80" i="35" s="1"/>
  <c r="F81" i="35"/>
  <c r="O80" i="35"/>
  <c r="N80" i="35"/>
  <c r="M80" i="35"/>
  <c r="K80" i="35"/>
  <c r="J80" i="35"/>
  <c r="H80" i="35"/>
  <c r="G80" i="35"/>
  <c r="F80" i="35"/>
  <c r="E80" i="35"/>
  <c r="D80" i="35"/>
  <c r="O79" i="35"/>
  <c r="L79" i="35"/>
  <c r="I79" i="35"/>
  <c r="F79" i="35"/>
  <c r="O78" i="35"/>
  <c r="O77" i="35" s="1"/>
  <c r="L78" i="35"/>
  <c r="L77" i="35" s="1"/>
  <c r="I78" i="35"/>
  <c r="I77" i="35" s="1"/>
  <c r="I76" i="35" s="1"/>
  <c r="F78" i="35"/>
  <c r="N77" i="35"/>
  <c r="M77" i="35"/>
  <c r="K77" i="35"/>
  <c r="K76" i="35" s="1"/>
  <c r="J77" i="35"/>
  <c r="J76" i="35" s="1"/>
  <c r="H77" i="35"/>
  <c r="G77" i="35"/>
  <c r="E77" i="35"/>
  <c r="E76" i="35" s="1"/>
  <c r="D77" i="35"/>
  <c r="H76" i="35"/>
  <c r="O74" i="35"/>
  <c r="L74" i="35"/>
  <c r="I74" i="35"/>
  <c r="F74" i="35"/>
  <c r="O73" i="35"/>
  <c r="L73" i="35"/>
  <c r="I73" i="35"/>
  <c r="F73" i="35"/>
  <c r="O72" i="35"/>
  <c r="L72" i="35"/>
  <c r="I72" i="35"/>
  <c r="F72" i="35"/>
  <c r="O71" i="35"/>
  <c r="L71" i="35"/>
  <c r="I71" i="35"/>
  <c r="F71" i="35"/>
  <c r="O70" i="35"/>
  <c r="L70" i="35"/>
  <c r="I70" i="35"/>
  <c r="F70" i="35"/>
  <c r="N69" i="35"/>
  <c r="N67" i="35" s="1"/>
  <c r="M69" i="35"/>
  <c r="M67" i="35" s="1"/>
  <c r="K69" i="35"/>
  <c r="J69" i="35"/>
  <c r="J67" i="35" s="1"/>
  <c r="H69" i="35"/>
  <c r="H67" i="35" s="1"/>
  <c r="G69" i="35"/>
  <c r="E69" i="35"/>
  <c r="D69" i="35"/>
  <c r="D67" i="35" s="1"/>
  <c r="O68" i="35"/>
  <c r="L68" i="35"/>
  <c r="I68" i="35"/>
  <c r="E68" i="35"/>
  <c r="F68" i="35" s="1"/>
  <c r="K67" i="35"/>
  <c r="G67" i="35"/>
  <c r="O66" i="35"/>
  <c r="L66" i="35"/>
  <c r="I66" i="35"/>
  <c r="E66" i="35"/>
  <c r="F66" i="35" s="1"/>
  <c r="O65" i="35"/>
  <c r="L65" i="35"/>
  <c r="I65" i="35"/>
  <c r="F65" i="35"/>
  <c r="O64" i="35"/>
  <c r="L64" i="35"/>
  <c r="I64" i="35"/>
  <c r="F64" i="35"/>
  <c r="O63" i="35"/>
  <c r="L63" i="35"/>
  <c r="I63" i="35"/>
  <c r="F63" i="35"/>
  <c r="O62" i="35"/>
  <c r="L62" i="35"/>
  <c r="I62" i="35"/>
  <c r="F62" i="35"/>
  <c r="O61" i="35"/>
  <c r="L61" i="35"/>
  <c r="I61" i="35"/>
  <c r="F61" i="35"/>
  <c r="O60" i="35"/>
  <c r="L60" i="35"/>
  <c r="I60" i="35"/>
  <c r="F60" i="35"/>
  <c r="O59" i="35"/>
  <c r="L59" i="35"/>
  <c r="L58" i="35" s="1"/>
  <c r="I59" i="35"/>
  <c r="F59" i="35"/>
  <c r="O58" i="35"/>
  <c r="N58" i="35"/>
  <c r="M58" i="35"/>
  <c r="K58" i="35"/>
  <c r="J58" i="35"/>
  <c r="H58" i="35"/>
  <c r="G58" i="35"/>
  <c r="E58" i="35"/>
  <c r="D58" i="35"/>
  <c r="O57" i="35"/>
  <c r="L57" i="35"/>
  <c r="I57" i="35"/>
  <c r="C57" i="35" s="1"/>
  <c r="F57" i="35"/>
  <c r="O56" i="35"/>
  <c r="L56" i="35"/>
  <c r="L55" i="35" s="1"/>
  <c r="I56" i="35"/>
  <c r="F56" i="35"/>
  <c r="N55" i="35"/>
  <c r="N54" i="35" s="1"/>
  <c r="N53" i="35" s="1"/>
  <c r="M55" i="35"/>
  <c r="M54" i="35" s="1"/>
  <c r="K55" i="35"/>
  <c r="K54" i="35" s="1"/>
  <c r="K53" i="35" s="1"/>
  <c r="J55" i="35"/>
  <c r="J54" i="35" s="1"/>
  <c r="J53" i="35" s="1"/>
  <c r="I55" i="35"/>
  <c r="H55" i="35"/>
  <c r="G55" i="35"/>
  <c r="G54" i="35" s="1"/>
  <c r="G53" i="35" s="1"/>
  <c r="E55" i="35"/>
  <c r="D55" i="35"/>
  <c r="D54" i="35"/>
  <c r="O47" i="35"/>
  <c r="C47" i="35" s="1"/>
  <c r="O46" i="35"/>
  <c r="C46" i="35" s="1"/>
  <c r="N45" i="35"/>
  <c r="M45" i="35"/>
  <c r="L44" i="35"/>
  <c r="I44" i="35"/>
  <c r="I43" i="35" s="1"/>
  <c r="F44" i="35"/>
  <c r="L43" i="35"/>
  <c r="K43" i="35"/>
  <c r="J43" i="35"/>
  <c r="H43" i="35"/>
  <c r="G43" i="35"/>
  <c r="F43" i="35"/>
  <c r="E43" i="35"/>
  <c r="D43" i="35"/>
  <c r="F42" i="35"/>
  <c r="C42" i="35" s="1"/>
  <c r="E41" i="35"/>
  <c r="D41" i="35"/>
  <c r="L40" i="35"/>
  <c r="C40" i="35" s="1"/>
  <c r="L39" i="35"/>
  <c r="C39" i="35" s="1"/>
  <c r="L38" i="35"/>
  <c r="C38" i="35" s="1"/>
  <c r="L37" i="35"/>
  <c r="C37" i="35" s="1"/>
  <c r="K36" i="35"/>
  <c r="J36" i="35"/>
  <c r="L35" i="35"/>
  <c r="C35" i="35" s="1"/>
  <c r="L34" i="35"/>
  <c r="C34" i="35" s="1"/>
  <c r="L33" i="35"/>
  <c r="C33" i="35" s="1"/>
  <c r="K33" i="35"/>
  <c r="J33" i="35"/>
  <c r="L32" i="35"/>
  <c r="K31" i="35"/>
  <c r="J31" i="35"/>
  <c r="L30" i="35"/>
  <c r="C30" i="35" s="1"/>
  <c r="L29" i="35"/>
  <c r="C29" i="35" s="1"/>
  <c r="L28" i="35"/>
  <c r="C28" i="35" s="1"/>
  <c r="K27" i="35"/>
  <c r="J27" i="35"/>
  <c r="F25" i="35"/>
  <c r="C25" i="35" s="1"/>
  <c r="E24" i="35"/>
  <c r="O23" i="35"/>
  <c r="L23" i="35"/>
  <c r="I23" i="35"/>
  <c r="F23" i="35"/>
  <c r="O22" i="35"/>
  <c r="L22" i="35"/>
  <c r="L21" i="35" s="1"/>
  <c r="L292" i="35" s="1"/>
  <c r="I22" i="35"/>
  <c r="I21" i="35" s="1"/>
  <c r="F22" i="35"/>
  <c r="N21" i="35"/>
  <c r="N292" i="35" s="1"/>
  <c r="M21" i="35"/>
  <c r="M292" i="35" s="1"/>
  <c r="M291" i="35" s="1"/>
  <c r="K21" i="35"/>
  <c r="K292" i="35" s="1"/>
  <c r="K291" i="35" s="1"/>
  <c r="J21" i="35"/>
  <c r="H21" i="35"/>
  <c r="H292" i="35" s="1"/>
  <c r="G21" i="35"/>
  <c r="G292" i="35" s="1"/>
  <c r="G291" i="35" s="1"/>
  <c r="E21" i="35"/>
  <c r="E292" i="35" s="1"/>
  <c r="E291" i="35" s="1"/>
  <c r="D21" i="35"/>
  <c r="M20" i="35"/>
  <c r="C170" i="35" l="1"/>
  <c r="C171" i="35"/>
  <c r="C294" i="35"/>
  <c r="E54" i="35"/>
  <c r="C162" i="35"/>
  <c r="G174" i="35"/>
  <c r="G173" i="35" s="1"/>
  <c r="C206" i="35"/>
  <c r="C222" i="35"/>
  <c r="C280" i="35"/>
  <c r="C282" i="35"/>
  <c r="C56" i="35"/>
  <c r="O184" i="35"/>
  <c r="H20" i="35"/>
  <c r="L95" i="35"/>
  <c r="C101" i="35"/>
  <c r="O272" i="35"/>
  <c r="C61" i="35"/>
  <c r="C71" i="35"/>
  <c r="O76" i="35"/>
  <c r="G76" i="35"/>
  <c r="E84" i="35"/>
  <c r="C108" i="35"/>
  <c r="C118" i="35"/>
  <c r="I144" i="35"/>
  <c r="C154" i="35"/>
  <c r="C156" i="35"/>
  <c r="C182" i="35"/>
  <c r="C190" i="35"/>
  <c r="C201" i="35"/>
  <c r="E204" i="35"/>
  <c r="K204" i="35"/>
  <c r="M231" i="35"/>
  <c r="E231" i="35"/>
  <c r="C278" i="35"/>
  <c r="D53" i="35"/>
  <c r="H54" i="35"/>
  <c r="D76" i="35"/>
  <c r="C87" i="35"/>
  <c r="E95" i="35"/>
  <c r="D130" i="35"/>
  <c r="M174" i="35"/>
  <c r="M173" i="35" s="1"/>
  <c r="L205" i="35"/>
  <c r="C226" i="35"/>
  <c r="C250" i="35"/>
  <c r="C262" i="35"/>
  <c r="C44" i="35"/>
  <c r="G83" i="35"/>
  <c r="C126" i="35"/>
  <c r="C146" i="35"/>
  <c r="C178" i="35"/>
  <c r="D195" i="35"/>
  <c r="H231" i="35"/>
  <c r="J259" i="35"/>
  <c r="O264" i="35"/>
  <c r="L272" i="35"/>
  <c r="L27" i="35"/>
  <c r="C27" i="35" s="1"/>
  <c r="F84" i="35"/>
  <c r="C91" i="35"/>
  <c r="C124" i="35"/>
  <c r="C177" i="35"/>
  <c r="D187" i="35"/>
  <c r="C214" i="35"/>
  <c r="C219" i="35"/>
  <c r="C221" i="35"/>
  <c r="J231" i="35"/>
  <c r="O238" i="35"/>
  <c r="H270" i="35"/>
  <c r="C298" i="35"/>
  <c r="G11" i="36"/>
  <c r="H53" i="35"/>
  <c r="J230" i="35"/>
  <c r="K195" i="35"/>
  <c r="N230" i="35"/>
  <c r="H291" i="35"/>
  <c r="O45" i="35"/>
  <c r="C45" i="35" s="1"/>
  <c r="C62" i="35"/>
  <c r="C68" i="35"/>
  <c r="I69" i="35"/>
  <c r="I67" i="35" s="1"/>
  <c r="L69" i="35"/>
  <c r="L67" i="35" s="1"/>
  <c r="C79" i="35"/>
  <c r="N76" i="35"/>
  <c r="N75" i="35" s="1"/>
  <c r="L76" i="35"/>
  <c r="C85" i="35"/>
  <c r="C86" i="35"/>
  <c r="O84" i="35"/>
  <c r="C93" i="35"/>
  <c r="C99" i="35"/>
  <c r="C100" i="35"/>
  <c r="H83" i="35"/>
  <c r="H75" i="35" s="1"/>
  <c r="C110" i="35"/>
  <c r="L131" i="35"/>
  <c r="C140" i="35"/>
  <c r="C149" i="35"/>
  <c r="L151" i="35"/>
  <c r="O160" i="35"/>
  <c r="C172" i="35"/>
  <c r="L179" i="35"/>
  <c r="L174" i="35" s="1"/>
  <c r="L173" i="35" s="1"/>
  <c r="I188" i="35"/>
  <c r="I187" i="35" s="1"/>
  <c r="C203" i="35"/>
  <c r="M204" i="35"/>
  <c r="C223" i="35"/>
  <c r="C225" i="35"/>
  <c r="C228" i="35"/>
  <c r="C229" i="35"/>
  <c r="D231" i="35"/>
  <c r="D230" i="35" s="1"/>
  <c r="G231" i="35"/>
  <c r="G230" i="35" s="1"/>
  <c r="G194" i="35" s="1"/>
  <c r="C244" i="35"/>
  <c r="C245" i="35"/>
  <c r="C247" i="35"/>
  <c r="O246" i="35"/>
  <c r="O252" i="35"/>
  <c r="O251" i="35" s="1"/>
  <c r="L260" i="35"/>
  <c r="C268" i="35"/>
  <c r="L276" i="35"/>
  <c r="L293" i="35"/>
  <c r="L291" i="35" s="1"/>
  <c r="C88" i="35"/>
  <c r="D292" i="35"/>
  <c r="D291" i="35" s="1"/>
  <c r="J292" i="35"/>
  <c r="J291" i="35" s="1"/>
  <c r="N291" i="35"/>
  <c r="C23" i="35"/>
  <c r="J26" i="35"/>
  <c r="F41" i="35"/>
  <c r="C41" i="35" s="1"/>
  <c r="E20" i="35"/>
  <c r="C60" i="35"/>
  <c r="C66" i="35"/>
  <c r="E67" i="35"/>
  <c r="C70" i="35"/>
  <c r="O69" i="35"/>
  <c r="K83" i="35"/>
  <c r="C94" i="35"/>
  <c r="C102" i="35"/>
  <c r="D83" i="35"/>
  <c r="D75" i="35" s="1"/>
  <c r="D52" i="35" s="1"/>
  <c r="C105" i="35"/>
  <c r="L103" i="35"/>
  <c r="O122" i="35"/>
  <c r="C142" i="35"/>
  <c r="C148" i="35"/>
  <c r="J130" i="35"/>
  <c r="J75" i="35" s="1"/>
  <c r="C163" i="35"/>
  <c r="E173" i="35"/>
  <c r="C181" i="35"/>
  <c r="E187" i="35"/>
  <c r="O188" i="35"/>
  <c r="O187" i="35" s="1"/>
  <c r="C211" i="35"/>
  <c r="C213" i="35"/>
  <c r="C224" i="35"/>
  <c r="C257" i="35"/>
  <c r="E259" i="35"/>
  <c r="O260" i="35"/>
  <c r="O259" i="35" s="1"/>
  <c r="C271" i="35"/>
  <c r="M270" i="35"/>
  <c r="M269" i="35" s="1"/>
  <c r="O276" i="35"/>
  <c r="O270" i="35" s="1"/>
  <c r="O269" i="35" s="1"/>
  <c r="C295" i="35"/>
  <c r="C227" i="35"/>
  <c r="H230" i="35"/>
  <c r="L252" i="35"/>
  <c r="L251" i="35" s="1"/>
  <c r="C22" i="35"/>
  <c r="K26" i="35"/>
  <c r="K20" i="35" s="1"/>
  <c r="F55" i="35"/>
  <c r="O55" i="35"/>
  <c r="O54" i="35" s="1"/>
  <c r="F58" i="35"/>
  <c r="C65" i="35"/>
  <c r="F69" i="35"/>
  <c r="C69" i="35" s="1"/>
  <c r="M76" i="35"/>
  <c r="C90" i="35"/>
  <c r="O89" i="35"/>
  <c r="L89" i="35"/>
  <c r="C107" i="35"/>
  <c r="C114" i="35"/>
  <c r="C121" i="35"/>
  <c r="C125" i="35"/>
  <c r="G130" i="35"/>
  <c r="G75" i="35" s="1"/>
  <c r="K130" i="35"/>
  <c r="K75" i="35" s="1"/>
  <c r="O136" i="35"/>
  <c r="C143" i="35"/>
  <c r="C157" i="35"/>
  <c r="L160" i="35"/>
  <c r="C164" i="35"/>
  <c r="F166" i="35"/>
  <c r="F165" i="35" s="1"/>
  <c r="C169" i="35"/>
  <c r="O166" i="35"/>
  <c r="O165" i="35" s="1"/>
  <c r="J173" i="35"/>
  <c r="K187" i="35"/>
  <c r="O196" i="35"/>
  <c r="H195" i="35"/>
  <c r="C207" i="35"/>
  <c r="C212" i="35"/>
  <c r="O216" i="35"/>
  <c r="J204" i="35"/>
  <c r="J195" i="35" s="1"/>
  <c r="N204" i="35"/>
  <c r="N195" i="35" s="1"/>
  <c r="C234" i="35"/>
  <c r="C237" i="35"/>
  <c r="L246" i="35"/>
  <c r="C256" i="35"/>
  <c r="C263" i="35"/>
  <c r="L264" i="35"/>
  <c r="E269" i="35"/>
  <c r="C279" i="35"/>
  <c r="D269" i="35"/>
  <c r="H269" i="35"/>
  <c r="I293" i="35"/>
  <c r="C296" i="35"/>
  <c r="C299" i="35"/>
  <c r="C43" i="35"/>
  <c r="C59" i="35"/>
  <c r="F77" i="35"/>
  <c r="M83" i="35"/>
  <c r="I84" i="35"/>
  <c r="I103" i="35"/>
  <c r="C104" i="35"/>
  <c r="I128" i="35"/>
  <c r="C128" i="35" s="1"/>
  <c r="C129" i="35"/>
  <c r="C153" i="35"/>
  <c r="F151" i="35"/>
  <c r="I175" i="35"/>
  <c r="C176" i="35"/>
  <c r="C249" i="35"/>
  <c r="F246" i="35"/>
  <c r="C301" i="35"/>
  <c r="J20" i="35"/>
  <c r="N20" i="35"/>
  <c r="L36" i="35"/>
  <c r="C36" i="35" s="1"/>
  <c r="I58" i="35"/>
  <c r="I54" i="35" s="1"/>
  <c r="I53" i="35" s="1"/>
  <c r="O67" i="35"/>
  <c r="O53" i="35" s="1"/>
  <c r="C72" i="35"/>
  <c r="C78" i="35"/>
  <c r="C81" i="35"/>
  <c r="C82" i="35"/>
  <c r="L84" i="35"/>
  <c r="C96" i="35"/>
  <c r="F95" i="35"/>
  <c r="I116" i="35"/>
  <c r="C120" i="35"/>
  <c r="F127" i="35"/>
  <c r="C127" i="35" s="1"/>
  <c r="E122" i="35"/>
  <c r="E83" i="35" s="1"/>
  <c r="F131" i="35"/>
  <c r="C132" i="35"/>
  <c r="C137" i="35"/>
  <c r="F136" i="35"/>
  <c r="C208" i="35"/>
  <c r="I205" i="35"/>
  <c r="F21" i="35"/>
  <c r="O21" i="35"/>
  <c r="C32" i="35"/>
  <c r="L31" i="35"/>
  <c r="E53" i="35"/>
  <c r="M53" i="35"/>
  <c r="L54" i="35"/>
  <c r="L53" i="35" s="1"/>
  <c r="C63" i="35"/>
  <c r="C64" i="35"/>
  <c r="F67" i="35"/>
  <c r="C67" i="35" s="1"/>
  <c r="C73" i="35"/>
  <c r="C74" i="35"/>
  <c r="C80" i="35"/>
  <c r="I89" i="35"/>
  <c r="C89" i="35" s="1"/>
  <c r="C168" i="35"/>
  <c r="I166" i="35"/>
  <c r="I165" i="35" s="1"/>
  <c r="C165" i="35" s="1"/>
  <c r="D289" i="35"/>
  <c r="C98" i="35"/>
  <c r="C109" i="35"/>
  <c r="F112" i="35"/>
  <c r="C113" i="35"/>
  <c r="F116" i="35"/>
  <c r="C117" i="35"/>
  <c r="M130" i="35"/>
  <c r="M75" i="35" s="1"/>
  <c r="C139" i="35"/>
  <c r="C145" i="35"/>
  <c r="F144" i="35"/>
  <c r="O144" i="35"/>
  <c r="I151" i="35"/>
  <c r="C152" i="35"/>
  <c r="C155" i="35"/>
  <c r="C166" i="35"/>
  <c r="N194" i="35"/>
  <c r="F103" i="35"/>
  <c r="O103" i="35"/>
  <c r="C111" i="35"/>
  <c r="C115" i="35"/>
  <c r="C119" i="35"/>
  <c r="C123" i="35"/>
  <c r="I130" i="35"/>
  <c r="L136" i="35"/>
  <c r="C147" i="35"/>
  <c r="C159" i="35"/>
  <c r="N174" i="35"/>
  <c r="N173" i="35" s="1"/>
  <c r="N52" i="35" s="1"/>
  <c r="N51" i="35" s="1"/>
  <c r="O175" i="35"/>
  <c r="O174" i="35" s="1"/>
  <c r="O173" i="35" s="1"/>
  <c r="I179" i="35"/>
  <c r="C179" i="35" s="1"/>
  <c r="C180" i="35"/>
  <c r="C183" i="35"/>
  <c r="C189" i="35"/>
  <c r="F188" i="35"/>
  <c r="C200" i="35"/>
  <c r="I198" i="35"/>
  <c r="I196" i="35" s="1"/>
  <c r="O95" i="35"/>
  <c r="L112" i="35"/>
  <c r="L116" i="35"/>
  <c r="E130" i="35"/>
  <c r="C141" i="35"/>
  <c r="L144" i="35"/>
  <c r="O151" i="35"/>
  <c r="C161" i="35"/>
  <c r="F160" i="35"/>
  <c r="F174" i="35"/>
  <c r="C185" i="35"/>
  <c r="F184" i="35"/>
  <c r="C184" i="35" s="1"/>
  <c r="C220" i="35"/>
  <c r="I216" i="35"/>
  <c r="C233" i="35"/>
  <c r="C167" i="35"/>
  <c r="C197" i="35"/>
  <c r="F196" i="35"/>
  <c r="D194" i="35"/>
  <c r="D51" i="35" s="1"/>
  <c r="C215" i="35"/>
  <c r="L216" i="35"/>
  <c r="L204" i="35" s="1"/>
  <c r="C232" i="35"/>
  <c r="K231" i="35"/>
  <c r="K230" i="35" s="1"/>
  <c r="C239" i="35"/>
  <c r="C241" i="35"/>
  <c r="F238" i="35"/>
  <c r="C248" i="35"/>
  <c r="I246" i="35"/>
  <c r="E230" i="35"/>
  <c r="C253" i="35"/>
  <c r="F252" i="35"/>
  <c r="M259" i="35"/>
  <c r="M230" i="35" s="1"/>
  <c r="C265" i="35"/>
  <c r="F264" i="35"/>
  <c r="C264" i="35" s="1"/>
  <c r="L270" i="35"/>
  <c r="L269" i="35" s="1"/>
  <c r="C273" i="35"/>
  <c r="F272" i="35"/>
  <c r="C288" i="35"/>
  <c r="I286" i="35"/>
  <c r="I292" i="35" s="1"/>
  <c r="I291" i="35" s="1"/>
  <c r="C300" i="35"/>
  <c r="O205" i="35"/>
  <c r="O204" i="35" s="1"/>
  <c r="O195" i="35" s="1"/>
  <c r="C217" i="35"/>
  <c r="F216" i="35"/>
  <c r="C235" i="35"/>
  <c r="C240" i="35"/>
  <c r="I238" i="35"/>
  <c r="C243" i="35"/>
  <c r="C255" i="35"/>
  <c r="I259" i="35"/>
  <c r="L259" i="35"/>
  <c r="C267" i="35"/>
  <c r="C275" i="35"/>
  <c r="C281" i="35"/>
  <c r="C285" i="35"/>
  <c r="F284" i="35"/>
  <c r="N289" i="35"/>
  <c r="C193" i="35"/>
  <c r="F192" i="35"/>
  <c r="E195" i="35"/>
  <c r="M195" i="35"/>
  <c r="L196" i="35"/>
  <c r="C209" i="35"/>
  <c r="F205" i="35"/>
  <c r="O231" i="35"/>
  <c r="C236" i="35"/>
  <c r="L238" i="35"/>
  <c r="C261" i="35"/>
  <c r="F260" i="35"/>
  <c r="I270" i="35"/>
  <c r="I269" i="35" s="1"/>
  <c r="C277" i="35"/>
  <c r="F276" i="35"/>
  <c r="C276" i="35" s="1"/>
  <c r="C297" i="35"/>
  <c r="F293" i="35"/>
  <c r="C199" i="35"/>
  <c r="C287" i="35"/>
  <c r="M289" i="35" l="1"/>
  <c r="I231" i="35"/>
  <c r="I230" i="35" s="1"/>
  <c r="C112" i="35"/>
  <c r="J52" i="35"/>
  <c r="O83" i="35"/>
  <c r="H194" i="35"/>
  <c r="K52" i="35"/>
  <c r="C58" i="35"/>
  <c r="E75" i="35"/>
  <c r="G52" i="35"/>
  <c r="G51" i="35" s="1"/>
  <c r="G289" i="35"/>
  <c r="J194" i="35"/>
  <c r="J51" i="35" s="1"/>
  <c r="J289" i="35"/>
  <c r="F54" i="35"/>
  <c r="C54" i="35" s="1"/>
  <c r="H52" i="35"/>
  <c r="O130" i="35"/>
  <c r="O75" i="35" s="1"/>
  <c r="O52" i="35" s="1"/>
  <c r="E194" i="35"/>
  <c r="K194" i="35"/>
  <c r="K51" i="35" s="1"/>
  <c r="H289" i="35"/>
  <c r="C160" i="35"/>
  <c r="I204" i="35"/>
  <c r="I195" i="35" s="1"/>
  <c r="E289" i="35"/>
  <c r="O230" i="35"/>
  <c r="C293" i="35"/>
  <c r="L231" i="35"/>
  <c r="L230" i="35" s="1"/>
  <c r="C238" i="35"/>
  <c r="K289" i="35"/>
  <c r="F122" i="35"/>
  <c r="C122" i="35" s="1"/>
  <c r="C55" i="35"/>
  <c r="N50" i="35"/>
  <c r="N290" i="35"/>
  <c r="D50" i="35"/>
  <c r="D24" i="35"/>
  <c r="D290" i="35" s="1"/>
  <c r="O194" i="35"/>
  <c r="L130" i="35"/>
  <c r="C144" i="35"/>
  <c r="L83" i="35"/>
  <c r="C103" i="35"/>
  <c r="C198" i="35"/>
  <c r="C116" i="35"/>
  <c r="E52" i="35"/>
  <c r="E51" i="35" s="1"/>
  <c r="C136" i="35"/>
  <c r="C95" i="35"/>
  <c r="F83" i="35"/>
  <c r="I83" i="35"/>
  <c r="I75" i="35" s="1"/>
  <c r="G50" i="35"/>
  <c r="G24" i="35"/>
  <c r="G290" i="35" s="1"/>
  <c r="C205" i="35"/>
  <c r="F204" i="35"/>
  <c r="C204" i="35" s="1"/>
  <c r="C284" i="35"/>
  <c r="F283" i="35"/>
  <c r="C283" i="35" s="1"/>
  <c r="C31" i="35"/>
  <c r="L26" i="35"/>
  <c r="C131" i="35"/>
  <c r="F130" i="35"/>
  <c r="C192" i="35"/>
  <c r="F191" i="35"/>
  <c r="C191" i="35" s="1"/>
  <c r="C216" i="35"/>
  <c r="C260" i="35"/>
  <c r="F259" i="35"/>
  <c r="C259" i="35" s="1"/>
  <c r="L195" i="35"/>
  <c r="C252" i="35"/>
  <c r="F251" i="35"/>
  <c r="C251" i="35" s="1"/>
  <c r="C175" i="35"/>
  <c r="C188" i="35"/>
  <c r="F53" i="35"/>
  <c r="O292" i="35"/>
  <c r="O291" i="35" s="1"/>
  <c r="O20" i="35"/>
  <c r="I174" i="35"/>
  <c r="I173" i="35" s="1"/>
  <c r="M194" i="35"/>
  <c r="F270" i="35"/>
  <c r="C272" i="35"/>
  <c r="C196" i="35"/>
  <c r="F231" i="35"/>
  <c r="F173" i="35"/>
  <c r="C286" i="35"/>
  <c r="M52" i="35"/>
  <c r="F292" i="35"/>
  <c r="C21" i="35"/>
  <c r="C246" i="35"/>
  <c r="C151" i="35"/>
  <c r="C77" i="35"/>
  <c r="F76" i="35"/>
  <c r="C84" i="35"/>
  <c r="H51" i="35" l="1"/>
  <c r="I194" i="35"/>
  <c r="H290" i="35"/>
  <c r="H50" i="35"/>
  <c r="O51" i="35"/>
  <c r="J50" i="35"/>
  <c r="J290" i="35"/>
  <c r="C173" i="35"/>
  <c r="F187" i="35"/>
  <c r="C187" i="35" s="1"/>
  <c r="C130" i="35"/>
  <c r="I289" i="35"/>
  <c r="I52" i="35"/>
  <c r="L75" i="35"/>
  <c r="L289" i="35" s="1"/>
  <c r="O289" i="35"/>
  <c r="L194" i="35"/>
  <c r="F195" i="35"/>
  <c r="C195" i="35" s="1"/>
  <c r="C292" i="35"/>
  <c r="F291" i="35"/>
  <c r="C291" i="35" s="1"/>
  <c r="C53" i="35"/>
  <c r="L20" i="35"/>
  <c r="C26" i="35"/>
  <c r="K50" i="35"/>
  <c r="K290" i="35"/>
  <c r="E290" i="35"/>
  <c r="E50" i="35"/>
  <c r="M51" i="35"/>
  <c r="F230" i="35"/>
  <c r="C230" i="35" s="1"/>
  <c r="C231" i="35"/>
  <c r="F269" i="35"/>
  <c r="C270" i="35"/>
  <c r="O50" i="35"/>
  <c r="O290" i="35"/>
  <c r="I24" i="35"/>
  <c r="I20" i="35" s="1"/>
  <c r="G20" i="35"/>
  <c r="C83" i="35"/>
  <c r="F75" i="35"/>
  <c r="C75" i="35" s="1"/>
  <c r="C76" i="35"/>
  <c r="C174" i="35"/>
  <c r="F24" i="35"/>
  <c r="D20" i="35"/>
  <c r="I51" i="35" l="1"/>
  <c r="I50" i="35" s="1"/>
  <c r="L52" i="35"/>
  <c r="L51" i="35" s="1"/>
  <c r="L50" i="35" s="1"/>
  <c r="F52" i="35"/>
  <c r="F194" i="35"/>
  <c r="C194" i="35" s="1"/>
  <c r="L290" i="35"/>
  <c r="C24" i="35"/>
  <c r="F20" i="35"/>
  <c r="C20" i="35" s="1"/>
  <c r="M50" i="35"/>
  <c r="M290" i="35"/>
  <c r="C269" i="35"/>
  <c r="F289" i="35"/>
  <c r="C289" i="35" s="1"/>
  <c r="C52" i="35"/>
  <c r="I290" i="35"/>
  <c r="F51" i="35" l="1"/>
  <c r="F290" i="35"/>
  <c r="C290" i="35" s="1"/>
  <c r="C51" i="35"/>
  <c r="F50" i="35"/>
  <c r="C50" i="35" s="1"/>
  <c r="I219" i="34" l="1"/>
  <c r="H219" i="34"/>
  <c r="I218" i="34"/>
  <c r="H218" i="34"/>
  <c r="I217" i="34"/>
  <c r="H217" i="34"/>
  <c r="G216" i="34"/>
  <c r="F216" i="34"/>
  <c r="E216" i="34"/>
  <c r="D216" i="34"/>
  <c r="I215" i="34"/>
  <c r="H215" i="34"/>
  <c r="I214" i="34"/>
  <c r="H214" i="34"/>
  <c r="I213" i="34"/>
  <c r="H213" i="34"/>
  <c r="I212" i="34"/>
  <c r="H212" i="34"/>
  <c r="G211" i="34"/>
  <c r="G200" i="34" s="1"/>
  <c r="F211" i="34"/>
  <c r="E211" i="34"/>
  <c r="D211" i="34"/>
  <c r="I210" i="34"/>
  <c r="H210" i="34"/>
  <c r="I209" i="34"/>
  <c r="H209" i="34"/>
  <c r="I208" i="34"/>
  <c r="H208" i="34"/>
  <c r="I207" i="34"/>
  <c r="H207" i="34"/>
  <c r="I206" i="34"/>
  <c r="H206" i="34"/>
  <c r="I205" i="34"/>
  <c r="H205" i="34"/>
  <c r="I204" i="34"/>
  <c r="H204" i="34"/>
  <c r="I203" i="34"/>
  <c r="H203" i="34"/>
  <c r="I202" i="34"/>
  <c r="H202" i="34"/>
  <c r="G201" i="34"/>
  <c r="F201" i="34"/>
  <c r="E201" i="34"/>
  <c r="I201" i="34" s="1"/>
  <c r="D201" i="34"/>
  <c r="I199" i="34"/>
  <c r="H199" i="34"/>
  <c r="I198" i="34"/>
  <c r="H198" i="34"/>
  <c r="I197" i="34"/>
  <c r="H197" i="34"/>
  <c r="I196" i="34"/>
  <c r="H196" i="34"/>
  <c r="I195" i="34"/>
  <c r="H195" i="34"/>
  <c r="I194" i="34"/>
  <c r="H194" i="34"/>
  <c r="I193" i="34"/>
  <c r="H193" i="34"/>
  <c r="G192" i="34"/>
  <c r="F192" i="34"/>
  <c r="E192" i="34"/>
  <c r="I192" i="34" s="1"/>
  <c r="D192" i="34"/>
  <c r="H192" i="34" s="1"/>
  <c r="I191" i="34"/>
  <c r="H191" i="34"/>
  <c r="I190" i="34"/>
  <c r="H190" i="34"/>
  <c r="I189" i="34"/>
  <c r="H189" i="34"/>
  <c r="I188" i="34"/>
  <c r="H188" i="34"/>
  <c r="G187" i="34"/>
  <c r="F187" i="34"/>
  <c r="E187" i="34"/>
  <c r="I187" i="34" s="1"/>
  <c r="D187" i="34"/>
  <c r="H187" i="34" s="1"/>
  <c r="I186" i="34"/>
  <c r="H186" i="34"/>
  <c r="G185" i="34"/>
  <c r="F185" i="34"/>
  <c r="E185" i="34"/>
  <c r="D185" i="34"/>
  <c r="I184" i="34"/>
  <c r="H184" i="34"/>
  <c r="I183" i="34"/>
  <c r="H183" i="34"/>
  <c r="I182" i="34"/>
  <c r="H182" i="34"/>
  <c r="I181" i="34"/>
  <c r="H181" i="34"/>
  <c r="G180" i="34"/>
  <c r="F180" i="34"/>
  <c r="E180" i="34"/>
  <c r="D180" i="34"/>
  <c r="I179" i="34"/>
  <c r="H179" i="34"/>
  <c r="I178" i="34"/>
  <c r="H178" i="34"/>
  <c r="I177" i="34"/>
  <c r="H177" i="34"/>
  <c r="I176" i="34"/>
  <c r="H176" i="34"/>
  <c r="I175" i="34"/>
  <c r="H175" i="34"/>
  <c r="G174" i="34"/>
  <c r="F174" i="34"/>
  <c r="E174" i="34"/>
  <c r="I174" i="34" s="1"/>
  <c r="D174" i="34"/>
  <c r="H174" i="34" s="1"/>
  <c r="I173" i="34"/>
  <c r="H173" i="34"/>
  <c r="I172" i="34"/>
  <c r="H172" i="34"/>
  <c r="I171" i="34"/>
  <c r="H171" i="34"/>
  <c r="I170" i="34"/>
  <c r="H170" i="34"/>
  <c r="I169" i="34"/>
  <c r="H169" i="34"/>
  <c r="I168" i="34"/>
  <c r="H168" i="34"/>
  <c r="G167" i="34"/>
  <c r="F167" i="34"/>
  <c r="E167" i="34"/>
  <c r="I167" i="34" s="1"/>
  <c r="D167" i="34"/>
  <c r="H167" i="34" s="1"/>
  <c r="I166" i="34"/>
  <c r="H166" i="34"/>
  <c r="G165" i="34"/>
  <c r="F165" i="34"/>
  <c r="F164" i="34" s="1"/>
  <c r="E165" i="34"/>
  <c r="D165" i="34"/>
  <c r="G164" i="34"/>
  <c r="D164" i="34"/>
  <c r="I163" i="34"/>
  <c r="H163" i="34"/>
  <c r="I162" i="34"/>
  <c r="H162" i="34"/>
  <c r="I161" i="34"/>
  <c r="H161" i="34"/>
  <c r="I160" i="34"/>
  <c r="H160" i="34"/>
  <c r="I159" i="34"/>
  <c r="H159" i="34"/>
  <c r="G158" i="34"/>
  <c r="F158" i="34"/>
  <c r="E158" i="34"/>
  <c r="D158" i="34"/>
  <c r="I157" i="34"/>
  <c r="H157" i="34"/>
  <c r="I156" i="34"/>
  <c r="H156" i="34"/>
  <c r="I155" i="34"/>
  <c r="H155" i="34"/>
  <c r="I154" i="34"/>
  <c r="H154" i="34"/>
  <c r="G153" i="34"/>
  <c r="F153" i="34"/>
  <c r="E153" i="34"/>
  <c r="D153" i="34"/>
  <c r="I152" i="34"/>
  <c r="H152" i="34"/>
  <c r="I151" i="34"/>
  <c r="H151" i="34"/>
  <c r="I150" i="34"/>
  <c r="H150" i="34"/>
  <c r="I149" i="34"/>
  <c r="H149" i="34"/>
  <c r="I148" i="34"/>
  <c r="H148" i="34"/>
  <c r="G147" i="34"/>
  <c r="F147" i="34"/>
  <c r="E147" i="34"/>
  <c r="I147" i="34" s="1"/>
  <c r="D147" i="34"/>
  <c r="H147" i="34" s="1"/>
  <c r="I146" i="34"/>
  <c r="H146" i="34"/>
  <c r="I145" i="34"/>
  <c r="H145" i="34"/>
  <c r="I144" i="34"/>
  <c r="H144" i="34"/>
  <c r="I143" i="34"/>
  <c r="H143" i="34"/>
  <c r="I142" i="34"/>
  <c r="H142" i="34"/>
  <c r="G141" i="34"/>
  <c r="F141" i="34"/>
  <c r="F129" i="34" s="1"/>
  <c r="E141" i="34"/>
  <c r="D141" i="34"/>
  <c r="I140" i="34"/>
  <c r="H140" i="34"/>
  <c r="I139" i="34"/>
  <c r="H139" i="34"/>
  <c r="I138" i="34"/>
  <c r="H138" i="34"/>
  <c r="I137" i="34"/>
  <c r="H137" i="34"/>
  <c r="I136" i="34"/>
  <c r="H136" i="34"/>
  <c r="G135" i="34"/>
  <c r="F135" i="34"/>
  <c r="E135" i="34"/>
  <c r="I135" i="34" s="1"/>
  <c r="D135" i="34"/>
  <c r="H135" i="34" s="1"/>
  <c r="I134" i="34"/>
  <c r="H134" i="34"/>
  <c r="I133" i="34"/>
  <c r="H133" i="34"/>
  <c r="I132" i="34"/>
  <c r="H132" i="34"/>
  <c r="I131" i="34"/>
  <c r="H131" i="34"/>
  <c r="G130" i="34"/>
  <c r="F130" i="34"/>
  <c r="E130" i="34"/>
  <c r="I130" i="34" s="1"/>
  <c r="D130" i="34"/>
  <c r="D129" i="34" s="1"/>
  <c r="I128" i="34"/>
  <c r="H128" i="34"/>
  <c r="I127" i="34"/>
  <c r="H127" i="34"/>
  <c r="I126" i="34"/>
  <c r="H126" i="34"/>
  <c r="G125" i="34"/>
  <c r="F125" i="34"/>
  <c r="E125" i="34"/>
  <c r="I125" i="34" s="1"/>
  <c r="D125" i="34"/>
  <c r="H125" i="34" s="1"/>
  <c r="I124" i="34"/>
  <c r="H124" i="34"/>
  <c r="I123" i="34"/>
  <c r="H123" i="34"/>
  <c r="G122" i="34"/>
  <c r="F122" i="34"/>
  <c r="E122" i="34"/>
  <c r="I122" i="34" s="1"/>
  <c r="D122" i="34"/>
  <c r="H122" i="34" s="1"/>
  <c r="I121" i="34"/>
  <c r="H121" i="34"/>
  <c r="G120" i="34"/>
  <c r="F120" i="34"/>
  <c r="E120" i="34"/>
  <c r="D120" i="34"/>
  <c r="I119" i="34"/>
  <c r="H119" i="34"/>
  <c r="G118" i="34"/>
  <c r="F118" i="34"/>
  <c r="E118" i="34"/>
  <c r="I118" i="34" s="1"/>
  <c r="D118" i="34"/>
  <c r="H118" i="34" s="1"/>
  <c r="I117" i="34"/>
  <c r="H117" i="34"/>
  <c r="I116" i="34"/>
  <c r="H116" i="34"/>
  <c r="I115" i="34"/>
  <c r="H115" i="34"/>
  <c r="I114" i="34"/>
  <c r="H114" i="34"/>
  <c r="I113" i="34"/>
  <c r="H113" i="34"/>
  <c r="G112" i="34"/>
  <c r="G111" i="34" s="1"/>
  <c r="F112" i="34"/>
  <c r="E112" i="34"/>
  <c r="D112" i="34"/>
  <c r="F111" i="34"/>
  <c r="E111" i="34"/>
  <c r="I110" i="34"/>
  <c r="H110" i="34"/>
  <c r="I109" i="34"/>
  <c r="H109" i="34"/>
  <c r="I108" i="34"/>
  <c r="H108" i="34"/>
  <c r="I107" i="34"/>
  <c r="H107" i="34"/>
  <c r="G106" i="34"/>
  <c r="F106" i="34"/>
  <c r="E106" i="34"/>
  <c r="I106" i="34" s="1"/>
  <c r="D106" i="34"/>
  <c r="H106" i="34" s="1"/>
  <c r="I105" i="34"/>
  <c r="H105" i="34"/>
  <c r="I104" i="34"/>
  <c r="H104" i="34"/>
  <c r="I103" i="34"/>
  <c r="H103" i="34"/>
  <c r="G102" i="34"/>
  <c r="F102" i="34"/>
  <c r="E102" i="34"/>
  <c r="D102" i="34"/>
  <c r="I101" i="34"/>
  <c r="H101" i="34"/>
  <c r="I100" i="34"/>
  <c r="H100" i="34"/>
  <c r="I99" i="34"/>
  <c r="H99" i="34"/>
  <c r="I98" i="34"/>
  <c r="H98" i="34"/>
  <c r="I97" i="34"/>
  <c r="H97" i="34"/>
  <c r="G96" i="34"/>
  <c r="F96" i="34"/>
  <c r="E96" i="34"/>
  <c r="I96" i="34" s="1"/>
  <c r="D96" i="34"/>
  <c r="H96" i="34" s="1"/>
  <c r="I95" i="34"/>
  <c r="H95" i="34"/>
  <c r="I94" i="34"/>
  <c r="H94" i="34"/>
  <c r="I93" i="34"/>
  <c r="H93" i="34"/>
  <c r="I92" i="34"/>
  <c r="H92" i="34"/>
  <c r="G91" i="34"/>
  <c r="F91" i="34"/>
  <c r="E91" i="34"/>
  <c r="I91" i="34" s="1"/>
  <c r="D91" i="34"/>
  <c r="H91" i="34" s="1"/>
  <c r="I90" i="34"/>
  <c r="H90" i="34"/>
  <c r="I89" i="34"/>
  <c r="H89" i="34"/>
  <c r="I88" i="34"/>
  <c r="H88" i="34"/>
  <c r="I87" i="34"/>
  <c r="H87" i="34"/>
  <c r="I86" i="34"/>
  <c r="H86" i="34"/>
  <c r="G85" i="34"/>
  <c r="F85" i="34"/>
  <c r="E85" i="34"/>
  <c r="D85" i="34"/>
  <c r="I84" i="34"/>
  <c r="H84" i="34"/>
  <c r="I83" i="34"/>
  <c r="H83" i="34"/>
  <c r="I82" i="34"/>
  <c r="H82" i="34"/>
  <c r="G81" i="34"/>
  <c r="F81" i="34"/>
  <c r="E81" i="34"/>
  <c r="I81" i="34" s="1"/>
  <c r="D81" i="34"/>
  <c r="H81" i="34" s="1"/>
  <c r="I80" i="34"/>
  <c r="H80" i="34"/>
  <c r="I79" i="34"/>
  <c r="H79" i="34"/>
  <c r="G78" i="34"/>
  <c r="F78" i="34"/>
  <c r="E78" i="34"/>
  <c r="I78" i="34" s="1"/>
  <c r="D78" i="34"/>
  <c r="H78" i="34" s="1"/>
  <c r="F77" i="34"/>
  <c r="I76" i="34"/>
  <c r="H76" i="34"/>
  <c r="I75" i="34"/>
  <c r="H75" i="34"/>
  <c r="I74" i="34"/>
  <c r="H74" i="34"/>
  <c r="I73" i="34"/>
  <c r="H73" i="34"/>
  <c r="G72" i="34"/>
  <c r="F72" i="34"/>
  <c r="E72" i="34"/>
  <c r="D72" i="34"/>
  <c r="I71" i="34"/>
  <c r="H71" i="34"/>
  <c r="I70" i="34"/>
  <c r="H70" i="34"/>
  <c r="G69" i="34"/>
  <c r="F69" i="34"/>
  <c r="E69" i="34"/>
  <c r="D69" i="34"/>
  <c r="I68" i="34"/>
  <c r="H68" i="34"/>
  <c r="I67" i="34"/>
  <c r="H67" i="34"/>
  <c r="I66" i="34"/>
  <c r="H66" i="34"/>
  <c r="I65" i="34"/>
  <c r="H65" i="34"/>
  <c r="G64" i="34"/>
  <c r="F64" i="34"/>
  <c r="E64" i="34"/>
  <c r="D64" i="34"/>
  <c r="I63" i="34"/>
  <c r="H63" i="34"/>
  <c r="I62" i="34"/>
  <c r="H62" i="34"/>
  <c r="I61" i="34"/>
  <c r="H61" i="34"/>
  <c r="I60" i="34"/>
  <c r="H60" i="34"/>
  <c r="G59" i="34"/>
  <c r="F59" i="34"/>
  <c r="F58" i="34" s="1"/>
  <c r="E59" i="34"/>
  <c r="D59" i="34"/>
  <c r="G58" i="34"/>
  <c r="D58" i="34"/>
  <c r="I57" i="34"/>
  <c r="H57" i="34"/>
  <c r="I56" i="34"/>
  <c r="H56" i="34"/>
  <c r="I55" i="34"/>
  <c r="H55" i="34"/>
  <c r="I54" i="34"/>
  <c r="H54" i="34"/>
  <c r="I53" i="34"/>
  <c r="H53" i="34"/>
  <c r="I52" i="34"/>
  <c r="H52" i="34"/>
  <c r="G51" i="34"/>
  <c r="F51" i="34"/>
  <c r="E51" i="34"/>
  <c r="D51" i="34"/>
  <c r="H51" i="34" s="1"/>
  <c r="I50" i="34"/>
  <c r="H50" i="34"/>
  <c r="I49" i="34"/>
  <c r="H49" i="34"/>
  <c r="I48" i="34"/>
  <c r="H48" i="34"/>
  <c r="I47" i="34"/>
  <c r="H47" i="34"/>
  <c r="I46" i="34"/>
  <c r="H46" i="34"/>
  <c r="I45" i="34"/>
  <c r="H45" i="34"/>
  <c r="G44" i="34"/>
  <c r="F44" i="34"/>
  <c r="E44" i="34"/>
  <c r="D44" i="34"/>
  <c r="H44" i="34" s="1"/>
  <c r="I43" i="34"/>
  <c r="H43" i="34"/>
  <c r="I42" i="34"/>
  <c r="H42" i="34"/>
  <c r="I41" i="34"/>
  <c r="H41" i="34"/>
  <c r="I40" i="34"/>
  <c r="H40" i="34"/>
  <c r="I39" i="34"/>
  <c r="H39" i="34"/>
  <c r="I38" i="34"/>
  <c r="H38" i="34"/>
  <c r="I37" i="34"/>
  <c r="H37" i="34"/>
  <c r="G36" i="34"/>
  <c r="F36" i="34"/>
  <c r="E36" i="34"/>
  <c r="D36" i="34"/>
  <c r="I35" i="34"/>
  <c r="H35" i="34"/>
  <c r="I34" i="34"/>
  <c r="H34" i="34"/>
  <c r="I33" i="34"/>
  <c r="H33" i="34"/>
  <c r="I32" i="34"/>
  <c r="H32" i="34"/>
  <c r="I31" i="34"/>
  <c r="H31" i="34"/>
  <c r="I30" i="34"/>
  <c r="H30" i="34"/>
  <c r="G29" i="34"/>
  <c r="E29" i="34"/>
  <c r="D29" i="34"/>
  <c r="H29" i="34" s="1"/>
  <c r="G28" i="34"/>
  <c r="I27" i="34"/>
  <c r="H27" i="34"/>
  <c r="I26" i="34"/>
  <c r="H26" i="34"/>
  <c r="I25" i="34"/>
  <c r="H25" i="34"/>
  <c r="I24" i="34"/>
  <c r="H24" i="34"/>
  <c r="I23" i="34"/>
  <c r="H23" i="34"/>
  <c r="I22" i="34"/>
  <c r="H22" i="34"/>
  <c r="I21" i="34"/>
  <c r="H21" i="34"/>
  <c r="I20" i="34"/>
  <c r="H20" i="34"/>
  <c r="G19" i="34"/>
  <c r="F19" i="34"/>
  <c r="E19" i="34"/>
  <c r="D19" i="34"/>
  <c r="I18" i="34"/>
  <c r="H18" i="34"/>
  <c r="I17" i="34"/>
  <c r="H17" i="34"/>
  <c r="I16" i="34"/>
  <c r="H16" i="34"/>
  <c r="I15" i="34"/>
  <c r="H15" i="34"/>
  <c r="I14" i="34"/>
  <c r="H14" i="34"/>
  <c r="I13" i="34"/>
  <c r="H13" i="34"/>
  <c r="G12" i="34"/>
  <c r="F12" i="34"/>
  <c r="E12" i="34"/>
  <c r="D12" i="34"/>
  <c r="H19" i="34" l="1"/>
  <c r="H36" i="34"/>
  <c r="H59" i="34"/>
  <c r="H64" i="34"/>
  <c r="G77" i="34"/>
  <c r="I112" i="34"/>
  <c r="I111" i="34" s="1"/>
  <c r="I120" i="34"/>
  <c r="G129" i="34"/>
  <c r="H201" i="34"/>
  <c r="G11" i="34"/>
  <c r="I44" i="34"/>
  <c r="I51" i="34"/>
  <c r="E129" i="34"/>
  <c r="I29" i="34"/>
  <c r="H12" i="34"/>
  <c r="F28" i="34"/>
  <c r="H69" i="34"/>
  <c r="H72" i="34"/>
  <c r="E77" i="34"/>
  <c r="H85" i="34"/>
  <c r="H102" i="34"/>
  <c r="H112" i="34"/>
  <c r="H120" i="34"/>
  <c r="H141" i="34"/>
  <c r="H153" i="34"/>
  <c r="H158" i="34"/>
  <c r="H165" i="34"/>
  <c r="H180" i="34"/>
  <c r="H185" i="34"/>
  <c r="D200" i="34"/>
  <c r="F200" i="34"/>
  <c r="H211" i="34"/>
  <c r="H216" i="34"/>
  <c r="I12" i="34"/>
  <c r="I19" i="34"/>
  <c r="I36" i="34"/>
  <c r="I59" i="34"/>
  <c r="I64" i="34"/>
  <c r="I69" i="34"/>
  <c r="I72" i="34"/>
  <c r="I85" i="34"/>
  <c r="I102" i="34"/>
  <c r="I141" i="34"/>
  <c r="I129" i="34" s="1"/>
  <c r="I153" i="34"/>
  <c r="I158" i="34"/>
  <c r="I165" i="34"/>
  <c r="I164" i="34" s="1"/>
  <c r="I180" i="34"/>
  <c r="I185" i="34"/>
  <c r="I211" i="34"/>
  <c r="I216" i="34"/>
  <c r="H28" i="34"/>
  <c r="I28" i="34"/>
  <c r="H77" i="34"/>
  <c r="H200" i="34"/>
  <c r="D28" i="34"/>
  <c r="E58" i="34"/>
  <c r="E164" i="34"/>
  <c r="E200" i="34"/>
  <c r="H130" i="34"/>
  <c r="E28" i="34"/>
  <c r="D77" i="34"/>
  <c r="D111" i="34"/>
  <c r="H129" i="34" l="1"/>
  <c r="I200" i="34"/>
  <c r="I77" i="34"/>
  <c r="I58" i="34"/>
  <c r="H58" i="34"/>
  <c r="H164" i="34"/>
  <c r="F11" i="34"/>
  <c r="I11" i="34"/>
  <c r="H111" i="34"/>
  <c r="E11" i="34"/>
  <c r="D11" i="34"/>
  <c r="H11" i="34" l="1"/>
  <c r="O301" i="33"/>
  <c r="L301" i="33"/>
  <c r="I301" i="33"/>
  <c r="F301" i="33"/>
  <c r="O300" i="33"/>
  <c r="L300" i="33"/>
  <c r="I300" i="33"/>
  <c r="F300" i="33"/>
  <c r="O299" i="33"/>
  <c r="L299" i="33"/>
  <c r="I299" i="33"/>
  <c r="F299" i="33"/>
  <c r="O298" i="33"/>
  <c r="L298" i="33"/>
  <c r="I298" i="33"/>
  <c r="F298" i="33"/>
  <c r="O297" i="33"/>
  <c r="L297" i="33"/>
  <c r="I297" i="33"/>
  <c r="F297" i="33"/>
  <c r="O296" i="33"/>
  <c r="L296" i="33"/>
  <c r="I296" i="33"/>
  <c r="F296" i="33"/>
  <c r="O295" i="33"/>
  <c r="L295" i="33"/>
  <c r="I295" i="33"/>
  <c r="F295" i="33"/>
  <c r="O294" i="33"/>
  <c r="O293" i="33" s="1"/>
  <c r="L294" i="33"/>
  <c r="I294" i="33"/>
  <c r="F294" i="33"/>
  <c r="N293" i="33"/>
  <c r="M293" i="33"/>
  <c r="K293" i="33"/>
  <c r="J293" i="33"/>
  <c r="H293" i="33"/>
  <c r="G293" i="33"/>
  <c r="E293" i="33"/>
  <c r="D293" i="33"/>
  <c r="O288" i="33"/>
  <c r="L288" i="33"/>
  <c r="I288" i="33"/>
  <c r="F288" i="33"/>
  <c r="O287" i="33"/>
  <c r="L287" i="33"/>
  <c r="L286" i="33" s="1"/>
  <c r="I287" i="33"/>
  <c r="F287" i="33"/>
  <c r="O286" i="33"/>
  <c r="N286" i="33"/>
  <c r="M286" i="33"/>
  <c r="K286" i="33"/>
  <c r="J286" i="33"/>
  <c r="H286" i="33"/>
  <c r="G286" i="33"/>
  <c r="F286" i="33"/>
  <c r="E286" i="33"/>
  <c r="D286" i="33"/>
  <c r="O285" i="33"/>
  <c r="L285" i="33"/>
  <c r="L284" i="33" s="1"/>
  <c r="L283" i="33" s="1"/>
  <c r="I285" i="33"/>
  <c r="F285" i="33"/>
  <c r="O284" i="33"/>
  <c r="O283" i="33" s="1"/>
  <c r="N284" i="33"/>
  <c r="N283" i="33" s="1"/>
  <c r="M284" i="33"/>
  <c r="M283" i="33" s="1"/>
  <c r="K284" i="33"/>
  <c r="K283" i="33" s="1"/>
  <c r="J284" i="33"/>
  <c r="J283" i="33" s="1"/>
  <c r="I284" i="33"/>
  <c r="I283" i="33" s="1"/>
  <c r="H284" i="33"/>
  <c r="G284" i="33"/>
  <c r="G283" i="33" s="1"/>
  <c r="E284" i="33"/>
  <c r="E283" i="33" s="1"/>
  <c r="D284" i="33"/>
  <c r="D283" i="33" s="1"/>
  <c r="H283" i="33"/>
  <c r="O282" i="33"/>
  <c r="O281" i="33" s="1"/>
  <c r="L282" i="33"/>
  <c r="L281" i="33" s="1"/>
  <c r="I282" i="33"/>
  <c r="F282" i="33"/>
  <c r="N281" i="33"/>
  <c r="M281" i="33"/>
  <c r="K281" i="33"/>
  <c r="J281" i="33"/>
  <c r="I281" i="33"/>
  <c r="H281" i="33"/>
  <c r="G281" i="33"/>
  <c r="F281" i="33"/>
  <c r="E281" i="33"/>
  <c r="D281" i="33"/>
  <c r="O280" i="33"/>
  <c r="L280" i="33"/>
  <c r="I280" i="33"/>
  <c r="F280" i="33"/>
  <c r="O279" i="33"/>
  <c r="L279" i="33"/>
  <c r="I279" i="33"/>
  <c r="F279" i="33"/>
  <c r="O278" i="33"/>
  <c r="L278" i="33"/>
  <c r="I278" i="33"/>
  <c r="F278" i="33"/>
  <c r="O277" i="33"/>
  <c r="L277" i="33"/>
  <c r="I277" i="33"/>
  <c r="F277" i="33"/>
  <c r="N276" i="33"/>
  <c r="M276" i="33"/>
  <c r="K276" i="33"/>
  <c r="J276" i="33"/>
  <c r="H276" i="33"/>
  <c r="G276" i="33"/>
  <c r="E276" i="33"/>
  <c r="D276" i="33"/>
  <c r="O275" i="33"/>
  <c r="L275" i="33"/>
  <c r="I275" i="33"/>
  <c r="F275" i="33"/>
  <c r="O274" i="33"/>
  <c r="L274" i="33"/>
  <c r="I274" i="33"/>
  <c r="F274" i="33"/>
  <c r="C274" i="33"/>
  <c r="O273" i="33"/>
  <c r="L273" i="33"/>
  <c r="L272" i="33" s="1"/>
  <c r="I273" i="33"/>
  <c r="F273" i="33"/>
  <c r="N272" i="33"/>
  <c r="M272" i="33"/>
  <c r="K272" i="33"/>
  <c r="J272" i="33"/>
  <c r="I272" i="33"/>
  <c r="H272" i="33"/>
  <c r="G272" i="33"/>
  <c r="G270" i="33" s="1"/>
  <c r="G269" i="33" s="1"/>
  <c r="E272" i="33"/>
  <c r="D272" i="33"/>
  <c r="O271" i="33"/>
  <c r="L271" i="33"/>
  <c r="I271" i="33"/>
  <c r="F271" i="33"/>
  <c r="N270" i="33"/>
  <c r="K270" i="33"/>
  <c r="K269" i="33" s="1"/>
  <c r="J270" i="33"/>
  <c r="D270" i="33"/>
  <c r="D269" i="33" s="1"/>
  <c r="N269" i="33"/>
  <c r="J269" i="33"/>
  <c r="O268" i="33"/>
  <c r="L268" i="33"/>
  <c r="I268" i="33"/>
  <c r="F268" i="33"/>
  <c r="O267" i="33"/>
  <c r="L267" i="33"/>
  <c r="I267" i="33"/>
  <c r="F267" i="33"/>
  <c r="C267" i="33" s="1"/>
  <c r="O266" i="33"/>
  <c r="L266" i="33"/>
  <c r="I266" i="33"/>
  <c r="F266" i="33"/>
  <c r="C266" i="33" s="1"/>
  <c r="O265" i="33"/>
  <c r="L265" i="33"/>
  <c r="I265" i="33"/>
  <c r="F265" i="33"/>
  <c r="N264" i="33"/>
  <c r="M264" i="33"/>
  <c r="K264" i="33"/>
  <c r="J264" i="33"/>
  <c r="H264" i="33"/>
  <c r="G264" i="33"/>
  <c r="E264" i="33"/>
  <c r="D264" i="33"/>
  <c r="O263" i="33"/>
  <c r="L263" i="33"/>
  <c r="I263" i="33"/>
  <c r="F263" i="33"/>
  <c r="O262" i="33"/>
  <c r="L262" i="33"/>
  <c r="I262" i="33"/>
  <c r="F262" i="33"/>
  <c r="O261" i="33"/>
  <c r="L261" i="33"/>
  <c r="I261" i="33"/>
  <c r="F261" i="33"/>
  <c r="N260" i="33"/>
  <c r="M260" i="33"/>
  <c r="K260" i="33"/>
  <c r="J260" i="33"/>
  <c r="J259" i="33" s="1"/>
  <c r="H260" i="33"/>
  <c r="H259" i="33" s="1"/>
  <c r="G260" i="33"/>
  <c r="E260" i="33"/>
  <c r="D260" i="33"/>
  <c r="D259" i="33" s="1"/>
  <c r="N259" i="33"/>
  <c r="G259" i="33"/>
  <c r="O258" i="33"/>
  <c r="L258" i="33"/>
  <c r="I258" i="33"/>
  <c r="F258" i="33"/>
  <c r="O257" i="33"/>
  <c r="L257" i="33"/>
  <c r="I257" i="33"/>
  <c r="F257" i="33"/>
  <c r="O256" i="33"/>
  <c r="L256" i="33"/>
  <c r="I256" i="33"/>
  <c r="F256" i="33"/>
  <c r="O255" i="33"/>
  <c r="L255" i="33"/>
  <c r="I255" i="33"/>
  <c r="F255" i="33"/>
  <c r="O254" i="33"/>
  <c r="L254" i="33"/>
  <c r="I254" i="33"/>
  <c r="F254" i="33"/>
  <c r="C254" i="33" s="1"/>
  <c r="O253" i="33"/>
  <c r="L253" i="33"/>
  <c r="I253" i="33"/>
  <c r="F253" i="33"/>
  <c r="N252" i="33"/>
  <c r="M252" i="33"/>
  <c r="M251" i="33" s="1"/>
  <c r="K252" i="33"/>
  <c r="K251" i="33" s="1"/>
  <c r="J252" i="33"/>
  <c r="H252" i="33"/>
  <c r="H251" i="33" s="1"/>
  <c r="G252" i="33"/>
  <c r="E252" i="33"/>
  <c r="E251" i="33" s="1"/>
  <c r="D252" i="33"/>
  <c r="N251" i="33"/>
  <c r="J251" i="33"/>
  <c r="G251" i="33"/>
  <c r="D251" i="33"/>
  <c r="O250" i="33"/>
  <c r="L250" i="33"/>
  <c r="I250" i="33"/>
  <c r="C250" i="33" s="1"/>
  <c r="F250" i="33"/>
  <c r="O249" i="33"/>
  <c r="L249" i="33"/>
  <c r="I249" i="33"/>
  <c r="F249" i="33"/>
  <c r="O248" i="33"/>
  <c r="L248" i="33"/>
  <c r="I248" i="33"/>
  <c r="F248" i="33"/>
  <c r="O247" i="33"/>
  <c r="L247" i="33"/>
  <c r="L246" i="33" s="1"/>
  <c r="I247" i="33"/>
  <c r="F247" i="33"/>
  <c r="O246" i="33"/>
  <c r="N246" i="33"/>
  <c r="M246" i="33"/>
  <c r="K246" i="33"/>
  <c r="J246" i="33"/>
  <c r="H246" i="33"/>
  <c r="G246" i="33"/>
  <c r="E246" i="33"/>
  <c r="D246" i="33"/>
  <c r="O245" i="33"/>
  <c r="L245" i="33"/>
  <c r="I245" i="33"/>
  <c r="F245" i="33"/>
  <c r="O244" i="33"/>
  <c r="L244" i="33"/>
  <c r="I244" i="33"/>
  <c r="F244" i="33"/>
  <c r="O243" i="33"/>
  <c r="L243" i="33"/>
  <c r="I243" i="33"/>
  <c r="F243" i="33"/>
  <c r="O242" i="33"/>
  <c r="L242" i="33"/>
  <c r="I242" i="33"/>
  <c r="F242" i="33"/>
  <c r="C242" i="33"/>
  <c r="O241" i="33"/>
  <c r="L241" i="33"/>
  <c r="I241" i="33"/>
  <c r="F241" i="33"/>
  <c r="O240" i="33"/>
  <c r="L240" i="33"/>
  <c r="I240" i="33"/>
  <c r="F240" i="33"/>
  <c r="O239" i="33"/>
  <c r="L239" i="33"/>
  <c r="L238" i="33" s="1"/>
  <c r="I239" i="33"/>
  <c r="F239" i="33"/>
  <c r="N238" i="33"/>
  <c r="M238" i="33"/>
  <c r="K238" i="33"/>
  <c r="J238" i="33"/>
  <c r="H238" i="33"/>
  <c r="G238" i="33"/>
  <c r="E238" i="33"/>
  <c r="D238" i="33"/>
  <c r="O237" i="33"/>
  <c r="L237" i="33"/>
  <c r="I237" i="33"/>
  <c r="F237" i="33"/>
  <c r="O236" i="33"/>
  <c r="L236" i="33"/>
  <c r="L235" i="33" s="1"/>
  <c r="I236" i="33"/>
  <c r="F236" i="33"/>
  <c r="O235" i="33"/>
  <c r="N235" i="33"/>
  <c r="M235" i="33"/>
  <c r="K235" i="33"/>
  <c r="J235" i="33"/>
  <c r="H235" i="33"/>
  <c r="G235" i="33"/>
  <c r="E235" i="33"/>
  <c r="D235" i="33"/>
  <c r="O234" i="33"/>
  <c r="O233" i="33" s="1"/>
  <c r="L234" i="33"/>
  <c r="L233" i="33" s="1"/>
  <c r="I234" i="33"/>
  <c r="F234" i="33"/>
  <c r="N233" i="33"/>
  <c r="M233" i="33"/>
  <c r="M231" i="33" s="1"/>
  <c r="K233" i="33"/>
  <c r="J233" i="33"/>
  <c r="I233" i="33"/>
  <c r="H233" i="33"/>
  <c r="G233" i="33"/>
  <c r="F233" i="33"/>
  <c r="E233" i="33"/>
  <c r="E231" i="33" s="1"/>
  <c r="D233" i="33"/>
  <c r="O232" i="33"/>
  <c r="L232" i="33"/>
  <c r="I232" i="33"/>
  <c r="F232" i="33"/>
  <c r="J231" i="33"/>
  <c r="O229" i="33"/>
  <c r="L229" i="33"/>
  <c r="I229" i="33"/>
  <c r="F229" i="33"/>
  <c r="O228" i="33"/>
  <c r="O227" i="33" s="1"/>
  <c r="L228" i="33"/>
  <c r="L227" i="33" s="1"/>
  <c r="I228" i="33"/>
  <c r="I227" i="33" s="1"/>
  <c r="F228" i="33"/>
  <c r="N227" i="33"/>
  <c r="M227" i="33"/>
  <c r="K227" i="33"/>
  <c r="J227" i="33"/>
  <c r="H227" i="33"/>
  <c r="G227" i="33"/>
  <c r="F227" i="33"/>
  <c r="E227" i="33"/>
  <c r="D227" i="33"/>
  <c r="O226" i="33"/>
  <c r="L226" i="33"/>
  <c r="I226" i="33"/>
  <c r="F226" i="33"/>
  <c r="O225" i="33"/>
  <c r="L225" i="33"/>
  <c r="I225" i="33"/>
  <c r="F225" i="33"/>
  <c r="O224" i="33"/>
  <c r="L224" i="33"/>
  <c r="I224" i="33"/>
  <c r="F224" i="33"/>
  <c r="O223" i="33"/>
  <c r="L223" i="33"/>
  <c r="I223" i="33"/>
  <c r="F223" i="33"/>
  <c r="O222" i="33"/>
  <c r="L222" i="33"/>
  <c r="I222" i="33"/>
  <c r="F222" i="33"/>
  <c r="O221" i="33"/>
  <c r="L221" i="33"/>
  <c r="I221" i="33"/>
  <c r="F221" i="33"/>
  <c r="O220" i="33"/>
  <c r="L220" i="33"/>
  <c r="I220" i="33"/>
  <c r="F220" i="33"/>
  <c r="O219" i="33"/>
  <c r="L219" i="33"/>
  <c r="I219" i="33"/>
  <c r="F219" i="33"/>
  <c r="O218" i="33"/>
  <c r="L218" i="33"/>
  <c r="I218" i="33"/>
  <c r="F218" i="33"/>
  <c r="O217" i="33"/>
  <c r="L217" i="33"/>
  <c r="I217" i="33"/>
  <c r="F217" i="33"/>
  <c r="N216" i="33"/>
  <c r="M216" i="33"/>
  <c r="K216" i="33"/>
  <c r="J216" i="33"/>
  <c r="I216" i="33"/>
  <c r="H216" i="33"/>
  <c r="G216" i="33"/>
  <c r="E216" i="33"/>
  <c r="D216" i="33"/>
  <c r="O215" i="33"/>
  <c r="L215" i="33"/>
  <c r="I215" i="33"/>
  <c r="F215" i="33"/>
  <c r="O214" i="33"/>
  <c r="L214" i="33"/>
  <c r="I214" i="33"/>
  <c r="F214" i="33"/>
  <c r="C214" i="33" s="1"/>
  <c r="O213" i="33"/>
  <c r="L213" i="33"/>
  <c r="I213" i="33"/>
  <c r="F213" i="33"/>
  <c r="O212" i="33"/>
  <c r="L212" i="33"/>
  <c r="I212" i="33"/>
  <c r="F212" i="33"/>
  <c r="O211" i="33"/>
  <c r="L211" i="33"/>
  <c r="I211" i="33"/>
  <c r="F211" i="33"/>
  <c r="O210" i="33"/>
  <c r="L210" i="33"/>
  <c r="I210" i="33"/>
  <c r="F210" i="33"/>
  <c r="O209" i="33"/>
  <c r="L209" i="33"/>
  <c r="I209" i="33"/>
  <c r="F209" i="33"/>
  <c r="O208" i="33"/>
  <c r="L208" i="33"/>
  <c r="I208" i="33"/>
  <c r="F208" i="33"/>
  <c r="O207" i="33"/>
  <c r="L207" i="33"/>
  <c r="I207" i="33"/>
  <c r="F207" i="33"/>
  <c r="O206" i="33"/>
  <c r="L206" i="33"/>
  <c r="L205" i="33" s="1"/>
  <c r="I206" i="33"/>
  <c r="F206" i="33"/>
  <c r="C206" i="33" s="1"/>
  <c r="N205" i="33"/>
  <c r="M205" i="33"/>
  <c r="K205" i="33"/>
  <c r="K204" i="33" s="1"/>
  <c r="J205" i="33"/>
  <c r="H205" i="33"/>
  <c r="G205" i="33"/>
  <c r="E205" i="33"/>
  <c r="D205" i="33"/>
  <c r="D204" i="33" s="1"/>
  <c r="G204" i="33"/>
  <c r="O203" i="33"/>
  <c r="L203" i="33"/>
  <c r="I203" i="33"/>
  <c r="F203" i="33"/>
  <c r="O202" i="33"/>
  <c r="L202" i="33"/>
  <c r="I202" i="33"/>
  <c r="F202" i="33"/>
  <c r="O201" i="33"/>
  <c r="L201" i="33"/>
  <c r="I201" i="33"/>
  <c r="F201" i="33"/>
  <c r="O200" i="33"/>
  <c r="L200" i="33"/>
  <c r="I200" i="33"/>
  <c r="F200" i="33"/>
  <c r="O199" i="33"/>
  <c r="L199" i="33"/>
  <c r="L198" i="33" s="1"/>
  <c r="I199" i="33"/>
  <c r="F199" i="33"/>
  <c r="F198" i="33" s="1"/>
  <c r="O198" i="33"/>
  <c r="N198" i="33"/>
  <c r="M198" i="33"/>
  <c r="K198" i="33"/>
  <c r="K196" i="33" s="1"/>
  <c r="J198" i="33"/>
  <c r="H198" i="33"/>
  <c r="G198" i="33"/>
  <c r="G196" i="33" s="1"/>
  <c r="G195" i="33" s="1"/>
  <c r="E198" i="33"/>
  <c r="E196" i="33" s="1"/>
  <c r="D198" i="33"/>
  <c r="O197" i="33"/>
  <c r="L197" i="33"/>
  <c r="L196" i="33" s="1"/>
  <c r="I197" i="33"/>
  <c r="F197" i="33"/>
  <c r="N196" i="33"/>
  <c r="M196" i="33"/>
  <c r="J196" i="33"/>
  <c r="H196" i="33"/>
  <c r="D196" i="33"/>
  <c r="O193" i="33"/>
  <c r="L193" i="33"/>
  <c r="L192" i="33" s="1"/>
  <c r="L191" i="33" s="1"/>
  <c r="I193" i="33"/>
  <c r="F193" i="33"/>
  <c r="O192" i="33"/>
  <c r="O191" i="33" s="1"/>
  <c r="N192" i="33"/>
  <c r="N191" i="33" s="1"/>
  <c r="M192" i="33"/>
  <c r="M191" i="33" s="1"/>
  <c r="K192" i="33"/>
  <c r="J192" i="33"/>
  <c r="I192" i="33"/>
  <c r="I191" i="33" s="1"/>
  <c r="H192" i="33"/>
  <c r="G192" i="33"/>
  <c r="E192" i="33"/>
  <c r="E191" i="33" s="1"/>
  <c r="D192" i="33"/>
  <c r="D191" i="33" s="1"/>
  <c r="K191" i="33"/>
  <c r="J191" i="33"/>
  <c r="H191" i="33"/>
  <c r="G191" i="33"/>
  <c r="O190" i="33"/>
  <c r="L190" i="33"/>
  <c r="I190" i="33"/>
  <c r="F190" i="33"/>
  <c r="O189" i="33"/>
  <c r="L189" i="33"/>
  <c r="L188" i="33" s="1"/>
  <c r="I189" i="33"/>
  <c r="F189" i="33"/>
  <c r="O188" i="33"/>
  <c r="N188" i="33"/>
  <c r="M188" i="33"/>
  <c r="M187" i="33" s="1"/>
  <c r="K188" i="33"/>
  <c r="J188" i="33"/>
  <c r="J187" i="33" s="1"/>
  <c r="I188" i="33"/>
  <c r="I187" i="33" s="1"/>
  <c r="H188" i="33"/>
  <c r="G188" i="33"/>
  <c r="G187" i="33" s="1"/>
  <c r="E188" i="33"/>
  <c r="E187" i="33" s="1"/>
  <c r="D188" i="33"/>
  <c r="H187" i="33"/>
  <c r="O186" i="33"/>
  <c r="L186" i="33"/>
  <c r="I186" i="33"/>
  <c r="F186" i="33"/>
  <c r="O185" i="33"/>
  <c r="L185" i="33"/>
  <c r="L184" i="33" s="1"/>
  <c r="I185" i="33"/>
  <c r="F185" i="33"/>
  <c r="N184" i="33"/>
  <c r="M184" i="33"/>
  <c r="K184" i="33"/>
  <c r="J184" i="33"/>
  <c r="H184" i="33"/>
  <c r="G184" i="33"/>
  <c r="E184" i="33"/>
  <c r="D184" i="33"/>
  <c r="O183" i="33"/>
  <c r="L183" i="33"/>
  <c r="I183" i="33"/>
  <c r="F183" i="33"/>
  <c r="O182" i="33"/>
  <c r="L182" i="33"/>
  <c r="I182" i="33"/>
  <c r="F182" i="33"/>
  <c r="C182" i="33" s="1"/>
  <c r="O181" i="33"/>
  <c r="L181" i="33"/>
  <c r="I181" i="33"/>
  <c r="F181" i="33"/>
  <c r="O180" i="33"/>
  <c r="L180" i="33"/>
  <c r="I180" i="33"/>
  <c r="F180" i="33"/>
  <c r="F179" i="33" s="1"/>
  <c r="N179" i="33"/>
  <c r="M179" i="33"/>
  <c r="K179" i="33"/>
  <c r="J179" i="33"/>
  <c r="H179" i="33"/>
  <c r="G179" i="33"/>
  <c r="E179" i="33"/>
  <c r="D179" i="33"/>
  <c r="O178" i="33"/>
  <c r="L178" i="33"/>
  <c r="I178" i="33"/>
  <c r="F178" i="33"/>
  <c r="O177" i="33"/>
  <c r="L177" i="33"/>
  <c r="I177" i="33"/>
  <c r="F177" i="33"/>
  <c r="O176" i="33"/>
  <c r="L176" i="33"/>
  <c r="I176" i="33"/>
  <c r="F176" i="33"/>
  <c r="N175" i="33"/>
  <c r="N174" i="33" s="1"/>
  <c r="N173" i="33" s="1"/>
  <c r="M175" i="33"/>
  <c r="L175" i="33"/>
  <c r="K175" i="33"/>
  <c r="J175" i="33"/>
  <c r="H175" i="33"/>
  <c r="H174" i="33" s="1"/>
  <c r="G175" i="33"/>
  <c r="G174" i="33" s="1"/>
  <c r="G173" i="33" s="1"/>
  <c r="F175" i="33"/>
  <c r="E175" i="33"/>
  <c r="E174" i="33" s="1"/>
  <c r="D175" i="33"/>
  <c r="M174" i="33"/>
  <c r="M173" i="33" s="1"/>
  <c r="K174" i="33"/>
  <c r="K173" i="33" s="1"/>
  <c r="O172" i="33"/>
  <c r="L172" i="33"/>
  <c r="I172" i="33"/>
  <c r="F172" i="33"/>
  <c r="O171" i="33"/>
  <c r="L171" i="33"/>
  <c r="I171" i="33"/>
  <c r="F171" i="33"/>
  <c r="O170" i="33"/>
  <c r="L170" i="33"/>
  <c r="I170" i="33"/>
  <c r="F170" i="33"/>
  <c r="O169" i="33"/>
  <c r="L169" i="33"/>
  <c r="I169" i="33"/>
  <c r="F169" i="33"/>
  <c r="O168" i="33"/>
  <c r="L168" i="33"/>
  <c r="I168" i="33"/>
  <c r="F168" i="33"/>
  <c r="O167" i="33"/>
  <c r="L167" i="33"/>
  <c r="L166" i="33" s="1"/>
  <c r="I167" i="33"/>
  <c r="F167" i="33"/>
  <c r="F166" i="33" s="1"/>
  <c r="F165" i="33" s="1"/>
  <c r="N166" i="33"/>
  <c r="M166" i="33"/>
  <c r="M165" i="33" s="1"/>
  <c r="K166" i="33"/>
  <c r="K165" i="33" s="1"/>
  <c r="J166" i="33"/>
  <c r="H166" i="33"/>
  <c r="G166" i="33"/>
  <c r="G165" i="33" s="1"/>
  <c r="E166" i="33"/>
  <c r="E165" i="33" s="1"/>
  <c r="D166" i="33"/>
  <c r="D165" i="33" s="1"/>
  <c r="N165" i="33"/>
  <c r="L165" i="33"/>
  <c r="J165" i="33"/>
  <c r="H165" i="33"/>
  <c r="O164" i="33"/>
  <c r="L164" i="33"/>
  <c r="I164" i="33"/>
  <c r="F164" i="33"/>
  <c r="O163" i="33"/>
  <c r="L163" i="33"/>
  <c r="I163" i="33"/>
  <c r="F163" i="33"/>
  <c r="O162" i="33"/>
  <c r="L162" i="33"/>
  <c r="I162" i="33"/>
  <c r="F162" i="33"/>
  <c r="O161" i="33"/>
  <c r="L161" i="33"/>
  <c r="I161" i="33"/>
  <c r="I160" i="33" s="1"/>
  <c r="F161" i="33"/>
  <c r="N160" i="33"/>
  <c r="M160" i="33"/>
  <c r="K160" i="33"/>
  <c r="J160" i="33"/>
  <c r="H160" i="33"/>
  <c r="G160" i="33"/>
  <c r="E160" i="33"/>
  <c r="D160" i="33"/>
  <c r="O159" i="33"/>
  <c r="L159" i="33"/>
  <c r="I159" i="33"/>
  <c r="F159" i="33"/>
  <c r="O158" i="33"/>
  <c r="L158" i="33"/>
  <c r="I158" i="33"/>
  <c r="F158" i="33"/>
  <c r="O157" i="33"/>
  <c r="L157" i="33"/>
  <c r="I157" i="33"/>
  <c r="F157" i="33"/>
  <c r="O156" i="33"/>
  <c r="L156" i="33"/>
  <c r="I156" i="33"/>
  <c r="F156" i="33"/>
  <c r="O155" i="33"/>
  <c r="L155" i="33"/>
  <c r="I155" i="33"/>
  <c r="F155" i="33"/>
  <c r="O154" i="33"/>
  <c r="L154" i="33"/>
  <c r="I154" i="33"/>
  <c r="F154" i="33"/>
  <c r="O153" i="33"/>
  <c r="L153" i="33"/>
  <c r="I153" i="33"/>
  <c r="F153" i="33"/>
  <c r="O152" i="33"/>
  <c r="O151" i="33" s="1"/>
  <c r="L152" i="33"/>
  <c r="I152" i="33"/>
  <c r="F152" i="33"/>
  <c r="N151" i="33"/>
  <c r="M151" i="33"/>
  <c r="K151" i="33"/>
  <c r="J151" i="33"/>
  <c r="H151" i="33"/>
  <c r="G151" i="33"/>
  <c r="E151" i="33"/>
  <c r="D151" i="33"/>
  <c r="O150" i="33"/>
  <c r="L150" i="33"/>
  <c r="I150" i="33"/>
  <c r="F150" i="33"/>
  <c r="O149" i="33"/>
  <c r="L149" i="33"/>
  <c r="I149" i="33"/>
  <c r="F149" i="33"/>
  <c r="O148" i="33"/>
  <c r="L148" i="33"/>
  <c r="I148" i="33"/>
  <c r="F148" i="33"/>
  <c r="O147" i="33"/>
  <c r="L147" i="33"/>
  <c r="I147" i="33"/>
  <c r="F147" i="33"/>
  <c r="O146" i="33"/>
  <c r="L146" i="33"/>
  <c r="I146" i="33"/>
  <c r="F146" i="33"/>
  <c r="O145" i="33"/>
  <c r="L145" i="33"/>
  <c r="L144" i="33" s="1"/>
  <c r="I145" i="33"/>
  <c r="F145" i="33"/>
  <c r="N144" i="33"/>
  <c r="M144" i="33"/>
  <c r="K144" i="33"/>
  <c r="J144" i="33"/>
  <c r="H144" i="33"/>
  <c r="G144" i="33"/>
  <c r="E144" i="33"/>
  <c r="D144" i="33"/>
  <c r="O143" i="33"/>
  <c r="L143" i="33"/>
  <c r="I143" i="33"/>
  <c r="F143" i="33"/>
  <c r="O142" i="33"/>
  <c r="O141" i="33" s="1"/>
  <c r="L142" i="33"/>
  <c r="I142" i="33"/>
  <c r="I141" i="33" s="1"/>
  <c r="F142" i="33"/>
  <c r="F141" i="33" s="1"/>
  <c r="N141" i="33"/>
  <c r="M141" i="33"/>
  <c r="K141" i="33"/>
  <c r="J141" i="33"/>
  <c r="H141" i="33"/>
  <c r="G141" i="33"/>
  <c r="E141" i="33"/>
  <c r="D141" i="33"/>
  <c r="O140" i="33"/>
  <c r="L140" i="33"/>
  <c r="I140" i="33"/>
  <c r="F140" i="33"/>
  <c r="O139" i="33"/>
  <c r="L139" i="33"/>
  <c r="I139" i="33"/>
  <c r="F139" i="33"/>
  <c r="O138" i="33"/>
  <c r="O136" i="33" s="1"/>
  <c r="L138" i="33"/>
  <c r="I138" i="33"/>
  <c r="F138" i="33"/>
  <c r="C138" i="33" s="1"/>
  <c r="O137" i="33"/>
  <c r="L137" i="33"/>
  <c r="I137" i="33"/>
  <c r="F137" i="33"/>
  <c r="N136" i="33"/>
  <c r="M136" i="33"/>
  <c r="K136" i="33"/>
  <c r="J136" i="33"/>
  <c r="H136" i="33"/>
  <c r="G136" i="33"/>
  <c r="E136" i="33"/>
  <c r="D136" i="33"/>
  <c r="O135" i="33"/>
  <c r="L135" i="33"/>
  <c r="I135" i="33"/>
  <c r="F135" i="33"/>
  <c r="O134" i="33"/>
  <c r="L134" i="33"/>
  <c r="I134" i="33"/>
  <c r="F134" i="33"/>
  <c r="O133" i="33"/>
  <c r="L133" i="33"/>
  <c r="I133" i="33"/>
  <c r="F133" i="33"/>
  <c r="O132" i="33"/>
  <c r="O131" i="33" s="1"/>
  <c r="L132" i="33"/>
  <c r="I132" i="33"/>
  <c r="F132" i="33"/>
  <c r="F131" i="33" s="1"/>
  <c r="N131" i="33"/>
  <c r="M131" i="33"/>
  <c r="K131" i="33"/>
  <c r="K130" i="33" s="1"/>
  <c r="J131" i="33"/>
  <c r="H131" i="33"/>
  <c r="G131" i="33"/>
  <c r="G130" i="33" s="1"/>
  <c r="E131" i="33"/>
  <c r="D131" i="33"/>
  <c r="O129" i="33"/>
  <c r="L129" i="33"/>
  <c r="L128" i="33" s="1"/>
  <c r="I129" i="33"/>
  <c r="I128" i="33" s="1"/>
  <c r="F129" i="33"/>
  <c r="O128" i="33"/>
  <c r="N128" i="33"/>
  <c r="M128" i="33"/>
  <c r="K128" i="33"/>
  <c r="J128" i="33"/>
  <c r="H128" i="33"/>
  <c r="G128" i="33"/>
  <c r="E128" i="33"/>
  <c r="D128" i="33"/>
  <c r="O127" i="33"/>
  <c r="L127" i="33"/>
  <c r="I127" i="33"/>
  <c r="F127" i="33"/>
  <c r="O126" i="33"/>
  <c r="L126" i="33"/>
  <c r="I126" i="33"/>
  <c r="F126" i="33"/>
  <c r="O125" i="33"/>
  <c r="L125" i="33"/>
  <c r="I125" i="33"/>
  <c r="F125" i="33"/>
  <c r="O124" i="33"/>
  <c r="L124" i="33"/>
  <c r="I124" i="33"/>
  <c r="F124" i="33"/>
  <c r="O123" i="33"/>
  <c r="L123" i="33"/>
  <c r="L122" i="33" s="1"/>
  <c r="I123" i="33"/>
  <c r="F123" i="33"/>
  <c r="F122" i="33" s="1"/>
  <c r="N122" i="33"/>
  <c r="M122" i="33"/>
  <c r="K122" i="33"/>
  <c r="J122" i="33"/>
  <c r="H122" i="33"/>
  <c r="G122" i="33"/>
  <c r="E122" i="33"/>
  <c r="D122" i="33"/>
  <c r="O121" i="33"/>
  <c r="L121" i="33"/>
  <c r="I121" i="33"/>
  <c r="F121" i="33"/>
  <c r="O120" i="33"/>
  <c r="L120" i="33"/>
  <c r="I120" i="33"/>
  <c r="F120" i="33"/>
  <c r="O119" i="33"/>
  <c r="L119" i="33"/>
  <c r="I119" i="33"/>
  <c r="F119" i="33"/>
  <c r="O118" i="33"/>
  <c r="L118" i="33"/>
  <c r="I118" i="33"/>
  <c r="F118" i="33"/>
  <c r="O117" i="33"/>
  <c r="L117" i="33"/>
  <c r="I117" i="33"/>
  <c r="F117" i="33"/>
  <c r="N116" i="33"/>
  <c r="M116" i="33"/>
  <c r="K116" i="33"/>
  <c r="J116" i="33"/>
  <c r="H116" i="33"/>
  <c r="G116" i="33"/>
  <c r="E116" i="33"/>
  <c r="D116" i="33"/>
  <c r="O115" i="33"/>
  <c r="L115" i="33"/>
  <c r="I115" i="33"/>
  <c r="F115" i="33"/>
  <c r="O114" i="33"/>
  <c r="L114" i="33"/>
  <c r="I114" i="33"/>
  <c r="F114" i="33"/>
  <c r="C114" i="33" s="1"/>
  <c r="O113" i="33"/>
  <c r="L113" i="33"/>
  <c r="I113" i="33"/>
  <c r="F113" i="33"/>
  <c r="N112" i="33"/>
  <c r="M112" i="33"/>
  <c r="K112" i="33"/>
  <c r="J112" i="33"/>
  <c r="I112" i="33"/>
  <c r="H112" i="33"/>
  <c r="G112" i="33"/>
  <c r="E112" i="33"/>
  <c r="D112" i="33"/>
  <c r="O111" i="33"/>
  <c r="L111" i="33"/>
  <c r="I111" i="33"/>
  <c r="F111" i="33"/>
  <c r="O110" i="33"/>
  <c r="L110" i="33"/>
  <c r="I110" i="33"/>
  <c r="F110" i="33"/>
  <c r="O109" i="33"/>
  <c r="L109" i="33"/>
  <c r="I109" i="33"/>
  <c r="F109" i="33"/>
  <c r="O108" i="33"/>
  <c r="L108" i="33"/>
  <c r="I108" i="33"/>
  <c r="F108" i="33"/>
  <c r="O107" i="33"/>
  <c r="L107" i="33"/>
  <c r="I107" i="33"/>
  <c r="F107" i="33"/>
  <c r="O106" i="33"/>
  <c r="L106" i="33"/>
  <c r="I106" i="33"/>
  <c r="F106" i="33"/>
  <c r="C106" i="33" s="1"/>
  <c r="O105" i="33"/>
  <c r="L105" i="33"/>
  <c r="I105" i="33"/>
  <c r="F105" i="33"/>
  <c r="O104" i="33"/>
  <c r="L104" i="33"/>
  <c r="I104" i="33"/>
  <c r="F104" i="33"/>
  <c r="F103" i="33" s="1"/>
  <c r="N103" i="33"/>
  <c r="M103" i="33"/>
  <c r="K103" i="33"/>
  <c r="J103" i="33"/>
  <c r="H103" i="33"/>
  <c r="G103" i="33"/>
  <c r="E103" i="33"/>
  <c r="D103" i="33"/>
  <c r="O102" i="33"/>
  <c r="L102" i="33"/>
  <c r="I102" i="33"/>
  <c r="F102" i="33"/>
  <c r="O101" i="33"/>
  <c r="L101" i="33"/>
  <c r="I101" i="33"/>
  <c r="F101" i="33"/>
  <c r="O100" i="33"/>
  <c r="L100" i="33"/>
  <c r="I100" i="33"/>
  <c r="F100" i="33"/>
  <c r="O99" i="33"/>
  <c r="L99" i="33"/>
  <c r="I99" i="33"/>
  <c r="F99" i="33"/>
  <c r="O98" i="33"/>
  <c r="L98" i="33"/>
  <c r="I98" i="33"/>
  <c r="F98" i="33"/>
  <c r="O97" i="33"/>
  <c r="L97" i="33"/>
  <c r="I97" i="33"/>
  <c r="F97" i="33"/>
  <c r="O96" i="33"/>
  <c r="L96" i="33"/>
  <c r="I96" i="33"/>
  <c r="F96" i="33"/>
  <c r="F95" i="33" s="1"/>
  <c r="N95" i="33"/>
  <c r="M95" i="33"/>
  <c r="K95" i="33"/>
  <c r="J95" i="33"/>
  <c r="H95" i="33"/>
  <c r="G95" i="33"/>
  <c r="E95" i="33"/>
  <c r="D95" i="33"/>
  <c r="O94" i="33"/>
  <c r="L94" i="33"/>
  <c r="I94" i="33"/>
  <c r="F94" i="33"/>
  <c r="O93" i="33"/>
  <c r="L93" i="33"/>
  <c r="I93" i="33"/>
  <c r="F93" i="33"/>
  <c r="O92" i="33"/>
  <c r="L92" i="33"/>
  <c r="I92" i="33"/>
  <c r="F92" i="33"/>
  <c r="O91" i="33"/>
  <c r="L91" i="33"/>
  <c r="I91" i="33"/>
  <c r="F91" i="33"/>
  <c r="O90" i="33"/>
  <c r="O89" i="33" s="1"/>
  <c r="L90" i="33"/>
  <c r="I90" i="33"/>
  <c r="F90" i="33"/>
  <c r="N89" i="33"/>
  <c r="M89" i="33"/>
  <c r="K89" i="33"/>
  <c r="J89" i="33"/>
  <c r="H89" i="33"/>
  <c r="G89" i="33"/>
  <c r="E89" i="33"/>
  <c r="D89" i="33"/>
  <c r="O88" i="33"/>
  <c r="L88" i="33"/>
  <c r="I88" i="33"/>
  <c r="F88" i="33"/>
  <c r="O87" i="33"/>
  <c r="L87" i="33"/>
  <c r="I87" i="33"/>
  <c r="F87" i="33"/>
  <c r="O86" i="33"/>
  <c r="L86" i="33"/>
  <c r="I86" i="33"/>
  <c r="F86" i="33"/>
  <c r="O85" i="33"/>
  <c r="L85" i="33"/>
  <c r="I85" i="33"/>
  <c r="I84" i="33" s="1"/>
  <c r="F85" i="33"/>
  <c r="N84" i="33"/>
  <c r="M84" i="33"/>
  <c r="K84" i="33"/>
  <c r="J84" i="33"/>
  <c r="J83" i="33" s="1"/>
  <c r="H84" i="33"/>
  <c r="G84" i="33"/>
  <c r="E84" i="33"/>
  <c r="E83" i="33" s="1"/>
  <c r="D84" i="33"/>
  <c r="G83" i="33"/>
  <c r="O82" i="33"/>
  <c r="L82" i="33"/>
  <c r="I82" i="33"/>
  <c r="F82" i="33"/>
  <c r="O81" i="33"/>
  <c r="L81" i="33"/>
  <c r="L80" i="33" s="1"/>
  <c r="I81" i="33"/>
  <c r="F81" i="33"/>
  <c r="N80" i="33"/>
  <c r="M80" i="33"/>
  <c r="K80" i="33"/>
  <c r="J80" i="33"/>
  <c r="I80" i="33"/>
  <c r="H80" i="33"/>
  <c r="G80" i="33"/>
  <c r="E80" i="33"/>
  <c r="D80" i="33"/>
  <c r="O79" i="33"/>
  <c r="L79" i="33"/>
  <c r="I79" i="33"/>
  <c r="F79" i="33"/>
  <c r="O78" i="33"/>
  <c r="O77" i="33" s="1"/>
  <c r="L78" i="33"/>
  <c r="L77" i="33" s="1"/>
  <c r="I78" i="33"/>
  <c r="F78" i="33"/>
  <c r="N77" i="33"/>
  <c r="N76" i="33" s="1"/>
  <c r="M77" i="33"/>
  <c r="K77" i="33"/>
  <c r="K76" i="33" s="1"/>
  <c r="J77" i="33"/>
  <c r="J76" i="33" s="1"/>
  <c r="I77" i="33"/>
  <c r="H77" i="33"/>
  <c r="G77" i="33"/>
  <c r="G76" i="33" s="1"/>
  <c r="E77" i="33"/>
  <c r="E76" i="33" s="1"/>
  <c r="D77" i="33"/>
  <c r="O74" i="33"/>
  <c r="L74" i="33"/>
  <c r="I74" i="33"/>
  <c r="F74" i="33"/>
  <c r="O73" i="33"/>
  <c r="L73" i="33"/>
  <c r="I73" i="33"/>
  <c r="F73" i="33"/>
  <c r="O72" i="33"/>
  <c r="L72" i="33"/>
  <c r="I72" i="33"/>
  <c r="F72" i="33"/>
  <c r="O71" i="33"/>
  <c r="L71" i="33"/>
  <c r="C71" i="33" s="1"/>
  <c r="I71" i="33"/>
  <c r="F71" i="33"/>
  <c r="O70" i="33"/>
  <c r="O69" i="33" s="1"/>
  <c r="L70" i="33"/>
  <c r="L69" i="33" s="1"/>
  <c r="I70" i="33"/>
  <c r="F70" i="33"/>
  <c r="N69" i="33"/>
  <c r="N67" i="33" s="1"/>
  <c r="M69" i="33"/>
  <c r="M67" i="33" s="1"/>
  <c r="K69" i="33"/>
  <c r="J69" i="33"/>
  <c r="H69" i="33"/>
  <c r="H67" i="33" s="1"/>
  <c r="G69" i="33"/>
  <c r="G67" i="33" s="1"/>
  <c r="E69" i="33"/>
  <c r="D69" i="33"/>
  <c r="D67" i="33" s="1"/>
  <c r="O68" i="33"/>
  <c r="L68" i="33"/>
  <c r="I68" i="33"/>
  <c r="F68" i="33"/>
  <c r="K67" i="33"/>
  <c r="J67" i="33"/>
  <c r="E67" i="33"/>
  <c r="O66" i="33"/>
  <c r="L66" i="33"/>
  <c r="I66" i="33"/>
  <c r="F66" i="33"/>
  <c r="O65" i="33"/>
  <c r="L65" i="33"/>
  <c r="I65" i="33"/>
  <c r="F65" i="33"/>
  <c r="O64" i="33"/>
  <c r="L64" i="33"/>
  <c r="I64" i="33"/>
  <c r="F64" i="33"/>
  <c r="O63" i="33"/>
  <c r="L63" i="33"/>
  <c r="I63" i="33"/>
  <c r="F63" i="33"/>
  <c r="O62" i="33"/>
  <c r="L62" i="33"/>
  <c r="I62" i="33"/>
  <c r="F62" i="33"/>
  <c r="O61" i="33"/>
  <c r="L61" i="33"/>
  <c r="I61" i="33"/>
  <c r="F61" i="33"/>
  <c r="O60" i="33"/>
  <c r="L60" i="33"/>
  <c r="I60" i="33"/>
  <c r="F60" i="33"/>
  <c r="O59" i="33"/>
  <c r="L59" i="33"/>
  <c r="I59" i="33"/>
  <c r="F59" i="33"/>
  <c r="O58" i="33"/>
  <c r="N58" i="33"/>
  <c r="M58" i="33"/>
  <c r="M54" i="33" s="1"/>
  <c r="K58" i="33"/>
  <c r="J58" i="33"/>
  <c r="H58" i="33"/>
  <c r="G58" i="33"/>
  <c r="E58" i="33"/>
  <c r="D58" i="33"/>
  <c r="O57" i="33"/>
  <c r="L57" i="33"/>
  <c r="I57" i="33"/>
  <c r="F57" i="33"/>
  <c r="O56" i="33"/>
  <c r="L56" i="33"/>
  <c r="L55" i="33" s="1"/>
  <c r="I56" i="33"/>
  <c r="I55" i="33" s="1"/>
  <c r="F56" i="33"/>
  <c r="F55" i="33" s="1"/>
  <c r="O55" i="33"/>
  <c r="O54" i="33" s="1"/>
  <c r="N55" i="33"/>
  <c r="N54" i="33" s="1"/>
  <c r="M55" i="33"/>
  <c r="K55" i="33"/>
  <c r="J55" i="33"/>
  <c r="H55" i="33"/>
  <c r="G55" i="33"/>
  <c r="G54" i="33" s="1"/>
  <c r="E55" i="33"/>
  <c r="E54" i="33" s="1"/>
  <c r="E53" i="33" s="1"/>
  <c r="D55" i="33"/>
  <c r="K54" i="33"/>
  <c r="K53" i="33" s="1"/>
  <c r="H54" i="33"/>
  <c r="O47" i="33"/>
  <c r="C47" i="33" s="1"/>
  <c r="O46" i="33"/>
  <c r="C46" i="33" s="1"/>
  <c r="N45" i="33"/>
  <c r="M45" i="33"/>
  <c r="L44" i="33"/>
  <c r="L43" i="33" s="1"/>
  <c r="I44" i="33"/>
  <c r="F44" i="33"/>
  <c r="F43" i="33" s="1"/>
  <c r="K43" i="33"/>
  <c r="J43" i="33"/>
  <c r="H43" i="33"/>
  <c r="G43" i="33"/>
  <c r="E43" i="33"/>
  <c r="D43" i="33"/>
  <c r="F42" i="33"/>
  <c r="F41" i="33" s="1"/>
  <c r="C41" i="33" s="1"/>
  <c r="E41" i="33"/>
  <c r="D41" i="33"/>
  <c r="L40" i="33"/>
  <c r="C40" i="33" s="1"/>
  <c r="L39" i="33"/>
  <c r="C39" i="33" s="1"/>
  <c r="L38" i="33"/>
  <c r="C38" i="33" s="1"/>
  <c r="L37" i="33"/>
  <c r="C37" i="33" s="1"/>
  <c r="K36" i="33"/>
  <c r="J36" i="33"/>
  <c r="L35" i="33"/>
  <c r="C35" i="33" s="1"/>
  <c r="L34" i="33"/>
  <c r="K33" i="33"/>
  <c r="J33" i="33"/>
  <c r="L32" i="33"/>
  <c r="C32" i="33" s="1"/>
  <c r="K31" i="33"/>
  <c r="J31" i="33"/>
  <c r="L30" i="33"/>
  <c r="C30" i="33" s="1"/>
  <c r="L29" i="33"/>
  <c r="C29" i="33" s="1"/>
  <c r="L28" i="33"/>
  <c r="C28" i="33" s="1"/>
  <c r="K27" i="33"/>
  <c r="J27" i="33"/>
  <c r="F25" i="33"/>
  <c r="C25" i="33" s="1"/>
  <c r="I24" i="33"/>
  <c r="F24" i="33"/>
  <c r="C24" i="33" s="1"/>
  <c r="O23" i="33"/>
  <c r="L23" i="33"/>
  <c r="I23" i="33"/>
  <c r="F23" i="33"/>
  <c r="O22" i="33"/>
  <c r="O21" i="33" s="1"/>
  <c r="O292" i="33" s="1"/>
  <c r="O291" i="33" s="1"/>
  <c r="L22" i="33"/>
  <c r="I22" i="33"/>
  <c r="F22" i="33"/>
  <c r="N21" i="33"/>
  <c r="N292" i="33" s="1"/>
  <c r="N291" i="33" s="1"/>
  <c r="M21" i="33"/>
  <c r="M292" i="33" s="1"/>
  <c r="M291" i="33" s="1"/>
  <c r="K21" i="33"/>
  <c r="J21" i="33"/>
  <c r="J292" i="33" s="1"/>
  <c r="J291" i="33" s="1"/>
  <c r="H21" i="33"/>
  <c r="H292" i="33" s="1"/>
  <c r="G21" i="33"/>
  <c r="G292" i="33" s="1"/>
  <c r="G291" i="33" s="1"/>
  <c r="F21" i="33"/>
  <c r="E21" i="33"/>
  <c r="E292" i="33" s="1"/>
  <c r="E291" i="33" s="1"/>
  <c r="D21" i="33"/>
  <c r="D292" i="33" s="1"/>
  <c r="D291" i="33" s="1"/>
  <c r="M20" i="33"/>
  <c r="M53" i="33" l="1"/>
  <c r="C134" i="33"/>
  <c r="O187" i="33"/>
  <c r="C202" i="33"/>
  <c r="C218" i="33"/>
  <c r="C278" i="33"/>
  <c r="C280" i="33"/>
  <c r="C78" i="33"/>
  <c r="C79" i="33"/>
  <c r="I76" i="33"/>
  <c r="C110" i="33"/>
  <c r="O122" i="33"/>
  <c r="I136" i="33"/>
  <c r="C181" i="33"/>
  <c r="C57" i="33"/>
  <c r="C86" i="33"/>
  <c r="C150" i="33"/>
  <c r="O238" i="33"/>
  <c r="O272" i="33"/>
  <c r="H76" i="33"/>
  <c r="C126" i="33"/>
  <c r="C298" i="33"/>
  <c r="C299" i="33"/>
  <c r="C300" i="33"/>
  <c r="C22" i="33"/>
  <c r="L33" i="33"/>
  <c r="C33" i="33" s="1"/>
  <c r="C44" i="33"/>
  <c r="D54" i="33"/>
  <c r="L67" i="33"/>
  <c r="C85" i="33"/>
  <c r="O84" i="33"/>
  <c r="N83" i="33"/>
  <c r="O112" i="33"/>
  <c r="O116" i="33"/>
  <c r="C154" i="33"/>
  <c r="C158" i="33"/>
  <c r="O160" i="33"/>
  <c r="D174" i="33"/>
  <c r="D173" i="33" s="1"/>
  <c r="C186" i="33"/>
  <c r="C190" i="33"/>
  <c r="N231" i="33"/>
  <c r="N230" i="33" s="1"/>
  <c r="L252" i="33"/>
  <c r="L251" i="33" s="1"/>
  <c r="O45" i="33"/>
  <c r="G53" i="33"/>
  <c r="C94" i="33"/>
  <c r="C125" i="33"/>
  <c r="D187" i="33"/>
  <c r="D195" i="33"/>
  <c r="M204" i="33"/>
  <c r="O260" i="33"/>
  <c r="C294" i="33"/>
  <c r="C295" i="33"/>
  <c r="I293" i="33"/>
  <c r="H20" i="33"/>
  <c r="C62" i="33"/>
  <c r="C74" i="33"/>
  <c r="D76" i="33"/>
  <c r="C82" i="33"/>
  <c r="C98" i="33"/>
  <c r="C101" i="33"/>
  <c r="C118" i="33"/>
  <c r="C120" i="33"/>
  <c r="E130" i="33"/>
  <c r="H173" i="33"/>
  <c r="O184" i="33"/>
  <c r="N187" i="33"/>
  <c r="L187" i="33"/>
  <c r="K195" i="33"/>
  <c r="C201" i="33"/>
  <c r="C210" i="33"/>
  <c r="C212" i="33"/>
  <c r="C222" i="33"/>
  <c r="C226" i="33"/>
  <c r="H270" i="33"/>
  <c r="H269" i="33" s="1"/>
  <c r="O276" i="33"/>
  <c r="C282" i="33"/>
  <c r="L293" i="33"/>
  <c r="J26" i="33"/>
  <c r="J20" i="33" s="1"/>
  <c r="M76" i="33"/>
  <c r="K83" i="33"/>
  <c r="G75" i="33"/>
  <c r="C146" i="33"/>
  <c r="C147" i="33"/>
  <c r="C149" i="33"/>
  <c r="C224" i="33"/>
  <c r="C258" i="33"/>
  <c r="C262" i="33"/>
  <c r="K259" i="33"/>
  <c r="C287" i="33"/>
  <c r="C288" i="33"/>
  <c r="D53" i="33"/>
  <c r="L151" i="33"/>
  <c r="K26" i="33"/>
  <c r="C61" i="33"/>
  <c r="C66" i="33"/>
  <c r="C70" i="33"/>
  <c r="O67" i="33"/>
  <c r="O80" i="33"/>
  <c r="O76" i="33" s="1"/>
  <c r="C87" i="33"/>
  <c r="C100" i="33"/>
  <c r="C105" i="33"/>
  <c r="C111" i="33"/>
  <c r="I116" i="33"/>
  <c r="C127" i="33"/>
  <c r="L131" i="33"/>
  <c r="D130" i="33"/>
  <c r="H130" i="33"/>
  <c r="L141" i="33"/>
  <c r="C148" i="33"/>
  <c r="C153" i="33"/>
  <c r="O166" i="33"/>
  <c r="O165" i="33" s="1"/>
  <c r="C183" i="33"/>
  <c r="I184" i="33"/>
  <c r="M195" i="33"/>
  <c r="E204" i="33"/>
  <c r="E195" i="33" s="1"/>
  <c r="J204" i="33"/>
  <c r="J195" i="33" s="1"/>
  <c r="N204" i="33"/>
  <c r="N195" i="33" s="1"/>
  <c r="O231" i="33"/>
  <c r="K231" i="33"/>
  <c r="K230" i="33" s="1"/>
  <c r="K194" i="33" s="1"/>
  <c r="C243" i="33"/>
  <c r="C245" i="33"/>
  <c r="O252" i="33"/>
  <c r="O251" i="33" s="1"/>
  <c r="I260" i="33"/>
  <c r="I276" i="33"/>
  <c r="I286" i="33"/>
  <c r="O53" i="33"/>
  <c r="C162" i="33"/>
  <c r="K292" i="33"/>
  <c r="K291" i="33" s="1"/>
  <c r="L27" i="33"/>
  <c r="L31" i="33"/>
  <c r="C31" i="33" s="1"/>
  <c r="L36" i="33"/>
  <c r="C36" i="33" s="1"/>
  <c r="E20" i="33"/>
  <c r="I43" i="33"/>
  <c r="C43" i="33" s="1"/>
  <c r="J54" i="33"/>
  <c r="J53" i="33" s="1"/>
  <c r="N53" i="33"/>
  <c r="C60" i="33"/>
  <c r="C63" i="33"/>
  <c r="C65" i="33"/>
  <c r="C73" i="33"/>
  <c r="F77" i="33"/>
  <c r="C77" i="33" s="1"/>
  <c r="C81" i="33"/>
  <c r="H83" i="33"/>
  <c r="H75" i="33" s="1"/>
  <c r="M83" i="33"/>
  <c r="C88" i="33"/>
  <c r="C109" i="33"/>
  <c r="J130" i="33"/>
  <c r="J75" i="33" s="1"/>
  <c r="C133" i="33"/>
  <c r="C140" i="33"/>
  <c r="C157" i="33"/>
  <c r="L160" i="33"/>
  <c r="C164" i="33"/>
  <c r="C169" i="33"/>
  <c r="J174" i="33"/>
  <c r="J173" i="33" s="1"/>
  <c r="C178" i="33"/>
  <c r="K187" i="33"/>
  <c r="C207" i="33"/>
  <c r="C219" i="33"/>
  <c r="C221" i="33"/>
  <c r="C227" i="33"/>
  <c r="C228" i="33"/>
  <c r="C229" i="33"/>
  <c r="C255" i="33"/>
  <c r="C257" i="33"/>
  <c r="E259" i="33"/>
  <c r="L264" i="33"/>
  <c r="C271" i="33"/>
  <c r="I270" i="33"/>
  <c r="I269" i="33" s="1"/>
  <c r="M270" i="33"/>
  <c r="M269" i="33" s="1"/>
  <c r="O270" i="33"/>
  <c r="O269" i="33" s="1"/>
  <c r="G52" i="33"/>
  <c r="F292" i="33"/>
  <c r="D20" i="33"/>
  <c r="N20" i="33"/>
  <c r="C23" i="33"/>
  <c r="C34" i="33"/>
  <c r="C42" i="33"/>
  <c r="C59" i="33"/>
  <c r="C64" i="33"/>
  <c r="H53" i="33"/>
  <c r="C72" i="33"/>
  <c r="D83" i="33"/>
  <c r="D75" i="33" s="1"/>
  <c r="L84" i="33"/>
  <c r="C91" i="33"/>
  <c r="C97" i="33"/>
  <c r="C102" i="33"/>
  <c r="C108" i="33"/>
  <c r="C115" i="33"/>
  <c r="C119" i="33"/>
  <c r="C121" i="33"/>
  <c r="C135" i="33"/>
  <c r="C156" i="33"/>
  <c r="C159" i="33"/>
  <c r="K75" i="33"/>
  <c r="C172" i="33"/>
  <c r="C177" i="33"/>
  <c r="O179" i="33"/>
  <c r="L179" i="33"/>
  <c r="L174" i="33" s="1"/>
  <c r="L173" i="33" s="1"/>
  <c r="C189" i="33"/>
  <c r="H204" i="33"/>
  <c r="H195" i="33" s="1"/>
  <c r="C213" i="33"/>
  <c r="C220" i="33"/>
  <c r="C225" i="33"/>
  <c r="D231" i="33"/>
  <c r="D230" i="33" s="1"/>
  <c r="H231" i="33"/>
  <c r="H230" i="33" s="1"/>
  <c r="O264" i="33"/>
  <c r="O259" i="33" s="1"/>
  <c r="C275" i="33"/>
  <c r="C45" i="33"/>
  <c r="E75" i="33"/>
  <c r="L26" i="33"/>
  <c r="C27" i="33"/>
  <c r="C90" i="33"/>
  <c r="C142" i="33"/>
  <c r="F174" i="33"/>
  <c r="H291" i="33"/>
  <c r="L21" i="33"/>
  <c r="C55" i="33"/>
  <c r="L58" i="33"/>
  <c r="L54" i="33" s="1"/>
  <c r="L53" i="33" s="1"/>
  <c r="I69" i="33"/>
  <c r="I67" i="33" s="1"/>
  <c r="F80" i="33"/>
  <c r="F84" i="33"/>
  <c r="L89" i="33"/>
  <c r="C93" i="33"/>
  <c r="F89" i="33"/>
  <c r="L103" i="33"/>
  <c r="C107" i="33"/>
  <c r="C113" i="33"/>
  <c r="F112" i="33"/>
  <c r="L116" i="33"/>
  <c r="C129" i="33"/>
  <c r="F128" i="33"/>
  <c r="C128" i="33" s="1"/>
  <c r="N130" i="33"/>
  <c r="N75" i="33" s="1"/>
  <c r="C139" i="33"/>
  <c r="C143" i="33"/>
  <c r="I144" i="33"/>
  <c r="C163" i="33"/>
  <c r="C168" i="33"/>
  <c r="I166" i="33"/>
  <c r="I165" i="33" s="1"/>
  <c r="C165" i="33" s="1"/>
  <c r="C171" i="33"/>
  <c r="E173" i="33"/>
  <c r="I175" i="33"/>
  <c r="C176" i="33"/>
  <c r="C268" i="33"/>
  <c r="I264" i="33"/>
  <c r="I95" i="33"/>
  <c r="C96" i="33"/>
  <c r="C137" i="33"/>
  <c r="F136" i="33"/>
  <c r="C161" i="33"/>
  <c r="F160" i="33"/>
  <c r="C185" i="33"/>
  <c r="F184" i="33"/>
  <c r="C184" i="33" s="1"/>
  <c r="C234" i="33"/>
  <c r="C301" i="33"/>
  <c r="F20" i="33"/>
  <c r="I21" i="33"/>
  <c r="C56" i="33"/>
  <c r="I58" i="33"/>
  <c r="I54" i="33" s="1"/>
  <c r="C68" i="33"/>
  <c r="F69" i="33"/>
  <c r="C92" i="33"/>
  <c r="I89" i="33"/>
  <c r="L95" i="33"/>
  <c r="C99" i="33"/>
  <c r="O103" i="33"/>
  <c r="M130" i="33"/>
  <c r="L136" i="33"/>
  <c r="L130" i="33" s="1"/>
  <c r="C145" i="33"/>
  <c r="F144" i="33"/>
  <c r="O144" i="33"/>
  <c r="O130" i="33" s="1"/>
  <c r="F151" i="33"/>
  <c r="I151" i="33"/>
  <c r="C152" i="33"/>
  <c r="C155" i="33"/>
  <c r="C193" i="33"/>
  <c r="F192" i="33"/>
  <c r="C261" i="33"/>
  <c r="F260" i="33"/>
  <c r="C170" i="33"/>
  <c r="G20" i="33"/>
  <c r="K20" i="33"/>
  <c r="O20" i="33"/>
  <c r="F58" i="33"/>
  <c r="F54" i="33" s="1"/>
  <c r="L76" i="33"/>
  <c r="O95" i="33"/>
  <c r="I103" i="33"/>
  <c r="C104" i="33"/>
  <c r="L112" i="33"/>
  <c r="C117" i="33"/>
  <c r="F116" i="33"/>
  <c r="C124" i="33"/>
  <c r="I122" i="33"/>
  <c r="C122" i="33" s="1"/>
  <c r="I131" i="33"/>
  <c r="C132" i="33"/>
  <c r="C141" i="33"/>
  <c r="O175" i="33"/>
  <c r="O174" i="33" s="1"/>
  <c r="O173" i="33" s="1"/>
  <c r="I179" i="33"/>
  <c r="C179" i="33" s="1"/>
  <c r="C180" i="33"/>
  <c r="C209" i="33"/>
  <c r="F205" i="33"/>
  <c r="C237" i="33"/>
  <c r="F235" i="33"/>
  <c r="C256" i="33"/>
  <c r="I252" i="33"/>
  <c r="I251" i="33" s="1"/>
  <c r="C277" i="33"/>
  <c r="F276" i="33"/>
  <c r="C123" i="33"/>
  <c r="C167" i="33"/>
  <c r="F188" i="33"/>
  <c r="C200" i="33"/>
  <c r="I198" i="33"/>
  <c r="I196" i="33" s="1"/>
  <c r="C203" i="33"/>
  <c r="H194" i="33"/>
  <c r="C208" i="33"/>
  <c r="I205" i="33"/>
  <c r="I204" i="33" s="1"/>
  <c r="C211" i="33"/>
  <c r="L216" i="33"/>
  <c r="L204" i="33" s="1"/>
  <c r="L195" i="33" s="1"/>
  <c r="C223" i="33"/>
  <c r="C232" i="33"/>
  <c r="C233" i="33"/>
  <c r="L231" i="33"/>
  <c r="I235" i="33"/>
  <c r="C236" i="33"/>
  <c r="C247" i="33"/>
  <c r="C249" i="33"/>
  <c r="F246" i="33"/>
  <c r="E270" i="33"/>
  <c r="E269" i="33" s="1"/>
  <c r="C285" i="33"/>
  <c r="F284" i="33"/>
  <c r="C286" i="33"/>
  <c r="N194" i="33"/>
  <c r="C197" i="33"/>
  <c r="F196" i="33"/>
  <c r="C215" i="33"/>
  <c r="J230" i="33"/>
  <c r="C239" i="33"/>
  <c r="C241" i="33"/>
  <c r="F238" i="33"/>
  <c r="C248" i="33"/>
  <c r="I246" i="33"/>
  <c r="E230" i="33"/>
  <c r="C253" i="33"/>
  <c r="F252" i="33"/>
  <c r="M259" i="33"/>
  <c r="M230" i="33" s="1"/>
  <c r="C265" i="33"/>
  <c r="F264" i="33"/>
  <c r="C273" i="33"/>
  <c r="F272" i="33"/>
  <c r="O196" i="33"/>
  <c r="O205" i="33"/>
  <c r="C217" i="33"/>
  <c r="F216" i="33"/>
  <c r="O216" i="33"/>
  <c r="G231" i="33"/>
  <c r="G230" i="33" s="1"/>
  <c r="G194" i="33" s="1"/>
  <c r="C240" i="33"/>
  <c r="I238" i="33"/>
  <c r="C244" i="33"/>
  <c r="L260" i="33"/>
  <c r="L259" i="33" s="1"/>
  <c r="C263" i="33"/>
  <c r="L276" i="33"/>
  <c r="L270" i="33" s="1"/>
  <c r="L269" i="33" s="1"/>
  <c r="C279" i="33"/>
  <c r="C281" i="33"/>
  <c r="C296" i="33"/>
  <c r="C297" i="33"/>
  <c r="F293" i="33"/>
  <c r="C293" i="33" s="1"/>
  <c r="C199" i="33"/>
  <c r="C175" i="33" l="1"/>
  <c r="H289" i="33"/>
  <c r="O204" i="33"/>
  <c r="K52" i="33"/>
  <c r="K51" i="33" s="1"/>
  <c r="I259" i="33"/>
  <c r="E289" i="33"/>
  <c r="O83" i="33"/>
  <c r="C95" i="33"/>
  <c r="E52" i="33"/>
  <c r="D289" i="33"/>
  <c r="H52" i="33"/>
  <c r="F291" i="33"/>
  <c r="N289" i="33"/>
  <c r="K50" i="33"/>
  <c r="K290" i="33"/>
  <c r="L230" i="33"/>
  <c r="C166" i="33"/>
  <c r="L83" i="33"/>
  <c r="J52" i="33"/>
  <c r="C116" i="33"/>
  <c r="C151" i="33"/>
  <c r="K289" i="33"/>
  <c r="D194" i="33"/>
  <c r="O230" i="33"/>
  <c r="D52" i="33"/>
  <c r="C264" i="33"/>
  <c r="G289" i="33"/>
  <c r="I130" i="33"/>
  <c r="M75" i="33"/>
  <c r="M52" i="33" s="1"/>
  <c r="I174" i="33"/>
  <c r="I173" i="33" s="1"/>
  <c r="G51" i="33"/>
  <c r="G290" i="33" s="1"/>
  <c r="J289" i="33"/>
  <c r="I231" i="33"/>
  <c r="I230" i="33" s="1"/>
  <c r="C216" i="33"/>
  <c r="E194" i="33"/>
  <c r="C144" i="33"/>
  <c r="O75" i="33"/>
  <c r="O52" i="33" s="1"/>
  <c r="C160" i="33"/>
  <c r="N52" i="33"/>
  <c r="N51" i="33" s="1"/>
  <c r="N290" i="33" s="1"/>
  <c r="C112" i="33"/>
  <c r="C89" i="33"/>
  <c r="L194" i="33"/>
  <c r="M194" i="33"/>
  <c r="I195" i="33"/>
  <c r="C235" i="33"/>
  <c r="F231" i="33"/>
  <c r="C192" i="33"/>
  <c r="F191" i="33"/>
  <c r="C191" i="33" s="1"/>
  <c r="C198" i="33"/>
  <c r="C80" i="33"/>
  <c r="F76" i="33"/>
  <c r="F270" i="33"/>
  <c r="C272" i="33"/>
  <c r="C246" i="33"/>
  <c r="C131" i="33"/>
  <c r="C58" i="33"/>
  <c r="C69" i="33"/>
  <c r="F67" i="33"/>
  <c r="C67" i="33" s="1"/>
  <c r="F173" i="33"/>
  <c r="H51" i="33"/>
  <c r="C260" i="33"/>
  <c r="F259" i="33"/>
  <c r="C259" i="33" s="1"/>
  <c r="C196" i="33"/>
  <c r="C284" i="33"/>
  <c r="F283" i="33"/>
  <c r="C283" i="33" s="1"/>
  <c r="J194" i="33"/>
  <c r="J51" i="33" s="1"/>
  <c r="C205" i="33"/>
  <c r="F204" i="33"/>
  <c r="C204" i="33" s="1"/>
  <c r="F130" i="33"/>
  <c r="C130" i="33" s="1"/>
  <c r="C103" i="33"/>
  <c r="I292" i="33"/>
  <c r="I20" i="33"/>
  <c r="C21" i="33"/>
  <c r="L292" i="33"/>
  <c r="L291" i="33" s="1"/>
  <c r="L20" i="33"/>
  <c r="I83" i="33"/>
  <c r="I75" i="33" s="1"/>
  <c r="F53" i="33"/>
  <c r="C54" i="33"/>
  <c r="C26" i="33"/>
  <c r="I53" i="33"/>
  <c r="C238" i="33"/>
  <c r="L75" i="33"/>
  <c r="L289" i="33" s="1"/>
  <c r="O195" i="33"/>
  <c r="C252" i="33"/>
  <c r="F251" i="33"/>
  <c r="C251" i="33" s="1"/>
  <c r="C188" i="33"/>
  <c r="C276" i="33"/>
  <c r="C20" i="33"/>
  <c r="C136" i="33"/>
  <c r="F83" i="33"/>
  <c r="C84" i="33"/>
  <c r="C174" i="33" l="1"/>
  <c r="C173" i="33"/>
  <c r="D51" i="33"/>
  <c r="D50" i="33" s="1"/>
  <c r="E51" i="33"/>
  <c r="E290" i="33" s="1"/>
  <c r="N50" i="33"/>
  <c r="I194" i="33"/>
  <c r="G50" i="33"/>
  <c r="M289" i="33"/>
  <c r="M51" i="33"/>
  <c r="M50" i="33" s="1"/>
  <c r="C76" i="33"/>
  <c r="F75" i="33"/>
  <c r="C75" i="33" s="1"/>
  <c r="E50" i="33"/>
  <c r="C292" i="33"/>
  <c r="I291" i="33"/>
  <c r="C291" i="33" s="1"/>
  <c r="F195" i="33"/>
  <c r="H290" i="33"/>
  <c r="H50" i="33"/>
  <c r="F230" i="33"/>
  <c r="C230" i="33" s="1"/>
  <c r="C231" i="33"/>
  <c r="I289" i="33"/>
  <c r="C83" i="33"/>
  <c r="F187" i="33"/>
  <c r="C187" i="33" s="1"/>
  <c r="O194" i="33"/>
  <c r="O51" i="33" s="1"/>
  <c r="O289" i="33"/>
  <c r="I52" i="33"/>
  <c r="I51" i="33" s="1"/>
  <c r="C53" i="33"/>
  <c r="L52" i="33"/>
  <c r="L51" i="33" s="1"/>
  <c r="J50" i="33"/>
  <c r="J290" i="33"/>
  <c r="F269" i="33"/>
  <c r="C270" i="33"/>
  <c r="D290" i="33" l="1"/>
  <c r="M290" i="33"/>
  <c r="L50" i="33"/>
  <c r="L290" i="33"/>
  <c r="I290" i="33"/>
  <c r="I50" i="33"/>
  <c r="C269" i="33"/>
  <c r="F289" i="33"/>
  <c r="C289" i="33" s="1"/>
  <c r="F52" i="33"/>
  <c r="O50" i="33"/>
  <c r="O290" i="33"/>
  <c r="F194" i="33"/>
  <c r="C194" i="33" s="1"/>
  <c r="C195" i="33"/>
  <c r="C52" i="33" l="1"/>
  <c r="F51" i="33"/>
  <c r="F290" i="33" l="1"/>
  <c r="C290" i="33" s="1"/>
  <c r="F50" i="33"/>
  <c r="C50" i="33" s="1"/>
  <c r="C51" i="33"/>
  <c r="O301" i="32" l="1"/>
  <c r="L301" i="32"/>
  <c r="I301" i="32"/>
  <c r="F301" i="32"/>
  <c r="O300" i="32"/>
  <c r="L300" i="32"/>
  <c r="I300" i="32"/>
  <c r="F300" i="32"/>
  <c r="O299" i="32"/>
  <c r="L299" i="32"/>
  <c r="I299" i="32"/>
  <c r="F299" i="32"/>
  <c r="O298" i="32"/>
  <c r="L298" i="32"/>
  <c r="I298" i="32"/>
  <c r="F298" i="32"/>
  <c r="O297" i="32"/>
  <c r="L297" i="32"/>
  <c r="I297" i="32"/>
  <c r="F297" i="32"/>
  <c r="O296" i="32"/>
  <c r="L296" i="32"/>
  <c r="I296" i="32"/>
  <c r="F296" i="32"/>
  <c r="O295" i="32"/>
  <c r="L295" i="32"/>
  <c r="I295" i="32"/>
  <c r="F295" i="32"/>
  <c r="O294" i="32"/>
  <c r="L294" i="32"/>
  <c r="I294" i="32"/>
  <c r="I293" i="32" s="1"/>
  <c r="F294" i="32"/>
  <c r="N293" i="32"/>
  <c r="M293" i="32"/>
  <c r="K293" i="32"/>
  <c r="J293" i="32"/>
  <c r="H293" i="32"/>
  <c r="G293" i="32"/>
  <c r="E293" i="32"/>
  <c r="D293" i="32"/>
  <c r="O288" i="32"/>
  <c r="L288" i="32"/>
  <c r="I288" i="32"/>
  <c r="F288" i="32"/>
  <c r="O287" i="32"/>
  <c r="L287" i="32"/>
  <c r="L286" i="32" s="1"/>
  <c r="I287" i="32"/>
  <c r="F287" i="32"/>
  <c r="F286" i="32" s="1"/>
  <c r="O286" i="32"/>
  <c r="N286" i="32"/>
  <c r="M286" i="32"/>
  <c r="K286" i="32"/>
  <c r="J286" i="32"/>
  <c r="H286" i="32"/>
  <c r="G286" i="32"/>
  <c r="E286" i="32"/>
  <c r="D286" i="32"/>
  <c r="O285" i="32"/>
  <c r="L285" i="32"/>
  <c r="L284" i="32" s="1"/>
  <c r="L283" i="32" s="1"/>
  <c r="I285" i="32"/>
  <c r="F285" i="32"/>
  <c r="O284" i="32"/>
  <c r="O283" i="32" s="1"/>
  <c r="N284" i="32"/>
  <c r="N283" i="32" s="1"/>
  <c r="M284" i="32"/>
  <c r="M283" i="32" s="1"/>
  <c r="K284" i="32"/>
  <c r="K283" i="32" s="1"/>
  <c r="J284" i="32"/>
  <c r="J283" i="32" s="1"/>
  <c r="I284" i="32"/>
  <c r="I283" i="32" s="1"/>
  <c r="H284" i="32"/>
  <c r="G284" i="32"/>
  <c r="G283" i="32" s="1"/>
  <c r="E284" i="32"/>
  <c r="E283" i="32" s="1"/>
  <c r="D284" i="32"/>
  <c r="D283" i="32" s="1"/>
  <c r="H283" i="32"/>
  <c r="O282" i="32"/>
  <c r="O281" i="32" s="1"/>
  <c r="L282" i="32"/>
  <c r="L281" i="32" s="1"/>
  <c r="I282" i="32"/>
  <c r="I281" i="32" s="1"/>
  <c r="F282" i="32"/>
  <c r="N281" i="32"/>
  <c r="M281" i="32"/>
  <c r="K281" i="32"/>
  <c r="J281" i="32"/>
  <c r="H281" i="32"/>
  <c r="G281" i="32"/>
  <c r="E281" i="32"/>
  <c r="D281" i="32"/>
  <c r="O280" i="32"/>
  <c r="L280" i="32"/>
  <c r="I280" i="32"/>
  <c r="F280" i="32"/>
  <c r="O279" i="32"/>
  <c r="L279" i="32"/>
  <c r="I279" i="32"/>
  <c r="F279" i="32"/>
  <c r="O278" i="32"/>
  <c r="L278" i="32"/>
  <c r="I278" i="32"/>
  <c r="F278" i="32"/>
  <c r="O277" i="32"/>
  <c r="L277" i="32"/>
  <c r="L276" i="32" s="1"/>
  <c r="I277" i="32"/>
  <c r="F277" i="32"/>
  <c r="N276" i="32"/>
  <c r="M276" i="32"/>
  <c r="K276" i="32"/>
  <c r="J276" i="32"/>
  <c r="H276" i="32"/>
  <c r="G276" i="32"/>
  <c r="E276" i="32"/>
  <c r="D276" i="32"/>
  <c r="O275" i="32"/>
  <c r="L275" i="32"/>
  <c r="I275" i="32"/>
  <c r="F275" i="32"/>
  <c r="O274" i="32"/>
  <c r="L274" i="32"/>
  <c r="I274" i="32"/>
  <c r="F274" i="32"/>
  <c r="O273" i="32"/>
  <c r="L273" i="32"/>
  <c r="L272" i="32" s="1"/>
  <c r="I273" i="32"/>
  <c r="I272" i="32" s="1"/>
  <c r="F273" i="32"/>
  <c r="N272" i="32"/>
  <c r="M272" i="32"/>
  <c r="K272" i="32"/>
  <c r="K270" i="32" s="1"/>
  <c r="K269" i="32" s="1"/>
  <c r="J272" i="32"/>
  <c r="J270" i="32" s="1"/>
  <c r="J269" i="32" s="1"/>
  <c r="H272" i="32"/>
  <c r="G272" i="32"/>
  <c r="E272" i="32"/>
  <c r="D272" i="32"/>
  <c r="O271" i="32"/>
  <c r="L271" i="32"/>
  <c r="I271" i="32"/>
  <c r="F271" i="32"/>
  <c r="N270" i="32"/>
  <c r="G270" i="32"/>
  <c r="G269" i="32" s="1"/>
  <c r="O268" i="32"/>
  <c r="L268" i="32"/>
  <c r="I268" i="32"/>
  <c r="F268" i="32"/>
  <c r="O267" i="32"/>
  <c r="L267" i="32"/>
  <c r="I267" i="32"/>
  <c r="F267" i="32"/>
  <c r="O266" i="32"/>
  <c r="L266" i="32"/>
  <c r="I266" i="32"/>
  <c r="F266" i="32"/>
  <c r="O265" i="32"/>
  <c r="L265" i="32"/>
  <c r="I265" i="32"/>
  <c r="I264" i="32" s="1"/>
  <c r="F265" i="32"/>
  <c r="N264" i="32"/>
  <c r="M264" i="32"/>
  <c r="K264" i="32"/>
  <c r="J264" i="32"/>
  <c r="H264" i="32"/>
  <c r="G264" i="32"/>
  <c r="E264" i="32"/>
  <c r="D264" i="32"/>
  <c r="O263" i="32"/>
  <c r="L263" i="32"/>
  <c r="I263" i="32"/>
  <c r="F263" i="32"/>
  <c r="O262" i="32"/>
  <c r="L262" i="32"/>
  <c r="I262" i="32"/>
  <c r="F262" i="32"/>
  <c r="O261" i="32"/>
  <c r="L261" i="32"/>
  <c r="I261" i="32"/>
  <c r="I260" i="32" s="1"/>
  <c r="F261" i="32"/>
  <c r="N260" i="32"/>
  <c r="N259" i="32" s="1"/>
  <c r="M260" i="32"/>
  <c r="M259" i="32" s="1"/>
  <c r="K260" i="32"/>
  <c r="J260" i="32"/>
  <c r="J259" i="32" s="1"/>
  <c r="H260" i="32"/>
  <c r="H259" i="32" s="1"/>
  <c r="G260" i="32"/>
  <c r="E260" i="32"/>
  <c r="D260" i="32"/>
  <c r="D259" i="32" s="1"/>
  <c r="O258" i="32"/>
  <c r="L258" i="32"/>
  <c r="I258" i="32"/>
  <c r="F258" i="32"/>
  <c r="O257" i="32"/>
  <c r="L257" i="32"/>
  <c r="I257" i="32"/>
  <c r="F257" i="32"/>
  <c r="O256" i="32"/>
  <c r="L256" i="32"/>
  <c r="I256" i="32"/>
  <c r="F256" i="32"/>
  <c r="O255" i="32"/>
  <c r="L255" i="32"/>
  <c r="I255" i="32"/>
  <c r="F255" i="32"/>
  <c r="O254" i="32"/>
  <c r="L254" i="32"/>
  <c r="I254" i="32"/>
  <c r="F254" i="32"/>
  <c r="O253" i="32"/>
  <c r="L253" i="32"/>
  <c r="I253" i="32"/>
  <c r="F253" i="32"/>
  <c r="N252" i="32"/>
  <c r="M252" i="32"/>
  <c r="M251" i="32" s="1"/>
  <c r="K252" i="32"/>
  <c r="J252" i="32"/>
  <c r="J251" i="32" s="1"/>
  <c r="H252" i="32"/>
  <c r="H251" i="32" s="1"/>
  <c r="G252" i="32"/>
  <c r="G251" i="32" s="1"/>
  <c r="E252" i="32"/>
  <c r="E251" i="32" s="1"/>
  <c r="D252" i="32"/>
  <c r="N251" i="32"/>
  <c r="K251" i="32"/>
  <c r="D251" i="32"/>
  <c r="O250" i="32"/>
  <c r="L250" i="32"/>
  <c r="I250" i="32"/>
  <c r="F250" i="32"/>
  <c r="O249" i="32"/>
  <c r="L249" i="32"/>
  <c r="I249" i="32"/>
  <c r="F249" i="32"/>
  <c r="O248" i="32"/>
  <c r="L248" i="32"/>
  <c r="I248" i="32"/>
  <c r="F248" i="32"/>
  <c r="O247" i="32"/>
  <c r="L247" i="32"/>
  <c r="L246" i="32" s="1"/>
  <c r="I247" i="32"/>
  <c r="F247" i="32"/>
  <c r="N246" i="32"/>
  <c r="M246" i="32"/>
  <c r="K246" i="32"/>
  <c r="J246" i="32"/>
  <c r="H246" i="32"/>
  <c r="G246" i="32"/>
  <c r="E246" i="32"/>
  <c r="D246" i="32"/>
  <c r="O245" i="32"/>
  <c r="L245" i="32"/>
  <c r="I245" i="32"/>
  <c r="F245" i="32"/>
  <c r="O244" i="32"/>
  <c r="L244" i="32"/>
  <c r="I244" i="32"/>
  <c r="F244" i="32"/>
  <c r="O243" i="32"/>
  <c r="L243" i="32"/>
  <c r="I243" i="32"/>
  <c r="F243" i="32"/>
  <c r="O242" i="32"/>
  <c r="L242" i="32"/>
  <c r="I242" i="32"/>
  <c r="F242" i="32"/>
  <c r="O241" i="32"/>
  <c r="L241" i="32"/>
  <c r="I241" i="32"/>
  <c r="F241" i="32"/>
  <c r="O240" i="32"/>
  <c r="L240" i="32"/>
  <c r="I240" i="32"/>
  <c r="F240" i="32"/>
  <c r="O239" i="32"/>
  <c r="L239" i="32"/>
  <c r="I239" i="32"/>
  <c r="F239" i="32"/>
  <c r="O238" i="32"/>
  <c r="N238" i="32"/>
  <c r="M238" i="32"/>
  <c r="K238" i="32"/>
  <c r="J238" i="32"/>
  <c r="H238" i="32"/>
  <c r="G238" i="32"/>
  <c r="E238" i="32"/>
  <c r="D238" i="32"/>
  <c r="O237" i="32"/>
  <c r="L237" i="32"/>
  <c r="I237" i="32"/>
  <c r="F237" i="32"/>
  <c r="O236" i="32"/>
  <c r="L236" i="32"/>
  <c r="L235" i="32" s="1"/>
  <c r="I236" i="32"/>
  <c r="F236" i="32"/>
  <c r="O235" i="32"/>
  <c r="N235" i="32"/>
  <c r="M235" i="32"/>
  <c r="K235" i="32"/>
  <c r="J235" i="32"/>
  <c r="H235" i="32"/>
  <c r="G235" i="32"/>
  <c r="F235" i="32"/>
  <c r="E235" i="32"/>
  <c r="D235" i="32"/>
  <c r="O234" i="32"/>
  <c r="O233" i="32" s="1"/>
  <c r="L234" i="32"/>
  <c r="L233" i="32" s="1"/>
  <c r="I234" i="32"/>
  <c r="I233" i="32" s="1"/>
  <c r="F234" i="32"/>
  <c r="F233" i="32" s="1"/>
  <c r="N233" i="32"/>
  <c r="M233" i="32"/>
  <c r="K233" i="32"/>
  <c r="J233" i="32"/>
  <c r="H233" i="32"/>
  <c r="G233" i="32"/>
  <c r="E233" i="32"/>
  <c r="E231" i="32" s="1"/>
  <c r="D233" i="32"/>
  <c r="O232" i="32"/>
  <c r="L232" i="32"/>
  <c r="I232" i="32"/>
  <c r="F232" i="32"/>
  <c r="O229" i="32"/>
  <c r="L229" i="32"/>
  <c r="I229" i="32"/>
  <c r="F229" i="32"/>
  <c r="O228" i="32"/>
  <c r="L228" i="32"/>
  <c r="L227" i="32" s="1"/>
  <c r="I228" i="32"/>
  <c r="I227" i="32" s="1"/>
  <c r="F228" i="32"/>
  <c r="F227" i="32" s="1"/>
  <c r="O227" i="32"/>
  <c r="N227" i="32"/>
  <c r="M227" i="32"/>
  <c r="K227" i="32"/>
  <c r="J227" i="32"/>
  <c r="H227" i="32"/>
  <c r="G227" i="32"/>
  <c r="E227" i="32"/>
  <c r="D227" i="32"/>
  <c r="O226" i="32"/>
  <c r="L226" i="32"/>
  <c r="I226" i="32"/>
  <c r="F226" i="32"/>
  <c r="O225" i="32"/>
  <c r="L225" i="32"/>
  <c r="I225" i="32"/>
  <c r="F225" i="32"/>
  <c r="O224" i="32"/>
  <c r="L224" i="32"/>
  <c r="I224" i="32"/>
  <c r="F224" i="32"/>
  <c r="O223" i="32"/>
  <c r="L223" i="32"/>
  <c r="I223" i="32"/>
  <c r="F223" i="32"/>
  <c r="O222" i="32"/>
  <c r="L222" i="32"/>
  <c r="I222" i="32"/>
  <c r="F222" i="32"/>
  <c r="C222" i="32" s="1"/>
  <c r="O221" i="32"/>
  <c r="L221" i="32"/>
  <c r="I221" i="32"/>
  <c r="F221" i="32"/>
  <c r="O220" i="32"/>
  <c r="L220" i="32"/>
  <c r="I220" i="32"/>
  <c r="F220" i="32"/>
  <c r="O219" i="32"/>
  <c r="L219" i="32"/>
  <c r="I219" i="32"/>
  <c r="F219" i="32"/>
  <c r="O218" i="32"/>
  <c r="L218" i="32"/>
  <c r="I218" i="32"/>
  <c r="F218" i="32"/>
  <c r="O217" i="32"/>
  <c r="L217" i="32"/>
  <c r="I217" i="32"/>
  <c r="F217" i="32"/>
  <c r="N216" i="32"/>
  <c r="M216" i="32"/>
  <c r="K216" i="32"/>
  <c r="J216" i="32"/>
  <c r="H216" i="32"/>
  <c r="G216" i="32"/>
  <c r="E216" i="32"/>
  <c r="D216" i="32"/>
  <c r="O215" i="32"/>
  <c r="L215" i="32"/>
  <c r="I215" i="32"/>
  <c r="F215" i="32"/>
  <c r="O214" i="32"/>
  <c r="L214" i="32"/>
  <c r="I214" i="32"/>
  <c r="F214" i="32"/>
  <c r="C214" i="32" s="1"/>
  <c r="O213" i="32"/>
  <c r="L213" i="32"/>
  <c r="I213" i="32"/>
  <c r="F213" i="32"/>
  <c r="O212" i="32"/>
  <c r="L212" i="32"/>
  <c r="I212" i="32"/>
  <c r="F212" i="32"/>
  <c r="O211" i="32"/>
  <c r="L211" i="32"/>
  <c r="I211" i="32"/>
  <c r="F211" i="32"/>
  <c r="O210" i="32"/>
  <c r="L210" i="32"/>
  <c r="I210" i="32"/>
  <c r="F210" i="32"/>
  <c r="O209" i="32"/>
  <c r="L209" i="32"/>
  <c r="I209" i="32"/>
  <c r="F209" i="32"/>
  <c r="O208" i="32"/>
  <c r="L208" i="32"/>
  <c r="I208" i="32"/>
  <c r="F208" i="32"/>
  <c r="O207" i="32"/>
  <c r="L207" i="32"/>
  <c r="I207" i="32"/>
  <c r="F207" i="32"/>
  <c r="O206" i="32"/>
  <c r="L206" i="32"/>
  <c r="L205" i="32" s="1"/>
  <c r="I206" i="32"/>
  <c r="F206" i="32"/>
  <c r="N205" i="32"/>
  <c r="M205" i="32"/>
  <c r="K205" i="32"/>
  <c r="J205" i="32"/>
  <c r="H205" i="32"/>
  <c r="G205" i="32"/>
  <c r="G204" i="32" s="1"/>
  <c r="E205" i="32"/>
  <c r="D205" i="32"/>
  <c r="K204" i="32"/>
  <c r="O203" i="32"/>
  <c r="L203" i="32"/>
  <c r="I203" i="32"/>
  <c r="F203" i="32"/>
  <c r="O202" i="32"/>
  <c r="L202" i="32"/>
  <c r="I202" i="32"/>
  <c r="F202" i="32"/>
  <c r="O201" i="32"/>
  <c r="L201" i="32"/>
  <c r="I201" i="32"/>
  <c r="F201" i="32"/>
  <c r="O200" i="32"/>
  <c r="L200" i="32"/>
  <c r="I200" i="32"/>
  <c r="F200" i="32"/>
  <c r="O199" i="32"/>
  <c r="L199" i="32"/>
  <c r="L198" i="32" s="1"/>
  <c r="I199" i="32"/>
  <c r="F199" i="32"/>
  <c r="O198" i="32"/>
  <c r="N198" i="32"/>
  <c r="N196" i="32" s="1"/>
  <c r="M198" i="32"/>
  <c r="K198" i="32"/>
  <c r="K196" i="32" s="1"/>
  <c r="K195" i="32" s="1"/>
  <c r="J198" i="32"/>
  <c r="H198" i="32"/>
  <c r="G198" i="32"/>
  <c r="G196" i="32" s="1"/>
  <c r="F198" i="32"/>
  <c r="E198" i="32"/>
  <c r="E196" i="32" s="1"/>
  <c r="D198" i="32"/>
  <c r="D196" i="32" s="1"/>
  <c r="O197" i="32"/>
  <c r="L197" i="32"/>
  <c r="I197" i="32"/>
  <c r="F197" i="32"/>
  <c r="M196" i="32"/>
  <c r="J196" i="32"/>
  <c r="H196" i="32"/>
  <c r="O193" i="32"/>
  <c r="O192" i="32" s="1"/>
  <c r="O191" i="32" s="1"/>
  <c r="L193" i="32"/>
  <c r="L192" i="32" s="1"/>
  <c r="L191" i="32" s="1"/>
  <c r="I193" i="32"/>
  <c r="F193" i="32"/>
  <c r="N192" i="32"/>
  <c r="N191" i="32" s="1"/>
  <c r="M192" i="32"/>
  <c r="M191" i="32" s="1"/>
  <c r="K192" i="32"/>
  <c r="K191" i="32" s="1"/>
  <c r="J192" i="32"/>
  <c r="J191" i="32" s="1"/>
  <c r="I192" i="32"/>
  <c r="I191" i="32" s="1"/>
  <c r="H192" i="32"/>
  <c r="G192" i="32"/>
  <c r="E192" i="32"/>
  <c r="E191" i="32" s="1"/>
  <c r="D192" i="32"/>
  <c r="D191" i="32" s="1"/>
  <c r="H191" i="32"/>
  <c r="G191" i="32"/>
  <c r="O190" i="32"/>
  <c r="L190" i="32"/>
  <c r="I190" i="32"/>
  <c r="F190" i="32"/>
  <c r="O189" i="32"/>
  <c r="L189" i="32"/>
  <c r="L188" i="32" s="1"/>
  <c r="I189" i="32"/>
  <c r="F189" i="32"/>
  <c r="F188" i="32" s="1"/>
  <c r="O188" i="32"/>
  <c r="N188" i="32"/>
  <c r="M188" i="32"/>
  <c r="M187" i="32" s="1"/>
  <c r="K188" i="32"/>
  <c r="J188" i="32"/>
  <c r="J187" i="32" s="1"/>
  <c r="H188" i="32"/>
  <c r="G188" i="32"/>
  <c r="E188" i="32"/>
  <c r="D188" i="32"/>
  <c r="O186" i="32"/>
  <c r="L186" i="32"/>
  <c r="I186" i="32"/>
  <c r="F186" i="32"/>
  <c r="O185" i="32"/>
  <c r="L185" i="32"/>
  <c r="L184" i="32" s="1"/>
  <c r="I185" i="32"/>
  <c r="F185" i="32"/>
  <c r="F184" i="32" s="1"/>
  <c r="O184" i="32"/>
  <c r="N184" i="32"/>
  <c r="M184" i="32"/>
  <c r="K184" i="32"/>
  <c r="J184" i="32"/>
  <c r="H184" i="32"/>
  <c r="G184" i="32"/>
  <c r="E184" i="32"/>
  <c r="D184" i="32"/>
  <c r="O183" i="32"/>
  <c r="L183" i="32"/>
  <c r="I183" i="32"/>
  <c r="F183" i="32"/>
  <c r="O182" i="32"/>
  <c r="L182" i="32"/>
  <c r="I182" i="32"/>
  <c r="F182" i="32"/>
  <c r="O181" i="32"/>
  <c r="L181" i="32"/>
  <c r="I181" i="32"/>
  <c r="F181" i="32"/>
  <c r="O180" i="32"/>
  <c r="O179" i="32" s="1"/>
  <c r="L180" i="32"/>
  <c r="L179" i="32" s="1"/>
  <c r="I180" i="32"/>
  <c r="I179" i="32" s="1"/>
  <c r="F180" i="32"/>
  <c r="N179" i="32"/>
  <c r="M179" i="32"/>
  <c r="K179" i="32"/>
  <c r="J179" i="32"/>
  <c r="H179" i="32"/>
  <c r="G179" i="32"/>
  <c r="E179" i="32"/>
  <c r="D179" i="32"/>
  <c r="O178" i="32"/>
  <c r="L178" i="32"/>
  <c r="I178" i="32"/>
  <c r="F178" i="32"/>
  <c r="O177" i="32"/>
  <c r="L177" i="32"/>
  <c r="I177" i="32"/>
  <c r="F177" i="32"/>
  <c r="O176" i="32"/>
  <c r="O175" i="32" s="1"/>
  <c r="L176" i="32"/>
  <c r="I176" i="32"/>
  <c r="I175" i="32" s="1"/>
  <c r="I174" i="32" s="1"/>
  <c r="F176" i="32"/>
  <c r="F175" i="32" s="1"/>
  <c r="N175" i="32"/>
  <c r="M175" i="32"/>
  <c r="M174" i="32" s="1"/>
  <c r="K175" i="32"/>
  <c r="K174" i="32" s="1"/>
  <c r="K173" i="32" s="1"/>
  <c r="J175" i="32"/>
  <c r="H175" i="32"/>
  <c r="H174" i="32" s="1"/>
  <c r="H173" i="32" s="1"/>
  <c r="G175" i="32"/>
  <c r="G174" i="32" s="1"/>
  <c r="E175" i="32"/>
  <c r="E174" i="32" s="1"/>
  <c r="E173" i="32" s="1"/>
  <c r="D175" i="32"/>
  <c r="O172" i="32"/>
  <c r="L172" i="32"/>
  <c r="I172" i="32"/>
  <c r="F172" i="32"/>
  <c r="O171" i="32"/>
  <c r="L171" i="32"/>
  <c r="I171" i="32"/>
  <c r="F171" i="32"/>
  <c r="O170" i="32"/>
  <c r="L170" i="32"/>
  <c r="I170" i="32"/>
  <c r="F170" i="32"/>
  <c r="O169" i="32"/>
  <c r="L169" i="32"/>
  <c r="I169" i="32"/>
  <c r="F169" i="32"/>
  <c r="O168" i="32"/>
  <c r="L168" i="32"/>
  <c r="I168" i="32"/>
  <c r="F168" i="32"/>
  <c r="O167" i="32"/>
  <c r="L167" i="32"/>
  <c r="L166" i="32" s="1"/>
  <c r="L165" i="32" s="1"/>
  <c r="I167" i="32"/>
  <c r="F167" i="32"/>
  <c r="N166" i="32"/>
  <c r="M166" i="32"/>
  <c r="M165" i="32" s="1"/>
  <c r="K166" i="32"/>
  <c r="K165" i="32" s="1"/>
  <c r="J166" i="32"/>
  <c r="J165" i="32" s="1"/>
  <c r="H166" i="32"/>
  <c r="H165" i="32" s="1"/>
  <c r="G166" i="32"/>
  <c r="G165" i="32" s="1"/>
  <c r="E166" i="32"/>
  <c r="E165" i="32" s="1"/>
  <c r="D166" i="32"/>
  <c r="D165" i="32" s="1"/>
  <c r="N165" i="32"/>
  <c r="O164" i="32"/>
  <c r="L164" i="32"/>
  <c r="I164" i="32"/>
  <c r="F164" i="32"/>
  <c r="O163" i="32"/>
  <c r="L163" i="32"/>
  <c r="I163" i="32"/>
  <c r="F163" i="32"/>
  <c r="O162" i="32"/>
  <c r="L162" i="32"/>
  <c r="I162" i="32"/>
  <c r="F162" i="32"/>
  <c r="O161" i="32"/>
  <c r="L161" i="32"/>
  <c r="L160" i="32" s="1"/>
  <c r="I161" i="32"/>
  <c r="F161" i="32"/>
  <c r="F160" i="32" s="1"/>
  <c r="O160" i="32"/>
  <c r="N160" i="32"/>
  <c r="M160" i="32"/>
  <c r="K160" i="32"/>
  <c r="J160" i="32"/>
  <c r="H160" i="32"/>
  <c r="G160" i="32"/>
  <c r="E160" i="32"/>
  <c r="D160"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O153" i="32"/>
  <c r="L153" i="32"/>
  <c r="I153" i="32"/>
  <c r="F153" i="32"/>
  <c r="O152" i="32"/>
  <c r="L152" i="32"/>
  <c r="L151" i="32" s="1"/>
  <c r="I152" i="32"/>
  <c r="F152" i="32"/>
  <c r="N151" i="32"/>
  <c r="M151" i="32"/>
  <c r="K151" i="32"/>
  <c r="J151" i="32"/>
  <c r="H151" i="32"/>
  <c r="G151" i="32"/>
  <c r="E151" i="32"/>
  <c r="D151" i="32"/>
  <c r="O150" i="32"/>
  <c r="L150" i="32"/>
  <c r="I150" i="32"/>
  <c r="F150" i="32"/>
  <c r="O149" i="32"/>
  <c r="L149" i="32"/>
  <c r="I149" i="32"/>
  <c r="F149" i="32"/>
  <c r="O148" i="32"/>
  <c r="L148" i="32"/>
  <c r="I148" i="32"/>
  <c r="F148" i="32"/>
  <c r="O147" i="32"/>
  <c r="L147" i="32"/>
  <c r="I147" i="32"/>
  <c r="F147" i="32"/>
  <c r="O146" i="32"/>
  <c r="L146" i="32"/>
  <c r="I146" i="32"/>
  <c r="F146" i="32"/>
  <c r="O145" i="32"/>
  <c r="L145" i="32"/>
  <c r="I145" i="32"/>
  <c r="F145" i="32"/>
  <c r="F144" i="32" s="1"/>
  <c r="O144" i="32"/>
  <c r="N144" i="32"/>
  <c r="M144" i="32"/>
  <c r="K144" i="32"/>
  <c r="J144" i="32"/>
  <c r="H144" i="32"/>
  <c r="G144" i="32"/>
  <c r="E144" i="32"/>
  <c r="D144" i="32"/>
  <c r="O143" i="32"/>
  <c r="L143" i="32"/>
  <c r="I143" i="32"/>
  <c r="F143" i="32"/>
  <c r="O142" i="32"/>
  <c r="O141" i="32" s="1"/>
  <c r="L142" i="32"/>
  <c r="I142" i="32"/>
  <c r="F142" i="32"/>
  <c r="N141" i="32"/>
  <c r="M141" i="32"/>
  <c r="L141" i="32"/>
  <c r="K141" i="32"/>
  <c r="J141" i="32"/>
  <c r="H141" i="32"/>
  <c r="G141" i="32"/>
  <c r="F141" i="32"/>
  <c r="E141" i="32"/>
  <c r="D141" i="32"/>
  <c r="O140" i="32"/>
  <c r="L140" i="32"/>
  <c r="I140" i="32"/>
  <c r="F140" i="32"/>
  <c r="O139" i="32"/>
  <c r="L139" i="32"/>
  <c r="I139" i="32"/>
  <c r="F139" i="32"/>
  <c r="O138" i="32"/>
  <c r="L138" i="32"/>
  <c r="I138" i="32"/>
  <c r="F138" i="32"/>
  <c r="O137" i="32"/>
  <c r="L137" i="32"/>
  <c r="L136" i="32" s="1"/>
  <c r="I137" i="32"/>
  <c r="F137" i="32"/>
  <c r="F136" i="32" s="1"/>
  <c r="O136" i="32"/>
  <c r="N136" i="32"/>
  <c r="M136" i="32"/>
  <c r="K136" i="32"/>
  <c r="J136" i="32"/>
  <c r="H136" i="32"/>
  <c r="G136" i="32"/>
  <c r="E136" i="32"/>
  <c r="D136" i="32"/>
  <c r="O135" i="32"/>
  <c r="L135" i="32"/>
  <c r="I135" i="32"/>
  <c r="F135" i="32"/>
  <c r="O134" i="32"/>
  <c r="L134" i="32"/>
  <c r="I134" i="32"/>
  <c r="F134" i="32"/>
  <c r="O133" i="32"/>
  <c r="L133" i="32"/>
  <c r="I133" i="32"/>
  <c r="F133" i="32"/>
  <c r="O132" i="32"/>
  <c r="O131" i="32" s="1"/>
  <c r="L132" i="32"/>
  <c r="I132" i="32"/>
  <c r="I131" i="32" s="1"/>
  <c r="F132" i="32"/>
  <c r="N131" i="32"/>
  <c r="M131" i="32"/>
  <c r="M130" i="32" s="1"/>
  <c r="K131" i="32"/>
  <c r="J131" i="32"/>
  <c r="H131" i="32"/>
  <c r="G131" i="32"/>
  <c r="E131" i="32"/>
  <c r="D131" i="32"/>
  <c r="O129" i="32"/>
  <c r="L129" i="32"/>
  <c r="L128" i="32" s="1"/>
  <c r="I129" i="32"/>
  <c r="I128" i="32" s="1"/>
  <c r="F129" i="32"/>
  <c r="F128" i="32" s="1"/>
  <c r="O128" i="32"/>
  <c r="N128" i="32"/>
  <c r="M128" i="32"/>
  <c r="K128" i="32"/>
  <c r="J128" i="32"/>
  <c r="H128" i="32"/>
  <c r="G128" i="32"/>
  <c r="E128" i="32"/>
  <c r="D128" i="32"/>
  <c r="O127" i="32"/>
  <c r="L127" i="32"/>
  <c r="I127" i="32"/>
  <c r="F127" i="32"/>
  <c r="O126" i="32"/>
  <c r="L126" i="32"/>
  <c r="I126" i="32"/>
  <c r="F126" i="32"/>
  <c r="O125" i="32"/>
  <c r="L125" i="32"/>
  <c r="I125" i="32"/>
  <c r="F125" i="32"/>
  <c r="O124" i="32"/>
  <c r="L124" i="32"/>
  <c r="I124" i="32"/>
  <c r="F124" i="32"/>
  <c r="O123" i="32"/>
  <c r="O122" i="32" s="1"/>
  <c r="L123" i="32"/>
  <c r="I123" i="32"/>
  <c r="F123" i="32"/>
  <c r="N122" i="32"/>
  <c r="M122" i="32"/>
  <c r="K122" i="32"/>
  <c r="J122" i="32"/>
  <c r="H122" i="32"/>
  <c r="G122" i="32"/>
  <c r="E122" i="32"/>
  <c r="D122" i="32"/>
  <c r="O121" i="32"/>
  <c r="L121" i="32"/>
  <c r="I121" i="32"/>
  <c r="F121" i="32"/>
  <c r="O120" i="32"/>
  <c r="L120" i="32"/>
  <c r="I120" i="32"/>
  <c r="F120" i="32"/>
  <c r="O119" i="32"/>
  <c r="L119" i="32"/>
  <c r="I119" i="32"/>
  <c r="F119" i="32"/>
  <c r="O118" i="32"/>
  <c r="L118" i="32"/>
  <c r="I118" i="32"/>
  <c r="F118" i="32"/>
  <c r="O117" i="32"/>
  <c r="L117" i="32"/>
  <c r="I117" i="32"/>
  <c r="I116" i="32" s="1"/>
  <c r="F117" i="32"/>
  <c r="N116" i="32"/>
  <c r="M116" i="32"/>
  <c r="K116" i="32"/>
  <c r="J116" i="32"/>
  <c r="H116" i="32"/>
  <c r="G116" i="32"/>
  <c r="E116" i="32"/>
  <c r="D116" i="32"/>
  <c r="O115" i="32"/>
  <c r="L115" i="32"/>
  <c r="I115" i="32"/>
  <c r="F115" i="32"/>
  <c r="O114" i="32"/>
  <c r="L114" i="32"/>
  <c r="I114" i="32"/>
  <c r="F114" i="32"/>
  <c r="O113" i="32"/>
  <c r="O112" i="32" s="1"/>
  <c r="L113" i="32"/>
  <c r="L112" i="32" s="1"/>
  <c r="I113" i="32"/>
  <c r="I112" i="32" s="1"/>
  <c r="F113" i="32"/>
  <c r="N112" i="32"/>
  <c r="M112" i="32"/>
  <c r="K112" i="32"/>
  <c r="J112" i="32"/>
  <c r="H112" i="32"/>
  <c r="G112" i="32"/>
  <c r="E112" i="32"/>
  <c r="D112" i="32"/>
  <c r="O111" i="32"/>
  <c r="L111" i="32"/>
  <c r="I111" i="32"/>
  <c r="F111" i="32"/>
  <c r="O110" i="32"/>
  <c r="L110" i="32"/>
  <c r="I110" i="32"/>
  <c r="F110" i="32"/>
  <c r="O109" i="32"/>
  <c r="L109" i="32"/>
  <c r="I109" i="32"/>
  <c r="F109" i="32"/>
  <c r="O108" i="32"/>
  <c r="L108" i="32"/>
  <c r="I108" i="32"/>
  <c r="F108" i="32"/>
  <c r="O107" i="32"/>
  <c r="L107" i="32"/>
  <c r="I107" i="32"/>
  <c r="F107" i="32"/>
  <c r="O106" i="32"/>
  <c r="L106" i="32"/>
  <c r="I106" i="32"/>
  <c r="F106" i="32"/>
  <c r="O105" i="32"/>
  <c r="L105" i="32"/>
  <c r="I105" i="32"/>
  <c r="F105" i="32"/>
  <c r="O104" i="32"/>
  <c r="O103" i="32" s="1"/>
  <c r="L104" i="32"/>
  <c r="I104" i="32"/>
  <c r="F104" i="32"/>
  <c r="F103" i="32" s="1"/>
  <c r="N103" i="32"/>
  <c r="M103" i="32"/>
  <c r="K103" i="32"/>
  <c r="J103" i="32"/>
  <c r="H103" i="32"/>
  <c r="G103" i="32"/>
  <c r="E103" i="32"/>
  <c r="D103" i="32"/>
  <c r="O102" i="32"/>
  <c r="L102" i="32"/>
  <c r="I102" i="32"/>
  <c r="F102" i="32"/>
  <c r="O101" i="32"/>
  <c r="L101" i="32"/>
  <c r="I101" i="32"/>
  <c r="F101" i="32"/>
  <c r="O100" i="32"/>
  <c r="L100" i="32"/>
  <c r="I100" i="32"/>
  <c r="F100" i="32"/>
  <c r="O99" i="32"/>
  <c r="L99" i="32"/>
  <c r="I99" i="32"/>
  <c r="F99" i="32"/>
  <c r="O98" i="32"/>
  <c r="L98" i="32"/>
  <c r="I98" i="32"/>
  <c r="F98" i="32"/>
  <c r="O97" i="32"/>
  <c r="L97" i="32"/>
  <c r="I97" i="32"/>
  <c r="F97" i="32"/>
  <c r="O96" i="32"/>
  <c r="L96" i="32"/>
  <c r="I96" i="32"/>
  <c r="I95" i="32" s="1"/>
  <c r="F96" i="32"/>
  <c r="N95" i="32"/>
  <c r="M95" i="32"/>
  <c r="K95" i="32"/>
  <c r="J95" i="32"/>
  <c r="H95" i="32"/>
  <c r="G95" i="32"/>
  <c r="E95" i="32"/>
  <c r="D95" i="32"/>
  <c r="O94" i="32"/>
  <c r="L94" i="32"/>
  <c r="I94" i="32"/>
  <c r="F94" i="32"/>
  <c r="O93" i="32"/>
  <c r="L93" i="32"/>
  <c r="I93" i="32"/>
  <c r="F93" i="32"/>
  <c r="O92" i="32"/>
  <c r="L92" i="32"/>
  <c r="I92" i="32"/>
  <c r="F92" i="32"/>
  <c r="O91" i="32"/>
  <c r="L91" i="32"/>
  <c r="I91" i="32"/>
  <c r="F91" i="32"/>
  <c r="O90" i="32"/>
  <c r="L90" i="32"/>
  <c r="L89" i="32" s="1"/>
  <c r="I90" i="32"/>
  <c r="F90" i="32"/>
  <c r="F89" i="32" s="1"/>
  <c r="N89" i="32"/>
  <c r="M89" i="32"/>
  <c r="K89" i="32"/>
  <c r="J89" i="32"/>
  <c r="H89" i="32"/>
  <c r="G89" i="32"/>
  <c r="E89" i="32"/>
  <c r="D89" i="32"/>
  <c r="O88" i="32"/>
  <c r="L88" i="32"/>
  <c r="I88" i="32"/>
  <c r="F88" i="32"/>
  <c r="O87" i="32"/>
  <c r="L87" i="32"/>
  <c r="I87" i="32"/>
  <c r="F87" i="32"/>
  <c r="O86" i="32"/>
  <c r="L86" i="32"/>
  <c r="I86" i="32"/>
  <c r="F86" i="32"/>
  <c r="O85" i="32"/>
  <c r="L85" i="32"/>
  <c r="I85" i="32"/>
  <c r="F85" i="32"/>
  <c r="F84" i="32" s="1"/>
  <c r="N84" i="32"/>
  <c r="N83" i="32" s="1"/>
  <c r="M84" i="32"/>
  <c r="K84" i="32"/>
  <c r="J84" i="32"/>
  <c r="H84" i="32"/>
  <c r="H83" i="32" s="1"/>
  <c r="G84" i="32"/>
  <c r="G83" i="32" s="1"/>
  <c r="E84" i="32"/>
  <c r="D84" i="32"/>
  <c r="O82" i="32"/>
  <c r="L82" i="32"/>
  <c r="I82" i="32"/>
  <c r="F82" i="32"/>
  <c r="O81" i="32"/>
  <c r="L81" i="32"/>
  <c r="L80" i="32" s="1"/>
  <c r="I81" i="32"/>
  <c r="F81" i="32"/>
  <c r="O80" i="32"/>
  <c r="N80" i="32"/>
  <c r="M80" i="32"/>
  <c r="K80" i="32"/>
  <c r="J80" i="32"/>
  <c r="H80" i="32"/>
  <c r="G80" i="32"/>
  <c r="F80" i="32"/>
  <c r="E80" i="32"/>
  <c r="D80" i="32"/>
  <c r="O79" i="32"/>
  <c r="L79" i="32"/>
  <c r="I79" i="32"/>
  <c r="F79" i="32"/>
  <c r="O78" i="32"/>
  <c r="L78" i="32"/>
  <c r="I78" i="32"/>
  <c r="I77" i="32" s="1"/>
  <c r="F78" i="32"/>
  <c r="N77" i="32"/>
  <c r="M77" i="32"/>
  <c r="M76" i="32" s="1"/>
  <c r="K77" i="32"/>
  <c r="J77" i="32"/>
  <c r="H77" i="32"/>
  <c r="G77" i="32"/>
  <c r="E77" i="32"/>
  <c r="E76" i="32" s="1"/>
  <c r="D77" i="32"/>
  <c r="H76" i="32"/>
  <c r="O74" i="32"/>
  <c r="L74" i="32"/>
  <c r="I74" i="32"/>
  <c r="F74" i="32"/>
  <c r="O73" i="32"/>
  <c r="L73" i="32"/>
  <c r="I73" i="32"/>
  <c r="F73" i="32"/>
  <c r="O72" i="32"/>
  <c r="L72" i="32"/>
  <c r="I72" i="32"/>
  <c r="F72" i="32"/>
  <c r="O71" i="32"/>
  <c r="L71" i="32"/>
  <c r="I71" i="32"/>
  <c r="F71" i="32"/>
  <c r="O70" i="32"/>
  <c r="L70" i="32"/>
  <c r="I70" i="32"/>
  <c r="I69" i="32" s="1"/>
  <c r="F70" i="32"/>
  <c r="N69" i="32"/>
  <c r="N67" i="32" s="1"/>
  <c r="M69" i="32"/>
  <c r="M67" i="32" s="1"/>
  <c r="K69" i="32"/>
  <c r="K67" i="32" s="1"/>
  <c r="J69" i="32"/>
  <c r="J67" i="32" s="1"/>
  <c r="H69" i="32"/>
  <c r="G69" i="32"/>
  <c r="G67" i="32" s="1"/>
  <c r="E69" i="32"/>
  <c r="E67" i="32" s="1"/>
  <c r="D69" i="32"/>
  <c r="O68" i="32"/>
  <c r="L68" i="32"/>
  <c r="I68" i="32"/>
  <c r="F68" i="32"/>
  <c r="H67" i="32"/>
  <c r="D67" i="32"/>
  <c r="O66" i="32"/>
  <c r="L66" i="32"/>
  <c r="I66" i="32"/>
  <c r="F66" i="32"/>
  <c r="O65" i="32"/>
  <c r="L65" i="32"/>
  <c r="I65" i="32"/>
  <c r="F65" i="32"/>
  <c r="O64" i="32"/>
  <c r="L64" i="32"/>
  <c r="I64" i="32"/>
  <c r="F64" i="32"/>
  <c r="O63" i="32"/>
  <c r="L63" i="32"/>
  <c r="I63" i="32"/>
  <c r="F63" i="32"/>
  <c r="O62" i="32"/>
  <c r="L62" i="32"/>
  <c r="I62" i="32"/>
  <c r="F62" i="32"/>
  <c r="O61" i="32"/>
  <c r="L61" i="32"/>
  <c r="I61" i="32"/>
  <c r="F61" i="32"/>
  <c r="O60" i="32"/>
  <c r="L60" i="32"/>
  <c r="I60" i="32"/>
  <c r="F60" i="32"/>
  <c r="O59" i="32"/>
  <c r="O58" i="32" s="1"/>
  <c r="L59" i="32"/>
  <c r="I59" i="32"/>
  <c r="F59" i="32"/>
  <c r="N58" i="32"/>
  <c r="M58" i="32"/>
  <c r="K58" i="32"/>
  <c r="J58" i="32"/>
  <c r="H58" i="32"/>
  <c r="G58" i="32"/>
  <c r="E58" i="32"/>
  <c r="D58" i="32"/>
  <c r="O57" i="32"/>
  <c r="L57" i="32"/>
  <c r="I57" i="32"/>
  <c r="F57" i="32"/>
  <c r="O56" i="32"/>
  <c r="O55" i="32" s="1"/>
  <c r="O54" i="32" s="1"/>
  <c r="L56" i="32"/>
  <c r="L55" i="32" s="1"/>
  <c r="I56" i="32"/>
  <c r="F56" i="32"/>
  <c r="F55" i="32" s="1"/>
  <c r="N55" i="32"/>
  <c r="M55" i="32"/>
  <c r="M54" i="32" s="1"/>
  <c r="M53" i="32" s="1"/>
  <c r="K55" i="32"/>
  <c r="J55" i="32"/>
  <c r="J54" i="32" s="1"/>
  <c r="J53" i="32" s="1"/>
  <c r="H55" i="32"/>
  <c r="G55" i="32"/>
  <c r="E55" i="32"/>
  <c r="E54" i="32" s="1"/>
  <c r="E53" i="32" s="1"/>
  <c r="D55" i="32"/>
  <c r="D54" i="32" s="1"/>
  <c r="N54" i="32"/>
  <c r="O47" i="32"/>
  <c r="C47" i="32" s="1"/>
  <c r="O46" i="32"/>
  <c r="N45" i="32"/>
  <c r="M45" i="32"/>
  <c r="L44" i="32"/>
  <c r="L43" i="32" s="1"/>
  <c r="I44" i="32"/>
  <c r="I43" i="32" s="1"/>
  <c r="F44" i="32"/>
  <c r="F43" i="32" s="1"/>
  <c r="K43" i="32"/>
  <c r="J43" i="32"/>
  <c r="H43" i="32"/>
  <c r="G43" i="32"/>
  <c r="E43" i="32"/>
  <c r="D43" i="32"/>
  <c r="F42" i="32"/>
  <c r="E41" i="32"/>
  <c r="D41" i="32"/>
  <c r="L40" i="32"/>
  <c r="C40" i="32" s="1"/>
  <c r="L39" i="32"/>
  <c r="C39" i="32" s="1"/>
  <c r="L38" i="32"/>
  <c r="C38" i="32" s="1"/>
  <c r="L37" i="32"/>
  <c r="K36" i="32"/>
  <c r="J36" i="32"/>
  <c r="L35" i="32"/>
  <c r="C35" i="32" s="1"/>
  <c r="L34" i="32"/>
  <c r="K33" i="32"/>
  <c r="J33" i="32"/>
  <c r="L32" i="32"/>
  <c r="C32" i="32" s="1"/>
  <c r="K31" i="32"/>
  <c r="J31" i="32"/>
  <c r="L30" i="32"/>
  <c r="C30" i="32" s="1"/>
  <c r="L29" i="32"/>
  <c r="C29" i="32" s="1"/>
  <c r="L28" i="32"/>
  <c r="K27" i="32"/>
  <c r="J27" i="32"/>
  <c r="J26" i="32" s="1"/>
  <c r="F25" i="32"/>
  <c r="C25" i="32" s="1"/>
  <c r="I24" i="32"/>
  <c r="F24" i="32"/>
  <c r="C24" i="32" s="1"/>
  <c r="O23" i="32"/>
  <c r="L23" i="32"/>
  <c r="I23" i="32"/>
  <c r="F23" i="32"/>
  <c r="O22" i="32"/>
  <c r="L22" i="32"/>
  <c r="L21" i="32" s="1"/>
  <c r="I22" i="32"/>
  <c r="F22" i="32"/>
  <c r="N21" i="32"/>
  <c r="N292" i="32" s="1"/>
  <c r="N291" i="32" s="1"/>
  <c r="M21" i="32"/>
  <c r="M292" i="32" s="1"/>
  <c r="M291" i="32" s="1"/>
  <c r="K21" i="32"/>
  <c r="K292" i="32" s="1"/>
  <c r="K291" i="32" s="1"/>
  <c r="J21" i="32"/>
  <c r="I21" i="32"/>
  <c r="I20" i="32" s="1"/>
  <c r="H21" i="32"/>
  <c r="G21" i="32"/>
  <c r="G292" i="32" s="1"/>
  <c r="G291" i="32" s="1"/>
  <c r="E21" i="32"/>
  <c r="E292" i="32" s="1"/>
  <c r="E291" i="32" s="1"/>
  <c r="D21" i="32"/>
  <c r="C225" i="32" l="1"/>
  <c r="C226" i="32"/>
  <c r="C120" i="32"/>
  <c r="C168" i="32"/>
  <c r="C171" i="32"/>
  <c r="C206" i="32"/>
  <c r="C87" i="32"/>
  <c r="C156" i="32"/>
  <c r="G187" i="32"/>
  <c r="H231" i="32"/>
  <c r="M231" i="32"/>
  <c r="C92" i="32"/>
  <c r="C140" i="32"/>
  <c r="C143" i="32"/>
  <c r="C172" i="32"/>
  <c r="D270" i="32"/>
  <c r="D269" i="32" s="1"/>
  <c r="C254" i="32"/>
  <c r="L31" i="32"/>
  <c r="C31" i="32" s="1"/>
  <c r="C79" i="32"/>
  <c r="K76" i="32"/>
  <c r="C82" i="32"/>
  <c r="H187" i="32"/>
  <c r="I67" i="32"/>
  <c r="D76" i="32"/>
  <c r="N76" i="32"/>
  <c r="G76" i="32"/>
  <c r="M204" i="32"/>
  <c r="C262" i="32"/>
  <c r="G259" i="32"/>
  <c r="N269" i="32"/>
  <c r="C72" i="32"/>
  <c r="J83" i="32"/>
  <c r="O84" i="32"/>
  <c r="M83" i="32"/>
  <c r="C108" i="32"/>
  <c r="C132" i="32"/>
  <c r="C148" i="32"/>
  <c r="C23" i="32"/>
  <c r="G54" i="32"/>
  <c r="C56" i="32"/>
  <c r="L84" i="32"/>
  <c r="K83" i="32"/>
  <c r="I89" i="32"/>
  <c r="C96" i="32"/>
  <c r="C100" i="32"/>
  <c r="C104" i="32"/>
  <c r="L116" i="32"/>
  <c r="I122" i="32"/>
  <c r="C126" i="32"/>
  <c r="I151" i="32"/>
  <c r="D187" i="32"/>
  <c r="C210" i="32"/>
  <c r="C213" i="32"/>
  <c r="C227" i="32"/>
  <c r="C229" i="32"/>
  <c r="C234" i="32"/>
  <c r="J231" i="32"/>
  <c r="J230" i="32" s="1"/>
  <c r="I252" i="32"/>
  <c r="I251" i="32" s="1"/>
  <c r="K259" i="32"/>
  <c r="O272" i="32"/>
  <c r="H270" i="32"/>
  <c r="H269" i="32" s="1"/>
  <c r="C298" i="32"/>
  <c r="C299" i="32"/>
  <c r="C301" i="32"/>
  <c r="O246" i="32"/>
  <c r="L260" i="32"/>
  <c r="C296" i="32"/>
  <c r="C164" i="32"/>
  <c r="O187" i="32"/>
  <c r="L187" i="32"/>
  <c r="C202" i="32"/>
  <c r="H204" i="32"/>
  <c r="H195" i="32" s="1"/>
  <c r="C218" i="32"/>
  <c r="C242" i="32"/>
  <c r="C243" i="32"/>
  <c r="C245" i="32"/>
  <c r="C258" i="32"/>
  <c r="C278" i="32"/>
  <c r="C280" i="32"/>
  <c r="C282" i="32"/>
  <c r="L293" i="32"/>
  <c r="C71" i="32"/>
  <c r="C86" i="32"/>
  <c r="O116" i="32"/>
  <c r="C63" i="32"/>
  <c r="C66" i="32"/>
  <c r="C91" i="32"/>
  <c r="O89" i="32"/>
  <c r="C109" i="32"/>
  <c r="C124" i="32"/>
  <c r="E130" i="32"/>
  <c r="C152" i="32"/>
  <c r="C153" i="32"/>
  <c r="C176" i="32"/>
  <c r="E187" i="32"/>
  <c r="D204" i="32"/>
  <c r="D195" i="32" s="1"/>
  <c r="N231" i="32"/>
  <c r="N230" i="32" s="1"/>
  <c r="G231" i="32"/>
  <c r="O252" i="32"/>
  <c r="C266" i="32"/>
  <c r="C267" i="32"/>
  <c r="F281" i="32"/>
  <c r="C89" i="32"/>
  <c r="C250" i="32"/>
  <c r="I259" i="32"/>
  <c r="K26" i="32"/>
  <c r="D53" i="32"/>
  <c r="C60" i="32"/>
  <c r="C65" i="32"/>
  <c r="O69" i="32"/>
  <c r="O67" i="32" s="1"/>
  <c r="O53" i="32" s="1"/>
  <c r="O77" i="32"/>
  <c r="O76" i="32" s="1"/>
  <c r="C94" i="32"/>
  <c r="D83" i="32"/>
  <c r="C97" i="32"/>
  <c r="C107" i="32"/>
  <c r="C121" i="32"/>
  <c r="L122" i="32"/>
  <c r="C128" i="32"/>
  <c r="C134" i="32"/>
  <c r="K130" i="32"/>
  <c r="K75" i="32" s="1"/>
  <c r="C139" i="32"/>
  <c r="C147" i="32"/>
  <c r="C154" i="32"/>
  <c r="C157" i="32"/>
  <c r="C159" i="32"/>
  <c r="C170" i="32"/>
  <c r="M173" i="32"/>
  <c r="C178" i="32"/>
  <c r="C180" i="32"/>
  <c r="N187" i="32"/>
  <c r="M195" i="32"/>
  <c r="C199" i="32"/>
  <c r="C201" i="32"/>
  <c r="C207" i="32"/>
  <c r="I216" i="32"/>
  <c r="L216" i="32"/>
  <c r="L204" i="32" s="1"/>
  <c r="C244" i="32"/>
  <c r="C255" i="32"/>
  <c r="C257" i="32"/>
  <c r="O260" i="32"/>
  <c r="C268" i="32"/>
  <c r="C275" i="32"/>
  <c r="I276" i="32"/>
  <c r="N53" i="32"/>
  <c r="C274" i="32"/>
  <c r="C22" i="32"/>
  <c r="G20" i="32"/>
  <c r="M20" i="32"/>
  <c r="K54" i="32"/>
  <c r="K53" i="32" s="1"/>
  <c r="H54" i="32"/>
  <c r="H53" i="32" s="1"/>
  <c r="C64" i="32"/>
  <c r="C74" i="32"/>
  <c r="E83" i="32"/>
  <c r="E75" i="32" s="1"/>
  <c r="E52" i="32" s="1"/>
  <c r="C101" i="32"/>
  <c r="C111" i="32"/>
  <c r="N130" i="32"/>
  <c r="N75" i="32" s="1"/>
  <c r="L131" i="32"/>
  <c r="C158" i="32"/>
  <c r="C163" i="32"/>
  <c r="D174" i="32"/>
  <c r="D173" i="32" s="1"/>
  <c r="N174" i="32"/>
  <c r="N173" i="32" s="1"/>
  <c r="L175" i="32"/>
  <c r="L174" i="32" s="1"/>
  <c r="L173" i="32" s="1"/>
  <c r="C181" i="32"/>
  <c r="G195" i="32"/>
  <c r="C211" i="32"/>
  <c r="E204" i="32"/>
  <c r="E195" i="32" s="1"/>
  <c r="J204" i="32"/>
  <c r="J195" i="32" s="1"/>
  <c r="N204" i="32"/>
  <c r="N195" i="32" s="1"/>
  <c r="C237" i="32"/>
  <c r="C256" i="32"/>
  <c r="L264" i="32"/>
  <c r="M270" i="32"/>
  <c r="M269" i="32" s="1"/>
  <c r="O276" i="32"/>
  <c r="O270" i="32" s="1"/>
  <c r="O269" i="32" s="1"/>
  <c r="C294" i="32"/>
  <c r="G230" i="32"/>
  <c r="J292" i="32"/>
  <c r="J291" i="32" s="1"/>
  <c r="N20" i="32"/>
  <c r="C43" i="32"/>
  <c r="F58" i="32"/>
  <c r="C62" i="32"/>
  <c r="C73" i="32"/>
  <c r="M75" i="32"/>
  <c r="L77" i="32"/>
  <c r="L76" i="32" s="1"/>
  <c r="J76" i="32"/>
  <c r="C88" i="32"/>
  <c r="C93" i="32"/>
  <c r="C98" i="32"/>
  <c r="C99" i="32"/>
  <c r="C105" i="32"/>
  <c r="I103" i="32"/>
  <c r="C113" i="32"/>
  <c r="C114" i="32"/>
  <c r="C127" i="32"/>
  <c r="D130" i="32"/>
  <c r="J130" i="32"/>
  <c r="C150" i="32"/>
  <c r="O166" i="32"/>
  <c r="O165" i="32" s="1"/>
  <c r="G173" i="32"/>
  <c r="J174" i="32"/>
  <c r="J173" i="32" s="1"/>
  <c r="C182" i="32"/>
  <c r="K187" i="32"/>
  <c r="L196" i="32"/>
  <c r="C219" i="32"/>
  <c r="C220" i="32"/>
  <c r="C221" i="32"/>
  <c r="C232" i="32"/>
  <c r="D231" i="32"/>
  <c r="D230" i="32" s="1"/>
  <c r="H230" i="32"/>
  <c r="H194" i="32" s="1"/>
  <c r="L252" i="32"/>
  <c r="L251" i="32" s="1"/>
  <c r="O264" i="32"/>
  <c r="C295" i="32"/>
  <c r="K20" i="32"/>
  <c r="C59" i="32"/>
  <c r="F21" i="32"/>
  <c r="C28" i="32"/>
  <c r="L27" i="32"/>
  <c r="C34" i="32"/>
  <c r="L33" i="32"/>
  <c r="C33" i="32" s="1"/>
  <c r="C46" i="32"/>
  <c r="O45" i="32"/>
  <c r="G53" i="32"/>
  <c r="C68" i="32"/>
  <c r="I80" i="32"/>
  <c r="I76" i="32" s="1"/>
  <c r="C81" i="32"/>
  <c r="E20" i="32"/>
  <c r="J20" i="32"/>
  <c r="O21" i="32"/>
  <c r="C37" i="32"/>
  <c r="L36" i="32"/>
  <c r="C36" i="32" s="1"/>
  <c r="C42" i="32"/>
  <c r="F41" i="32"/>
  <c r="C41" i="32" s="1"/>
  <c r="F54" i="32"/>
  <c r="L69" i="32"/>
  <c r="L67" i="32" s="1"/>
  <c r="L292" i="32"/>
  <c r="L291" i="32" s="1"/>
  <c r="I84" i="32"/>
  <c r="C85" i="32"/>
  <c r="D292" i="32"/>
  <c r="D291" i="32" s="1"/>
  <c r="D20" i="32"/>
  <c r="H292" i="32"/>
  <c r="H291" i="32" s="1"/>
  <c r="H20" i="32"/>
  <c r="C44" i="32"/>
  <c r="M52" i="32"/>
  <c r="L58" i="32"/>
  <c r="L54" i="32" s="1"/>
  <c r="C70" i="32"/>
  <c r="F69" i="32"/>
  <c r="C80" i="32"/>
  <c r="C57" i="32"/>
  <c r="I55" i="32"/>
  <c r="C61" i="32"/>
  <c r="I58" i="32"/>
  <c r="C78" i="32"/>
  <c r="F77" i="32"/>
  <c r="L103" i="32"/>
  <c r="C115" i="32"/>
  <c r="F112" i="32"/>
  <c r="C112" i="32" s="1"/>
  <c r="C123" i="32"/>
  <c r="F122" i="32"/>
  <c r="C122" i="32" s="1"/>
  <c r="G130" i="32"/>
  <c r="G75" i="32" s="1"/>
  <c r="C138" i="32"/>
  <c r="I136" i="32"/>
  <c r="I166" i="32"/>
  <c r="I165" i="32" s="1"/>
  <c r="C183" i="32"/>
  <c r="F179" i="32"/>
  <c r="C179" i="32" s="1"/>
  <c r="C90" i="32"/>
  <c r="O95" i="32"/>
  <c r="O83" i="32" s="1"/>
  <c r="C102" i="32"/>
  <c r="C106" i="32"/>
  <c r="C125" i="32"/>
  <c r="C133" i="32"/>
  <c r="C135" i="32"/>
  <c r="F131" i="32"/>
  <c r="C146" i="32"/>
  <c r="I144" i="32"/>
  <c r="C149" i="32"/>
  <c r="C167" i="32"/>
  <c r="F166" i="32"/>
  <c r="O174" i="32"/>
  <c r="O173" i="32" s="1"/>
  <c r="C190" i="32"/>
  <c r="I188" i="32"/>
  <c r="I187" i="32" s="1"/>
  <c r="C209" i="32"/>
  <c r="F205" i="32"/>
  <c r="L95" i="32"/>
  <c r="L83" i="32" s="1"/>
  <c r="F95" i="32"/>
  <c r="C110" i="32"/>
  <c r="C117" i="32"/>
  <c r="C118" i="32"/>
  <c r="C119" i="32"/>
  <c r="F116" i="32"/>
  <c r="C116" i="32" s="1"/>
  <c r="H130" i="32"/>
  <c r="H75" i="32" s="1"/>
  <c r="L144" i="32"/>
  <c r="O151" i="32"/>
  <c r="O130" i="32" s="1"/>
  <c r="C169" i="32"/>
  <c r="C177" i="32"/>
  <c r="I141" i="32"/>
  <c r="C141" i="32" s="1"/>
  <c r="C142" i="32"/>
  <c r="C155" i="32"/>
  <c r="F151" i="32"/>
  <c r="C162" i="32"/>
  <c r="I160" i="32"/>
  <c r="C160" i="32" s="1"/>
  <c r="C186" i="32"/>
  <c r="I184" i="32"/>
  <c r="C184" i="32" s="1"/>
  <c r="C240" i="32"/>
  <c r="I238" i="32"/>
  <c r="C277" i="32"/>
  <c r="F276" i="32"/>
  <c r="C276" i="32" s="1"/>
  <c r="C297" i="32"/>
  <c r="F293" i="32"/>
  <c r="C129" i="32"/>
  <c r="C137" i="32"/>
  <c r="C145" i="32"/>
  <c r="C161" i="32"/>
  <c r="C185" i="32"/>
  <c r="C189" i="32"/>
  <c r="C197" i="32"/>
  <c r="F196" i="32"/>
  <c r="C200" i="32"/>
  <c r="I198" i="32"/>
  <c r="C203" i="32"/>
  <c r="C208" i="32"/>
  <c r="I205" i="32"/>
  <c r="I204" i="32" s="1"/>
  <c r="C212" i="32"/>
  <c r="C223" i="32"/>
  <c r="C224" i="32"/>
  <c r="C228" i="32"/>
  <c r="O231" i="32"/>
  <c r="C239" i="32"/>
  <c r="L238" i="32"/>
  <c r="L231" i="32" s="1"/>
  <c r="M230" i="32"/>
  <c r="E259" i="32"/>
  <c r="E230" i="32" s="1"/>
  <c r="C261" i="32"/>
  <c r="F260" i="32"/>
  <c r="C271" i="32"/>
  <c r="I270" i="32"/>
  <c r="I269" i="32" s="1"/>
  <c r="C279" i="32"/>
  <c r="C233" i="32"/>
  <c r="I235" i="32"/>
  <c r="C235" i="32" s="1"/>
  <c r="C236" i="32"/>
  <c r="C247" i="32"/>
  <c r="C249" i="32"/>
  <c r="F246" i="32"/>
  <c r="C263" i="32"/>
  <c r="E270" i="32"/>
  <c r="E269" i="32" s="1"/>
  <c r="C273" i="32"/>
  <c r="F272" i="32"/>
  <c r="C288" i="32"/>
  <c r="I286" i="32"/>
  <c r="C300" i="32"/>
  <c r="C193" i="32"/>
  <c r="F192" i="32"/>
  <c r="M194" i="32"/>
  <c r="O196" i="32"/>
  <c r="O205" i="32"/>
  <c r="C215" i="32"/>
  <c r="C217" i="32"/>
  <c r="F216" i="32"/>
  <c r="O216" i="32"/>
  <c r="K231" i="32"/>
  <c r="K230" i="32" s="1"/>
  <c r="C241" i="32"/>
  <c r="F238" i="32"/>
  <c r="C248" i="32"/>
  <c r="I246" i="32"/>
  <c r="C253" i="32"/>
  <c r="F252" i="32"/>
  <c r="O251" i="32"/>
  <c r="C265" i="32"/>
  <c r="F264" i="32"/>
  <c r="L270" i="32"/>
  <c r="L269" i="32" s="1"/>
  <c r="C281" i="32"/>
  <c r="C285" i="32"/>
  <c r="F284" i="32"/>
  <c r="O293" i="32"/>
  <c r="C287" i="32"/>
  <c r="C58" i="32" l="1"/>
  <c r="N194" i="32"/>
  <c r="F174" i="32"/>
  <c r="C69" i="32"/>
  <c r="D194" i="32"/>
  <c r="L195" i="32"/>
  <c r="H52" i="32"/>
  <c r="H51" i="32" s="1"/>
  <c r="H290" i="32" s="1"/>
  <c r="N289" i="32"/>
  <c r="O259" i="32"/>
  <c r="G289" i="32"/>
  <c r="C264" i="32"/>
  <c r="C175" i="32"/>
  <c r="I231" i="32"/>
  <c r="I230" i="32" s="1"/>
  <c r="M289" i="32"/>
  <c r="C151" i="32"/>
  <c r="H289" i="32"/>
  <c r="C103" i="32"/>
  <c r="I83" i="32"/>
  <c r="G194" i="32"/>
  <c r="L259" i="32"/>
  <c r="L230" i="32" s="1"/>
  <c r="J194" i="32"/>
  <c r="N52" i="32"/>
  <c r="N51" i="32" s="1"/>
  <c r="C238" i="32"/>
  <c r="C188" i="32"/>
  <c r="L130" i="32"/>
  <c r="L75" i="32" s="1"/>
  <c r="C144" i="32"/>
  <c r="J75" i="32"/>
  <c r="J52" i="32" s="1"/>
  <c r="J51" i="32" s="1"/>
  <c r="K289" i="32"/>
  <c r="K52" i="32"/>
  <c r="D75" i="32"/>
  <c r="D289" i="32" s="1"/>
  <c r="O75" i="32"/>
  <c r="O52" i="32" s="1"/>
  <c r="E289" i="32"/>
  <c r="C216" i="32"/>
  <c r="C246" i="32"/>
  <c r="C260" i="32"/>
  <c r="F259" i="32"/>
  <c r="K194" i="32"/>
  <c r="C166" i="32"/>
  <c r="F165" i="32"/>
  <c r="C165" i="32" s="1"/>
  <c r="C77" i="32"/>
  <c r="F76" i="32"/>
  <c r="F67" i="32"/>
  <c r="C67" i="32" s="1"/>
  <c r="M51" i="32"/>
  <c r="G52" i="32"/>
  <c r="C174" i="32"/>
  <c r="F173" i="32"/>
  <c r="C131" i="32"/>
  <c r="F130" i="32"/>
  <c r="I54" i="32"/>
  <c r="I53" i="32" s="1"/>
  <c r="C55" i="32"/>
  <c r="I173" i="32"/>
  <c r="O292" i="32"/>
  <c r="O291" i="32" s="1"/>
  <c r="O20" i="32"/>
  <c r="C45" i="32"/>
  <c r="C27" i="32"/>
  <c r="L26" i="32"/>
  <c r="C252" i="32"/>
  <c r="F251" i="32"/>
  <c r="C251" i="32" s="1"/>
  <c r="E194" i="32"/>
  <c r="E51" i="32" s="1"/>
  <c r="O230" i="32"/>
  <c r="C293" i="32"/>
  <c r="C95" i="32"/>
  <c r="C205" i="32"/>
  <c r="F204" i="32"/>
  <c r="I130" i="32"/>
  <c r="L53" i="32"/>
  <c r="C84" i="32"/>
  <c r="C284" i="32"/>
  <c r="F283" i="32"/>
  <c r="C283" i="32" s="1"/>
  <c r="O204" i="32"/>
  <c r="O195" i="32" s="1"/>
  <c r="O194" i="32" s="1"/>
  <c r="C192" i="32"/>
  <c r="F191" i="32"/>
  <c r="C286" i="32"/>
  <c r="F270" i="32"/>
  <c r="C272" i="32"/>
  <c r="C198" i="32"/>
  <c r="I196" i="32"/>
  <c r="I195" i="32" s="1"/>
  <c r="F231" i="32"/>
  <c r="I292" i="32"/>
  <c r="I291" i="32" s="1"/>
  <c r="C136" i="32"/>
  <c r="F83" i="32"/>
  <c r="F292" i="32"/>
  <c r="C21" i="32"/>
  <c r="F20" i="32"/>
  <c r="L194" i="32" l="1"/>
  <c r="C83" i="32"/>
  <c r="I75" i="32"/>
  <c r="I52" i="32" s="1"/>
  <c r="I51" i="32" s="1"/>
  <c r="D52" i="32"/>
  <c r="D51" i="32" s="1"/>
  <c r="K51" i="32"/>
  <c r="K50" i="32" s="1"/>
  <c r="I194" i="32"/>
  <c r="L52" i="32"/>
  <c r="L51" i="32" s="1"/>
  <c r="G51" i="32"/>
  <c r="G290" i="32" s="1"/>
  <c r="C259" i="32"/>
  <c r="J289" i="32"/>
  <c r="D50" i="32"/>
  <c r="D290" i="32"/>
  <c r="N50" i="32"/>
  <c r="N290" i="32"/>
  <c r="C130" i="32"/>
  <c r="H50" i="32"/>
  <c r="F53" i="32"/>
  <c r="C53" i="32" s="1"/>
  <c r="J50" i="32"/>
  <c r="J290" i="32"/>
  <c r="F230" i="32"/>
  <c r="C230" i="32" s="1"/>
  <c r="C231" i="32"/>
  <c r="C191" i="32"/>
  <c r="F187" i="32"/>
  <c r="C187" i="32" s="1"/>
  <c r="C173" i="32"/>
  <c r="G50" i="32"/>
  <c r="F269" i="32"/>
  <c r="C270" i="32"/>
  <c r="C204" i="32"/>
  <c r="O289" i="32"/>
  <c r="C26" i="32"/>
  <c r="L20" i="32"/>
  <c r="C20" i="32" s="1"/>
  <c r="F75" i="32"/>
  <c r="C75" i="32" s="1"/>
  <c r="C76" i="32"/>
  <c r="E290" i="32"/>
  <c r="E50" i="32"/>
  <c r="F195" i="32"/>
  <c r="C54" i="32"/>
  <c r="O51" i="32"/>
  <c r="C292" i="32"/>
  <c r="F291" i="32"/>
  <c r="C291" i="32" s="1"/>
  <c r="I289" i="32"/>
  <c r="C196" i="32"/>
  <c r="M50" i="32"/>
  <c r="M290" i="32"/>
  <c r="L289" i="32"/>
  <c r="K290" i="32" l="1"/>
  <c r="L50" i="32"/>
  <c r="L290" i="32"/>
  <c r="O50" i="32"/>
  <c r="O290" i="32"/>
  <c r="I290" i="32"/>
  <c r="I50" i="32"/>
  <c r="F52" i="32"/>
  <c r="C269" i="32"/>
  <c r="F289" i="32"/>
  <c r="C289" i="32" s="1"/>
  <c r="F194" i="32"/>
  <c r="C194" i="32" s="1"/>
  <c r="C195" i="32"/>
  <c r="F51" i="32" l="1"/>
  <c r="C52" i="32"/>
  <c r="F290" i="32" l="1"/>
  <c r="C290" i="32" s="1"/>
  <c r="F50" i="32"/>
  <c r="C50" i="32" s="1"/>
  <c r="C51" i="32"/>
  <c r="O301" i="31" l="1"/>
  <c r="L301" i="31"/>
  <c r="I301" i="31"/>
  <c r="F301" i="31"/>
  <c r="O300" i="31"/>
  <c r="L300" i="31"/>
  <c r="I300" i="31"/>
  <c r="F300" i="31"/>
  <c r="O299" i="31"/>
  <c r="L299" i="31"/>
  <c r="I299" i="31"/>
  <c r="F299" i="31"/>
  <c r="O298" i="31"/>
  <c r="L298" i="31"/>
  <c r="I298" i="31"/>
  <c r="F298" i="31"/>
  <c r="O297" i="31"/>
  <c r="L297" i="31"/>
  <c r="I297" i="31"/>
  <c r="F297" i="31"/>
  <c r="O296" i="31"/>
  <c r="L296" i="31"/>
  <c r="I296" i="31"/>
  <c r="F296" i="31"/>
  <c r="O295" i="31"/>
  <c r="L295" i="31"/>
  <c r="I295" i="31"/>
  <c r="F295" i="31"/>
  <c r="O294" i="31"/>
  <c r="L294" i="31"/>
  <c r="L293" i="31" s="1"/>
  <c r="I294" i="31"/>
  <c r="F294" i="31"/>
  <c r="N293" i="31"/>
  <c r="M293" i="31"/>
  <c r="K293" i="31"/>
  <c r="J293" i="31"/>
  <c r="H293" i="31"/>
  <c r="G293" i="31"/>
  <c r="E293" i="31"/>
  <c r="D293" i="31"/>
  <c r="O288" i="31"/>
  <c r="L288" i="31"/>
  <c r="I288" i="31"/>
  <c r="F288" i="31"/>
  <c r="O287" i="31"/>
  <c r="L287" i="31"/>
  <c r="L286" i="31" s="1"/>
  <c r="I287" i="31"/>
  <c r="I286" i="31" s="1"/>
  <c r="F287" i="31"/>
  <c r="O286" i="31"/>
  <c r="N286" i="31"/>
  <c r="M286" i="31"/>
  <c r="K286" i="31"/>
  <c r="J286" i="31"/>
  <c r="H286" i="31"/>
  <c r="G286" i="31"/>
  <c r="E286" i="31"/>
  <c r="D286" i="31"/>
  <c r="O285" i="31"/>
  <c r="O284" i="31" s="1"/>
  <c r="O283" i="31" s="1"/>
  <c r="L285" i="31"/>
  <c r="L284" i="31" s="1"/>
  <c r="I285" i="31"/>
  <c r="F285" i="31"/>
  <c r="N284" i="31"/>
  <c r="N283" i="31" s="1"/>
  <c r="M284" i="31"/>
  <c r="M283" i="31" s="1"/>
  <c r="K284" i="31"/>
  <c r="J284" i="31"/>
  <c r="J283" i="31" s="1"/>
  <c r="I284" i="31"/>
  <c r="I283" i="31" s="1"/>
  <c r="H284" i="31"/>
  <c r="H283" i="31" s="1"/>
  <c r="G284" i="31"/>
  <c r="G283" i="31" s="1"/>
  <c r="F284" i="31"/>
  <c r="F283" i="31" s="1"/>
  <c r="E284" i="31"/>
  <c r="E283" i="31" s="1"/>
  <c r="D284" i="31"/>
  <c r="D283" i="31" s="1"/>
  <c r="K283" i="31"/>
  <c r="O282" i="31"/>
  <c r="L282" i="31"/>
  <c r="L281" i="31" s="1"/>
  <c r="I282" i="31"/>
  <c r="I281" i="31" s="1"/>
  <c r="F282" i="31"/>
  <c r="O281" i="31"/>
  <c r="N281" i="31"/>
  <c r="M281" i="31"/>
  <c r="K281" i="31"/>
  <c r="J281" i="31"/>
  <c r="H281" i="31"/>
  <c r="G281" i="31"/>
  <c r="F281" i="31"/>
  <c r="E281" i="31"/>
  <c r="D281" i="31"/>
  <c r="O280" i="31"/>
  <c r="L280" i="31"/>
  <c r="I280" i="31"/>
  <c r="F280" i="31"/>
  <c r="O279" i="31"/>
  <c r="L279" i="31"/>
  <c r="I279" i="31"/>
  <c r="F279" i="31"/>
  <c r="O278" i="31"/>
  <c r="L278" i="31"/>
  <c r="I278" i="31"/>
  <c r="F278" i="31"/>
  <c r="O277" i="31"/>
  <c r="O276" i="31" s="1"/>
  <c r="L277" i="31"/>
  <c r="L276" i="31" s="1"/>
  <c r="I277" i="31"/>
  <c r="F277" i="31"/>
  <c r="F276" i="31" s="1"/>
  <c r="N276" i="31"/>
  <c r="M276" i="31"/>
  <c r="K276" i="31"/>
  <c r="J276" i="31"/>
  <c r="H276" i="31"/>
  <c r="G276" i="31"/>
  <c r="E276" i="31"/>
  <c r="D276" i="31"/>
  <c r="O275" i="31"/>
  <c r="J275" i="31"/>
  <c r="I275" i="31"/>
  <c r="F275" i="31"/>
  <c r="O274" i="31"/>
  <c r="L274" i="31"/>
  <c r="I274" i="31"/>
  <c r="F274" i="31"/>
  <c r="O273" i="31"/>
  <c r="L273" i="31"/>
  <c r="I273" i="31"/>
  <c r="I272" i="31" s="1"/>
  <c r="F273" i="31"/>
  <c r="N272" i="31"/>
  <c r="N270" i="31" s="1"/>
  <c r="N269" i="31" s="1"/>
  <c r="M272" i="31"/>
  <c r="L272" i="31"/>
  <c r="K272" i="31"/>
  <c r="J272" i="31"/>
  <c r="H272" i="31"/>
  <c r="G272" i="31"/>
  <c r="G270" i="31" s="1"/>
  <c r="E272" i="31"/>
  <c r="D272" i="31"/>
  <c r="O271" i="31"/>
  <c r="L271" i="31"/>
  <c r="I271" i="31"/>
  <c r="F271" i="31"/>
  <c r="K270" i="31"/>
  <c r="O268" i="31"/>
  <c r="L268" i="31"/>
  <c r="I268" i="31"/>
  <c r="F268" i="31"/>
  <c r="O267" i="31"/>
  <c r="L267" i="31"/>
  <c r="I267" i="31"/>
  <c r="F267" i="31"/>
  <c r="O266" i="31"/>
  <c r="L266" i="31"/>
  <c r="I266" i="31"/>
  <c r="F266" i="31"/>
  <c r="O265" i="31"/>
  <c r="L265" i="31"/>
  <c r="I265" i="31"/>
  <c r="F265" i="31"/>
  <c r="N264" i="31"/>
  <c r="M264" i="31"/>
  <c r="K264" i="31"/>
  <c r="J264" i="31"/>
  <c r="H264" i="31"/>
  <c r="G264" i="31"/>
  <c r="E264" i="31"/>
  <c r="D264" i="31"/>
  <c r="O263" i="31"/>
  <c r="L263" i="31"/>
  <c r="I263" i="31"/>
  <c r="F263" i="31"/>
  <c r="O262" i="31"/>
  <c r="L262" i="31"/>
  <c r="I262" i="31"/>
  <c r="F262" i="31"/>
  <c r="O261" i="31"/>
  <c r="L261" i="31"/>
  <c r="I261" i="31"/>
  <c r="I260" i="31" s="1"/>
  <c r="F261" i="31"/>
  <c r="N260" i="31"/>
  <c r="N259" i="31" s="1"/>
  <c r="M260" i="31"/>
  <c r="K260" i="31"/>
  <c r="J260" i="31"/>
  <c r="J259" i="31" s="1"/>
  <c r="H260" i="31"/>
  <c r="G260" i="31"/>
  <c r="G259" i="31" s="1"/>
  <c r="E260" i="31"/>
  <c r="D260" i="31"/>
  <c r="K259" i="31"/>
  <c r="D259" i="31"/>
  <c r="O258" i="31"/>
  <c r="L258" i="31"/>
  <c r="I258" i="31"/>
  <c r="F258" i="31"/>
  <c r="O257" i="31"/>
  <c r="L257" i="31"/>
  <c r="I257" i="31"/>
  <c r="F257" i="31"/>
  <c r="O256" i="31"/>
  <c r="L256" i="31"/>
  <c r="I256" i="31"/>
  <c r="F256" i="31"/>
  <c r="O255" i="31"/>
  <c r="L255" i="31"/>
  <c r="I255" i="31"/>
  <c r="F255" i="31"/>
  <c r="O254" i="31"/>
  <c r="L254" i="31"/>
  <c r="I254" i="31"/>
  <c r="F254" i="31"/>
  <c r="O253" i="31"/>
  <c r="L253" i="31"/>
  <c r="I253" i="31"/>
  <c r="I252" i="31" s="1"/>
  <c r="I251" i="31" s="1"/>
  <c r="F253" i="31"/>
  <c r="N252" i="31"/>
  <c r="M252" i="31"/>
  <c r="M251" i="31" s="1"/>
  <c r="K252" i="31"/>
  <c r="J252" i="31"/>
  <c r="H252" i="31"/>
  <c r="G252" i="31"/>
  <c r="G251" i="31" s="1"/>
  <c r="E252" i="31"/>
  <c r="E251" i="31" s="1"/>
  <c r="D252" i="31"/>
  <c r="D251" i="31" s="1"/>
  <c r="N251" i="31"/>
  <c r="K251" i="31"/>
  <c r="J251" i="31"/>
  <c r="H251" i="31"/>
  <c r="O250" i="31"/>
  <c r="L250" i="31"/>
  <c r="I250" i="31"/>
  <c r="F250" i="31"/>
  <c r="O249" i="31"/>
  <c r="L249" i="31"/>
  <c r="I249" i="31"/>
  <c r="F249" i="31"/>
  <c r="O248" i="31"/>
  <c r="L248" i="31"/>
  <c r="I248" i="31"/>
  <c r="F248" i="31"/>
  <c r="O247" i="31"/>
  <c r="L247" i="31"/>
  <c r="L246" i="31" s="1"/>
  <c r="I247" i="31"/>
  <c r="F247" i="31"/>
  <c r="N246" i="31"/>
  <c r="M246" i="31"/>
  <c r="K246" i="31"/>
  <c r="J246" i="31"/>
  <c r="H246" i="31"/>
  <c r="G246" i="31"/>
  <c r="E246" i="31"/>
  <c r="D246" i="31"/>
  <c r="O245" i="31"/>
  <c r="L245" i="31"/>
  <c r="I245" i="31"/>
  <c r="F245" i="31"/>
  <c r="O244" i="31"/>
  <c r="L244" i="31"/>
  <c r="I244" i="31"/>
  <c r="F244" i="31"/>
  <c r="O243" i="31"/>
  <c r="L243" i="31"/>
  <c r="I243" i="31"/>
  <c r="F243" i="31"/>
  <c r="O242" i="31"/>
  <c r="L242" i="31"/>
  <c r="I242" i="31"/>
  <c r="F242" i="31"/>
  <c r="O241" i="31"/>
  <c r="L241" i="31"/>
  <c r="I241" i="31"/>
  <c r="F241" i="31"/>
  <c r="O240" i="31"/>
  <c r="L240" i="31"/>
  <c r="I240" i="31"/>
  <c r="F240" i="31"/>
  <c r="O239" i="31"/>
  <c r="L239" i="31"/>
  <c r="I239" i="31"/>
  <c r="F239" i="31"/>
  <c r="N238" i="31"/>
  <c r="M238" i="31"/>
  <c r="K238" i="31"/>
  <c r="J238" i="31"/>
  <c r="H238" i="31"/>
  <c r="G238" i="31"/>
  <c r="E238" i="31"/>
  <c r="D238" i="31"/>
  <c r="O237" i="31"/>
  <c r="L237" i="31"/>
  <c r="I237" i="31"/>
  <c r="F237" i="31"/>
  <c r="O236" i="31"/>
  <c r="L236" i="31"/>
  <c r="L235" i="31" s="1"/>
  <c r="I236" i="31"/>
  <c r="I235" i="31" s="1"/>
  <c r="F236" i="31"/>
  <c r="O235" i="31"/>
  <c r="N235" i="31"/>
  <c r="M235" i="31"/>
  <c r="K235" i="31"/>
  <c r="J235" i="31"/>
  <c r="H235" i="31"/>
  <c r="G235" i="31"/>
  <c r="F235" i="31"/>
  <c r="E235" i="31"/>
  <c r="D235" i="31"/>
  <c r="O234" i="31"/>
  <c r="O233" i="31" s="1"/>
  <c r="L234" i="31"/>
  <c r="I234" i="31"/>
  <c r="I233" i="31" s="1"/>
  <c r="F234" i="31"/>
  <c r="F233" i="31" s="1"/>
  <c r="N233" i="31"/>
  <c r="M233" i="31"/>
  <c r="M231" i="31" s="1"/>
  <c r="L233" i="31"/>
  <c r="K233" i="31"/>
  <c r="J233" i="31"/>
  <c r="H233" i="31"/>
  <c r="H231" i="31" s="1"/>
  <c r="G233" i="31"/>
  <c r="E233" i="31"/>
  <c r="D233" i="31"/>
  <c r="D231" i="31" s="1"/>
  <c r="O232" i="31"/>
  <c r="L232" i="31"/>
  <c r="I232" i="31"/>
  <c r="F232" i="31"/>
  <c r="O229" i="31"/>
  <c r="L229" i="31"/>
  <c r="I229" i="31"/>
  <c r="F229" i="31"/>
  <c r="C229" i="31" s="1"/>
  <c r="O228" i="31"/>
  <c r="L228" i="31"/>
  <c r="I228" i="31"/>
  <c r="I227" i="31" s="1"/>
  <c r="F228" i="31"/>
  <c r="F227" i="31" s="1"/>
  <c r="O227" i="31"/>
  <c r="N227" i="31"/>
  <c r="M227" i="31"/>
  <c r="L227" i="31"/>
  <c r="K227" i="31"/>
  <c r="J227" i="31"/>
  <c r="H227" i="31"/>
  <c r="G227" i="31"/>
  <c r="E227" i="31"/>
  <c r="D227" i="31"/>
  <c r="O226" i="31"/>
  <c r="L226" i="31"/>
  <c r="C226" i="31" s="1"/>
  <c r="I226" i="31"/>
  <c r="F226" i="31"/>
  <c r="O225" i="31"/>
  <c r="L225" i="31"/>
  <c r="I225" i="31"/>
  <c r="F225" i="31"/>
  <c r="O224" i="31"/>
  <c r="L224" i="31"/>
  <c r="I224" i="31"/>
  <c r="D224" i="31"/>
  <c r="F224" i="31" s="1"/>
  <c r="O223" i="31"/>
  <c r="L223" i="31"/>
  <c r="I223" i="31"/>
  <c r="F223" i="31"/>
  <c r="O222" i="31"/>
  <c r="L222" i="31"/>
  <c r="I222" i="31"/>
  <c r="F222" i="31"/>
  <c r="O221" i="31"/>
  <c r="L221" i="31"/>
  <c r="I221" i="31"/>
  <c r="F221" i="31"/>
  <c r="O220" i="31"/>
  <c r="L220" i="31"/>
  <c r="I220" i="31"/>
  <c r="F220" i="31"/>
  <c r="O219" i="31"/>
  <c r="L219" i="31"/>
  <c r="I219" i="31"/>
  <c r="F219" i="31"/>
  <c r="O218" i="31"/>
  <c r="J218" i="31"/>
  <c r="L218" i="31" s="1"/>
  <c r="I218" i="31"/>
  <c r="D218" i="31"/>
  <c r="F218" i="31" s="1"/>
  <c r="O217" i="31"/>
  <c r="L217" i="31"/>
  <c r="I217" i="31"/>
  <c r="D217" i="31"/>
  <c r="N216" i="31"/>
  <c r="M216" i="31"/>
  <c r="K216" i="31"/>
  <c r="J216" i="31"/>
  <c r="H216" i="31"/>
  <c r="G216" i="31"/>
  <c r="E216" i="31"/>
  <c r="O215" i="31"/>
  <c r="L215" i="31"/>
  <c r="I215" i="31"/>
  <c r="F215" i="31"/>
  <c r="O214" i="31"/>
  <c r="L214" i="31"/>
  <c r="I214" i="31"/>
  <c r="F214" i="31"/>
  <c r="C214" i="31" s="1"/>
  <c r="O213" i="31"/>
  <c r="L213" i="31"/>
  <c r="I213" i="31"/>
  <c r="F213" i="31"/>
  <c r="O212" i="31"/>
  <c r="L212" i="31"/>
  <c r="I212" i="31"/>
  <c r="F212" i="31"/>
  <c r="O211" i="31"/>
  <c r="L211" i="31"/>
  <c r="I211" i="31"/>
  <c r="F211" i="31"/>
  <c r="O210" i="31"/>
  <c r="L210" i="31"/>
  <c r="I210" i="31"/>
  <c r="F210" i="31"/>
  <c r="O209" i="31"/>
  <c r="L209" i="31"/>
  <c r="I209" i="31"/>
  <c r="F209" i="31"/>
  <c r="O208" i="31"/>
  <c r="L208" i="31"/>
  <c r="I208" i="31"/>
  <c r="F208" i="31"/>
  <c r="O207" i="31"/>
  <c r="L207" i="31"/>
  <c r="I207" i="31"/>
  <c r="F207" i="31"/>
  <c r="O206" i="31"/>
  <c r="L206" i="31"/>
  <c r="I206" i="31"/>
  <c r="F206" i="31"/>
  <c r="C206" i="31" s="1"/>
  <c r="N205" i="31"/>
  <c r="M205" i="31"/>
  <c r="K205" i="31"/>
  <c r="K204" i="31" s="1"/>
  <c r="J205" i="31"/>
  <c r="H205" i="31"/>
  <c r="G205" i="31"/>
  <c r="E205" i="31"/>
  <c r="D205" i="31"/>
  <c r="M204" i="31"/>
  <c r="G204" i="31"/>
  <c r="O203" i="31"/>
  <c r="L203" i="31"/>
  <c r="I203" i="31"/>
  <c r="F203" i="31"/>
  <c r="O202" i="31"/>
  <c r="L202" i="31"/>
  <c r="I202" i="31"/>
  <c r="F202" i="31"/>
  <c r="C202" i="31" s="1"/>
  <c r="O201" i="31"/>
  <c r="L201" i="31"/>
  <c r="I201" i="31"/>
  <c r="F201" i="31"/>
  <c r="O200" i="31"/>
  <c r="L200" i="31"/>
  <c r="I200" i="31"/>
  <c r="F200" i="31"/>
  <c r="O199" i="31"/>
  <c r="L199" i="31"/>
  <c r="L198" i="31" s="1"/>
  <c r="I199" i="31"/>
  <c r="F199" i="31"/>
  <c r="F198" i="31" s="1"/>
  <c r="O198" i="31"/>
  <c r="N198" i="31"/>
  <c r="M198" i="31"/>
  <c r="K198" i="31"/>
  <c r="K196" i="31" s="1"/>
  <c r="J198" i="31"/>
  <c r="H198" i="31"/>
  <c r="G198" i="31"/>
  <c r="G196" i="31" s="1"/>
  <c r="G195" i="31" s="1"/>
  <c r="E198" i="31"/>
  <c r="D198" i="31"/>
  <c r="O197" i="31"/>
  <c r="L197" i="31"/>
  <c r="I197" i="31"/>
  <c r="F197" i="31"/>
  <c r="N196" i="31"/>
  <c r="M196" i="31"/>
  <c r="J196" i="31"/>
  <c r="H196" i="31"/>
  <c r="E196" i="31"/>
  <c r="D196" i="31"/>
  <c r="O193" i="31"/>
  <c r="O192" i="31" s="1"/>
  <c r="O191" i="31" s="1"/>
  <c r="L193" i="31"/>
  <c r="I193" i="31"/>
  <c r="I192" i="31" s="1"/>
  <c r="F193" i="31"/>
  <c r="C193" i="31" s="1"/>
  <c r="N192" i="31"/>
  <c r="N191" i="31" s="1"/>
  <c r="M192" i="31"/>
  <c r="L192" i="31"/>
  <c r="L191" i="31" s="1"/>
  <c r="K192" i="31"/>
  <c r="K191" i="31" s="1"/>
  <c r="J192" i="31"/>
  <c r="J191" i="31" s="1"/>
  <c r="H192" i="31"/>
  <c r="H191" i="31" s="1"/>
  <c r="G192" i="31"/>
  <c r="G191" i="31" s="1"/>
  <c r="E192" i="31"/>
  <c r="D192" i="31"/>
  <c r="D191" i="31" s="1"/>
  <c r="M191" i="31"/>
  <c r="I191" i="31"/>
  <c r="E191" i="31"/>
  <c r="O190" i="31"/>
  <c r="L190" i="31"/>
  <c r="I190" i="31"/>
  <c r="F190" i="31"/>
  <c r="O189" i="31"/>
  <c r="O188" i="31" s="1"/>
  <c r="L189" i="31"/>
  <c r="L188" i="31" s="1"/>
  <c r="L187" i="31" s="1"/>
  <c r="I189" i="31"/>
  <c r="I188" i="31" s="1"/>
  <c r="F189" i="31"/>
  <c r="N188" i="31"/>
  <c r="M188" i="31"/>
  <c r="K188" i="31"/>
  <c r="J188" i="31"/>
  <c r="H188" i="31"/>
  <c r="H187" i="31" s="1"/>
  <c r="G188" i="31"/>
  <c r="F188" i="31"/>
  <c r="E188" i="31"/>
  <c r="D188" i="31"/>
  <c r="D187" i="31" s="1"/>
  <c r="O186" i="31"/>
  <c r="L186" i="31"/>
  <c r="I186" i="31"/>
  <c r="F186" i="31"/>
  <c r="O185" i="31"/>
  <c r="O184" i="31" s="1"/>
  <c r="L185" i="31"/>
  <c r="I185" i="31"/>
  <c r="I184" i="31" s="1"/>
  <c r="F185" i="31"/>
  <c r="C185" i="31" s="1"/>
  <c r="N184" i="31"/>
  <c r="M184" i="31"/>
  <c r="K184" i="31"/>
  <c r="J184" i="31"/>
  <c r="H184" i="31"/>
  <c r="G184" i="31"/>
  <c r="E184" i="31"/>
  <c r="D184" i="31"/>
  <c r="O183" i="31"/>
  <c r="L183" i="31"/>
  <c r="I183" i="31"/>
  <c r="F183" i="31"/>
  <c r="O182" i="31"/>
  <c r="L182" i="31"/>
  <c r="I182" i="31"/>
  <c r="F182" i="31"/>
  <c r="O181" i="31"/>
  <c r="L181" i="31"/>
  <c r="I181" i="31"/>
  <c r="F181" i="31"/>
  <c r="O180" i="31"/>
  <c r="O179" i="31" s="1"/>
  <c r="L180" i="31"/>
  <c r="I180" i="31"/>
  <c r="I179" i="31" s="1"/>
  <c r="F180" i="31"/>
  <c r="N179" i="31"/>
  <c r="M179" i="31"/>
  <c r="K179" i="31"/>
  <c r="J179" i="31"/>
  <c r="H179" i="31"/>
  <c r="G179" i="31"/>
  <c r="E179" i="31"/>
  <c r="D179" i="31"/>
  <c r="O178" i="31"/>
  <c r="L178" i="31"/>
  <c r="I178" i="31"/>
  <c r="F178" i="31"/>
  <c r="O177" i="31"/>
  <c r="L177" i="31"/>
  <c r="I177" i="31"/>
  <c r="F177" i="31"/>
  <c r="O176" i="31"/>
  <c r="L176" i="31"/>
  <c r="I176" i="31"/>
  <c r="F176" i="31"/>
  <c r="N175" i="31"/>
  <c r="N174" i="31" s="1"/>
  <c r="N173" i="31" s="1"/>
  <c r="M175" i="31"/>
  <c r="K175" i="31"/>
  <c r="J175" i="31"/>
  <c r="I175" i="31"/>
  <c r="H175" i="31"/>
  <c r="H174" i="31" s="1"/>
  <c r="G175" i="31"/>
  <c r="E175" i="31"/>
  <c r="E174" i="31" s="1"/>
  <c r="E173" i="31" s="1"/>
  <c r="D175" i="31"/>
  <c r="D174" i="31" s="1"/>
  <c r="D173" i="31" s="1"/>
  <c r="J174" i="31"/>
  <c r="J173" i="31" s="1"/>
  <c r="G174" i="31"/>
  <c r="G173" i="31" s="1"/>
  <c r="O172" i="31"/>
  <c r="L172" i="31"/>
  <c r="I172" i="31"/>
  <c r="F172" i="31"/>
  <c r="O171" i="31"/>
  <c r="L171" i="31"/>
  <c r="I171" i="31"/>
  <c r="F171" i="31"/>
  <c r="O170" i="31"/>
  <c r="L170" i="31"/>
  <c r="I170" i="31"/>
  <c r="F170" i="31"/>
  <c r="O169" i="31"/>
  <c r="L169" i="31"/>
  <c r="I169" i="31"/>
  <c r="F169" i="31"/>
  <c r="O168" i="31"/>
  <c r="L168" i="31"/>
  <c r="I168" i="31"/>
  <c r="F168" i="31"/>
  <c r="O167" i="31"/>
  <c r="L167" i="31"/>
  <c r="I167" i="31"/>
  <c r="I166" i="31" s="1"/>
  <c r="F167" i="31"/>
  <c r="N166" i="31"/>
  <c r="N165" i="31" s="1"/>
  <c r="M166" i="31"/>
  <c r="M165" i="31" s="1"/>
  <c r="K166" i="31"/>
  <c r="J166" i="31"/>
  <c r="J165" i="31" s="1"/>
  <c r="H166" i="31"/>
  <c r="H165" i="31" s="1"/>
  <c r="G166" i="31"/>
  <c r="G165" i="31" s="1"/>
  <c r="E166" i="31"/>
  <c r="E165" i="31" s="1"/>
  <c r="D166" i="31"/>
  <c r="K165" i="31"/>
  <c r="D165" i="31"/>
  <c r="O164" i="31"/>
  <c r="L164" i="31"/>
  <c r="I164" i="31"/>
  <c r="F164" i="31"/>
  <c r="O163" i="31"/>
  <c r="L163" i="31"/>
  <c r="I163" i="31"/>
  <c r="F163" i="31"/>
  <c r="O162" i="31"/>
  <c r="L162" i="31"/>
  <c r="I162" i="31"/>
  <c r="F162" i="31"/>
  <c r="O161" i="31"/>
  <c r="O160" i="31" s="1"/>
  <c r="L161" i="31"/>
  <c r="I161" i="31"/>
  <c r="F161" i="31"/>
  <c r="C161" i="31" s="1"/>
  <c r="N160" i="31"/>
  <c r="M160" i="31"/>
  <c r="K160" i="31"/>
  <c r="J160" i="31"/>
  <c r="H160" i="31"/>
  <c r="G160" i="31"/>
  <c r="F160" i="31"/>
  <c r="E160" i="31"/>
  <c r="D160" i="31"/>
  <c r="O159" i="31"/>
  <c r="L159" i="31"/>
  <c r="I159" i="31"/>
  <c r="F159" i="31"/>
  <c r="O158" i="31"/>
  <c r="L158" i="31"/>
  <c r="I158" i="31"/>
  <c r="F158" i="31"/>
  <c r="O157" i="31"/>
  <c r="L157" i="31"/>
  <c r="I157" i="31"/>
  <c r="F157" i="31"/>
  <c r="O156" i="31"/>
  <c r="L156" i="31"/>
  <c r="I156" i="31"/>
  <c r="F156" i="31"/>
  <c r="O155" i="31"/>
  <c r="L155" i="31"/>
  <c r="I155" i="31"/>
  <c r="F155" i="31"/>
  <c r="O154" i="31"/>
  <c r="L154" i="31"/>
  <c r="I154" i="31"/>
  <c r="F154" i="31"/>
  <c r="O153" i="31"/>
  <c r="L153" i="31"/>
  <c r="I153" i="31"/>
  <c r="F153" i="31"/>
  <c r="O152" i="31"/>
  <c r="L152" i="31"/>
  <c r="I152" i="31"/>
  <c r="F152" i="31"/>
  <c r="N151" i="31"/>
  <c r="M151" i="31"/>
  <c r="K151" i="31"/>
  <c r="J151" i="31"/>
  <c r="I151" i="31"/>
  <c r="H151" i="31"/>
  <c r="G151" i="31"/>
  <c r="E151" i="31"/>
  <c r="D151" i="31"/>
  <c r="O150" i="31"/>
  <c r="L150" i="31"/>
  <c r="I150" i="31"/>
  <c r="F150" i="31"/>
  <c r="C150" i="31" s="1"/>
  <c r="O149" i="31"/>
  <c r="L149" i="31"/>
  <c r="I149" i="31"/>
  <c r="F149" i="31"/>
  <c r="C149" i="31" s="1"/>
  <c r="O148" i="31"/>
  <c r="L148" i="31"/>
  <c r="I148" i="31"/>
  <c r="F148" i="31"/>
  <c r="O147" i="31"/>
  <c r="L147" i="31"/>
  <c r="I147" i="31"/>
  <c r="F147" i="31"/>
  <c r="O146" i="31"/>
  <c r="J146" i="31"/>
  <c r="J144" i="31" s="1"/>
  <c r="I146" i="31"/>
  <c r="F146" i="31"/>
  <c r="O145" i="31"/>
  <c r="O144" i="31" s="1"/>
  <c r="L145" i="31"/>
  <c r="I145" i="31"/>
  <c r="F145" i="31"/>
  <c r="N144" i="31"/>
  <c r="M144" i="31"/>
  <c r="K144" i="31"/>
  <c r="H144" i="31"/>
  <c r="G144" i="31"/>
  <c r="E144" i="31"/>
  <c r="D144" i="31"/>
  <c r="O143" i="31"/>
  <c r="L143" i="31"/>
  <c r="I143" i="31"/>
  <c r="F143" i="31"/>
  <c r="O142" i="31"/>
  <c r="O141" i="31" s="1"/>
  <c r="L142" i="31"/>
  <c r="L141" i="31" s="1"/>
  <c r="I142" i="31"/>
  <c r="F142" i="31"/>
  <c r="N141" i="31"/>
  <c r="M141" i="31"/>
  <c r="K141" i="31"/>
  <c r="J141" i="31"/>
  <c r="H141" i="31"/>
  <c r="G141" i="31"/>
  <c r="F141" i="31"/>
  <c r="E141" i="31"/>
  <c r="D141" i="31"/>
  <c r="O140" i="31"/>
  <c r="L140" i="31"/>
  <c r="I140" i="31"/>
  <c r="F140" i="31"/>
  <c r="O139" i="31"/>
  <c r="L139" i="31"/>
  <c r="I139" i="31"/>
  <c r="F139" i="31"/>
  <c r="O138" i="31"/>
  <c r="L138" i="31"/>
  <c r="I138" i="31"/>
  <c r="F138" i="31"/>
  <c r="C138" i="31" s="1"/>
  <c r="O137" i="31"/>
  <c r="L137" i="31"/>
  <c r="I137" i="31"/>
  <c r="F137" i="31"/>
  <c r="N136" i="31"/>
  <c r="M136" i="31"/>
  <c r="K136" i="31"/>
  <c r="J136" i="31"/>
  <c r="H136" i="31"/>
  <c r="G136" i="31"/>
  <c r="E136" i="31"/>
  <c r="D136" i="31"/>
  <c r="O135" i="31"/>
  <c r="L135" i="31"/>
  <c r="I135" i="31"/>
  <c r="F135" i="31"/>
  <c r="O134" i="31"/>
  <c r="L134" i="31"/>
  <c r="I134" i="31"/>
  <c r="F134" i="31"/>
  <c r="C134" i="31" s="1"/>
  <c r="O133" i="31"/>
  <c r="J133" i="31"/>
  <c r="L133" i="31" s="1"/>
  <c r="I133" i="31"/>
  <c r="F133" i="31"/>
  <c r="O132" i="31"/>
  <c r="L132" i="31"/>
  <c r="I132" i="31"/>
  <c r="F132" i="31"/>
  <c r="F131" i="31" s="1"/>
  <c r="N131" i="31"/>
  <c r="M131" i="31"/>
  <c r="K131" i="31"/>
  <c r="K130" i="31" s="1"/>
  <c r="J131" i="31"/>
  <c r="H131" i="31"/>
  <c r="G131" i="31"/>
  <c r="E131" i="31"/>
  <c r="D131" i="31"/>
  <c r="O129" i="31"/>
  <c r="L129" i="31"/>
  <c r="I129" i="31"/>
  <c r="I128" i="31" s="1"/>
  <c r="F129" i="31"/>
  <c r="F128" i="31" s="1"/>
  <c r="O128" i="31"/>
  <c r="N128" i="31"/>
  <c r="M128" i="31"/>
  <c r="L128" i="31"/>
  <c r="K128" i="31"/>
  <c r="J128" i="31"/>
  <c r="H128" i="31"/>
  <c r="G128" i="31"/>
  <c r="E128" i="31"/>
  <c r="D128" i="31"/>
  <c r="O127" i="31"/>
  <c r="L127" i="31"/>
  <c r="I127" i="31"/>
  <c r="F127" i="31"/>
  <c r="O126" i="31"/>
  <c r="L126" i="31"/>
  <c r="I126" i="31"/>
  <c r="F126" i="31"/>
  <c r="O125" i="31"/>
  <c r="L125" i="31"/>
  <c r="I125" i="31"/>
  <c r="F125" i="31"/>
  <c r="O124" i="31"/>
  <c r="L124" i="31"/>
  <c r="I124" i="31"/>
  <c r="F124" i="31"/>
  <c r="O123" i="31"/>
  <c r="L123" i="31"/>
  <c r="I123" i="31"/>
  <c r="F123" i="31"/>
  <c r="C123" i="31" s="1"/>
  <c r="N122" i="31"/>
  <c r="M122" i="31"/>
  <c r="K122" i="31"/>
  <c r="J122" i="31"/>
  <c r="H122" i="31"/>
  <c r="G122" i="31"/>
  <c r="E122" i="31"/>
  <c r="D122" i="31"/>
  <c r="O121" i="31"/>
  <c r="L121" i="31"/>
  <c r="I121" i="31"/>
  <c r="F121" i="31"/>
  <c r="O120" i="31"/>
  <c r="L120" i="31"/>
  <c r="I120" i="31"/>
  <c r="F120" i="31"/>
  <c r="O119" i="31"/>
  <c r="L119" i="31"/>
  <c r="I119" i="31"/>
  <c r="F119" i="31"/>
  <c r="O118" i="31"/>
  <c r="L118" i="31"/>
  <c r="I118" i="31"/>
  <c r="F118" i="31"/>
  <c r="O117" i="31"/>
  <c r="L117" i="31"/>
  <c r="I117" i="31"/>
  <c r="F117" i="31"/>
  <c r="N116" i="31"/>
  <c r="M116" i="31"/>
  <c r="K116" i="31"/>
  <c r="J116" i="31"/>
  <c r="H116" i="31"/>
  <c r="G116" i="31"/>
  <c r="F116" i="31"/>
  <c r="E116" i="31"/>
  <c r="D116" i="31"/>
  <c r="O115" i="31"/>
  <c r="L115" i="31"/>
  <c r="I115" i="31"/>
  <c r="F115" i="31"/>
  <c r="C115" i="31" s="1"/>
  <c r="O114" i="31"/>
  <c r="L114" i="31"/>
  <c r="I114" i="31"/>
  <c r="F114" i="31"/>
  <c r="O113" i="31"/>
  <c r="L113" i="31"/>
  <c r="I113" i="31"/>
  <c r="F113" i="31"/>
  <c r="N112" i="31"/>
  <c r="M112" i="31"/>
  <c r="K112" i="31"/>
  <c r="J112" i="31"/>
  <c r="H112" i="31"/>
  <c r="G112" i="31"/>
  <c r="E112" i="31"/>
  <c r="D112" i="31"/>
  <c r="O111" i="31"/>
  <c r="L111" i="31"/>
  <c r="I111" i="31"/>
  <c r="F111" i="31"/>
  <c r="O110" i="31"/>
  <c r="L110" i="31"/>
  <c r="I110" i="31"/>
  <c r="F110" i="31"/>
  <c r="O109" i="31"/>
  <c r="L109" i="31"/>
  <c r="I109" i="31"/>
  <c r="F109" i="31"/>
  <c r="O108" i="31"/>
  <c r="L108" i="31"/>
  <c r="I108" i="31"/>
  <c r="F108" i="31"/>
  <c r="O107" i="31"/>
  <c r="L107" i="31"/>
  <c r="I107" i="31"/>
  <c r="D107" i="31"/>
  <c r="F107" i="31" s="1"/>
  <c r="O106" i="31"/>
  <c r="L106" i="31"/>
  <c r="I106" i="31"/>
  <c r="D106" i="31"/>
  <c r="D103" i="31" s="1"/>
  <c r="O105" i="31"/>
  <c r="L105" i="31"/>
  <c r="I105" i="31"/>
  <c r="F105" i="31"/>
  <c r="O104" i="31"/>
  <c r="L104" i="31"/>
  <c r="L103" i="31" s="1"/>
  <c r="I104" i="31"/>
  <c r="F104" i="31"/>
  <c r="N103" i="31"/>
  <c r="M103" i="31"/>
  <c r="K103" i="31"/>
  <c r="J103" i="31"/>
  <c r="H103" i="31"/>
  <c r="G103" i="31"/>
  <c r="E103" i="31"/>
  <c r="O102" i="31"/>
  <c r="L102" i="31"/>
  <c r="I102" i="31"/>
  <c r="F102" i="31"/>
  <c r="O101" i="31"/>
  <c r="L101" i="31"/>
  <c r="I101" i="31"/>
  <c r="F101" i="31"/>
  <c r="O100" i="31"/>
  <c r="L100" i="31"/>
  <c r="I100" i="31"/>
  <c r="F100" i="31"/>
  <c r="C100" i="31" s="1"/>
  <c r="O99" i="31"/>
  <c r="L99" i="31"/>
  <c r="I99" i="31"/>
  <c r="F99" i="31"/>
  <c r="O98" i="31"/>
  <c r="L98" i="31"/>
  <c r="I98" i="31"/>
  <c r="F98" i="31"/>
  <c r="O97" i="31"/>
  <c r="L97" i="31"/>
  <c r="I97" i="31"/>
  <c r="F97" i="31"/>
  <c r="O96" i="31"/>
  <c r="O95" i="31" s="1"/>
  <c r="L96" i="31"/>
  <c r="I96" i="31"/>
  <c r="I95" i="31" s="1"/>
  <c r="F96" i="31"/>
  <c r="N95" i="31"/>
  <c r="M95" i="31"/>
  <c r="K95" i="31"/>
  <c r="J95" i="31"/>
  <c r="H95" i="31"/>
  <c r="G95" i="31"/>
  <c r="E95" i="31"/>
  <c r="D95" i="31"/>
  <c r="O94" i="31"/>
  <c r="L94" i="31"/>
  <c r="I94" i="31"/>
  <c r="F94" i="31"/>
  <c r="O93" i="31"/>
  <c r="L93" i="31"/>
  <c r="I93" i="31"/>
  <c r="F93" i="31"/>
  <c r="O92" i="31"/>
  <c r="L92" i="31"/>
  <c r="I92" i="31"/>
  <c r="F92" i="31"/>
  <c r="O91" i="31"/>
  <c r="L91" i="31"/>
  <c r="I91" i="31"/>
  <c r="F91" i="31"/>
  <c r="O90" i="31"/>
  <c r="J90" i="31"/>
  <c r="J89" i="31" s="1"/>
  <c r="I90" i="31"/>
  <c r="F90" i="31"/>
  <c r="O89" i="31"/>
  <c r="N89" i="31"/>
  <c r="M89" i="31"/>
  <c r="K89" i="31"/>
  <c r="H89" i="31"/>
  <c r="G89" i="31"/>
  <c r="E89" i="31"/>
  <c r="D89" i="31"/>
  <c r="O88" i="31"/>
  <c r="L88" i="31"/>
  <c r="I88" i="31"/>
  <c r="F88" i="31"/>
  <c r="O87" i="31"/>
  <c r="L87" i="31"/>
  <c r="I87" i="31"/>
  <c r="F87" i="31"/>
  <c r="O86" i="31"/>
  <c r="L86" i="31"/>
  <c r="I86" i="31"/>
  <c r="F86" i="31"/>
  <c r="O85" i="31"/>
  <c r="O84" i="31" s="1"/>
  <c r="L85" i="31"/>
  <c r="L84" i="31" s="1"/>
  <c r="I85" i="31"/>
  <c r="F85" i="31"/>
  <c r="N84" i="31"/>
  <c r="M84" i="31"/>
  <c r="K84" i="31"/>
  <c r="J84" i="31"/>
  <c r="H84" i="31"/>
  <c r="H83" i="31" s="1"/>
  <c r="G84" i="31"/>
  <c r="E84" i="31"/>
  <c r="D84" i="31"/>
  <c r="M83" i="31"/>
  <c r="O82" i="31"/>
  <c r="L82" i="31"/>
  <c r="I82" i="31"/>
  <c r="F82" i="31"/>
  <c r="O81" i="31"/>
  <c r="O80" i="31" s="1"/>
  <c r="L81" i="31"/>
  <c r="I81" i="31"/>
  <c r="F81" i="31"/>
  <c r="N80" i="31"/>
  <c r="M80" i="31"/>
  <c r="L80" i="31"/>
  <c r="K80" i="31"/>
  <c r="J80" i="31"/>
  <c r="H80" i="31"/>
  <c r="G80" i="31"/>
  <c r="F80" i="31"/>
  <c r="E80" i="31"/>
  <c r="D80" i="31"/>
  <c r="O79" i="31"/>
  <c r="L79" i="31"/>
  <c r="I79" i="31"/>
  <c r="F79" i="31"/>
  <c r="O78" i="31"/>
  <c r="O77" i="31" s="1"/>
  <c r="O76" i="31" s="1"/>
  <c r="L78" i="31"/>
  <c r="L77" i="31" s="1"/>
  <c r="I78" i="31"/>
  <c r="I77" i="31" s="1"/>
  <c r="F78" i="31"/>
  <c r="F77" i="31" s="1"/>
  <c r="F76" i="31" s="1"/>
  <c r="N77" i="31"/>
  <c r="N76" i="31" s="1"/>
  <c r="M77" i="31"/>
  <c r="K77" i="31"/>
  <c r="J77" i="31"/>
  <c r="J76" i="31" s="1"/>
  <c r="H77" i="31"/>
  <c r="H76" i="31" s="1"/>
  <c r="G77" i="31"/>
  <c r="E77" i="31"/>
  <c r="E76" i="31" s="1"/>
  <c r="D77" i="31"/>
  <c r="D76" i="31" s="1"/>
  <c r="M76" i="31"/>
  <c r="O74" i="31"/>
  <c r="L74" i="31"/>
  <c r="I74" i="31"/>
  <c r="D74" i="31"/>
  <c r="F74" i="31" s="1"/>
  <c r="O73" i="31"/>
  <c r="L73" i="31"/>
  <c r="I73" i="31"/>
  <c r="F73" i="31"/>
  <c r="O72" i="31"/>
  <c r="L72" i="31"/>
  <c r="I72" i="31"/>
  <c r="F72" i="31"/>
  <c r="O71" i="31"/>
  <c r="L71" i="31"/>
  <c r="I71" i="31"/>
  <c r="F71" i="31"/>
  <c r="O70" i="31"/>
  <c r="O69" i="31" s="1"/>
  <c r="L70" i="31"/>
  <c r="I70" i="31"/>
  <c r="F70" i="31"/>
  <c r="N69" i="31"/>
  <c r="M69" i="31"/>
  <c r="L69" i="31"/>
  <c r="K69" i="31"/>
  <c r="K67" i="31" s="1"/>
  <c r="J69" i="31"/>
  <c r="J67" i="31" s="1"/>
  <c r="H69" i="31"/>
  <c r="H67" i="31" s="1"/>
  <c r="G69" i="31"/>
  <c r="G67" i="31" s="1"/>
  <c r="E69" i="31"/>
  <c r="D69" i="31"/>
  <c r="O68" i="31"/>
  <c r="L68" i="31"/>
  <c r="I68" i="31"/>
  <c r="D68" i="31"/>
  <c r="F68" i="31" s="1"/>
  <c r="N67" i="31"/>
  <c r="M67" i="31"/>
  <c r="E67" i="31"/>
  <c r="O66" i="31"/>
  <c r="L66" i="31"/>
  <c r="I66" i="31"/>
  <c r="F66" i="31"/>
  <c r="O65" i="31"/>
  <c r="L65" i="31"/>
  <c r="I65" i="31"/>
  <c r="F65" i="31"/>
  <c r="O64" i="31"/>
  <c r="L64" i="31"/>
  <c r="I64" i="31"/>
  <c r="F64" i="31"/>
  <c r="O63" i="31"/>
  <c r="L63" i="31"/>
  <c r="I63" i="31"/>
  <c r="D63" i="31"/>
  <c r="F63" i="31" s="1"/>
  <c r="O62" i="31"/>
  <c r="L62" i="31"/>
  <c r="I62" i="31"/>
  <c r="F62" i="31"/>
  <c r="O61" i="31"/>
  <c r="L61" i="31"/>
  <c r="I61" i="31"/>
  <c r="F61" i="31"/>
  <c r="O60" i="31"/>
  <c r="L60" i="31"/>
  <c r="I60" i="31"/>
  <c r="F60" i="31"/>
  <c r="C60" i="31" s="1"/>
  <c r="O59" i="31"/>
  <c r="O58" i="31" s="1"/>
  <c r="L59" i="31"/>
  <c r="I59" i="31"/>
  <c r="D59" i="31"/>
  <c r="N58" i="31"/>
  <c r="M58" i="31"/>
  <c r="K58" i="31"/>
  <c r="J58" i="31"/>
  <c r="H58" i="31"/>
  <c r="G58" i="31"/>
  <c r="E58" i="31"/>
  <c r="O57" i="31"/>
  <c r="L57" i="31"/>
  <c r="I57" i="31"/>
  <c r="D57" i="31"/>
  <c r="D55" i="31" s="1"/>
  <c r="O56" i="31"/>
  <c r="L56" i="31"/>
  <c r="I56" i="31"/>
  <c r="I55" i="31" s="1"/>
  <c r="F56" i="31"/>
  <c r="N55" i="31"/>
  <c r="N54" i="31" s="1"/>
  <c r="N53" i="31" s="1"/>
  <c r="M55" i="31"/>
  <c r="K55" i="31"/>
  <c r="K54" i="31" s="1"/>
  <c r="K53" i="31" s="1"/>
  <c r="J55" i="31"/>
  <c r="H55" i="31"/>
  <c r="H54" i="31" s="1"/>
  <c r="G55" i="31"/>
  <c r="E55" i="31"/>
  <c r="E54" i="31" s="1"/>
  <c r="E53" i="31" s="1"/>
  <c r="O47" i="31"/>
  <c r="C47" i="31" s="1"/>
  <c r="O46" i="31"/>
  <c r="C46" i="31"/>
  <c r="N45" i="31"/>
  <c r="M45" i="31"/>
  <c r="L44" i="31"/>
  <c r="I44" i="31"/>
  <c r="I43" i="31" s="1"/>
  <c r="F44" i="31"/>
  <c r="L43" i="31"/>
  <c r="K43" i="31"/>
  <c r="J43" i="31"/>
  <c r="H43" i="31"/>
  <c r="G43" i="31"/>
  <c r="E43" i="31"/>
  <c r="D43" i="31"/>
  <c r="F42" i="31"/>
  <c r="C42" i="31" s="1"/>
  <c r="E41" i="31"/>
  <c r="D41" i="31"/>
  <c r="L40" i="31"/>
  <c r="C40" i="31" s="1"/>
  <c r="L39" i="31"/>
  <c r="C39" i="31" s="1"/>
  <c r="L38" i="31"/>
  <c r="C38" i="31" s="1"/>
  <c r="L37" i="31"/>
  <c r="C37" i="31" s="1"/>
  <c r="K36" i="31"/>
  <c r="J36" i="31"/>
  <c r="L35" i="31"/>
  <c r="C35" i="31" s="1"/>
  <c r="L34" i="31"/>
  <c r="C34" i="31" s="1"/>
  <c r="K33" i="31"/>
  <c r="J33" i="31"/>
  <c r="L32" i="31"/>
  <c r="C32" i="31" s="1"/>
  <c r="K31" i="31"/>
  <c r="J31" i="31"/>
  <c r="L30" i="31"/>
  <c r="C30" i="31" s="1"/>
  <c r="L29" i="31"/>
  <c r="C29" i="31" s="1"/>
  <c r="L28" i="31"/>
  <c r="C28" i="31" s="1"/>
  <c r="K27" i="31"/>
  <c r="J27" i="31"/>
  <c r="F25" i="31"/>
  <c r="C25" i="31" s="1"/>
  <c r="I24" i="31"/>
  <c r="D24" i="31"/>
  <c r="F24" i="31" s="1"/>
  <c r="C24" i="31" s="1"/>
  <c r="O23" i="31"/>
  <c r="L23" i="31"/>
  <c r="J23" i="31"/>
  <c r="J21" i="31" s="1"/>
  <c r="J292" i="31" s="1"/>
  <c r="J291" i="31" s="1"/>
  <c r="I23" i="31"/>
  <c r="F23" i="31"/>
  <c r="O22" i="31"/>
  <c r="O21" i="31" s="1"/>
  <c r="L22" i="31"/>
  <c r="I22" i="31"/>
  <c r="I21" i="31" s="1"/>
  <c r="F22" i="31"/>
  <c r="N21" i="31"/>
  <c r="N292" i="31" s="1"/>
  <c r="M21" i="31"/>
  <c r="K21" i="31"/>
  <c r="H21" i="31"/>
  <c r="H292" i="31" s="1"/>
  <c r="G21" i="31"/>
  <c r="G292" i="31" s="1"/>
  <c r="G291" i="31" s="1"/>
  <c r="E21" i="31"/>
  <c r="D21" i="31"/>
  <c r="D292" i="31" s="1"/>
  <c r="D291" i="31" s="1"/>
  <c r="C219" i="31" l="1"/>
  <c r="C223" i="31"/>
  <c r="C258" i="31"/>
  <c r="C301" i="31"/>
  <c r="C92" i="31"/>
  <c r="C127" i="31"/>
  <c r="C234" i="31"/>
  <c r="E270" i="31"/>
  <c r="E269" i="31" s="1"/>
  <c r="C274" i="31"/>
  <c r="C68" i="31"/>
  <c r="C44" i="31"/>
  <c r="J54" i="31"/>
  <c r="K76" i="31"/>
  <c r="C128" i="31"/>
  <c r="E231" i="31"/>
  <c r="C242" i="31"/>
  <c r="G54" i="31"/>
  <c r="G53" i="31" s="1"/>
  <c r="E83" i="31"/>
  <c r="I112" i="31"/>
  <c r="L122" i="31"/>
  <c r="M130" i="31"/>
  <c r="C153" i="31"/>
  <c r="C157" i="31"/>
  <c r="F184" i="31"/>
  <c r="C189" i="31"/>
  <c r="C210" i="31"/>
  <c r="J231" i="31"/>
  <c r="D270" i="31"/>
  <c r="D269" i="31" s="1"/>
  <c r="F43" i="31"/>
  <c r="C43" i="31" s="1"/>
  <c r="O45" i="31"/>
  <c r="C45" i="31" s="1"/>
  <c r="N83" i="31"/>
  <c r="J83" i="31"/>
  <c r="L95" i="31"/>
  <c r="C119" i="31"/>
  <c r="O131" i="31"/>
  <c r="H130" i="31"/>
  <c r="L166" i="31"/>
  <c r="L165" i="31" s="1"/>
  <c r="L184" i="31"/>
  <c r="C225" i="31"/>
  <c r="C250" i="31"/>
  <c r="C266" i="31"/>
  <c r="C297" i="31"/>
  <c r="L21" i="31"/>
  <c r="L36" i="31"/>
  <c r="C36" i="31" s="1"/>
  <c r="G20" i="31"/>
  <c r="C62" i="31"/>
  <c r="C65" i="31"/>
  <c r="C66" i="31"/>
  <c r="D130" i="31"/>
  <c r="C177" i="31"/>
  <c r="C181" i="31"/>
  <c r="M187" i="31"/>
  <c r="C244" i="31"/>
  <c r="C254" i="31"/>
  <c r="C257" i="31"/>
  <c r="C277" i="31"/>
  <c r="N20" i="31"/>
  <c r="J53" i="31"/>
  <c r="O67" i="31"/>
  <c r="I80" i="31"/>
  <c r="C80" i="31" s="1"/>
  <c r="C104" i="31"/>
  <c r="C105" i="31"/>
  <c r="C110" i="31"/>
  <c r="C111" i="31"/>
  <c r="F112" i="31"/>
  <c r="C114" i="31"/>
  <c r="L131" i="31"/>
  <c r="I136" i="31"/>
  <c r="C142" i="31"/>
  <c r="I144" i="31"/>
  <c r="K174" i="31"/>
  <c r="K173" i="31" s="1"/>
  <c r="N231" i="31"/>
  <c r="N230" i="31" s="1"/>
  <c r="O260" i="31"/>
  <c r="H259" i="31"/>
  <c r="C285" i="31"/>
  <c r="O293" i="31"/>
  <c r="M75" i="31"/>
  <c r="C281" i="31"/>
  <c r="C23" i="31"/>
  <c r="L175" i="31"/>
  <c r="J230" i="31"/>
  <c r="C262" i="31"/>
  <c r="H270" i="31"/>
  <c r="H269" i="31" s="1"/>
  <c r="I276" i="31"/>
  <c r="I270" i="31" s="1"/>
  <c r="I269" i="31" s="1"/>
  <c r="K292" i="31"/>
  <c r="K291" i="31" s="1"/>
  <c r="L27" i="31"/>
  <c r="C27" i="31" s="1"/>
  <c r="L33" i="31"/>
  <c r="C33" i="31" s="1"/>
  <c r="M54" i="31"/>
  <c r="M53" i="31" s="1"/>
  <c r="L55" i="31"/>
  <c r="C61" i="31"/>
  <c r="I58" i="31"/>
  <c r="I54" i="31" s="1"/>
  <c r="C64" i="31"/>
  <c r="L67" i="31"/>
  <c r="C72" i="31"/>
  <c r="C73" i="31"/>
  <c r="C74" i="31"/>
  <c r="C78" i="31"/>
  <c r="C79" i="31"/>
  <c r="D83" i="31"/>
  <c r="C97" i="31"/>
  <c r="C98" i="31"/>
  <c r="C99" i="31"/>
  <c r="I103" i="31"/>
  <c r="F106" i="31"/>
  <c r="F103" i="31" s="1"/>
  <c r="C107" i="31"/>
  <c r="C108" i="31"/>
  <c r="C109" i="31"/>
  <c r="O116" i="31"/>
  <c r="L116" i="31"/>
  <c r="C125" i="31"/>
  <c r="C126" i="31"/>
  <c r="C129" i="31"/>
  <c r="I131" i="31"/>
  <c r="C135" i="31"/>
  <c r="L136" i="31"/>
  <c r="L146" i="31"/>
  <c r="L144" i="31" s="1"/>
  <c r="C164" i="31"/>
  <c r="C167" i="31"/>
  <c r="C168" i="31"/>
  <c r="C169" i="31"/>
  <c r="C213" i="31"/>
  <c r="L216" i="31"/>
  <c r="C256" i="31"/>
  <c r="C263" i="31"/>
  <c r="I264" i="31"/>
  <c r="L264" i="31"/>
  <c r="M270" i="31"/>
  <c r="M269" i="31" s="1"/>
  <c r="C288" i="31"/>
  <c r="F41" i="31"/>
  <c r="C41" i="31" s="1"/>
  <c r="O55" i="31"/>
  <c r="O54" i="31" s="1"/>
  <c r="O53" i="31" s="1"/>
  <c r="D58" i="31"/>
  <c r="D54" i="31" s="1"/>
  <c r="L58" i="31"/>
  <c r="L54" i="31" s="1"/>
  <c r="L53" i="31" s="1"/>
  <c r="H53" i="31"/>
  <c r="C71" i="31"/>
  <c r="G76" i="31"/>
  <c r="K83" i="31"/>
  <c r="C86" i="31"/>
  <c r="C87" i="31"/>
  <c r="C88" i="31"/>
  <c r="C91" i="31"/>
  <c r="C101" i="31"/>
  <c r="C102" i="31"/>
  <c r="C118" i="31"/>
  <c r="G130" i="31"/>
  <c r="E130" i="31"/>
  <c r="E75" i="31" s="1"/>
  <c r="C143" i="31"/>
  <c r="C156" i="31"/>
  <c r="I160" i="31"/>
  <c r="C172" i="31"/>
  <c r="C178" i="31"/>
  <c r="L179" i="31"/>
  <c r="G187" i="31"/>
  <c r="C190" i="31"/>
  <c r="E187" i="31"/>
  <c r="O196" i="31"/>
  <c r="H204" i="31"/>
  <c r="H195" i="31" s="1"/>
  <c r="L205" i="31"/>
  <c r="L204" i="31" s="1"/>
  <c r="C215" i="31"/>
  <c r="E204" i="31"/>
  <c r="I216" i="31"/>
  <c r="J204" i="31"/>
  <c r="J195" i="31" s="1"/>
  <c r="N204" i="31"/>
  <c r="N195" i="31" s="1"/>
  <c r="C237" i="31"/>
  <c r="C239" i="31"/>
  <c r="O238" i="31"/>
  <c r="L252" i="31"/>
  <c r="L251" i="31" s="1"/>
  <c r="M259" i="31"/>
  <c r="O264" i="31"/>
  <c r="K26" i="31"/>
  <c r="K20" i="31" s="1"/>
  <c r="C70" i="31"/>
  <c r="C96" i="31"/>
  <c r="H291" i="31"/>
  <c r="N291" i="31"/>
  <c r="J26" i="31"/>
  <c r="J20" i="31" s="1"/>
  <c r="C56" i="31"/>
  <c r="F59" i="31"/>
  <c r="C59" i="31" s="1"/>
  <c r="D67" i="31"/>
  <c r="D75" i="31"/>
  <c r="L76" i="31"/>
  <c r="C82" i="31"/>
  <c r="G83" i="31"/>
  <c r="I84" i="31"/>
  <c r="I89" i="31"/>
  <c r="C93" i="31"/>
  <c r="C94" i="31"/>
  <c r="O103" i="31"/>
  <c r="L112" i="31"/>
  <c r="N130" i="31"/>
  <c r="N75" i="31" s="1"/>
  <c r="I141" i="31"/>
  <c r="C148" i="31"/>
  <c r="L160" i="31"/>
  <c r="H173" i="31"/>
  <c r="C188" i="31"/>
  <c r="F192" i="31"/>
  <c r="F191" i="31" s="1"/>
  <c r="K195" i="31"/>
  <c r="C201" i="31"/>
  <c r="O205" i="31"/>
  <c r="C222" i="31"/>
  <c r="D230" i="31"/>
  <c r="H230" i="31"/>
  <c r="H194" i="31" s="1"/>
  <c r="K231" i="31"/>
  <c r="K230" i="31" s="1"/>
  <c r="C245" i="31"/>
  <c r="F246" i="31"/>
  <c r="C249" i="31"/>
  <c r="O246" i="31"/>
  <c r="O252" i="31"/>
  <c r="O251" i="31" s="1"/>
  <c r="L260" i="31"/>
  <c r="C268" i="31"/>
  <c r="O272" i="31"/>
  <c r="O270" i="31" s="1"/>
  <c r="O269" i="31" s="1"/>
  <c r="C278" i="31"/>
  <c r="C279" i="31"/>
  <c r="C280" i="31"/>
  <c r="C282" i="31"/>
  <c r="C298" i="31"/>
  <c r="O292" i="31"/>
  <c r="O20" i="31"/>
  <c r="C63" i="31"/>
  <c r="I292" i="31"/>
  <c r="I20" i="31"/>
  <c r="C22" i="31"/>
  <c r="F21" i="31"/>
  <c r="L292" i="31"/>
  <c r="L291" i="31" s="1"/>
  <c r="H75" i="31"/>
  <c r="K75" i="31"/>
  <c r="C103" i="31"/>
  <c r="E292" i="31"/>
  <c r="E291" i="31" s="1"/>
  <c r="E20" i="31"/>
  <c r="C77" i="31"/>
  <c r="I76" i="31"/>
  <c r="C76" i="31" s="1"/>
  <c r="C131" i="31"/>
  <c r="M292" i="31"/>
  <c r="M291" i="31" s="1"/>
  <c r="M20" i="31"/>
  <c r="C137" i="31"/>
  <c r="F136" i="31"/>
  <c r="C145" i="31"/>
  <c r="F144" i="31"/>
  <c r="C144" i="31" s="1"/>
  <c r="C146" i="31"/>
  <c r="C152" i="31"/>
  <c r="F151" i="31"/>
  <c r="C191" i="31"/>
  <c r="C232" i="31"/>
  <c r="C248" i="31"/>
  <c r="I246" i="31"/>
  <c r="L31" i="31"/>
  <c r="F57" i="31"/>
  <c r="I69" i="31"/>
  <c r="I67" i="31" s="1"/>
  <c r="L90" i="31"/>
  <c r="L89" i="31" s="1"/>
  <c r="L83" i="31" s="1"/>
  <c r="C117" i="31"/>
  <c r="C124" i="31"/>
  <c r="J130" i="31"/>
  <c r="J75" i="31" s="1"/>
  <c r="C139" i="31"/>
  <c r="C140" i="31"/>
  <c r="C141" i="31"/>
  <c r="C154" i="31"/>
  <c r="C155" i="31"/>
  <c r="C162" i="31"/>
  <c r="C163" i="31"/>
  <c r="F166" i="31"/>
  <c r="I165" i="31"/>
  <c r="C170" i="31"/>
  <c r="C171" i="31"/>
  <c r="M174" i="31"/>
  <c r="M173" i="31" s="1"/>
  <c r="C180" i="31"/>
  <c r="F179" i="31"/>
  <c r="C179" i="31" s="1"/>
  <c r="C186" i="31"/>
  <c r="J187" i="31"/>
  <c r="N187" i="31"/>
  <c r="N194" i="31"/>
  <c r="C81" i="31"/>
  <c r="D20" i="31"/>
  <c r="H20" i="31"/>
  <c r="F69" i="31"/>
  <c r="F84" i="31"/>
  <c r="F95" i="31"/>
  <c r="C95" i="31" s="1"/>
  <c r="O112" i="31"/>
  <c r="I116" i="31"/>
  <c r="C116" i="31" s="1"/>
  <c r="C121" i="31"/>
  <c r="C132" i="31"/>
  <c r="C133" i="31"/>
  <c r="C147" i="31"/>
  <c r="C159" i="31"/>
  <c r="C160" i="31"/>
  <c r="I174" i="31"/>
  <c r="I173" i="31" s="1"/>
  <c r="O175" i="31"/>
  <c r="O174" i="31" s="1"/>
  <c r="O173" i="31" s="1"/>
  <c r="L174" i="31"/>
  <c r="L173" i="31" s="1"/>
  <c r="C182" i="31"/>
  <c r="C183" i="31"/>
  <c r="C184" i="31"/>
  <c r="I187" i="31"/>
  <c r="F187" i="31"/>
  <c r="K187" i="31"/>
  <c r="K52" i="31" s="1"/>
  <c r="O187" i="31"/>
  <c r="C192" i="31"/>
  <c r="C241" i="31"/>
  <c r="F238" i="31"/>
  <c r="C265" i="31"/>
  <c r="F264" i="31"/>
  <c r="C85" i="31"/>
  <c r="F89" i="31"/>
  <c r="C89" i="31" s="1"/>
  <c r="C106" i="31"/>
  <c r="C113" i="31"/>
  <c r="C120" i="31"/>
  <c r="O122" i="31"/>
  <c r="I130" i="31"/>
  <c r="O136" i="31"/>
  <c r="O151" i="31"/>
  <c r="L151" i="31"/>
  <c r="L130" i="31" s="1"/>
  <c r="C158" i="31"/>
  <c r="O166" i="31"/>
  <c r="O165" i="31" s="1"/>
  <c r="C176" i="31"/>
  <c r="F175" i="31"/>
  <c r="C246" i="31"/>
  <c r="C253" i="31"/>
  <c r="F252" i="31"/>
  <c r="C273" i="31"/>
  <c r="F272" i="31"/>
  <c r="C284" i="31"/>
  <c r="L283" i="31"/>
  <c r="I122" i="31"/>
  <c r="E195" i="31"/>
  <c r="M195" i="31"/>
  <c r="L196" i="31"/>
  <c r="C207" i="31"/>
  <c r="C209" i="31"/>
  <c r="F205" i="31"/>
  <c r="C220" i="31"/>
  <c r="C221" i="31"/>
  <c r="C227" i="31"/>
  <c r="C233" i="31"/>
  <c r="C235" i="31"/>
  <c r="G231" i="31"/>
  <c r="G230" i="31" s="1"/>
  <c r="C240" i="31"/>
  <c r="I238" i="31"/>
  <c r="I231" i="31" s="1"/>
  <c r="C243" i="31"/>
  <c r="C255" i="31"/>
  <c r="I259" i="31"/>
  <c r="C267" i="31"/>
  <c r="C276" i="31"/>
  <c r="F122" i="31"/>
  <c r="C122" i="31" s="1"/>
  <c r="C200" i="31"/>
  <c r="I198" i="31"/>
  <c r="C203" i="31"/>
  <c r="C208" i="31"/>
  <c r="I205" i="31"/>
  <c r="I204" i="31" s="1"/>
  <c r="C211" i="31"/>
  <c r="C212" i="31"/>
  <c r="O216" i="31"/>
  <c r="O204" i="31" s="1"/>
  <c r="O195" i="31" s="1"/>
  <c r="C224" i="31"/>
  <c r="C228" i="31"/>
  <c r="C236" i="31"/>
  <c r="L238" i="31"/>
  <c r="L231" i="31" s="1"/>
  <c r="M230" i="31"/>
  <c r="E259" i="31"/>
  <c r="E230" i="31" s="1"/>
  <c r="C261" i="31"/>
  <c r="F260" i="31"/>
  <c r="O259" i="31"/>
  <c r="G269" i="31"/>
  <c r="C271" i="31"/>
  <c r="F286" i="31"/>
  <c r="C294" i="31"/>
  <c r="C295" i="31"/>
  <c r="C296" i="31"/>
  <c r="F293" i="31"/>
  <c r="C197" i="31"/>
  <c r="F196" i="31"/>
  <c r="D216" i="31"/>
  <c r="D204" i="31" s="1"/>
  <c r="D195" i="31" s="1"/>
  <c r="D194" i="31" s="1"/>
  <c r="F217" i="31"/>
  <c r="C218" i="31"/>
  <c r="K269" i="31"/>
  <c r="K194" i="31" s="1"/>
  <c r="J270" i="31"/>
  <c r="J269" i="31" s="1"/>
  <c r="L275" i="31"/>
  <c r="C275" i="31" s="1"/>
  <c r="C283" i="31"/>
  <c r="C287" i="31"/>
  <c r="I293" i="31"/>
  <c r="C299" i="31"/>
  <c r="C300" i="31"/>
  <c r="O291" i="31"/>
  <c r="C199" i="31"/>
  <c r="C247" i="31"/>
  <c r="H289" i="31" l="1"/>
  <c r="O130" i="31"/>
  <c r="J52" i="31"/>
  <c r="L259" i="31"/>
  <c r="L230" i="31" s="1"/>
  <c r="I83" i="31"/>
  <c r="O231" i="31"/>
  <c r="O230" i="31" s="1"/>
  <c r="O194" i="31" s="1"/>
  <c r="J194" i="31"/>
  <c r="E52" i="31"/>
  <c r="N289" i="31"/>
  <c r="F58" i="31"/>
  <c r="C58" i="31" s="1"/>
  <c r="M52" i="31"/>
  <c r="H52" i="31"/>
  <c r="L75" i="31"/>
  <c r="L52" i="31" s="1"/>
  <c r="C264" i="31"/>
  <c r="O83" i="31"/>
  <c r="O75" i="31" s="1"/>
  <c r="O52" i="31" s="1"/>
  <c r="L195" i="31"/>
  <c r="C112" i="31"/>
  <c r="N52" i="31"/>
  <c r="N51" i="31" s="1"/>
  <c r="N50" i="31" s="1"/>
  <c r="C151" i="31"/>
  <c r="G75" i="31"/>
  <c r="G52" i="31" s="1"/>
  <c r="E289" i="31"/>
  <c r="I230" i="31"/>
  <c r="M194" i="31"/>
  <c r="I53" i="31"/>
  <c r="D53" i="31"/>
  <c r="D52" i="31" s="1"/>
  <c r="D51" i="31" s="1"/>
  <c r="C90" i="31"/>
  <c r="K51" i="31"/>
  <c r="E194" i="31"/>
  <c r="E51" i="31" s="1"/>
  <c r="L270" i="31"/>
  <c r="L269" i="31" s="1"/>
  <c r="C217" i="31"/>
  <c r="F216" i="31"/>
  <c r="C216" i="31" s="1"/>
  <c r="G194" i="31"/>
  <c r="C252" i="31"/>
  <c r="F251" i="31"/>
  <c r="C251" i="31" s="1"/>
  <c r="C187" i="31"/>
  <c r="C84" i="31"/>
  <c r="F83" i="31"/>
  <c r="L26" i="31"/>
  <c r="C31" i="31"/>
  <c r="C136" i="31"/>
  <c r="I75" i="31"/>
  <c r="I291" i="31"/>
  <c r="K289" i="31"/>
  <c r="C293" i="31"/>
  <c r="C286" i="31"/>
  <c r="C260" i="31"/>
  <c r="F259" i="31"/>
  <c r="C259" i="31" s="1"/>
  <c r="C198" i="31"/>
  <c r="I196" i="31"/>
  <c r="I195" i="31" s="1"/>
  <c r="J289" i="31"/>
  <c r="D289" i="31"/>
  <c r="F270" i="31"/>
  <c r="C272" i="31"/>
  <c r="C175" i="31"/>
  <c r="F174" i="31"/>
  <c r="F130" i="31"/>
  <c r="C130" i="31" s="1"/>
  <c r="C69" i="31"/>
  <c r="F67" i="31"/>
  <c r="C67" i="31" s="1"/>
  <c r="F165" i="31"/>
  <c r="C165" i="31" s="1"/>
  <c r="C166" i="31"/>
  <c r="F292" i="31"/>
  <c r="C21" i="31"/>
  <c r="F20" i="31"/>
  <c r="C205" i="31"/>
  <c r="M289" i="31"/>
  <c r="F231" i="31"/>
  <c r="C238" i="31"/>
  <c r="C57" i="31"/>
  <c r="F55" i="31"/>
  <c r="H51" i="31"/>
  <c r="C196" i="31" l="1"/>
  <c r="J51" i="31"/>
  <c r="M51" i="31"/>
  <c r="M50" i="31" s="1"/>
  <c r="I289" i="31"/>
  <c r="L289" i="31"/>
  <c r="O51" i="31"/>
  <c r="O50" i="31" s="1"/>
  <c r="G51" i="31"/>
  <c r="G290" i="31" s="1"/>
  <c r="N290" i="31"/>
  <c r="G289" i="31"/>
  <c r="O289" i="31"/>
  <c r="L194" i="31"/>
  <c r="F204" i="31"/>
  <c r="C204" i="31" s="1"/>
  <c r="I194" i="31"/>
  <c r="E290" i="31"/>
  <c r="E50" i="31"/>
  <c r="I52" i="31"/>
  <c r="F269" i="31"/>
  <c r="C270" i="31"/>
  <c r="L51" i="31"/>
  <c r="L50" i="31" s="1"/>
  <c r="D290" i="31"/>
  <c r="D50" i="31"/>
  <c r="H290" i="31"/>
  <c r="H50" i="31"/>
  <c r="F230" i="31"/>
  <c r="C230" i="31" s="1"/>
  <c r="C231" i="31"/>
  <c r="C292" i="31"/>
  <c r="F291" i="31"/>
  <c r="C291" i="31" s="1"/>
  <c r="F173" i="31"/>
  <c r="C173" i="31" s="1"/>
  <c r="C174" i="31"/>
  <c r="L290" i="31"/>
  <c r="C26" i="31"/>
  <c r="L20" i="31"/>
  <c r="C20" i="31" s="1"/>
  <c r="F54" i="31"/>
  <c r="C55" i="31"/>
  <c r="C83" i="31"/>
  <c r="F75" i="31"/>
  <c r="C75" i="31" s="1"/>
  <c r="K50" i="31"/>
  <c r="K290" i="31"/>
  <c r="F195" i="31" l="1"/>
  <c r="J50" i="31"/>
  <c r="J290" i="31"/>
  <c r="O290" i="31"/>
  <c r="M290" i="31"/>
  <c r="G50" i="31"/>
  <c r="I51" i="31"/>
  <c r="I290" i="31" s="1"/>
  <c r="F53" i="31"/>
  <c r="F289" i="31" s="1"/>
  <c r="C289" i="31" s="1"/>
  <c r="C54" i="31"/>
  <c r="F194" i="31"/>
  <c r="C194" i="31" s="1"/>
  <c r="C195" i="31"/>
  <c r="C269" i="31"/>
  <c r="I50" i="31" l="1"/>
  <c r="C53" i="31"/>
  <c r="F52" i="31"/>
  <c r="C52" i="31" l="1"/>
  <c r="F51" i="31"/>
  <c r="F290" i="31" l="1"/>
  <c r="C290" i="31" s="1"/>
  <c r="F50" i="31"/>
  <c r="C50" i="31" s="1"/>
  <c r="C51" i="31"/>
  <c r="G41" i="30" l="1"/>
  <c r="G40" i="30"/>
  <c r="G39" i="30"/>
  <c r="G38" i="30"/>
  <c r="F38" i="30"/>
  <c r="E38" i="30"/>
  <c r="G32" i="30"/>
  <c r="G31" i="30"/>
  <c r="G30" i="30"/>
  <c r="G29" i="30"/>
  <c r="G28" i="30"/>
  <c r="G27" i="30"/>
  <c r="G26" i="30"/>
  <c r="G25" i="30"/>
  <c r="G24" i="30"/>
  <c r="G23" i="30"/>
  <c r="G22" i="30"/>
  <c r="G21" i="30"/>
  <c r="F20" i="30"/>
  <c r="E20" i="30"/>
  <c r="G14" i="30"/>
  <c r="G13" i="30"/>
  <c r="G12" i="30"/>
  <c r="F12" i="30"/>
  <c r="E12" i="30"/>
  <c r="G20" i="30" l="1"/>
  <c r="E11" i="29"/>
  <c r="F11" i="29"/>
  <c r="G16" i="29"/>
  <c r="G15" i="29"/>
  <c r="G14" i="29"/>
  <c r="G13" i="29"/>
  <c r="G12" i="29"/>
  <c r="G11" i="29" l="1"/>
  <c r="O301" i="28"/>
  <c r="L301" i="28"/>
  <c r="I301" i="28"/>
  <c r="F301" i="28"/>
  <c r="O300" i="28"/>
  <c r="L300" i="28"/>
  <c r="I300" i="28"/>
  <c r="F300" i="28"/>
  <c r="O299" i="28"/>
  <c r="L299" i="28"/>
  <c r="I299" i="28"/>
  <c r="F299" i="28"/>
  <c r="O298" i="28"/>
  <c r="L298" i="28"/>
  <c r="I298" i="28"/>
  <c r="F298" i="28"/>
  <c r="O297" i="28"/>
  <c r="L297" i="28"/>
  <c r="I297" i="28"/>
  <c r="F297" i="28"/>
  <c r="O296" i="28"/>
  <c r="L296" i="28"/>
  <c r="I296" i="28"/>
  <c r="F296" i="28"/>
  <c r="O295" i="28"/>
  <c r="L295" i="28"/>
  <c r="I295" i="28"/>
  <c r="F295" i="28"/>
  <c r="O294" i="28"/>
  <c r="O293" i="28" s="1"/>
  <c r="L294" i="28"/>
  <c r="I294" i="28"/>
  <c r="F294" i="28"/>
  <c r="F293" i="28" s="1"/>
  <c r="N293" i="28"/>
  <c r="M293" i="28"/>
  <c r="K293" i="28"/>
  <c r="J293" i="28"/>
  <c r="I293" i="28"/>
  <c r="H293" i="28"/>
  <c r="G293" i="28"/>
  <c r="E293" i="28"/>
  <c r="D293" i="28"/>
  <c r="O288" i="28"/>
  <c r="L288" i="28"/>
  <c r="I288" i="28"/>
  <c r="F288" i="28"/>
  <c r="O287" i="28"/>
  <c r="L287" i="28"/>
  <c r="I287" i="28"/>
  <c r="F287" i="28"/>
  <c r="O286" i="28"/>
  <c r="N286" i="28"/>
  <c r="M286" i="28"/>
  <c r="K286" i="28"/>
  <c r="J286" i="28"/>
  <c r="H286" i="28"/>
  <c r="G286" i="28"/>
  <c r="F286" i="28"/>
  <c r="E286" i="28"/>
  <c r="D286" i="28"/>
  <c r="O285" i="28"/>
  <c r="L285" i="28"/>
  <c r="L284" i="28" s="1"/>
  <c r="L283" i="28" s="1"/>
  <c r="I285" i="28"/>
  <c r="F285" i="28"/>
  <c r="F284" i="28" s="1"/>
  <c r="O284" i="28"/>
  <c r="O283" i="28" s="1"/>
  <c r="N284" i="28"/>
  <c r="N283" i="28" s="1"/>
  <c r="M284" i="28"/>
  <c r="M283" i="28" s="1"/>
  <c r="K284" i="28"/>
  <c r="K283" i="28" s="1"/>
  <c r="J284" i="28"/>
  <c r="J283" i="28" s="1"/>
  <c r="I284" i="28"/>
  <c r="I283" i="28" s="1"/>
  <c r="H284" i="28"/>
  <c r="H283" i="28" s="1"/>
  <c r="G284" i="28"/>
  <c r="G283" i="28" s="1"/>
  <c r="E284" i="28"/>
  <c r="E283" i="28" s="1"/>
  <c r="D284" i="28"/>
  <c r="D283" i="28" s="1"/>
  <c r="O282" i="28"/>
  <c r="O281" i="28" s="1"/>
  <c r="L282" i="28"/>
  <c r="L281" i="28" s="1"/>
  <c r="I282" i="28"/>
  <c r="I281" i="28" s="1"/>
  <c r="F282" i="28"/>
  <c r="F281" i="28" s="1"/>
  <c r="N281" i="28"/>
  <c r="M281" i="28"/>
  <c r="K281" i="28"/>
  <c r="J281" i="28"/>
  <c r="H281" i="28"/>
  <c r="G281" i="28"/>
  <c r="E281" i="28"/>
  <c r="D281" i="28"/>
  <c r="O280" i="28"/>
  <c r="L280" i="28"/>
  <c r="I280" i="28"/>
  <c r="F280" i="28"/>
  <c r="O279" i="28"/>
  <c r="L279" i="28"/>
  <c r="I279" i="28"/>
  <c r="F279" i="28"/>
  <c r="O278" i="28"/>
  <c r="L278" i="28"/>
  <c r="I278" i="28"/>
  <c r="F278" i="28"/>
  <c r="O277" i="28"/>
  <c r="L277" i="28"/>
  <c r="I277" i="28"/>
  <c r="I276" i="28" s="1"/>
  <c r="F277" i="28"/>
  <c r="F276" i="28" s="1"/>
  <c r="N276" i="28"/>
  <c r="M276" i="28"/>
  <c r="K276" i="28"/>
  <c r="J276" i="28"/>
  <c r="H276" i="28"/>
  <c r="G276" i="28"/>
  <c r="E276" i="28"/>
  <c r="D276" i="28"/>
  <c r="O275" i="28"/>
  <c r="L275" i="28"/>
  <c r="I275" i="28"/>
  <c r="F275" i="28"/>
  <c r="O274" i="28"/>
  <c r="L274" i="28"/>
  <c r="I274" i="28"/>
  <c r="F274" i="28"/>
  <c r="O273" i="28"/>
  <c r="L273" i="28"/>
  <c r="I273" i="28"/>
  <c r="I272" i="28" s="1"/>
  <c r="F273" i="28"/>
  <c r="N272" i="28"/>
  <c r="N270" i="28" s="1"/>
  <c r="N269" i="28" s="1"/>
  <c r="M272" i="28"/>
  <c r="K272" i="28"/>
  <c r="J272" i="28"/>
  <c r="H272" i="28"/>
  <c r="G272" i="28"/>
  <c r="E272" i="28"/>
  <c r="E270" i="28" s="1"/>
  <c r="E269" i="28" s="1"/>
  <c r="D272" i="28"/>
  <c r="D270" i="28" s="1"/>
  <c r="O271" i="28"/>
  <c r="L271" i="28"/>
  <c r="I271" i="28"/>
  <c r="F271" i="28"/>
  <c r="H270" i="28"/>
  <c r="H269" i="28" s="1"/>
  <c r="G270" i="28"/>
  <c r="G269" i="28" s="1"/>
  <c r="O268" i="28"/>
  <c r="L268" i="28"/>
  <c r="I268" i="28"/>
  <c r="F268" i="28"/>
  <c r="O267" i="28"/>
  <c r="L267" i="28"/>
  <c r="I267" i="28"/>
  <c r="F267" i="28"/>
  <c r="O266" i="28"/>
  <c r="L266" i="28"/>
  <c r="I266" i="28"/>
  <c r="F266" i="28"/>
  <c r="O265" i="28"/>
  <c r="L265" i="28"/>
  <c r="I265" i="28"/>
  <c r="I264" i="28" s="1"/>
  <c r="F265" i="28"/>
  <c r="N264" i="28"/>
  <c r="M264" i="28"/>
  <c r="K264" i="28"/>
  <c r="J264" i="28"/>
  <c r="H264" i="28"/>
  <c r="G264" i="28"/>
  <c r="E264" i="28"/>
  <c r="D264" i="28"/>
  <c r="O263" i="28"/>
  <c r="L263" i="28"/>
  <c r="I263" i="28"/>
  <c r="F263" i="28"/>
  <c r="O262" i="28"/>
  <c r="L262" i="28"/>
  <c r="I262" i="28"/>
  <c r="F262" i="28"/>
  <c r="O261" i="28"/>
  <c r="L261" i="28"/>
  <c r="I261" i="28"/>
  <c r="F261" i="28"/>
  <c r="N260" i="28"/>
  <c r="M260" i="28"/>
  <c r="K260" i="28"/>
  <c r="J260" i="28"/>
  <c r="J259" i="28" s="1"/>
  <c r="H260" i="28"/>
  <c r="G260" i="28"/>
  <c r="E260" i="28"/>
  <c r="D260" i="28"/>
  <c r="D259" i="28" s="1"/>
  <c r="H259" i="28"/>
  <c r="O258" i="28"/>
  <c r="L258" i="28"/>
  <c r="I258" i="28"/>
  <c r="F258" i="28"/>
  <c r="O257" i="28"/>
  <c r="L257" i="28"/>
  <c r="I257" i="28"/>
  <c r="F257" i="28"/>
  <c r="O256" i="28"/>
  <c r="L256" i="28"/>
  <c r="I256" i="28"/>
  <c r="F256" i="28"/>
  <c r="O255" i="28"/>
  <c r="L255" i="28"/>
  <c r="I255" i="28"/>
  <c r="F255" i="28"/>
  <c r="O254" i="28"/>
  <c r="L254" i="28"/>
  <c r="I254" i="28"/>
  <c r="F254" i="28"/>
  <c r="O253" i="28"/>
  <c r="L253" i="28"/>
  <c r="I253" i="28"/>
  <c r="I252" i="28" s="1"/>
  <c r="I251" i="28" s="1"/>
  <c r="F253" i="28"/>
  <c r="N252" i="28"/>
  <c r="M252" i="28"/>
  <c r="M251" i="28" s="1"/>
  <c r="K252" i="28"/>
  <c r="K251" i="28" s="1"/>
  <c r="J252" i="28"/>
  <c r="H252" i="28"/>
  <c r="G252" i="28"/>
  <c r="G251" i="28" s="1"/>
  <c r="E252" i="28"/>
  <c r="E251" i="28" s="1"/>
  <c r="D252" i="28"/>
  <c r="N251" i="28"/>
  <c r="J251" i="28"/>
  <c r="H251" i="28"/>
  <c r="D251" i="28"/>
  <c r="O250" i="28"/>
  <c r="L250" i="28"/>
  <c r="I250" i="28"/>
  <c r="F250" i="28"/>
  <c r="O249" i="28"/>
  <c r="L249" i="28"/>
  <c r="I249" i="28"/>
  <c r="F249" i="28"/>
  <c r="O248" i="28"/>
  <c r="L248" i="28"/>
  <c r="I248" i="28"/>
  <c r="F248" i="28"/>
  <c r="O247" i="28"/>
  <c r="L247" i="28"/>
  <c r="I247" i="28"/>
  <c r="F247" i="28"/>
  <c r="O246"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O238" i="28" s="1"/>
  <c r="L239" i="28"/>
  <c r="L238" i="28" s="1"/>
  <c r="I239" i="28"/>
  <c r="F239" i="28"/>
  <c r="N238" i="28"/>
  <c r="M238" i="28"/>
  <c r="K238" i="28"/>
  <c r="J238" i="28"/>
  <c r="H238" i="28"/>
  <c r="G238" i="28"/>
  <c r="E238" i="28"/>
  <c r="D238" i="28"/>
  <c r="O237" i="28"/>
  <c r="L237" i="28"/>
  <c r="I237" i="28"/>
  <c r="F237" i="28"/>
  <c r="O236" i="28"/>
  <c r="L236" i="28"/>
  <c r="L235" i="28" s="1"/>
  <c r="I236" i="28"/>
  <c r="I235" i="28" s="1"/>
  <c r="F236" i="28"/>
  <c r="O235" i="28"/>
  <c r="N235" i="28"/>
  <c r="M235" i="28"/>
  <c r="K235" i="28"/>
  <c r="J235" i="28"/>
  <c r="H235" i="28"/>
  <c r="G235" i="28"/>
  <c r="F235" i="28"/>
  <c r="E235" i="28"/>
  <c r="D235" i="28"/>
  <c r="O234" i="28"/>
  <c r="O233" i="28" s="1"/>
  <c r="L234" i="28"/>
  <c r="L233" i="28" s="1"/>
  <c r="I234" i="28"/>
  <c r="F234" i="28"/>
  <c r="F233" i="28" s="1"/>
  <c r="N233" i="28"/>
  <c r="M233" i="28"/>
  <c r="K233" i="28"/>
  <c r="J233" i="28"/>
  <c r="I233" i="28"/>
  <c r="H233" i="28"/>
  <c r="G233" i="28"/>
  <c r="E233" i="28"/>
  <c r="D233" i="28"/>
  <c r="O232" i="28"/>
  <c r="L232" i="28"/>
  <c r="I232" i="28"/>
  <c r="F232" i="28"/>
  <c r="O229" i="28"/>
  <c r="L229" i="28"/>
  <c r="I229" i="28"/>
  <c r="F229" i="28"/>
  <c r="O228" i="28"/>
  <c r="L228" i="28"/>
  <c r="L227" i="28" s="1"/>
  <c r="I228" i="28"/>
  <c r="I227" i="28" s="1"/>
  <c r="F228" i="28"/>
  <c r="O227" i="28"/>
  <c r="N227" i="28"/>
  <c r="M227" i="28"/>
  <c r="K227" i="28"/>
  <c r="J227" i="28"/>
  <c r="H227" i="28"/>
  <c r="G227" i="28"/>
  <c r="F227" i="28"/>
  <c r="E227" i="28"/>
  <c r="D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I216" i="28" s="1"/>
  <c r="F217" i="28"/>
  <c r="C217" i="28" s="1"/>
  <c r="N216" i="28"/>
  <c r="M216" i="28"/>
  <c r="K216" i="28"/>
  <c r="J216" i="28"/>
  <c r="H216" i="28"/>
  <c r="G216" i="28"/>
  <c r="E216" i="28"/>
  <c r="D216" i="28"/>
  <c r="O215" i="28"/>
  <c r="L215" i="28"/>
  <c r="I215" i="28"/>
  <c r="F215" i="28"/>
  <c r="O214" i="28"/>
  <c r="L214" i="28"/>
  <c r="I214" i="28"/>
  <c r="F214" i="28"/>
  <c r="C214" i="28" s="1"/>
  <c r="O213" i="28"/>
  <c r="L213" i="28"/>
  <c r="I213" i="28"/>
  <c r="F213" i="28"/>
  <c r="O212" i="28"/>
  <c r="L212" i="28"/>
  <c r="I212" i="28"/>
  <c r="F212" i="28"/>
  <c r="O211" i="28"/>
  <c r="L211" i="28"/>
  <c r="I211" i="28"/>
  <c r="F211" i="28"/>
  <c r="C211" i="28" s="1"/>
  <c r="O210" i="28"/>
  <c r="L210" i="28"/>
  <c r="I210" i="28"/>
  <c r="F210" i="28"/>
  <c r="O209" i="28"/>
  <c r="L209" i="28"/>
  <c r="I209" i="28"/>
  <c r="F209" i="28"/>
  <c r="O208" i="28"/>
  <c r="L208" i="28"/>
  <c r="I208" i="28"/>
  <c r="F208" i="28"/>
  <c r="O207" i="28"/>
  <c r="L207" i="28"/>
  <c r="I207" i="28"/>
  <c r="F207" i="28"/>
  <c r="O206" i="28"/>
  <c r="L206" i="28"/>
  <c r="I206" i="28"/>
  <c r="F206" i="28"/>
  <c r="N205" i="28"/>
  <c r="M205" i="28"/>
  <c r="K205" i="28"/>
  <c r="J205" i="28"/>
  <c r="H205" i="28"/>
  <c r="H204" i="28" s="1"/>
  <c r="G205" i="28"/>
  <c r="E205" i="28"/>
  <c r="D205" i="28"/>
  <c r="O203" i="28"/>
  <c r="L203" i="28"/>
  <c r="I203" i="28"/>
  <c r="F203" i="28"/>
  <c r="O202" i="28"/>
  <c r="L202" i="28"/>
  <c r="I202" i="28"/>
  <c r="F202" i="28"/>
  <c r="O201" i="28"/>
  <c r="L201" i="28"/>
  <c r="I201" i="28"/>
  <c r="F201" i="28"/>
  <c r="O200" i="28"/>
  <c r="L200" i="28"/>
  <c r="I200" i="28"/>
  <c r="F200" i="28"/>
  <c r="O199" i="28"/>
  <c r="L199" i="28"/>
  <c r="I199" i="28"/>
  <c r="F199" i="28"/>
  <c r="O198" i="28"/>
  <c r="N198" i="28"/>
  <c r="M198" i="28"/>
  <c r="K198" i="28"/>
  <c r="K196" i="28" s="1"/>
  <c r="J198" i="28"/>
  <c r="H198" i="28"/>
  <c r="H196" i="28" s="1"/>
  <c r="H195" i="28" s="1"/>
  <c r="G198" i="28"/>
  <c r="G196" i="28" s="1"/>
  <c r="F198" i="28"/>
  <c r="E198" i="28"/>
  <c r="E196" i="28" s="1"/>
  <c r="D198" i="28"/>
  <c r="D196" i="28" s="1"/>
  <c r="O197" i="28"/>
  <c r="L197" i="28"/>
  <c r="I197" i="28"/>
  <c r="F197" i="28"/>
  <c r="N196" i="28"/>
  <c r="M196" i="28"/>
  <c r="J196" i="28"/>
  <c r="O193" i="28"/>
  <c r="L193" i="28"/>
  <c r="I193" i="28"/>
  <c r="F193" i="28"/>
  <c r="C193" i="28" s="1"/>
  <c r="O192" i="28"/>
  <c r="O191" i="28" s="1"/>
  <c r="N192" i="28"/>
  <c r="M192" i="28"/>
  <c r="L192" i="28"/>
  <c r="L191" i="28" s="1"/>
  <c r="K192" i="28"/>
  <c r="K191" i="28" s="1"/>
  <c r="J192" i="28"/>
  <c r="J191" i="28" s="1"/>
  <c r="I192" i="28"/>
  <c r="H192" i="28"/>
  <c r="H191" i="28" s="1"/>
  <c r="G192" i="28"/>
  <c r="G191" i="28" s="1"/>
  <c r="E192" i="28"/>
  <c r="E191" i="28" s="1"/>
  <c r="D192" i="28"/>
  <c r="N191" i="28"/>
  <c r="M191" i="28"/>
  <c r="I191" i="28"/>
  <c r="D191" i="28"/>
  <c r="O190" i="28"/>
  <c r="L190" i="28"/>
  <c r="I190" i="28"/>
  <c r="F190" i="28"/>
  <c r="O189" i="28"/>
  <c r="L189" i="28"/>
  <c r="I189" i="28"/>
  <c r="F189" i="28"/>
  <c r="O188" i="28"/>
  <c r="O187" i="28" s="1"/>
  <c r="N188" i="28"/>
  <c r="M188" i="28"/>
  <c r="K188" i="28"/>
  <c r="K187" i="28" s="1"/>
  <c r="J188" i="28"/>
  <c r="J187" i="28" s="1"/>
  <c r="H188" i="28"/>
  <c r="G188" i="28"/>
  <c r="G187" i="28" s="1"/>
  <c r="F188" i="28"/>
  <c r="E188" i="28"/>
  <c r="D188" i="28"/>
  <c r="M187" i="28"/>
  <c r="E187" i="28"/>
  <c r="O186" i="28"/>
  <c r="L186" i="28"/>
  <c r="I186" i="28"/>
  <c r="F186" i="28"/>
  <c r="O185" i="28"/>
  <c r="L185" i="28"/>
  <c r="L184" i="28" s="1"/>
  <c r="I185" i="28"/>
  <c r="F185" i="28"/>
  <c r="O184" i="28"/>
  <c r="N184" i="28"/>
  <c r="M184" i="28"/>
  <c r="K184" i="28"/>
  <c r="J184" i="28"/>
  <c r="H184" i="28"/>
  <c r="G184" i="28"/>
  <c r="F184" i="28"/>
  <c r="E184" i="28"/>
  <c r="D184" i="28"/>
  <c r="O183" i="28"/>
  <c r="L183" i="28"/>
  <c r="I183" i="28"/>
  <c r="F183" i="28"/>
  <c r="O182" i="28"/>
  <c r="L182" i="28"/>
  <c r="I182" i="28"/>
  <c r="F182" i="28"/>
  <c r="O181" i="28"/>
  <c r="L181" i="28"/>
  <c r="I181" i="28"/>
  <c r="F181" i="28"/>
  <c r="O180" i="28"/>
  <c r="O179" i="28" s="1"/>
  <c r="L180" i="28"/>
  <c r="I180" i="28"/>
  <c r="F180" i="28"/>
  <c r="N179" i="28"/>
  <c r="M179" i="28"/>
  <c r="K179" i="28"/>
  <c r="J179" i="28"/>
  <c r="H179" i="28"/>
  <c r="G179" i="28"/>
  <c r="E179" i="28"/>
  <c r="D179" i="28"/>
  <c r="O178" i="28"/>
  <c r="L178" i="28"/>
  <c r="I178" i="28"/>
  <c r="F178" i="28"/>
  <c r="O177" i="28"/>
  <c r="L177" i="28"/>
  <c r="I177" i="28"/>
  <c r="F177" i="28"/>
  <c r="O176" i="28"/>
  <c r="O175" i="28" s="1"/>
  <c r="O174" i="28" s="1"/>
  <c r="L176" i="28"/>
  <c r="L175" i="28" s="1"/>
  <c r="I176" i="28"/>
  <c r="F176" i="28"/>
  <c r="N175" i="28"/>
  <c r="M175" i="28"/>
  <c r="K175" i="28"/>
  <c r="J175" i="28"/>
  <c r="H175" i="28"/>
  <c r="G175" i="28"/>
  <c r="F175" i="28"/>
  <c r="E175" i="28"/>
  <c r="D175" i="28"/>
  <c r="M174" i="28"/>
  <c r="M173" i="28" s="1"/>
  <c r="K174" i="28"/>
  <c r="E174" i="28"/>
  <c r="O172" i="28"/>
  <c r="L172" i="28"/>
  <c r="I172" i="28"/>
  <c r="F172" i="28"/>
  <c r="O171" i="28"/>
  <c r="L171" i="28"/>
  <c r="I171" i="28"/>
  <c r="F171" i="28"/>
  <c r="O170" i="28"/>
  <c r="L170" i="28"/>
  <c r="I170" i="28"/>
  <c r="F170" i="28"/>
  <c r="O169" i="28"/>
  <c r="L169" i="28"/>
  <c r="I169" i="28"/>
  <c r="F169" i="28"/>
  <c r="O168" i="28"/>
  <c r="L168" i="28"/>
  <c r="I168" i="28"/>
  <c r="F168" i="28"/>
  <c r="O167" i="28"/>
  <c r="L167" i="28"/>
  <c r="I167" i="28"/>
  <c r="I166" i="28" s="1"/>
  <c r="I165" i="28" s="1"/>
  <c r="F167" i="28"/>
  <c r="N166" i="28"/>
  <c r="N165" i="28" s="1"/>
  <c r="M166" i="28"/>
  <c r="M165" i="28" s="1"/>
  <c r="K166" i="28"/>
  <c r="K165" i="28" s="1"/>
  <c r="J166" i="28"/>
  <c r="J165" i="28" s="1"/>
  <c r="H166" i="28"/>
  <c r="G166" i="28"/>
  <c r="G165" i="28" s="1"/>
  <c r="E166" i="28"/>
  <c r="E165" i="28" s="1"/>
  <c r="D166" i="28"/>
  <c r="D165" i="28" s="1"/>
  <c r="H165" i="28"/>
  <c r="O164" i="28"/>
  <c r="L164" i="28"/>
  <c r="I164" i="28"/>
  <c r="F164" i="28"/>
  <c r="O163" i="28"/>
  <c r="L163" i="28"/>
  <c r="I163" i="28"/>
  <c r="F163" i="28"/>
  <c r="O162" i="28"/>
  <c r="L162" i="28"/>
  <c r="I162" i="28"/>
  <c r="F162" i="28"/>
  <c r="O161" i="28"/>
  <c r="L161" i="28"/>
  <c r="I161" i="28"/>
  <c r="F161" i="28"/>
  <c r="F160" i="28" s="1"/>
  <c r="O160" i="28"/>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O152" i="28"/>
  <c r="O151" i="28" s="1"/>
  <c r="L152" i="28"/>
  <c r="I152" i="28"/>
  <c r="F152" i="28"/>
  <c r="N151" i="28"/>
  <c r="M151" i="28"/>
  <c r="K151" i="28"/>
  <c r="J151" i="28"/>
  <c r="H151" i="28"/>
  <c r="G151" i="28"/>
  <c r="E151" i="28"/>
  <c r="D151" i="28"/>
  <c r="O150" i="28"/>
  <c r="L150" i="28"/>
  <c r="I150" i="28"/>
  <c r="F150" i="28"/>
  <c r="O149" i="28"/>
  <c r="L149" i="28"/>
  <c r="I149" i="28"/>
  <c r="F149" i="28"/>
  <c r="O148" i="28"/>
  <c r="L148" i="28"/>
  <c r="I148" i="28"/>
  <c r="F148" i="28"/>
  <c r="O147" i="28"/>
  <c r="L147" i="28"/>
  <c r="I147" i="28"/>
  <c r="F147" i="28"/>
  <c r="O146" i="28"/>
  <c r="L146" i="28"/>
  <c r="I146" i="28"/>
  <c r="F146" i="28"/>
  <c r="O145" i="28"/>
  <c r="L145" i="28"/>
  <c r="I145" i="28"/>
  <c r="F145" i="28"/>
  <c r="N144" i="28"/>
  <c r="M144" i="28"/>
  <c r="K144" i="28"/>
  <c r="J144" i="28"/>
  <c r="H144" i="28"/>
  <c r="G144" i="28"/>
  <c r="E144" i="28"/>
  <c r="D144" i="28"/>
  <c r="O143" i="28"/>
  <c r="L143" i="28"/>
  <c r="I143" i="28"/>
  <c r="F143" i="28"/>
  <c r="O142" i="28"/>
  <c r="O141" i="28" s="1"/>
  <c r="L142" i="28"/>
  <c r="I142" i="28"/>
  <c r="F142" i="28"/>
  <c r="N141" i="28"/>
  <c r="M141" i="28"/>
  <c r="L141" i="28"/>
  <c r="K141" i="28"/>
  <c r="J141" i="28"/>
  <c r="H141" i="28"/>
  <c r="G141" i="28"/>
  <c r="E141" i="28"/>
  <c r="D141" i="28"/>
  <c r="O140" i="28"/>
  <c r="L140" i="28"/>
  <c r="I140" i="28"/>
  <c r="F140" i="28"/>
  <c r="O139" i="28"/>
  <c r="L139" i="28"/>
  <c r="I139" i="28"/>
  <c r="F139" i="28"/>
  <c r="O138" i="28"/>
  <c r="L138" i="28"/>
  <c r="I138" i="28"/>
  <c r="F138" i="28"/>
  <c r="O137" i="28"/>
  <c r="L137" i="28"/>
  <c r="L136" i="28" s="1"/>
  <c r="I137" i="28"/>
  <c r="F137" i="28"/>
  <c r="O136" i="28"/>
  <c r="N136" i="28"/>
  <c r="M136" i="28"/>
  <c r="K136" i="28"/>
  <c r="J136" i="28"/>
  <c r="H136" i="28"/>
  <c r="G136" i="28"/>
  <c r="E136" i="28"/>
  <c r="D136" i="28"/>
  <c r="O135" i="28"/>
  <c r="L135" i="28"/>
  <c r="I135" i="28"/>
  <c r="F135" i="28"/>
  <c r="O134" i="28"/>
  <c r="L134" i="28"/>
  <c r="I134" i="28"/>
  <c r="F134" i="28"/>
  <c r="O133" i="28"/>
  <c r="L133" i="28"/>
  <c r="I133" i="28"/>
  <c r="F133" i="28"/>
  <c r="O132" i="28"/>
  <c r="O131" i="28" s="1"/>
  <c r="L132" i="28"/>
  <c r="I132" i="28"/>
  <c r="F132" i="28"/>
  <c r="N131" i="28"/>
  <c r="M131" i="28"/>
  <c r="K131" i="28"/>
  <c r="J131" i="28"/>
  <c r="H131" i="28"/>
  <c r="G131" i="28"/>
  <c r="E131" i="28"/>
  <c r="D131" i="28"/>
  <c r="D130" i="28" s="1"/>
  <c r="O129" i="28"/>
  <c r="O128" i="28" s="1"/>
  <c r="L129" i="28"/>
  <c r="L128" i="28" s="1"/>
  <c r="I129" i="28"/>
  <c r="F129" i="28"/>
  <c r="F128" i="28" s="1"/>
  <c r="N128" i="28"/>
  <c r="M128" i="28"/>
  <c r="K128" i="28"/>
  <c r="J128" i="28"/>
  <c r="I128" i="28"/>
  <c r="H128" i="28"/>
  <c r="G128" i="28"/>
  <c r="E128" i="28"/>
  <c r="D128" i="28"/>
  <c r="O127" i="28"/>
  <c r="L127" i="28"/>
  <c r="I127" i="28"/>
  <c r="F127" i="28"/>
  <c r="O126" i="28"/>
  <c r="L126" i="28"/>
  <c r="I126" i="28"/>
  <c r="F126" i="28"/>
  <c r="O125" i="28"/>
  <c r="L125" i="28"/>
  <c r="I125" i="28"/>
  <c r="F125" i="28"/>
  <c r="O124" i="28"/>
  <c r="L124" i="28"/>
  <c r="I124" i="28"/>
  <c r="F124" i="28"/>
  <c r="O123" i="28"/>
  <c r="L123" i="28"/>
  <c r="I123" i="28"/>
  <c r="I122" i="28" s="1"/>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I117" i="28"/>
  <c r="F117" i="28"/>
  <c r="O116" i="28"/>
  <c r="N116" i="28"/>
  <c r="M116" i="28"/>
  <c r="K116" i="28"/>
  <c r="J116" i="28"/>
  <c r="H116" i="28"/>
  <c r="G116" i="28"/>
  <c r="E116" i="28"/>
  <c r="D116" i="28"/>
  <c r="O115" i="28"/>
  <c r="L115" i="28"/>
  <c r="I115" i="28"/>
  <c r="F115" i="28"/>
  <c r="O114" i="28"/>
  <c r="L114" i="28"/>
  <c r="I114" i="28"/>
  <c r="F114" i="28"/>
  <c r="O113" i="28"/>
  <c r="L113" i="28"/>
  <c r="L112" i="28" s="1"/>
  <c r="I113" i="28"/>
  <c r="F113" i="28"/>
  <c r="O112" i="28"/>
  <c r="N112" i="28"/>
  <c r="M112" i="28"/>
  <c r="K112" i="28"/>
  <c r="J112" i="28"/>
  <c r="H112" i="28"/>
  <c r="G112" i="28"/>
  <c r="F112" i="28"/>
  <c r="E112" i="28"/>
  <c r="D112" i="28"/>
  <c r="O111" i="28"/>
  <c r="L111" i="28"/>
  <c r="I111" i="28"/>
  <c r="F111" i="28"/>
  <c r="O110" i="28"/>
  <c r="L110" i="28"/>
  <c r="I110" i="28"/>
  <c r="F110" i="28"/>
  <c r="O109" i="28"/>
  <c r="L109" i="28"/>
  <c r="I109" i="28"/>
  <c r="F109" i="28"/>
  <c r="O108" i="28"/>
  <c r="L108" i="28"/>
  <c r="I108" i="28"/>
  <c r="F108" i="28"/>
  <c r="O107" i="28"/>
  <c r="L107" i="28"/>
  <c r="I107" i="28"/>
  <c r="F107" i="28"/>
  <c r="O106" i="28"/>
  <c r="L106" i="28"/>
  <c r="I106" i="28"/>
  <c r="F106" i="28"/>
  <c r="C106" i="28" s="1"/>
  <c r="O105" i="28"/>
  <c r="L105" i="28"/>
  <c r="I105" i="28"/>
  <c r="F105" i="28"/>
  <c r="O104" i="28"/>
  <c r="L104" i="28"/>
  <c r="I104" i="28"/>
  <c r="F104" i="28"/>
  <c r="N103" i="28"/>
  <c r="M103" i="28"/>
  <c r="K103" i="28"/>
  <c r="J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F97" i="28"/>
  <c r="O96" i="28"/>
  <c r="O95" i="28" s="1"/>
  <c r="L96" i="28"/>
  <c r="I96" i="28"/>
  <c r="F96" i="28"/>
  <c r="N95" i="28"/>
  <c r="M95" i="28"/>
  <c r="K95" i="28"/>
  <c r="J95" i="28"/>
  <c r="H95" i="28"/>
  <c r="G95" i="28"/>
  <c r="E95" i="28"/>
  <c r="D95" i="28"/>
  <c r="O94" i="28"/>
  <c r="L94" i="28"/>
  <c r="I94" i="28"/>
  <c r="F94" i="28"/>
  <c r="O93" i="28"/>
  <c r="L93" i="28"/>
  <c r="I93" i="28"/>
  <c r="F93" i="28"/>
  <c r="O92" i="28"/>
  <c r="L92" i="28"/>
  <c r="I92" i="28"/>
  <c r="F92" i="28"/>
  <c r="O91" i="28"/>
  <c r="L91" i="28"/>
  <c r="I91" i="28"/>
  <c r="F91" i="28"/>
  <c r="O90" i="28"/>
  <c r="L90" i="28"/>
  <c r="I90" i="28"/>
  <c r="F90" i="28"/>
  <c r="N89" i="28"/>
  <c r="M89" i="28"/>
  <c r="K89" i="28"/>
  <c r="J89" i="28"/>
  <c r="H89" i="28"/>
  <c r="G89" i="28"/>
  <c r="E89" i="28"/>
  <c r="D89" i="28"/>
  <c r="O88" i="28"/>
  <c r="L88" i="28"/>
  <c r="I88" i="28"/>
  <c r="F88" i="28"/>
  <c r="O87" i="28"/>
  <c r="L87" i="28"/>
  <c r="I87" i="28"/>
  <c r="F87" i="28"/>
  <c r="O86" i="28"/>
  <c r="L86" i="28"/>
  <c r="I86" i="28"/>
  <c r="F86" i="28"/>
  <c r="O85" i="28"/>
  <c r="L85" i="28"/>
  <c r="L84" i="28" s="1"/>
  <c r="I85" i="28"/>
  <c r="F85" i="28"/>
  <c r="N84" i="28"/>
  <c r="M84" i="28"/>
  <c r="K84" i="28"/>
  <c r="J84" i="28"/>
  <c r="H84" i="28"/>
  <c r="G84" i="28"/>
  <c r="E84" i="28"/>
  <c r="D84" i="28"/>
  <c r="O82" i="28"/>
  <c r="L82" i="28"/>
  <c r="I82" i="28"/>
  <c r="F82" i="28"/>
  <c r="O81" i="28"/>
  <c r="L81" i="28"/>
  <c r="L80" i="28" s="1"/>
  <c r="I81" i="28"/>
  <c r="I80" i="28" s="1"/>
  <c r="F81" i="28"/>
  <c r="N80" i="28"/>
  <c r="M80" i="28"/>
  <c r="K80" i="28"/>
  <c r="J80" i="28"/>
  <c r="H80" i="28"/>
  <c r="G80" i="28"/>
  <c r="E80" i="28"/>
  <c r="D80" i="28"/>
  <c r="O79" i="28"/>
  <c r="L79" i="28"/>
  <c r="I79" i="28"/>
  <c r="F79" i="28"/>
  <c r="O78" i="28"/>
  <c r="O77" i="28" s="1"/>
  <c r="L78" i="28"/>
  <c r="L77" i="28" s="1"/>
  <c r="I78" i="28"/>
  <c r="F78" i="28"/>
  <c r="N77" i="28"/>
  <c r="N76" i="28" s="1"/>
  <c r="M77" i="28"/>
  <c r="K77" i="28"/>
  <c r="J77" i="28"/>
  <c r="J76" i="28" s="1"/>
  <c r="I77" i="28"/>
  <c r="H77" i="28"/>
  <c r="G77" i="28"/>
  <c r="F77" i="28"/>
  <c r="E77" i="28"/>
  <c r="E76" i="28" s="1"/>
  <c r="D77" i="28"/>
  <c r="D76" i="28" s="1"/>
  <c r="G76" i="28"/>
  <c r="O74" i="28"/>
  <c r="L74" i="28"/>
  <c r="I74" i="28"/>
  <c r="F74" i="28"/>
  <c r="O73" i="28"/>
  <c r="L73" i="28"/>
  <c r="I73" i="28"/>
  <c r="F73" i="28"/>
  <c r="O72" i="28"/>
  <c r="L72" i="28"/>
  <c r="I72" i="28"/>
  <c r="F72" i="28"/>
  <c r="O71" i="28"/>
  <c r="L71" i="28"/>
  <c r="I71" i="28"/>
  <c r="F71" i="28"/>
  <c r="O70" i="28"/>
  <c r="L70" i="28"/>
  <c r="I70" i="28"/>
  <c r="F70" i="28"/>
  <c r="N69" i="28"/>
  <c r="M69" i="28"/>
  <c r="M67" i="28" s="1"/>
  <c r="K69" i="28"/>
  <c r="J69" i="28"/>
  <c r="J67" i="28" s="1"/>
  <c r="H69" i="28"/>
  <c r="H67" i="28" s="1"/>
  <c r="G69" i="28"/>
  <c r="E69" i="28"/>
  <c r="E67" i="28" s="1"/>
  <c r="D69" i="28"/>
  <c r="D67" i="28" s="1"/>
  <c r="O68" i="28"/>
  <c r="L68" i="28"/>
  <c r="I68" i="28"/>
  <c r="F68" i="28"/>
  <c r="N67" i="28"/>
  <c r="K67" i="28"/>
  <c r="G67"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I59" i="28"/>
  <c r="F59" i="28"/>
  <c r="O58" i="28"/>
  <c r="N58" i="28"/>
  <c r="M58" i="28"/>
  <c r="K58" i="28"/>
  <c r="J58" i="28"/>
  <c r="H58" i="28"/>
  <c r="G58" i="28"/>
  <c r="E58" i="28"/>
  <c r="D58" i="28"/>
  <c r="O57" i="28"/>
  <c r="L57" i="28"/>
  <c r="I57" i="28"/>
  <c r="F57" i="28"/>
  <c r="O56" i="28"/>
  <c r="O55" i="28" s="1"/>
  <c r="O54" i="28" s="1"/>
  <c r="L56" i="28"/>
  <c r="L55" i="28" s="1"/>
  <c r="I56" i="28"/>
  <c r="F56" i="28"/>
  <c r="N55" i="28"/>
  <c r="N54" i="28" s="1"/>
  <c r="N53" i="28" s="1"/>
  <c r="M55" i="28"/>
  <c r="M54" i="28" s="1"/>
  <c r="K55" i="28"/>
  <c r="J55" i="28"/>
  <c r="J54" i="28" s="1"/>
  <c r="J53" i="28" s="1"/>
  <c r="H55" i="28"/>
  <c r="H54" i="28" s="1"/>
  <c r="H53" i="28" s="1"/>
  <c r="G55" i="28"/>
  <c r="F55" i="28"/>
  <c r="E55" i="28"/>
  <c r="E54" i="28" s="1"/>
  <c r="D55" i="28"/>
  <c r="D54" i="28" s="1"/>
  <c r="K54" i="28"/>
  <c r="K53" i="28" s="1"/>
  <c r="O47" i="28"/>
  <c r="C47" i="28" s="1"/>
  <c r="O46" i="28"/>
  <c r="O45" i="28" s="1"/>
  <c r="C46" i="28"/>
  <c r="N45" i="28"/>
  <c r="M45" i="28"/>
  <c r="C45" i="28"/>
  <c r="L44" i="28"/>
  <c r="C44" i="28" s="1"/>
  <c r="I44" i="28"/>
  <c r="F44" i="28"/>
  <c r="K43" i="28"/>
  <c r="J43" i="28"/>
  <c r="I43" i="28"/>
  <c r="H43" i="28"/>
  <c r="G43" i="28"/>
  <c r="F43" i="28"/>
  <c r="E43" i="28"/>
  <c r="D43" i="28"/>
  <c r="F42" i="28"/>
  <c r="F41" i="28" s="1"/>
  <c r="C41" i="28" s="1"/>
  <c r="E41" i="28"/>
  <c r="D41" i="28"/>
  <c r="L40" i="28"/>
  <c r="C40" i="28" s="1"/>
  <c r="L39" i="28"/>
  <c r="C39" i="28" s="1"/>
  <c r="L38" i="28"/>
  <c r="C38" i="28" s="1"/>
  <c r="L37" i="28"/>
  <c r="K36" i="28"/>
  <c r="J36" i="28"/>
  <c r="L35" i="28"/>
  <c r="C35" i="28" s="1"/>
  <c r="L34" i="28"/>
  <c r="C34" i="28" s="1"/>
  <c r="K33" i="28"/>
  <c r="J33" i="28"/>
  <c r="L32" i="28"/>
  <c r="C32" i="28" s="1"/>
  <c r="K31" i="28"/>
  <c r="J31" i="28"/>
  <c r="L30" i="28"/>
  <c r="C30" i="28" s="1"/>
  <c r="L29" i="28"/>
  <c r="C29" i="28" s="1"/>
  <c r="L28" i="28"/>
  <c r="C28" i="28" s="1"/>
  <c r="K27" i="28"/>
  <c r="J27" i="28"/>
  <c r="J26" i="28" s="1"/>
  <c r="F25" i="28"/>
  <c r="C25" i="28" s="1"/>
  <c r="I24" i="28"/>
  <c r="F24" i="28"/>
  <c r="O23" i="28"/>
  <c r="L23" i="28"/>
  <c r="I23" i="28"/>
  <c r="F23" i="28"/>
  <c r="O22" i="28"/>
  <c r="L22" i="28"/>
  <c r="I22" i="28"/>
  <c r="F22" i="28"/>
  <c r="O21" i="28"/>
  <c r="N21" i="28"/>
  <c r="M21" i="28"/>
  <c r="M292" i="28" s="1"/>
  <c r="M291" i="28" s="1"/>
  <c r="K21" i="28"/>
  <c r="J21" i="28"/>
  <c r="J292" i="28" s="1"/>
  <c r="J291" i="28" s="1"/>
  <c r="H21" i="28"/>
  <c r="G21" i="28"/>
  <c r="F21" i="28"/>
  <c r="E21" i="28"/>
  <c r="E292" i="28" s="1"/>
  <c r="E291" i="28" s="1"/>
  <c r="D21" i="28"/>
  <c r="M20" i="28"/>
  <c r="C262" i="28" l="1"/>
  <c r="C94" i="28"/>
  <c r="C278" i="28"/>
  <c r="H187" i="28"/>
  <c r="C132" i="28"/>
  <c r="C258" i="28"/>
  <c r="D269" i="28"/>
  <c r="O80" i="28"/>
  <c r="O76" i="28" s="1"/>
  <c r="C128" i="28"/>
  <c r="N187" i="28"/>
  <c r="C218" i="28"/>
  <c r="M204" i="28"/>
  <c r="M195" i="28" s="1"/>
  <c r="O260" i="28"/>
  <c r="C164" i="28"/>
  <c r="C176" i="28"/>
  <c r="C203" i="28"/>
  <c r="K83" i="28"/>
  <c r="K259" i="28"/>
  <c r="D292" i="28"/>
  <c r="D291" i="28" s="1"/>
  <c r="H292" i="28"/>
  <c r="H291" i="28" s="1"/>
  <c r="L43" i="28"/>
  <c r="C74" i="28"/>
  <c r="C120" i="28"/>
  <c r="C121" i="28"/>
  <c r="C168" i="28"/>
  <c r="C180" i="28"/>
  <c r="C275" i="28"/>
  <c r="C66" i="28"/>
  <c r="K76" i="28"/>
  <c r="I76" i="28"/>
  <c r="C86" i="28"/>
  <c r="C90" i="28"/>
  <c r="C110" i="28"/>
  <c r="C115" i="28"/>
  <c r="O122" i="28"/>
  <c r="C158" i="28"/>
  <c r="C163" i="28"/>
  <c r="G174" i="28"/>
  <c r="M231" i="28"/>
  <c r="K231" i="28"/>
  <c r="K230" i="28" s="1"/>
  <c r="C242" i="28"/>
  <c r="C261" i="28"/>
  <c r="C298" i="28"/>
  <c r="C299" i="28"/>
  <c r="C24" i="28"/>
  <c r="G54" i="28"/>
  <c r="G53" i="28" s="1"/>
  <c r="C64" i="28"/>
  <c r="C70" i="28"/>
  <c r="M76" i="28"/>
  <c r="C88" i="28"/>
  <c r="J83" i="28"/>
  <c r="C105" i="28"/>
  <c r="C124" i="28"/>
  <c r="C148" i="28"/>
  <c r="C149" i="28"/>
  <c r="M130" i="28"/>
  <c r="C153" i="28"/>
  <c r="J174" i="28"/>
  <c r="C190" i="28"/>
  <c r="D187" i="28"/>
  <c r="D204" i="28"/>
  <c r="C206" i="28"/>
  <c r="C210" i="28"/>
  <c r="L216" i="28"/>
  <c r="K204" i="28"/>
  <c r="K195" i="28" s="1"/>
  <c r="C228" i="28"/>
  <c r="C229" i="28"/>
  <c r="N231" i="28"/>
  <c r="C239" i="28"/>
  <c r="C255" i="28"/>
  <c r="C257" i="28"/>
  <c r="I260" i="28"/>
  <c r="C271" i="28"/>
  <c r="O276" i="28"/>
  <c r="C294" i="28"/>
  <c r="N292" i="28"/>
  <c r="N291" i="28" s="1"/>
  <c r="N20" i="28"/>
  <c r="L36" i="28"/>
  <c r="C36" i="28" s="1"/>
  <c r="C37" i="28"/>
  <c r="L95" i="28"/>
  <c r="D20" i="28"/>
  <c r="N83" i="28"/>
  <c r="C126" i="28"/>
  <c r="C274" i="28"/>
  <c r="L272" i="28"/>
  <c r="C287" i="28"/>
  <c r="L286" i="28"/>
  <c r="H20" i="28"/>
  <c r="L69" i="28"/>
  <c r="L67" i="28" s="1"/>
  <c r="C78" i="28"/>
  <c r="C92" i="28"/>
  <c r="C98" i="28"/>
  <c r="C102" i="28"/>
  <c r="F95" i="28"/>
  <c r="O144" i="28"/>
  <c r="O130" i="28" s="1"/>
  <c r="O166" i="28"/>
  <c r="O165" i="28" s="1"/>
  <c r="I179" i="28"/>
  <c r="C219" i="28"/>
  <c r="L31" i="28"/>
  <c r="C31" i="28" s="1"/>
  <c r="E20" i="28"/>
  <c r="C43" i="28"/>
  <c r="C62" i="28"/>
  <c r="C65" i="28"/>
  <c r="D53" i="28"/>
  <c r="C82" i="28"/>
  <c r="M83" i="28"/>
  <c r="M75" i="28" s="1"/>
  <c r="C100" i="28"/>
  <c r="C107" i="28"/>
  <c r="C109" i="28"/>
  <c r="E130" i="28"/>
  <c r="C156" i="28"/>
  <c r="C159" i="28"/>
  <c r="C172" i="28"/>
  <c r="N174" i="28"/>
  <c r="N173" i="28" s="1"/>
  <c r="L179" i="28"/>
  <c r="L174" i="28" s="1"/>
  <c r="L173" i="28" s="1"/>
  <c r="K173" i="28"/>
  <c r="J204" i="28"/>
  <c r="J195" i="28" s="1"/>
  <c r="C215" i="28"/>
  <c r="E231" i="28"/>
  <c r="F260" i="28"/>
  <c r="C267" i="28"/>
  <c r="F264" i="28"/>
  <c r="C127" i="28"/>
  <c r="C140" i="28"/>
  <c r="C152" i="28"/>
  <c r="E173" i="28"/>
  <c r="J173" i="28"/>
  <c r="F192" i="28"/>
  <c r="E204" i="28"/>
  <c r="E195" i="28" s="1"/>
  <c r="C223" i="28"/>
  <c r="C227" i="28"/>
  <c r="J231" i="28"/>
  <c r="G259" i="28"/>
  <c r="K270" i="28"/>
  <c r="K269" i="28" s="1"/>
  <c r="C236" i="28"/>
  <c r="C250" i="28"/>
  <c r="O272" i="28"/>
  <c r="O270" i="28" s="1"/>
  <c r="O269" i="28" s="1"/>
  <c r="F292" i="28"/>
  <c r="C23" i="28"/>
  <c r="L27" i="28"/>
  <c r="C27" i="28" s="1"/>
  <c r="L33" i="28"/>
  <c r="C33" i="28" s="1"/>
  <c r="C42" i="28"/>
  <c r="C57" i="28"/>
  <c r="E53" i="28"/>
  <c r="H76" i="28"/>
  <c r="C79" i="28"/>
  <c r="O84" i="28"/>
  <c r="H83" i="28"/>
  <c r="L89" i="28"/>
  <c r="C97" i="28"/>
  <c r="C108" i="28"/>
  <c r="G83" i="28"/>
  <c r="K130" i="28"/>
  <c r="K75" i="28" s="1"/>
  <c r="K52" i="28" s="1"/>
  <c r="C137" i="28"/>
  <c r="C157" i="28"/>
  <c r="C171" i="28"/>
  <c r="C177" i="28"/>
  <c r="G173" i="28"/>
  <c r="I184" i="28"/>
  <c r="C184" i="28" s="1"/>
  <c r="I188" i="28"/>
  <c r="I187" i="28" s="1"/>
  <c r="I198" i="28"/>
  <c r="I196" i="28" s="1"/>
  <c r="I205" i="28"/>
  <c r="C212" i="28"/>
  <c r="C213" i="28"/>
  <c r="G204" i="28"/>
  <c r="G195" i="28" s="1"/>
  <c r="C234" i="28"/>
  <c r="C243" i="28"/>
  <c r="L252" i="28"/>
  <c r="L251" i="28" s="1"/>
  <c r="M259" i="28"/>
  <c r="M230" i="28" s="1"/>
  <c r="O264" i="28"/>
  <c r="O259" i="28" s="1"/>
  <c r="L264" i="28"/>
  <c r="C282" i="28"/>
  <c r="C288" i="28"/>
  <c r="C300" i="28"/>
  <c r="C237" i="28"/>
  <c r="C244" i="28"/>
  <c r="C256" i="28"/>
  <c r="C297" i="28"/>
  <c r="I21" i="28"/>
  <c r="K26" i="28"/>
  <c r="C61" i="28"/>
  <c r="M53" i="28"/>
  <c r="I69" i="28"/>
  <c r="I67" i="28" s="1"/>
  <c r="C72" i="28"/>
  <c r="E83" i="28"/>
  <c r="E75" i="28" s="1"/>
  <c r="E52" i="28" s="1"/>
  <c r="C87" i="28"/>
  <c r="D83" i="28"/>
  <c r="O89" i="28"/>
  <c r="C101" i="28"/>
  <c r="H130" i="28"/>
  <c r="L131" i="28"/>
  <c r="J130" i="28"/>
  <c r="J75" i="28" s="1"/>
  <c r="J52" i="28" s="1"/>
  <c r="N130" i="28"/>
  <c r="C150" i="28"/>
  <c r="C170" i="28"/>
  <c r="C182" i="28"/>
  <c r="C197" i="28"/>
  <c r="D195" i="28"/>
  <c r="C199" i="28"/>
  <c r="C207" i="28"/>
  <c r="N204" i="28"/>
  <c r="N195" i="28" s="1"/>
  <c r="C226" i="28"/>
  <c r="H231" i="28"/>
  <c r="H230" i="28" s="1"/>
  <c r="H194" i="28" s="1"/>
  <c r="G231" i="28"/>
  <c r="C247" i="28"/>
  <c r="C263" i="28"/>
  <c r="C266" i="28"/>
  <c r="M270" i="28"/>
  <c r="M269" i="28" s="1"/>
  <c r="C277" i="28"/>
  <c r="I286" i="28"/>
  <c r="C286" i="28" s="1"/>
  <c r="C295" i="28"/>
  <c r="K292" i="28"/>
  <c r="K291" i="28" s="1"/>
  <c r="K20" i="28"/>
  <c r="I55" i="28"/>
  <c r="C56" i="28"/>
  <c r="C85" i="28"/>
  <c r="F84" i="28"/>
  <c r="G292" i="28"/>
  <c r="G291" i="28" s="1"/>
  <c r="G20" i="28"/>
  <c r="I20" i="28"/>
  <c r="F58" i="28"/>
  <c r="F54" i="28" s="1"/>
  <c r="C68" i="28"/>
  <c r="O69" i="28"/>
  <c r="D75" i="28"/>
  <c r="L76" i="28"/>
  <c r="F103" i="28"/>
  <c r="I103" i="28"/>
  <c r="C104" i="28"/>
  <c r="C143" i="28"/>
  <c r="F141" i="28"/>
  <c r="C145" i="28"/>
  <c r="L144" i="28"/>
  <c r="C60" i="28"/>
  <c r="I58" i="28"/>
  <c r="C63" i="28"/>
  <c r="C71" i="28"/>
  <c r="C73" i="28"/>
  <c r="F69" i="28"/>
  <c r="C81" i="28"/>
  <c r="F80" i="28"/>
  <c r="I95" i="28"/>
  <c r="C96" i="28"/>
  <c r="C99" i="28"/>
  <c r="C111" i="28"/>
  <c r="C118" i="28"/>
  <c r="I116" i="28"/>
  <c r="C139" i="28"/>
  <c r="F136" i="28"/>
  <c r="I89" i="28"/>
  <c r="C22" i="28"/>
  <c r="L21" i="28"/>
  <c r="O292" i="28"/>
  <c r="O291" i="28" s="1"/>
  <c r="O20" i="28"/>
  <c r="C55" i="28"/>
  <c r="L58" i="28"/>
  <c r="L54" i="28" s="1"/>
  <c r="L53" i="28" s="1"/>
  <c r="O67" i="28"/>
  <c r="O53" i="28" s="1"/>
  <c r="C77" i="28"/>
  <c r="I84" i="28"/>
  <c r="C91" i="28"/>
  <c r="C93" i="28"/>
  <c r="F89" i="28"/>
  <c r="O103" i="28"/>
  <c r="L103" i="28"/>
  <c r="C301" i="28"/>
  <c r="F291" i="28"/>
  <c r="C59" i="28"/>
  <c r="C113" i="28"/>
  <c r="C117" i="28"/>
  <c r="L116" i="28"/>
  <c r="C123" i="28"/>
  <c r="F122" i="28"/>
  <c r="G130" i="28"/>
  <c r="G75" i="28" s="1"/>
  <c r="C138" i="28"/>
  <c r="I136" i="28"/>
  <c r="I141" i="28"/>
  <c r="C142" i="28"/>
  <c r="L151" i="28"/>
  <c r="L130" i="28" s="1"/>
  <c r="C155" i="28"/>
  <c r="F151" i="28"/>
  <c r="C162" i="28"/>
  <c r="I160" i="28"/>
  <c r="C160" i="28" s="1"/>
  <c r="C167" i="28"/>
  <c r="F166" i="28"/>
  <c r="D174" i="28"/>
  <c r="D173" i="28" s="1"/>
  <c r="H174" i="28"/>
  <c r="H173" i="28" s="1"/>
  <c r="C178" i="28"/>
  <c r="I175" i="28"/>
  <c r="C175" i="28" s="1"/>
  <c r="C185" i="28"/>
  <c r="C186" i="28"/>
  <c r="C273" i="28"/>
  <c r="F272" i="28"/>
  <c r="L293" i="28"/>
  <c r="C293" i="28" s="1"/>
  <c r="F20" i="28"/>
  <c r="J20" i="28"/>
  <c r="C114" i="28"/>
  <c r="I112" i="28"/>
  <c r="C112" i="28" s="1"/>
  <c r="C125" i="28"/>
  <c r="C133" i="28"/>
  <c r="C135" i="28"/>
  <c r="F131" i="28"/>
  <c r="C147" i="28"/>
  <c r="F144" i="28"/>
  <c r="C154" i="28"/>
  <c r="I151" i="28"/>
  <c r="C161" i="28"/>
  <c r="L160" i="28"/>
  <c r="C169" i="28"/>
  <c r="C181" i="28"/>
  <c r="C183" i="28"/>
  <c r="F179" i="28"/>
  <c r="C189" i="28"/>
  <c r="L188" i="28"/>
  <c r="C202" i="28"/>
  <c r="F196" i="28"/>
  <c r="J230" i="28"/>
  <c r="O231" i="28"/>
  <c r="I270" i="28"/>
  <c r="I269" i="28" s="1"/>
  <c r="L276" i="28"/>
  <c r="L270" i="28" s="1"/>
  <c r="L269" i="28" s="1"/>
  <c r="C279" i="28"/>
  <c r="C248" i="28"/>
  <c r="I246" i="28"/>
  <c r="C276" i="28"/>
  <c r="C119" i="28"/>
  <c r="F116" i="28"/>
  <c r="C116" i="28" s="1"/>
  <c r="L122" i="28"/>
  <c r="C134" i="28"/>
  <c r="I131" i="28"/>
  <c r="C146" i="28"/>
  <c r="I144" i="28"/>
  <c r="L166" i="28"/>
  <c r="L165" i="28" s="1"/>
  <c r="O173" i="28"/>
  <c r="I204" i="28"/>
  <c r="C222" i="28"/>
  <c r="F216" i="28"/>
  <c r="C235" i="28"/>
  <c r="C254" i="28"/>
  <c r="F252" i="28"/>
  <c r="E259" i="28"/>
  <c r="E230" i="28" s="1"/>
  <c r="I259" i="28"/>
  <c r="N259" i="28"/>
  <c r="C129" i="28"/>
  <c r="O196" i="28"/>
  <c r="O205" i="28"/>
  <c r="O216" i="28"/>
  <c r="C224" i="28"/>
  <c r="C225" i="28"/>
  <c r="C241" i="28"/>
  <c r="F238" i="28"/>
  <c r="C264" i="28"/>
  <c r="C265" i="28"/>
  <c r="C281" i="28"/>
  <c r="C284" i="28"/>
  <c r="L198" i="28"/>
  <c r="L196" i="28" s="1"/>
  <c r="L205" i="28"/>
  <c r="L204" i="28" s="1"/>
  <c r="F205" i="28"/>
  <c r="C233" i="28"/>
  <c r="C240" i="28"/>
  <c r="I238" i="28"/>
  <c r="I231" i="28" s="1"/>
  <c r="L246" i="28"/>
  <c r="L231" i="28" s="1"/>
  <c r="C280" i="28"/>
  <c r="C296" i="28"/>
  <c r="C200" i="28"/>
  <c r="C201" i="28"/>
  <c r="C208" i="28"/>
  <c r="C209" i="28"/>
  <c r="C220" i="28"/>
  <c r="C221" i="28"/>
  <c r="C232" i="28"/>
  <c r="D231" i="28"/>
  <c r="D230" i="28" s="1"/>
  <c r="C245" i="28"/>
  <c r="C249" i="28"/>
  <c r="F246" i="28"/>
  <c r="C253" i="28"/>
  <c r="O252" i="28"/>
  <c r="O251" i="28" s="1"/>
  <c r="L260" i="28"/>
  <c r="L259" i="28" s="1"/>
  <c r="C268" i="28"/>
  <c r="J270" i="28"/>
  <c r="J269" i="28" s="1"/>
  <c r="F283" i="28"/>
  <c r="C283" i="28" s="1"/>
  <c r="C285" i="28"/>
  <c r="H75" i="28" l="1"/>
  <c r="F259" i="28"/>
  <c r="K194" i="28"/>
  <c r="I292" i="28"/>
  <c r="M52" i="28"/>
  <c r="K289" i="28"/>
  <c r="L195" i="28"/>
  <c r="D52" i="28"/>
  <c r="I195" i="28"/>
  <c r="O83" i="28"/>
  <c r="O75" i="28" s="1"/>
  <c r="L230" i="28"/>
  <c r="N230" i="28"/>
  <c r="L83" i="28"/>
  <c r="L75" i="28" s="1"/>
  <c r="C136" i="28"/>
  <c r="C95" i="28"/>
  <c r="M194" i="28"/>
  <c r="M289" i="28"/>
  <c r="M51" i="28"/>
  <c r="C259" i="28"/>
  <c r="I230" i="28"/>
  <c r="G230" i="28"/>
  <c r="G194" i="28" s="1"/>
  <c r="J194" i="28"/>
  <c r="J51" i="28" s="1"/>
  <c r="I174" i="28"/>
  <c r="I173" i="28" s="1"/>
  <c r="C89" i="28"/>
  <c r="G289" i="28"/>
  <c r="C58" i="28"/>
  <c r="F191" i="28"/>
  <c r="C192" i="28"/>
  <c r="N75" i="28"/>
  <c r="N52" i="28" s="1"/>
  <c r="H289" i="28"/>
  <c r="J289" i="28"/>
  <c r="K51" i="28"/>
  <c r="K50" i="28" s="1"/>
  <c r="O52" i="28"/>
  <c r="L26" i="28"/>
  <c r="L20" i="28" s="1"/>
  <c r="C20" i="28" s="1"/>
  <c r="E289" i="28"/>
  <c r="E194" i="28"/>
  <c r="C238" i="28"/>
  <c r="F231" i="28"/>
  <c r="C252" i="28"/>
  <c r="F251" i="28"/>
  <c r="C251" i="28" s="1"/>
  <c r="C144" i="28"/>
  <c r="G52" i="28"/>
  <c r="C216" i="28"/>
  <c r="C198" i="28"/>
  <c r="O230" i="28"/>
  <c r="F270" i="28"/>
  <c r="C272" i="28"/>
  <c r="H52" i="28"/>
  <c r="H51" i="28" s="1"/>
  <c r="L292" i="28"/>
  <c r="L291" i="28" s="1"/>
  <c r="C21" i="28"/>
  <c r="E51" i="28"/>
  <c r="C141" i="28"/>
  <c r="C103" i="28"/>
  <c r="C179" i="28"/>
  <c r="F174" i="28"/>
  <c r="D194" i="28"/>
  <c r="D51" i="28" s="1"/>
  <c r="D289" i="28"/>
  <c r="N194" i="28"/>
  <c r="N51" i="28" s="1"/>
  <c r="I130" i="28"/>
  <c r="L187" i="28"/>
  <c r="C188" i="28"/>
  <c r="C131" i="28"/>
  <c r="F130" i="28"/>
  <c r="C130" i="28" s="1"/>
  <c r="C166" i="28"/>
  <c r="F165" i="28"/>
  <c r="C165" i="28" s="1"/>
  <c r="C151" i="28"/>
  <c r="C69" i="28"/>
  <c r="F67" i="28"/>
  <c r="C67" i="28" s="1"/>
  <c r="C26" i="28"/>
  <c r="C205" i="28"/>
  <c r="F204" i="28"/>
  <c r="C246" i="28"/>
  <c r="I291" i="28"/>
  <c r="C260" i="28"/>
  <c r="O204" i="28"/>
  <c r="O195" i="28" s="1"/>
  <c r="O194" i="28" s="1"/>
  <c r="C196" i="28"/>
  <c r="C122" i="28"/>
  <c r="C291" i="28"/>
  <c r="I83" i="28"/>
  <c r="C80" i="28"/>
  <c r="F76" i="28"/>
  <c r="C84" i="28"/>
  <c r="F83" i="28"/>
  <c r="I54" i="28"/>
  <c r="I53" i="28" s="1"/>
  <c r="K290" i="28" l="1"/>
  <c r="L194" i="28"/>
  <c r="L52" i="28"/>
  <c r="I194" i="28"/>
  <c r="C83" i="28"/>
  <c r="C54" i="28"/>
  <c r="F53" i="28"/>
  <c r="L51" i="28"/>
  <c r="L50" i="28" s="1"/>
  <c r="G51" i="28"/>
  <c r="N289" i="28"/>
  <c r="M50" i="28"/>
  <c r="M290" i="28"/>
  <c r="O51" i="28"/>
  <c r="O50" i="28" s="1"/>
  <c r="F187" i="28"/>
  <c r="C187" i="28" s="1"/>
  <c r="C191" i="28"/>
  <c r="O290" i="28"/>
  <c r="N50" i="28"/>
  <c r="N290" i="28"/>
  <c r="D290" i="28"/>
  <c r="D50" i="28"/>
  <c r="J50" i="28"/>
  <c r="J290" i="28"/>
  <c r="G290" i="28"/>
  <c r="G50" i="28"/>
  <c r="C76" i="28"/>
  <c r="F75" i="28"/>
  <c r="C204" i="28"/>
  <c r="O289" i="28"/>
  <c r="F230" i="28"/>
  <c r="C230" i="28" s="1"/>
  <c r="C231" i="28"/>
  <c r="F195" i="28"/>
  <c r="C53" i="28"/>
  <c r="C174" i="28"/>
  <c r="F173" i="28"/>
  <c r="C173" i="28" s="1"/>
  <c r="E290" i="28"/>
  <c r="E50" i="28"/>
  <c r="H290" i="28"/>
  <c r="H50" i="28"/>
  <c r="F269" i="28"/>
  <c r="C270" i="28"/>
  <c r="L289" i="28"/>
  <c r="I75" i="28"/>
  <c r="I289" i="28" s="1"/>
  <c r="C292" i="28"/>
  <c r="L290" i="28" l="1"/>
  <c r="F194" i="28"/>
  <c r="C194" i="28" s="1"/>
  <c r="C195" i="28"/>
  <c r="I52" i="28"/>
  <c r="I51" i="28" s="1"/>
  <c r="C269" i="28"/>
  <c r="F289" i="28"/>
  <c r="C289" i="28" s="1"/>
  <c r="F52" i="28"/>
  <c r="C75" i="28"/>
  <c r="I290" i="28" l="1"/>
  <c r="I50" i="28"/>
  <c r="C52" i="28"/>
  <c r="F51" i="28"/>
  <c r="F290" i="28" l="1"/>
  <c r="C290" i="28" s="1"/>
  <c r="F50" i="28"/>
  <c r="C50" i="28" s="1"/>
  <c r="C51" i="28"/>
  <c r="G23" i="27" l="1"/>
  <c r="G22" i="27"/>
  <c r="G21" i="27"/>
  <c r="G20" i="27"/>
  <c r="G19" i="27"/>
  <c r="G18" i="27"/>
  <c r="G17" i="27"/>
  <c r="F16" i="27"/>
  <c r="F12" i="27" s="1"/>
  <c r="G15" i="27"/>
  <c r="G14" i="27"/>
  <c r="G13" i="27"/>
  <c r="H12" i="27"/>
  <c r="E12" i="27"/>
  <c r="G16" i="27" l="1"/>
  <c r="G12" i="27" s="1"/>
  <c r="O301" i="26" l="1"/>
  <c r="L301" i="26"/>
  <c r="I301" i="26"/>
  <c r="F301" i="26"/>
  <c r="O300" i="26"/>
  <c r="L300" i="26"/>
  <c r="I300" i="26"/>
  <c r="F300" i="26"/>
  <c r="O299" i="26"/>
  <c r="L299" i="26"/>
  <c r="I299" i="26"/>
  <c r="F299" i="26"/>
  <c r="O298" i="26"/>
  <c r="L298" i="26"/>
  <c r="I298" i="26"/>
  <c r="F298" i="26"/>
  <c r="O297" i="26"/>
  <c r="L297" i="26"/>
  <c r="I297" i="26"/>
  <c r="F297" i="26"/>
  <c r="O296" i="26"/>
  <c r="L296" i="26"/>
  <c r="I296" i="26"/>
  <c r="F296" i="26"/>
  <c r="O295" i="26"/>
  <c r="L295" i="26"/>
  <c r="I295" i="26"/>
  <c r="F295" i="26"/>
  <c r="O294" i="26"/>
  <c r="O293" i="26" s="1"/>
  <c r="L294" i="26"/>
  <c r="I294" i="26"/>
  <c r="F294" i="26"/>
  <c r="N293" i="26"/>
  <c r="M293" i="26"/>
  <c r="K293" i="26"/>
  <c r="J293" i="26"/>
  <c r="H293" i="26"/>
  <c r="G293" i="26"/>
  <c r="E293" i="26"/>
  <c r="D293" i="26"/>
  <c r="O288" i="26"/>
  <c r="L288" i="26"/>
  <c r="I288" i="26"/>
  <c r="F288" i="26"/>
  <c r="O287" i="26"/>
  <c r="L287" i="26"/>
  <c r="I287" i="26"/>
  <c r="I286" i="26" s="1"/>
  <c r="F287" i="26"/>
  <c r="O286" i="26"/>
  <c r="N286" i="26"/>
  <c r="M286" i="26"/>
  <c r="K286" i="26"/>
  <c r="J286" i="26"/>
  <c r="H286" i="26"/>
  <c r="G286" i="26"/>
  <c r="F286" i="26"/>
  <c r="E286" i="26"/>
  <c r="D286" i="26"/>
  <c r="O285" i="26"/>
  <c r="O284" i="26" s="1"/>
  <c r="O283" i="26" s="1"/>
  <c r="L285" i="26"/>
  <c r="L284" i="26" s="1"/>
  <c r="L283" i="26" s="1"/>
  <c r="I285" i="26"/>
  <c r="F285" i="26"/>
  <c r="N284" i="26"/>
  <c r="N283" i="26" s="1"/>
  <c r="M284" i="26"/>
  <c r="M283" i="26" s="1"/>
  <c r="K284" i="26"/>
  <c r="J284" i="26"/>
  <c r="J283" i="26" s="1"/>
  <c r="I284" i="26"/>
  <c r="I283" i="26" s="1"/>
  <c r="H284" i="26"/>
  <c r="H283" i="26" s="1"/>
  <c r="G284" i="26"/>
  <c r="E284" i="26"/>
  <c r="E283" i="26" s="1"/>
  <c r="D284" i="26"/>
  <c r="D283" i="26" s="1"/>
  <c r="K283" i="26"/>
  <c r="G283" i="26"/>
  <c r="O282" i="26"/>
  <c r="O281" i="26" s="1"/>
  <c r="L282" i="26"/>
  <c r="I282" i="26"/>
  <c r="F282" i="26"/>
  <c r="F281" i="26" s="1"/>
  <c r="N281" i="26"/>
  <c r="M281" i="26"/>
  <c r="L281" i="26"/>
  <c r="K281" i="26"/>
  <c r="J281" i="26"/>
  <c r="I281" i="26"/>
  <c r="H281" i="26"/>
  <c r="G281" i="26"/>
  <c r="E281" i="26"/>
  <c r="D281" i="26"/>
  <c r="O280" i="26"/>
  <c r="L280" i="26"/>
  <c r="I280" i="26"/>
  <c r="F280" i="26"/>
  <c r="O279" i="26"/>
  <c r="L279" i="26"/>
  <c r="I279" i="26"/>
  <c r="F279" i="26"/>
  <c r="O278" i="26"/>
  <c r="L278" i="26"/>
  <c r="I278" i="26"/>
  <c r="F278" i="26"/>
  <c r="O277" i="26"/>
  <c r="L277" i="26"/>
  <c r="I277" i="26"/>
  <c r="F277" i="26"/>
  <c r="N276" i="26"/>
  <c r="M276" i="26"/>
  <c r="K276" i="26"/>
  <c r="J276" i="26"/>
  <c r="I276" i="26"/>
  <c r="H276" i="26"/>
  <c r="G276" i="26"/>
  <c r="E276" i="26"/>
  <c r="D276" i="26"/>
  <c r="O275" i="26"/>
  <c r="L275" i="26"/>
  <c r="I275" i="26"/>
  <c r="F275" i="26"/>
  <c r="O274" i="26"/>
  <c r="L274" i="26"/>
  <c r="I274" i="26"/>
  <c r="F274" i="26"/>
  <c r="O273" i="26"/>
  <c r="L273" i="26"/>
  <c r="L272" i="26" s="1"/>
  <c r="I273" i="26"/>
  <c r="I272" i="26" s="1"/>
  <c r="F273" i="26"/>
  <c r="N272" i="26"/>
  <c r="M272" i="26"/>
  <c r="K272" i="26"/>
  <c r="K270" i="26" s="1"/>
  <c r="K269" i="26" s="1"/>
  <c r="J272" i="26"/>
  <c r="J270" i="26" s="1"/>
  <c r="J269" i="26" s="1"/>
  <c r="H272" i="26"/>
  <c r="G272" i="26"/>
  <c r="E272" i="26"/>
  <c r="E270" i="26" s="1"/>
  <c r="E269" i="26" s="1"/>
  <c r="D272" i="26"/>
  <c r="O271" i="26"/>
  <c r="L271" i="26"/>
  <c r="I271" i="26"/>
  <c r="F271" i="26"/>
  <c r="G270" i="26"/>
  <c r="O268" i="26"/>
  <c r="L268" i="26"/>
  <c r="I268" i="26"/>
  <c r="F268" i="26"/>
  <c r="O267" i="26"/>
  <c r="L267" i="26"/>
  <c r="I267" i="26"/>
  <c r="F267" i="26"/>
  <c r="O266" i="26"/>
  <c r="L266" i="26"/>
  <c r="I266" i="26"/>
  <c r="F266" i="26"/>
  <c r="O265" i="26"/>
  <c r="L265" i="26"/>
  <c r="I265" i="26"/>
  <c r="I264" i="26" s="1"/>
  <c r="F265" i="26"/>
  <c r="N264" i="26"/>
  <c r="M264" i="26"/>
  <c r="K264" i="26"/>
  <c r="J264" i="26"/>
  <c r="H264" i="26"/>
  <c r="G264" i="26"/>
  <c r="G259" i="26" s="1"/>
  <c r="E264" i="26"/>
  <c r="D264" i="26"/>
  <c r="O263" i="26"/>
  <c r="L263" i="26"/>
  <c r="I263" i="26"/>
  <c r="F263" i="26"/>
  <c r="O262" i="26"/>
  <c r="L262" i="26"/>
  <c r="I262" i="26"/>
  <c r="F262" i="26"/>
  <c r="O261" i="26"/>
  <c r="L261" i="26"/>
  <c r="I261" i="26"/>
  <c r="I260" i="26" s="1"/>
  <c r="F261" i="26"/>
  <c r="N260" i="26"/>
  <c r="N259" i="26" s="1"/>
  <c r="M260" i="26"/>
  <c r="M259" i="26" s="1"/>
  <c r="K260" i="26"/>
  <c r="J260" i="26"/>
  <c r="H260" i="26"/>
  <c r="H259" i="26" s="1"/>
  <c r="G260" i="26"/>
  <c r="E260" i="26"/>
  <c r="D260" i="26"/>
  <c r="J259" i="26"/>
  <c r="O258" i="26"/>
  <c r="L258" i="26"/>
  <c r="I258" i="26"/>
  <c r="F258" i="26"/>
  <c r="O257" i="26"/>
  <c r="L257" i="26"/>
  <c r="I257" i="26"/>
  <c r="F257" i="26"/>
  <c r="O256" i="26"/>
  <c r="L256" i="26"/>
  <c r="I256" i="26"/>
  <c r="F256" i="26"/>
  <c r="O255" i="26"/>
  <c r="L255" i="26"/>
  <c r="I255" i="26"/>
  <c r="F255" i="26"/>
  <c r="O254" i="26"/>
  <c r="L254" i="26"/>
  <c r="I254" i="26"/>
  <c r="F254" i="26"/>
  <c r="C254" i="26" s="1"/>
  <c r="O253" i="26"/>
  <c r="L253" i="26"/>
  <c r="I253" i="26"/>
  <c r="F253" i="26"/>
  <c r="N252" i="26"/>
  <c r="M252" i="26"/>
  <c r="M251" i="26" s="1"/>
  <c r="K252" i="26"/>
  <c r="J252" i="26"/>
  <c r="J251" i="26" s="1"/>
  <c r="H252" i="26"/>
  <c r="H251" i="26" s="1"/>
  <c r="G252" i="26"/>
  <c r="E252" i="26"/>
  <c r="E251" i="26" s="1"/>
  <c r="D252" i="26"/>
  <c r="D251" i="26" s="1"/>
  <c r="N251" i="26"/>
  <c r="K251" i="26"/>
  <c r="G251" i="26"/>
  <c r="O250" i="26"/>
  <c r="L250" i="26"/>
  <c r="I250" i="26"/>
  <c r="F250" i="26"/>
  <c r="O249" i="26"/>
  <c r="L249" i="26"/>
  <c r="I249" i="26"/>
  <c r="F249" i="26"/>
  <c r="O248" i="26"/>
  <c r="L248" i="26"/>
  <c r="I248" i="26"/>
  <c r="F248" i="26"/>
  <c r="O247" i="26"/>
  <c r="L247" i="26"/>
  <c r="I247" i="26"/>
  <c r="F247" i="26"/>
  <c r="N246" i="26"/>
  <c r="M246" i="26"/>
  <c r="K246" i="26"/>
  <c r="J246" i="26"/>
  <c r="H246" i="26"/>
  <c r="G246" i="26"/>
  <c r="E246" i="26"/>
  <c r="D246" i="26"/>
  <c r="O245" i="26"/>
  <c r="L245" i="26"/>
  <c r="I245" i="26"/>
  <c r="F245" i="26"/>
  <c r="O244" i="26"/>
  <c r="L244" i="26"/>
  <c r="I244" i="26"/>
  <c r="F244" i="26"/>
  <c r="O243" i="26"/>
  <c r="L243" i="26"/>
  <c r="I243" i="26"/>
  <c r="F243" i="26"/>
  <c r="O242" i="26"/>
  <c r="L242" i="26"/>
  <c r="I242" i="26"/>
  <c r="F242" i="26"/>
  <c r="O241" i="26"/>
  <c r="L241" i="26"/>
  <c r="I241" i="26"/>
  <c r="F241" i="26"/>
  <c r="O240" i="26"/>
  <c r="L240" i="26"/>
  <c r="I240" i="26"/>
  <c r="F240" i="26"/>
  <c r="O239" i="26"/>
  <c r="L239" i="26"/>
  <c r="I239" i="26"/>
  <c r="F239" i="26"/>
  <c r="O238" i="26"/>
  <c r="N238" i="26"/>
  <c r="M238" i="26"/>
  <c r="K238" i="26"/>
  <c r="J238" i="26"/>
  <c r="H238" i="26"/>
  <c r="G238" i="26"/>
  <c r="E238" i="26"/>
  <c r="D238" i="26"/>
  <c r="O237" i="26"/>
  <c r="L237" i="26"/>
  <c r="I237" i="26"/>
  <c r="F237" i="26"/>
  <c r="O236" i="26"/>
  <c r="L236" i="26"/>
  <c r="L235" i="26" s="1"/>
  <c r="I236" i="26"/>
  <c r="I235" i="26" s="1"/>
  <c r="F236" i="26"/>
  <c r="O235" i="26"/>
  <c r="N235" i="26"/>
  <c r="N231" i="26" s="1"/>
  <c r="M235" i="26"/>
  <c r="K235" i="26"/>
  <c r="J235" i="26"/>
  <c r="H235" i="26"/>
  <c r="G235" i="26"/>
  <c r="F235" i="26"/>
  <c r="E235" i="26"/>
  <c r="D235" i="26"/>
  <c r="O234" i="26"/>
  <c r="O233" i="26" s="1"/>
  <c r="L234" i="26"/>
  <c r="L233" i="26" s="1"/>
  <c r="I234" i="26"/>
  <c r="F234" i="26"/>
  <c r="F233" i="26" s="1"/>
  <c r="N233" i="26"/>
  <c r="M233" i="26"/>
  <c r="K233" i="26"/>
  <c r="J233" i="26"/>
  <c r="I233" i="26"/>
  <c r="H233" i="26"/>
  <c r="G233" i="26"/>
  <c r="E233" i="26"/>
  <c r="E231" i="26" s="1"/>
  <c r="D233" i="26"/>
  <c r="O232" i="26"/>
  <c r="L232" i="26"/>
  <c r="I232" i="26"/>
  <c r="F232" i="26"/>
  <c r="O229" i="26"/>
  <c r="L229" i="26"/>
  <c r="I229" i="26"/>
  <c r="F229" i="26"/>
  <c r="O228" i="26"/>
  <c r="L228" i="26"/>
  <c r="L227" i="26" s="1"/>
  <c r="I228" i="26"/>
  <c r="I227" i="26" s="1"/>
  <c r="F228" i="26"/>
  <c r="O227" i="26"/>
  <c r="N227" i="26"/>
  <c r="M227" i="26"/>
  <c r="K227" i="26"/>
  <c r="J227" i="26"/>
  <c r="H227" i="26"/>
  <c r="G227" i="26"/>
  <c r="F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O219" i="26"/>
  <c r="L219" i="26"/>
  <c r="I219" i="26"/>
  <c r="F219" i="26"/>
  <c r="O218" i="26"/>
  <c r="L218" i="26"/>
  <c r="I218" i="26"/>
  <c r="F218" i="26"/>
  <c r="O217" i="26"/>
  <c r="L217" i="26"/>
  <c r="I217" i="26"/>
  <c r="F217" i="26"/>
  <c r="N216" i="26"/>
  <c r="M216" i="26"/>
  <c r="K216" i="26"/>
  <c r="J216" i="26"/>
  <c r="H216" i="26"/>
  <c r="G216" i="26"/>
  <c r="E216" i="26"/>
  <c r="D216" i="26"/>
  <c r="O215" i="26"/>
  <c r="L215" i="26"/>
  <c r="I215" i="26"/>
  <c r="F215" i="26"/>
  <c r="O214" i="26"/>
  <c r="L214" i="26"/>
  <c r="I214" i="26"/>
  <c r="F214" i="26"/>
  <c r="O213" i="26"/>
  <c r="L213" i="26"/>
  <c r="I213" i="26"/>
  <c r="F213" i="26"/>
  <c r="O212" i="26"/>
  <c r="L212" i="26"/>
  <c r="I212" i="26"/>
  <c r="F212" i="26"/>
  <c r="O211" i="26"/>
  <c r="L211" i="26"/>
  <c r="I211" i="26"/>
  <c r="F211" i="26"/>
  <c r="O210" i="26"/>
  <c r="L210" i="26"/>
  <c r="I210" i="26"/>
  <c r="F210" i="26"/>
  <c r="O209" i="26"/>
  <c r="L209" i="26"/>
  <c r="I209" i="26"/>
  <c r="F209" i="26"/>
  <c r="O208" i="26"/>
  <c r="L208" i="26"/>
  <c r="I208" i="26"/>
  <c r="F208" i="26"/>
  <c r="O207" i="26"/>
  <c r="L207" i="26"/>
  <c r="I207" i="26"/>
  <c r="F207" i="26"/>
  <c r="O206" i="26"/>
  <c r="L206" i="26"/>
  <c r="L205" i="26" s="1"/>
  <c r="I206" i="26"/>
  <c r="F206" i="26"/>
  <c r="N205" i="26"/>
  <c r="M205" i="26"/>
  <c r="K205" i="26"/>
  <c r="J205" i="26"/>
  <c r="H205" i="26"/>
  <c r="H204" i="26" s="1"/>
  <c r="G205" i="26"/>
  <c r="E205" i="26"/>
  <c r="D205" i="26"/>
  <c r="K204" i="26"/>
  <c r="G204" i="26"/>
  <c r="E204" i="26"/>
  <c r="O203" i="26"/>
  <c r="L203" i="26"/>
  <c r="I203" i="26"/>
  <c r="F203" i="26"/>
  <c r="O202" i="26"/>
  <c r="L202" i="26"/>
  <c r="I202" i="26"/>
  <c r="F202" i="26"/>
  <c r="O201" i="26"/>
  <c r="L201" i="26"/>
  <c r="I201" i="26"/>
  <c r="F201" i="26"/>
  <c r="O200" i="26"/>
  <c r="L200" i="26"/>
  <c r="I200" i="26"/>
  <c r="F200" i="26"/>
  <c r="O199" i="26"/>
  <c r="O198" i="26" s="1"/>
  <c r="L199" i="26"/>
  <c r="L198" i="26" s="1"/>
  <c r="I199" i="26"/>
  <c r="F199" i="26"/>
  <c r="F198" i="26" s="1"/>
  <c r="N198" i="26"/>
  <c r="M198" i="26"/>
  <c r="K198" i="26"/>
  <c r="K196" i="26" s="1"/>
  <c r="J198" i="26"/>
  <c r="J196" i="26" s="1"/>
  <c r="H198" i="26"/>
  <c r="G198" i="26"/>
  <c r="G196" i="26" s="1"/>
  <c r="G195" i="26" s="1"/>
  <c r="E198" i="26"/>
  <c r="E196" i="26" s="1"/>
  <c r="E195" i="26" s="1"/>
  <c r="D198" i="26"/>
  <c r="D196" i="26" s="1"/>
  <c r="O197" i="26"/>
  <c r="L197" i="26"/>
  <c r="I197" i="26"/>
  <c r="F197" i="26"/>
  <c r="N196" i="26"/>
  <c r="M196" i="26"/>
  <c r="H196" i="26"/>
  <c r="O193" i="26"/>
  <c r="O192" i="26" s="1"/>
  <c r="O191" i="26" s="1"/>
  <c r="L193" i="26"/>
  <c r="L192" i="26" s="1"/>
  <c r="L191" i="26" s="1"/>
  <c r="I193" i="26"/>
  <c r="I192" i="26" s="1"/>
  <c r="I191" i="26" s="1"/>
  <c r="F193" i="26"/>
  <c r="N192" i="26"/>
  <c r="M192" i="26"/>
  <c r="M191" i="26" s="1"/>
  <c r="K192" i="26"/>
  <c r="K191" i="26" s="1"/>
  <c r="J192" i="26"/>
  <c r="H192" i="26"/>
  <c r="G192" i="26"/>
  <c r="G191" i="26" s="1"/>
  <c r="E192" i="26"/>
  <c r="E191" i="26" s="1"/>
  <c r="D192" i="26"/>
  <c r="N191" i="26"/>
  <c r="J191" i="26"/>
  <c r="H191" i="26"/>
  <c r="D191" i="26"/>
  <c r="O190" i="26"/>
  <c r="L190" i="26"/>
  <c r="I190" i="26"/>
  <c r="F190" i="26"/>
  <c r="O189" i="26"/>
  <c r="L189" i="26"/>
  <c r="L188" i="26" s="1"/>
  <c r="I189" i="26"/>
  <c r="I188" i="26" s="1"/>
  <c r="F189" i="26"/>
  <c r="O188" i="26"/>
  <c r="N188" i="26"/>
  <c r="N187" i="26" s="1"/>
  <c r="M188" i="26"/>
  <c r="M187" i="26" s="1"/>
  <c r="K188" i="26"/>
  <c r="J188" i="26"/>
  <c r="J187" i="26" s="1"/>
  <c r="H188" i="26"/>
  <c r="H187" i="26" s="1"/>
  <c r="G188" i="26"/>
  <c r="F188" i="26"/>
  <c r="E188" i="26"/>
  <c r="D188" i="26"/>
  <c r="D187" i="26" s="1"/>
  <c r="O187" i="26"/>
  <c r="O186" i="26"/>
  <c r="L186" i="26"/>
  <c r="I186" i="26"/>
  <c r="F186" i="26"/>
  <c r="O185" i="26"/>
  <c r="O184" i="26" s="1"/>
  <c r="L185" i="26"/>
  <c r="L184" i="26" s="1"/>
  <c r="I185" i="26"/>
  <c r="I184" i="26" s="1"/>
  <c r="F185" i="26"/>
  <c r="N184" i="26"/>
  <c r="M184" i="26"/>
  <c r="K184" i="26"/>
  <c r="J184" i="26"/>
  <c r="H184" i="26"/>
  <c r="G184" i="26"/>
  <c r="F184" i="26"/>
  <c r="E184" i="26"/>
  <c r="D184" i="26"/>
  <c r="O183" i="26"/>
  <c r="L183" i="26"/>
  <c r="I183" i="26"/>
  <c r="F183" i="26"/>
  <c r="O182" i="26"/>
  <c r="L182" i="26"/>
  <c r="I182" i="26"/>
  <c r="F182" i="26"/>
  <c r="O181" i="26"/>
  <c r="L181" i="26"/>
  <c r="I181" i="26"/>
  <c r="F181" i="26"/>
  <c r="O180" i="26"/>
  <c r="L180" i="26"/>
  <c r="I180" i="26"/>
  <c r="F180" i="26"/>
  <c r="O179" i="26"/>
  <c r="N179" i="26"/>
  <c r="M179" i="26"/>
  <c r="K179" i="26"/>
  <c r="J179" i="26"/>
  <c r="H179" i="26"/>
  <c r="G179" i="26"/>
  <c r="E179" i="26"/>
  <c r="D179" i="26"/>
  <c r="O178" i="26"/>
  <c r="L178" i="26"/>
  <c r="I178" i="26"/>
  <c r="F178" i="26"/>
  <c r="O177" i="26"/>
  <c r="L177" i="26"/>
  <c r="I177" i="26"/>
  <c r="F177" i="26"/>
  <c r="O176" i="26"/>
  <c r="L176" i="26"/>
  <c r="I176" i="26"/>
  <c r="I175" i="26" s="1"/>
  <c r="F176" i="26"/>
  <c r="O175" i="26"/>
  <c r="O174" i="26" s="1"/>
  <c r="N175" i="26"/>
  <c r="M175" i="26"/>
  <c r="K175" i="26"/>
  <c r="K174" i="26" s="1"/>
  <c r="K173" i="26" s="1"/>
  <c r="J175" i="26"/>
  <c r="J174" i="26" s="1"/>
  <c r="J173" i="26" s="1"/>
  <c r="H175" i="26"/>
  <c r="G175" i="26"/>
  <c r="E175" i="26"/>
  <c r="E174" i="26" s="1"/>
  <c r="E173" i="26" s="1"/>
  <c r="D175" i="26"/>
  <c r="D174" i="26" s="1"/>
  <c r="D173" i="26" s="1"/>
  <c r="M174" i="26"/>
  <c r="M173" i="26" s="1"/>
  <c r="O172" i="26"/>
  <c r="L172" i="26"/>
  <c r="I172" i="26"/>
  <c r="F172" i="26"/>
  <c r="O171" i="26"/>
  <c r="L171" i="26"/>
  <c r="I171" i="26"/>
  <c r="F171" i="26"/>
  <c r="O170" i="26"/>
  <c r="L170" i="26"/>
  <c r="I170" i="26"/>
  <c r="F170" i="26"/>
  <c r="O169" i="26"/>
  <c r="L169" i="26"/>
  <c r="I169" i="26"/>
  <c r="F169" i="26"/>
  <c r="O168" i="26"/>
  <c r="L168" i="26"/>
  <c r="I168" i="26"/>
  <c r="F168" i="26"/>
  <c r="O167" i="26"/>
  <c r="O166" i="26" s="1"/>
  <c r="L167" i="26"/>
  <c r="I167" i="26"/>
  <c r="I166" i="26" s="1"/>
  <c r="I165" i="26" s="1"/>
  <c r="F167" i="26"/>
  <c r="N166" i="26"/>
  <c r="N165" i="26" s="1"/>
  <c r="M166" i="26"/>
  <c r="M165" i="26" s="1"/>
  <c r="K166" i="26"/>
  <c r="K165" i="26" s="1"/>
  <c r="J166" i="26"/>
  <c r="H166" i="26"/>
  <c r="H165" i="26" s="1"/>
  <c r="G166" i="26"/>
  <c r="G165" i="26" s="1"/>
  <c r="E166" i="26"/>
  <c r="D166" i="26"/>
  <c r="D165" i="26" s="1"/>
  <c r="J165" i="26"/>
  <c r="E165" i="26"/>
  <c r="O164" i="26"/>
  <c r="L164" i="26"/>
  <c r="I164" i="26"/>
  <c r="F164" i="26"/>
  <c r="O163" i="26"/>
  <c r="L163" i="26"/>
  <c r="I163" i="26"/>
  <c r="F163" i="26"/>
  <c r="O162" i="26"/>
  <c r="L162" i="26"/>
  <c r="I162" i="26"/>
  <c r="F162" i="26"/>
  <c r="O161" i="26"/>
  <c r="L161" i="26"/>
  <c r="L160" i="26" s="1"/>
  <c r="I161" i="26"/>
  <c r="I160" i="26" s="1"/>
  <c r="F161" i="26"/>
  <c r="O160" i="26"/>
  <c r="N160" i="26"/>
  <c r="M160" i="26"/>
  <c r="K160" i="26"/>
  <c r="J160" i="26"/>
  <c r="H160" i="26"/>
  <c r="G160" i="26"/>
  <c r="F160" i="26"/>
  <c r="E160" i="26"/>
  <c r="D160" i="26"/>
  <c r="O159" i="26"/>
  <c r="L159" i="26"/>
  <c r="I159" i="26"/>
  <c r="F159" i="26"/>
  <c r="O158" i="26"/>
  <c r="L158" i="26"/>
  <c r="I158" i="26"/>
  <c r="F158" i="26"/>
  <c r="O157" i="26"/>
  <c r="L157" i="26"/>
  <c r="I157" i="26"/>
  <c r="F157" i="26"/>
  <c r="O156" i="26"/>
  <c r="L156" i="26"/>
  <c r="I156" i="26"/>
  <c r="F156" i="26"/>
  <c r="O155" i="26"/>
  <c r="O151" i="26" s="1"/>
  <c r="L155" i="26"/>
  <c r="I155" i="26"/>
  <c r="F155" i="26"/>
  <c r="C155" i="26"/>
  <c r="O154" i="26"/>
  <c r="L154" i="26"/>
  <c r="I154" i="26"/>
  <c r="F154" i="26"/>
  <c r="O153" i="26"/>
  <c r="L153" i="26"/>
  <c r="I153" i="26"/>
  <c r="F153" i="26"/>
  <c r="O152" i="26"/>
  <c r="L152" i="26"/>
  <c r="I152" i="26"/>
  <c r="F152" i="26"/>
  <c r="N151" i="26"/>
  <c r="M151" i="26"/>
  <c r="K151" i="26"/>
  <c r="J151" i="26"/>
  <c r="H151" i="26"/>
  <c r="G151" i="26"/>
  <c r="E151" i="26"/>
  <c r="D151" i="26"/>
  <c r="O150" i="26"/>
  <c r="L150" i="26"/>
  <c r="I150" i="26"/>
  <c r="F150" i="26"/>
  <c r="C150" i="26" s="1"/>
  <c r="O149" i="26"/>
  <c r="L149" i="26"/>
  <c r="I149" i="26"/>
  <c r="F149" i="26"/>
  <c r="O148" i="26"/>
  <c r="L148" i="26"/>
  <c r="I148" i="26"/>
  <c r="F148" i="26"/>
  <c r="O147" i="26"/>
  <c r="L147" i="26"/>
  <c r="I147" i="26"/>
  <c r="F147" i="26"/>
  <c r="C147" i="26" s="1"/>
  <c r="O146" i="26"/>
  <c r="L146" i="26"/>
  <c r="I146" i="26"/>
  <c r="F146" i="26"/>
  <c r="O145" i="26"/>
  <c r="L145" i="26"/>
  <c r="L144" i="26" s="1"/>
  <c r="I145" i="26"/>
  <c r="F145" i="26"/>
  <c r="O144" i="26"/>
  <c r="N144" i="26"/>
  <c r="M144" i="26"/>
  <c r="K144" i="26"/>
  <c r="J144" i="26"/>
  <c r="H144" i="26"/>
  <c r="G144" i="26"/>
  <c r="E144" i="26"/>
  <c r="D144" i="26"/>
  <c r="O143" i="26"/>
  <c r="L143" i="26"/>
  <c r="I143" i="26"/>
  <c r="C143" i="26" s="1"/>
  <c r="F143" i="26"/>
  <c r="O142" i="26"/>
  <c r="O141" i="26" s="1"/>
  <c r="L142" i="26"/>
  <c r="I142" i="26"/>
  <c r="I141" i="26" s="1"/>
  <c r="F142" i="26"/>
  <c r="N141" i="26"/>
  <c r="M141" i="26"/>
  <c r="K141" i="26"/>
  <c r="J141" i="26"/>
  <c r="H141" i="26"/>
  <c r="G141" i="26"/>
  <c r="F141" i="26"/>
  <c r="E141" i="26"/>
  <c r="D141" i="26"/>
  <c r="O140" i="26"/>
  <c r="L140" i="26"/>
  <c r="I140" i="26"/>
  <c r="F140" i="26"/>
  <c r="O139" i="26"/>
  <c r="L139" i="26"/>
  <c r="I139" i="26"/>
  <c r="F139" i="26"/>
  <c r="O138" i="26"/>
  <c r="L138" i="26"/>
  <c r="I138" i="26"/>
  <c r="F138" i="26"/>
  <c r="O137" i="26"/>
  <c r="L137" i="26"/>
  <c r="I137" i="26"/>
  <c r="I136" i="26" s="1"/>
  <c r="F137" i="26"/>
  <c r="O136" i="26"/>
  <c r="N136" i="26"/>
  <c r="M136" i="26"/>
  <c r="K136" i="26"/>
  <c r="J136" i="26"/>
  <c r="H136" i="26"/>
  <c r="G136" i="26"/>
  <c r="F136" i="26"/>
  <c r="E136" i="26"/>
  <c r="D136" i="26"/>
  <c r="O135" i="26"/>
  <c r="L135" i="26"/>
  <c r="I135" i="26"/>
  <c r="F135" i="26"/>
  <c r="O134" i="26"/>
  <c r="L134" i="26"/>
  <c r="I134" i="26"/>
  <c r="F134" i="26"/>
  <c r="O133" i="26"/>
  <c r="L133" i="26"/>
  <c r="I133" i="26"/>
  <c r="F133" i="26"/>
  <c r="O132" i="26"/>
  <c r="O131" i="26" s="1"/>
  <c r="L132" i="26"/>
  <c r="L131" i="26" s="1"/>
  <c r="I132" i="26"/>
  <c r="F132" i="26"/>
  <c r="N131" i="26"/>
  <c r="M131" i="26"/>
  <c r="K131" i="26"/>
  <c r="J131" i="26"/>
  <c r="H131" i="26"/>
  <c r="G131" i="26"/>
  <c r="E131" i="26"/>
  <c r="D131" i="26"/>
  <c r="D130" i="26" s="1"/>
  <c r="O129" i="26"/>
  <c r="L129" i="26"/>
  <c r="L128" i="26" s="1"/>
  <c r="I129" i="26"/>
  <c r="I128" i="26" s="1"/>
  <c r="F129" i="26"/>
  <c r="O128" i="26"/>
  <c r="N128" i="26"/>
  <c r="M128" i="26"/>
  <c r="K128" i="26"/>
  <c r="J128" i="26"/>
  <c r="H128" i="26"/>
  <c r="G128" i="26"/>
  <c r="F128" i="26"/>
  <c r="E128" i="26"/>
  <c r="D128" i="26"/>
  <c r="O127" i="26"/>
  <c r="L127" i="26"/>
  <c r="I127" i="26"/>
  <c r="F127" i="26"/>
  <c r="O126" i="26"/>
  <c r="L126" i="26"/>
  <c r="I126" i="26"/>
  <c r="F126" i="26"/>
  <c r="O125" i="26"/>
  <c r="L125" i="26"/>
  <c r="I125" i="26"/>
  <c r="F125" i="26"/>
  <c r="O124" i="26"/>
  <c r="L124" i="26"/>
  <c r="I124" i="26"/>
  <c r="F124" i="26"/>
  <c r="O123" i="26"/>
  <c r="O122" i="26" s="1"/>
  <c r="L123" i="26"/>
  <c r="I123" i="26"/>
  <c r="F123" i="26"/>
  <c r="N122" i="26"/>
  <c r="M122" i="26"/>
  <c r="K122" i="26"/>
  <c r="J122" i="26"/>
  <c r="H122" i="26"/>
  <c r="G122" i="26"/>
  <c r="E122" i="26"/>
  <c r="D122" i="26"/>
  <c r="O121" i="26"/>
  <c r="L121" i="26"/>
  <c r="I121" i="26"/>
  <c r="F121" i="26"/>
  <c r="O120" i="26"/>
  <c r="L120" i="26"/>
  <c r="I120" i="26"/>
  <c r="F120" i="26"/>
  <c r="O119" i="26"/>
  <c r="L119" i="26"/>
  <c r="I119" i="26"/>
  <c r="F119" i="26"/>
  <c r="O118" i="26"/>
  <c r="L118" i="26"/>
  <c r="I118" i="26"/>
  <c r="F118" i="26"/>
  <c r="O117" i="26"/>
  <c r="L117" i="26"/>
  <c r="I117" i="26"/>
  <c r="F117" i="26"/>
  <c r="F116" i="26" s="1"/>
  <c r="N116" i="26"/>
  <c r="M116" i="26"/>
  <c r="K116" i="26"/>
  <c r="J116" i="26"/>
  <c r="H116" i="26"/>
  <c r="G116" i="26"/>
  <c r="E116" i="26"/>
  <c r="D116" i="26"/>
  <c r="O115" i="26"/>
  <c r="L115" i="26"/>
  <c r="I115" i="26"/>
  <c r="F115" i="26"/>
  <c r="O114" i="26"/>
  <c r="L114" i="26"/>
  <c r="I114" i="26"/>
  <c r="F114" i="26"/>
  <c r="O113" i="26"/>
  <c r="L113" i="26"/>
  <c r="I113" i="26"/>
  <c r="F113" i="26"/>
  <c r="O112" i="26"/>
  <c r="N112" i="26"/>
  <c r="M112" i="26"/>
  <c r="K112" i="26"/>
  <c r="J112" i="26"/>
  <c r="H112" i="26"/>
  <c r="G112" i="26"/>
  <c r="F112" i="26"/>
  <c r="E112" i="26"/>
  <c r="D112" i="26"/>
  <c r="O111" i="26"/>
  <c r="L111" i="26"/>
  <c r="I111" i="26"/>
  <c r="F111" i="26"/>
  <c r="O110" i="26"/>
  <c r="L110" i="26"/>
  <c r="I110" i="26"/>
  <c r="F110" i="26"/>
  <c r="O109" i="26"/>
  <c r="L109" i="26"/>
  <c r="I109" i="26"/>
  <c r="F109" i="26"/>
  <c r="O108" i="26"/>
  <c r="L108" i="26"/>
  <c r="I108" i="26"/>
  <c r="F108" i="26"/>
  <c r="O107" i="26"/>
  <c r="L107" i="26"/>
  <c r="I107" i="26"/>
  <c r="F107" i="26"/>
  <c r="O106" i="26"/>
  <c r="L106" i="26"/>
  <c r="I106" i="26"/>
  <c r="F106" i="26"/>
  <c r="O105" i="26"/>
  <c r="L105" i="26"/>
  <c r="I105" i="26"/>
  <c r="F105" i="26"/>
  <c r="O104" i="26"/>
  <c r="L104" i="26"/>
  <c r="I104" i="26"/>
  <c r="F104" i="26"/>
  <c r="N103" i="26"/>
  <c r="M103" i="26"/>
  <c r="K103" i="26"/>
  <c r="J103" i="26"/>
  <c r="H103" i="26"/>
  <c r="G103" i="26"/>
  <c r="E103" i="26"/>
  <c r="D103" i="26"/>
  <c r="O102" i="26"/>
  <c r="L102" i="26"/>
  <c r="I102" i="26"/>
  <c r="F102" i="26"/>
  <c r="O101" i="26"/>
  <c r="L101" i="26"/>
  <c r="I101" i="26"/>
  <c r="F101" i="26"/>
  <c r="O100" i="26"/>
  <c r="L100" i="26"/>
  <c r="I100" i="26"/>
  <c r="F100" i="26"/>
  <c r="O99" i="26"/>
  <c r="L99" i="26"/>
  <c r="I99" i="26"/>
  <c r="F99" i="26"/>
  <c r="O98" i="26"/>
  <c r="L98" i="26"/>
  <c r="I98" i="26"/>
  <c r="F98" i="26"/>
  <c r="O97" i="26"/>
  <c r="L97" i="26"/>
  <c r="I97" i="26"/>
  <c r="F97" i="26"/>
  <c r="O96" i="26"/>
  <c r="O95" i="26" s="1"/>
  <c r="L96" i="26"/>
  <c r="L95" i="26" s="1"/>
  <c r="I96" i="26"/>
  <c r="E96" i="26"/>
  <c r="F96" i="26" s="1"/>
  <c r="F95" i="26" s="1"/>
  <c r="N95" i="26"/>
  <c r="M95" i="26"/>
  <c r="K95" i="26"/>
  <c r="J95" i="26"/>
  <c r="H95" i="26"/>
  <c r="G95" i="26"/>
  <c r="D95" i="26"/>
  <c r="O94" i="26"/>
  <c r="L94" i="26"/>
  <c r="I94" i="26"/>
  <c r="F94" i="26"/>
  <c r="O93" i="26"/>
  <c r="L93" i="26"/>
  <c r="I93" i="26"/>
  <c r="F93" i="26"/>
  <c r="O92" i="26"/>
  <c r="L92" i="26"/>
  <c r="I92" i="26"/>
  <c r="F92" i="26"/>
  <c r="O91" i="26"/>
  <c r="L91" i="26"/>
  <c r="I91" i="26"/>
  <c r="F91" i="26"/>
  <c r="O90" i="26"/>
  <c r="L90" i="26"/>
  <c r="I90" i="26"/>
  <c r="F90" i="26"/>
  <c r="N89" i="26"/>
  <c r="M89" i="26"/>
  <c r="K89" i="26"/>
  <c r="J89" i="26"/>
  <c r="H89" i="26"/>
  <c r="G89" i="26"/>
  <c r="E89" i="26"/>
  <c r="D89" i="26"/>
  <c r="O88" i="26"/>
  <c r="L88" i="26"/>
  <c r="I88" i="26"/>
  <c r="F88" i="26"/>
  <c r="O87" i="26"/>
  <c r="L87" i="26"/>
  <c r="I87" i="26"/>
  <c r="F87" i="26"/>
  <c r="O86" i="26"/>
  <c r="L86" i="26"/>
  <c r="I86" i="26"/>
  <c r="F86" i="26"/>
  <c r="O85" i="26"/>
  <c r="L85" i="26"/>
  <c r="I85" i="26"/>
  <c r="F85" i="26"/>
  <c r="N84" i="26"/>
  <c r="M84" i="26"/>
  <c r="M83" i="26" s="1"/>
  <c r="K84" i="26"/>
  <c r="J84" i="26"/>
  <c r="H84" i="26"/>
  <c r="G84" i="26"/>
  <c r="E84" i="26"/>
  <c r="D84" i="26"/>
  <c r="H83" i="26"/>
  <c r="O82" i="26"/>
  <c r="L82" i="26"/>
  <c r="I82" i="26"/>
  <c r="F82" i="26"/>
  <c r="O81" i="26"/>
  <c r="L81" i="26"/>
  <c r="L80" i="26" s="1"/>
  <c r="I81" i="26"/>
  <c r="F81" i="26"/>
  <c r="F80" i="26" s="1"/>
  <c r="O80" i="26"/>
  <c r="N80" i="26"/>
  <c r="M80" i="26"/>
  <c r="K80" i="26"/>
  <c r="J80" i="26"/>
  <c r="H80" i="26"/>
  <c r="G80" i="26"/>
  <c r="E80" i="26"/>
  <c r="D80" i="26"/>
  <c r="O79" i="26"/>
  <c r="L79" i="26"/>
  <c r="I79" i="26"/>
  <c r="F79" i="26"/>
  <c r="O78" i="26"/>
  <c r="L78" i="26"/>
  <c r="L77" i="26" s="1"/>
  <c r="L76" i="26" s="1"/>
  <c r="I78" i="26"/>
  <c r="I77" i="26" s="1"/>
  <c r="F78" i="26"/>
  <c r="O77" i="26"/>
  <c r="N77" i="26"/>
  <c r="N76" i="26" s="1"/>
  <c r="M77" i="26"/>
  <c r="K77" i="26"/>
  <c r="J77" i="26"/>
  <c r="J76" i="26" s="1"/>
  <c r="H77" i="26"/>
  <c r="H76" i="26" s="1"/>
  <c r="G77" i="26"/>
  <c r="F77" i="26"/>
  <c r="E77" i="26"/>
  <c r="D77" i="26"/>
  <c r="D76" i="26" s="1"/>
  <c r="O76" i="26"/>
  <c r="K76" i="26"/>
  <c r="E76" i="26"/>
  <c r="O74" i="26"/>
  <c r="L74" i="26"/>
  <c r="I74" i="26"/>
  <c r="F74" i="26"/>
  <c r="O73" i="26"/>
  <c r="L73" i="26"/>
  <c r="I73" i="26"/>
  <c r="F73" i="26"/>
  <c r="O72" i="26"/>
  <c r="L72" i="26"/>
  <c r="I72" i="26"/>
  <c r="F72" i="26"/>
  <c r="O71" i="26"/>
  <c r="L71" i="26"/>
  <c r="I71" i="26"/>
  <c r="F71" i="26"/>
  <c r="O70" i="26"/>
  <c r="L70" i="26"/>
  <c r="L69" i="26" s="1"/>
  <c r="I70" i="26"/>
  <c r="I69" i="26" s="1"/>
  <c r="F70" i="26"/>
  <c r="F69" i="26" s="1"/>
  <c r="N69" i="26"/>
  <c r="N67" i="26" s="1"/>
  <c r="M69" i="26"/>
  <c r="K69" i="26"/>
  <c r="K67" i="26" s="1"/>
  <c r="J69" i="26"/>
  <c r="J67" i="26" s="1"/>
  <c r="H69" i="26"/>
  <c r="G69" i="26"/>
  <c r="G67" i="26" s="1"/>
  <c r="E69" i="26"/>
  <c r="D69" i="26"/>
  <c r="O68" i="26"/>
  <c r="L68" i="26"/>
  <c r="I68" i="26"/>
  <c r="F68" i="26"/>
  <c r="M67" i="26"/>
  <c r="H67" i="26"/>
  <c r="E67" i="26"/>
  <c r="D67" i="26"/>
  <c r="O66" i="26"/>
  <c r="L66" i="26"/>
  <c r="I66" i="26"/>
  <c r="F66" i="26"/>
  <c r="O65" i="26"/>
  <c r="L65" i="26"/>
  <c r="I65" i="26"/>
  <c r="F65" i="26"/>
  <c r="O64" i="26"/>
  <c r="L64" i="26"/>
  <c r="I64" i="26"/>
  <c r="F64" i="26"/>
  <c r="C64" i="26" s="1"/>
  <c r="O63" i="26"/>
  <c r="L63" i="26"/>
  <c r="I63" i="26"/>
  <c r="F63" i="26"/>
  <c r="O62" i="26"/>
  <c r="L62" i="26"/>
  <c r="I62" i="26"/>
  <c r="F62" i="26"/>
  <c r="O61" i="26"/>
  <c r="L61" i="26"/>
  <c r="I61" i="26"/>
  <c r="F61" i="26"/>
  <c r="O60" i="26"/>
  <c r="L60" i="26"/>
  <c r="I60" i="26"/>
  <c r="F60" i="26"/>
  <c r="O59" i="26"/>
  <c r="L59" i="26"/>
  <c r="I59" i="26"/>
  <c r="F59" i="26"/>
  <c r="N58" i="26"/>
  <c r="M58" i="26"/>
  <c r="K58" i="26"/>
  <c r="J58" i="26"/>
  <c r="I58" i="26"/>
  <c r="H58" i="26"/>
  <c r="G58" i="26"/>
  <c r="E58" i="26"/>
  <c r="D58" i="26"/>
  <c r="O57" i="26"/>
  <c r="L57" i="26"/>
  <c r="I57" i="26"/>
  <c r="F57" i="26"/>
  <c r="O56" i="26"/>
  <c r="O55" i="26" s="1"/>
  <c r="L56" i="26"/>
  <c r="I56" i="26"/>
  <c r="I55" i="26" s="1"/>
  <c r="I54" i="26" s="1"/>
  <c r="F56" i="26"/>
  <c r="F55" i="26" s="1"/>
  <c r="N55" i="26"/>
  <c r="M55" i="26"/>
  <c r="L55" i="26"/>
  <c r="K55" i="26"/>
  <c r="J55" i="26"/>
  <c r="H55" i="26"/>
  <c r="H54" i="26" s="1"/>
  <c r="H53" i="26" s="1"/>
  <c r="G55" i="26"/>
  <c r="E55" i="26"/>
  <c r="D55" i="26"/>
  <c r="N54" i="26"/>
  <c r="M54" i="26"/>
  <c r="M53" i="26" s="1"/>
  <c r="K54" i="26"/>
  <c r="J54" i="26"/>
  <c r="G54" i="26"/>
  <c r="E54" i="26"/>
  <c r="O47" i="26"/>
  <c r="C47" i="26"/>
  <c r="O46" i="26"/>
  <c r="C46" i="26" s="1"/>
  <c r="N45" i="26"/>
  <c r="M45" i="26"/>
  <c r="L44" i="26"/>
  <c r="L43" i="26" s="1"/>
  <c r="I44" i="26"/>
  <c r="F44" i="26"/>
  <c r="F43" i="26" s="1"/>
  <c r="K43" i="26"/>
  <c r="J43" i="26"/>
  <c r="H43" i="26"/>
  <c r="G43" i="26"/>
  <c r="E43" i="26"/>
  <c r="D43" i="26"/>
  <c r="F42" i="26"/>
  <c r="C42" i="26" s="1"/>
  <c r="F41" i="26"/>
  <c r="C41" i="26" s="1"/>
  <c r="E41" i="26"/>
  <c r="D41" i="26"/>
  <c r="L40" i="26"/>
  <c r="C40" i="26"/>
  <c r="L39" i="26"/>
  <c r="C39" i="26" s="1"/>
  <c r="L38" i="26"/>
  <c r="C38" i="26"/>
  <c r="L37" i="26"/>
  <c r="C37" i="26" s="1"/>
  <c r="K36" i="26"/>
  <c r="J36" i="26"/>
  <c r="L35" i="26"/>
  <c r="L33" i="26" s="1"/>
  <c r="C33" i="26" s="1"/>
  <c r="C35" i="26"/>
  <c r="L34" i="26"/>
  <c r="C34" i="26" s="1"/>
  <c r="K33" i="26"/>
  <c r="J33" i="26"/>
  <c r="L32" i="26"/>
  <c r="L31" i="26" s="1"/>
  <c r="K31" i="26"/>
  <c r="J31" i="26"/>
  <c r="L30" i="26"/>
  <c r="C30" i="26" s="1"/>
  <c r="L29" i="26"/>
  <c r="C29" i="26" s="1"/>
  <c r="L28" i="26"/>
  <c r="K27" i="26"/>
  <c r="J27" i="26"/>
  <c r="K26" i="26"/>
  <c r="F25" i="26"/>
  <c r="C25" i="26" s="1"/>
  <c r="I24" i="26"/>
  <c r="E24" i="26"/>
  <c r="O23" i="26"/>
  <c r="L23" i="26"/>
  <c r="I23" i="26"/>
  <c r="F23" i="26"/>
  <c r="O22" i="26"/>
  <c r="L22" i="26"/>
  <c r="I22" i="26"/>
  <c r="F22" i="26"/>
  <c r="F21" i="26" s="1"/>
  <c r="O21" i="26"/>
  <c r="O292" i="26" s="1"/>
  <c r="O291" i="26" s="1"/>
  <c r="N21" i="26"/>
  <c r="N292" i="26" s="1"/>
  <c r="N291" i="26" s="1"/>
  <c r="M21" i="26"/>
  <c r="M292" i="26" s="1"/>
  <c r="M291" i="26" s="1"/>
  <c r="K21" i="26"/>
  <c r="K292" i="26" s="1"/>
  <c r="K291" i="26" s="1"/>
  <c r="J21" i="26"/>
  <c r="J292" i="26" s="1"/>
  <c r="J291" i="26" s="1"/>
  <c r="H21" i="26"/>
  <c r="H292" i="26" s="1"/>
  <c r="H291" i="26" s="1"/>
  <c r="G21" i="26"/>
  <c r="G292" i="26" s="1"/>
  <c r="E21" i="26"/>
  <c r="E292" i="26" s="1"/>
  <c r="E291" i="26" s="1"/>
  <c r="D21" i="26"/>
  <c r="D292" i="26" s="1"/>
  <c r="D291" i="26" s="1"/>
  <c r="M20" i="26"/>
  <c r="C71" i="26" l="1"/>
  <c r="C88" i="26"/>
  <c r="C115" i="26"/>
  <c r="G174" i="26"/>
  <c r="G173" i="26" s="1"/>
  <c r="H231" i="26"/>
  <c r="C163" i="26"/>
  <c r="I187" i="26"/>
  <c r="C242" i="26"/>
  <c r="C245" i="26"/>
  <c r="C282" i="26"/>
  <c r="H174" i="26"/>
  <c r="H173" i="26" s="1"/>
  <c r="C227" i="26"/>
  <c r="L27" i="26"/>
  <c r="C27" i="26" s="1"/>
  <c r="C92" i="26"/>
  <c r="C135" i="26"/>
  <c r="C171" i="26"/>
  <c r="I252" i="26"/>
  <c r="I251" i="26" s="1"/>
  <c r="D259" i="26"/>
  <c r="H20" i="26"/>
  <c r="O45" i="26"/>
  <c r="C66" i="26"/>
  <c r="C99" i="26"/>
  <c r="C101" i="26"/>
  <c r="C120" i="26"/>
  <c r="C132" i="26"/>
  <c r="C140" i="26"/>
  <c r="C159" i="26"/>
  <c r="C160" i="26"/>
  <c r="C162" i="26"/>
  <c r="C202" i="26"/>
  <c r="C214" i="26"/>
  <c r="C222" i="26"/>
  <c r="H230" i="26"/>
  <c r="C274" i="26"/>
  <c r="D270" i="26"/>
  <c r="C298" i="26"/>
  <c r="C300" i="26"/>
  <c r="C28" i="26"/>
  <c r="C32" i="26"/>
  <c r="C60" i="26"/>
  <c r="C61" i="26"/>
  <c r="C85" i="26"/>
  <c r="O116" i="26"/>
  <c r="E130" i="26"/>
  <c r="C180" i="26"/>
  <c r="G187" i="26"/>
  <c r="C206" i="26"/>
  <c r="C212" i="26"/>
  <c r="O246" i="26"/>
  <c r="O252" i="26"/>
  <c r="O251" i="26" s="1"/>
  <c r="C262" i="26"/>
  <c r="C266" i="26"/>
  <c r="C278" i="26"/>
  <c r="C294" i="26"/>
  <c r="O69" i="26"/>
  <c r="C119" i="26"/>
  <c r="C128" i="26"/>
  <c r="C139" i="26"/>
  <c r="L141" i="26"/>
  <c r="M130" i="26"/>
  <c r="C167" i="26"/>
  <c r="C169" i="26"/>
  <c r="C170" i="26"/>
  <c r="J231" i="26"/>
  <c r="C258" i="26"/>
  <c r="K259" i="26"/>
  <c r="H270" i="26"/>
  <c r="H269" i="26" s="1"/>
  <c r="J53" i="26"/>
  <c r="G76" i="26"/>
  <c r="M76" i="26"/>
  <c r="C82" i="26"/>
  <c r="F89" i="26"/>
  <c r="C91" i="26"/>
  <c r="O89" i="26"/>
  <c r="C111" i="26"/>
  <c r="D83" i="26"/>
  <c r="C123" i="26"/>
  <c r="C183" i="26"/>
  <c r="C218" i="26"/>
  <c r="M231" i="26"/>
  <c r="O272" i="26"/>
  <c r="E20" i="26"/>
  <c r="C72" i="26"/>
  <c r="D75" i="26"/>
  <c r="H195" i="26"/>
  <c r="N230" i="26"/>
  <c r="G291" i="26"/>
  <c r="C23" i="26"/>
  <c r="C44" i="26"/>
  <c r="D54" i="26"/>
  <c r="D53" i="26" s="1"/>
  <c r="C59" i="26"/>
  <c r="O58" i="26"/>
  <c r="C65" i="26"/>
  <c r="K53" i="26"/>
  <c r="I67" i="26"/>
  <c r="I53" i="26" s="1"/>
  <c r="C96" i="26"/>
  <c r="C100" i="26"/>
  <c r="C104" i="26"/>
  <c r="J83" i="26"/>
  <c r="C118" i="26"/>
  <c r="C124" i="26"/>
  <c r="C137" i="26"/>
  <c r="C138" i="26"/>
  <c r="C142" i="26"/>
  <c r="C149" i="26"/>
  <c r="C158" i="26"/>
  <c r="C184" i="26"/>
  <c r="C186" i="26"/>
  <c r="L187" i="26"/>
  <c r="K195" i="26"/>
  <c r="C201" i="26"/>
  <c r="D204" i="26"/>
  <c r="D195" i="26" s="1"/>
  <c r="C211" i="26"/>
  <c r="C221" i="26"/>
  <c r="C226" i="26"/>
  <c r="C228" i="26"/>
  <c r="C229" i="26"/>
  <c r="D231" i="26"/>
  <c r="D230" i="26" s="1"/>
  <c r="C257" i="26"/>
  <c r="O260" i="26"/>
  <c r="C268" i="26"/>
  <c r="O276" i="26"/>
  <c r="C22" i="26"/>
  <c r="J26" i="26"/>
  <c r="L36" i="26"/>
  <c r="C36" i="26" s="1"/>
  <c r="E53" i="26"/>
  <c r="C57" i="26"/>
  <c r="C63" i="26"/>
  <c r="G53" i="26"/>
  <c r="L67" i="26"/>
  <c r="C74" i="26"/>
  <c r="C79" i="26"/>
  <c r="O84" i="26"/>
  <c r="G83" i="26"/>
  <c r="G75" i="26" s="1"/>
  <c r="G52" i="26" s="1"/>
  <c r="C98" i="26"/>
  <c r="C108" i="26"/>
  <c r="C113" i="26"/>
  <c r="C114" i="26"/>
  <c r="G130" i="26"/>
  <c r="C133" i="26"/>
  <c r="C148" i="26"/>
  <c r="C152" i="26"/>
  <c r="C168" i="26"/>
  <c r="L196" i="26"/>
  <c r="C203" i="26"/>
  <c r="C210" i="26"/>
  <c r="M204" i="26"/>
  <c r="C223" i="26"/>
  <c r="C225" i="26"/>
  <c r="C237" i="26"/>
  <c r="C243" i="26"/>
  <c r="C256" i="26"/>
  <c r="G269" i="26"/>
  <c r="N270" i="26"/>
  <c r="N269" i="26" s="1"/>
  <c r="C275" i="26"/>
  <c r="D269" i="26"/>
  <c r="C299" i="26"/>
  <c r="I103" i="26"/>
  <c r="L112" i="26"/>
  <c r="I122" i="26"/>
  <c r="N83" i="26"/>
  <c r="J130" i="26"/>
  <c r="O173" i="26"/>
  <c r="C250" i="26"/>
  <c r="I293" i="26"/>
  <c r="C56" i="26"/>
  <c r="L58" i="26"/>
  <c r="L54" i="26" s="1"/>
  <c r="L53" i="26" s="1"/>
  <c r="C62" i="26"/>
  <c r="F67" i="26"/>
  <c r="N53" i="26"/>
  <c r="C73" i="26"/>
  <c r="K83" i="26"/>
  <c r="C93" i="26"/>
  <c r="C97" i="26"/>
  <c r="C107" i="26"/>
  <c r="C109" i="26"/>
  <c r="C110" i="26"/>
  <c r="I112" i="26"/>
  <c r="C112" i="26" s="1"/>
  <c r="C127" i="26"/>
  <c r="I131" i="26"/>
  <c r="L136" i="26"/>
  <c r="C136" i="26" s="1"/>
  <c r="C146" i="26"/>
  <c r="H130" i="26"/>
  <c r="H75" i="26" s="1"/>
  <c r="H52" i="26" s="1"/>
  <c r="C156" i="26"/>
  <c r="C164" i="26"/>
  <c r="C172" i="26"/>
  <c r="N174" i="26"/>
  <c r="C176" i="26"/>
  <c r="I179" i="26"/>
  <c r="I174" i="26" s="1"/>
  <c r="I173" i="26" s="1"/>
  <c r="N173" i="26"/>
  <c r="K187" i="26"/>
  <c r="C189" i="26"/>
  <c r="C190" i="26"/>
  <c r="C207" i="26"/>
  <c r="C213" i="26"/>
  <c r="C224" i="26"/>
  <c r="J204" i="26"/>
  <c r="J195" i="26" s="1"/>
  <c r="N204" i="26"/>
  <c r="N195" i="26" s="1"/>
  <c r="C234" i="26"/>
  <c r="K231" i="26"/>
  <c r="K230" i="26" s="1"/>
  <c r="K194" i="26" s="1"/>
  <c r="O264" i="26"/>
  <c r="O270" i="26"/>
  <c r="O269" i="26" s="1"/>
  <c r="F293" i="26"/>
  <c r="C297" i="26"/>
  <c r="D52" i="26"/>
  <c r="O130" i="26"/>
  <c r="F292" i="26"/>
  <c r="F291" i="26" s="1"/>
  <c r="C31" i="26"/>
  <c r="J20" i="26"/>
  <c r="O67" i="26"/>
  <c r="F76" i="26"/>
  <c r="D289" i="26"/>
  <c r="C55" i="26"/>
  <c r="C69" i="26"/>
  <c r="O54" i="26"/>
  <c r="M75" i="26"/>
  <c r="M52" i="26" s="1"/>
  <c r="C87" i="26"/>
  <c r="F84" i="26"/>
  <c r="C154" i="26"/>
  <c r="F151" i="26"/>
  <c r="C301" i="26"/>
  <c r="L21" i="26"/>
  <c r="C81" i="26"/>
  <c r="I89" i="26"/>
  <c r="C90" i="26"/>
  <c r="O103" i="26"/>
  <c r="C141" i="26"/>
  <c r="L175" i="26"/>
  <c r="L179" i="26"/>
  <c r="C220" i="26"/>
  <c r="I216" i="26"/>
  <c r="O231" i="26"/>
  <c r="C241" i="26"/>
  <c r="F238" i="26"/>
  <c r="L252" i="26"/>
  <c r="L251" i="26" s="1"/>
  <c r="C255" i="26"/>
  <c r="L264" i="26"/>
  <c r="C267" i="26"/>
  <c r="C295" i="26"/>
  <c r="L293" i="26"/>
  <c r="I43" i="26"/>
  <c r="C43" i="26" s="1"/>
  <c r="C45" i="26"/>
  <c r="C70" i="26"/>
  <c r="C78" i="26"/>
  <c r="I80" i="26"/>
  <c r="I76" i="26" s="1"/>
  <c r="L89" i="26"/>
  <c r="C94" i="26"/>
  <c r="I95" i="26"/>
  <c r="C95" i="26" s="1"/>
  <c r="L103" i="26"/>
  <c r="I116" i="26"/>
  <c r="C117" i="26"/>
  <c r="L122" i="26"/>
  <c r="F122" i="26"/>
  <c r="F144" i="26"/>
  <c r="C145" i="26"/>
  <c r="C157" i="26"/>
  <c r="C161" i="26"/>
  <c r="O165" i="26"/>
  <c r="C177" i="26"/>
  <c r="C178" i="26"/>
  <c r="F175" i="26"/>
  <c r="C181" i="26"/>
  <c r="C182" i="26"/>
  <c r="F179" i="26"/>
  <c r="C185" i="26"/>
  <c r="C193" i="26"/>
  <c r="F192" i="26"/>
  <c r="C208" i="26"/>
  <c r="I205" i="26"/>
  <c r="C233" i="26"/>
  <c r="C249" i="26"/>
  <c r="F246" i="26"/>
  <c r="F231" i="26" s="1"/>
  <c r="C253" i="26"/>
  <c r="F252" i="26"/>
  <c r="C265" i="26"/>
  <c r="F264" i="26"/>
  <c r="C264" i="26" s="1"/>
  <c r="C68" i="26"/>
  <c r="C271" i="26"/>
  <c r="C273" i="26"/>
  <c r="F272" i="26"/>
  <c r="C285" i="26"/>
  <c r="F284" i="26"/>
  <c r="F58" i="26"/>
  <c r="C58" i="26" s="1"/>
  <c r="C77" i="26"/>
  <c r="C86" i="26"/>
  <c r="I84" i="26"/>
  <c r="C134" i="26"/>
  <c r="F131" i="26"/>
  <c r="C153" i="26"/>
  <c r="I151" i="26"/>
  <c r="C188" i="26"/>
  <c r="C209" i="26"/>
  <c r="F205" i="26"/>
  <c r="N20" i="26"/>
  <c r="I21" i="26"/>
  <c r="C21" i="26" s="1"/>
  <c r="G20" i="26"/>
  <c r="K20" i="26"/>
  <c r="O20" i="26"/>
  <c r="L84" i="26"/>
  <c r="E95" i="26"/>
  <c r="E83" i="26" s="1"/>
  <c r="E75" i="26" s="1"/>
  <c r="C102" i="26"/>
  <c r="C105" i="26"/>
  <c r="C106" i="26"/>
  <c r="F103" i="26"/>
  <c r="L116" i="26"/>
  <c r="C121" i="26"/>
  <c r="C125" i="26"/>
  <c r="C126" i="26"/>
  <c r="C129" i="26"/>
  <c r="K130" i="26"/>
  <c r="N130" i="26"/>
  <c r="N75" i="26" s="1"/>
  <c r="N289" i="26" s="1"/>
  <c r="I144" i="26"/>
  <c r="I130" i="26" s="1"/>
  <c r="L151" i="26"/>
  <c r="L130" i="26" s="1"/>
  <c r="L166" i="26"/>
  <c r="L165" i="26" s="1"/>
  <c r="F166" i="26"/>
  <c r="E187" i="26"/>
  <c r="M195" i="26"/>
  <c r="C200" i="26"/>
  <c r="I198" i="26"/>
  <c r="I196" i="26" s="1"/>
  <c r="C248" i="26"/>
  <c r="I246" i="26"/>
  <c r="C280" i="26"/>
  <c r="C288" i="26"/>
  <c r="N194" i="26"/>
  <c r="C197" i="26"/>
  <c r="F196" i="26"/>
  <c r="D194" i="26"/>
  <c r="C215" i="26"/>
  <c r="L216" i="26"/>
  <c r="L204" i="26" s="1"/>
  <c r="C219" i="26"/>
  <c r="C232" i="26"/>
  <c r="G231" i="26"/>
  <c r="G230" i="26" s="1"/>
  <c r="G194" i="26" s="1"/>
  <c r="C240" i="26"/>
  <c r="I238" i="26"/>
  <c r="I231" i="26" s="1"/>
  <c r="C244" i="26"/>
  <c r="C247" i="26"/>
  <c r="L246" i="26"/>
  <c r="I259" i="26"/>
  <c r="L260" i="26"/>
  <c r="L259" i="26" s="1"/>
  <c r="C263" i="26"/>
  <c r="L276" i="26"/>
  <c r="L270" i="26" s="1"/>
  <c r="L269" i="26" s="1"/>
  <c r="C279" i="26"/>
  <c r="C287" i="26"/>
  <c r="L286" i="26"/>
  <c r="O196" i="26"/>
  <c r="O205" i="26"/>
  <c r="C217" i="26"/>
  <c r="F216" i="26"/>
  <c r="O216" i="26"/>
  <c r="J230" i="26"/>
  <c r="C235" i="26"/>
  <c r="C236" i="26"/>
  <c r="C239" i="26"/>
  <c r="L238" i="26"/>
  <c r="L231" i="26" s="1"/>
  <c r="M230" i="26"/>
  <c r="E259" i="26"/>
  <c r="E230" i="26" s="1"/>
  <c r="C261" i="26"/>
  <c r="F260" i="26"/>
  <c r="O259" i="26"/>
  <c r="I270" i="26"/>
  <c r="I269" i="26" s="1"/>
  <c r="M270" i="26"/>
  <c r="M269" i="26" s="1"/>
  <c r="C277" i="26"/>
  <c r="F276" i="26"/>
  <c r="C281" i="26"/>
  <c r="C293" i="26"/>
  <c r="C296" i="26"/>
  <c r="C199" i="26"/>
  <c r="H194" i="26" l="1"/>
  <c r="H51" i="26" s="1"/>
  <c r="C198" i="26"/>
  <c r="I230" i="26"/>
  <c r="J75" i="26"/>
  <c r="J52" i="26" s="1"/>
  <c r="C116" i="26"/>
  <c r="C89" i="26"/>
  <c r="E52" i="26"/>
  <c r="L230" i="26"/>
  <c r="O83" i="26"/>
  <c r="O75" i="26" s="1"/>
  <c r="J194" i="26"/>
  <c r="I83" i="26"/>
  <c r="I75" i="26" s="1"/>
  <c r="I52" i="26" s="1"/>
  <c r="K75" i="26"/>
  <c r="K52" i="26" s="1"/>
  <c r="K51" i="26" s="1"/>
  <c r="C122" i="26"/>
  <c r="L195" i="26"/>
  <c r="M194" i="26"/>
  <c r="C179" i="26"/>
  <c r="L174" i="26"/>
  <c r="L173" i="26" s="1"/>
  <c r="H289" i="26"/>
  <c r="C67" i="26"/>
  <c r="L26" i="26"/>
  <c r="D51" i="26"/>
  <c r="D50" i="26" s="1"/>
  <c r="K289" i="26"/>
  <c r="E289" i="26"/>
  <c r="E194" i="26"/>
  <c r="E51" i="26" s="1"/>
  <c r="L194" i="26"/>
  <c r="C231" i="26"/>
  <c r="L292" i="26"/>
  <c r="L291" i="26" s="1"/>
  <c r="L20" i="26"/>
  <c r="M51" i="26"/>
  <c r="M289" i="26"/>
  <c r="O204" i="26"/>
  <c r="O195" i="26" s="1"/>
  <c r="C103" i="26"/>
  <c r="C205" i="26"/>
  <c r="F204" i="26"/>
  <c r="N52" i="26"/>
  <c r="N51" i="26" s="1"/>
  <c r="F270" i="26"/>
  <c r="C272" i="26"/>
  <c r="F174" i="26"/>
  <c r="C175" i="26"/>
  <c r="F83" i="26"/>
  <c r="C84" i="26"/>
  <c r="C166" i="26"/>
  <c r="F165" i="26"/>
  <c r="C165" i="26" s="1"/>
  <c r="L83" i="26"/>
  <c r="L75" i="26" s="1"/>
  <c r="L52" i="26" s="1"/>
  <c r="L51" i="26" s="1"/>
  <c r="L50" i="26" s="1"/>
  <c r="C284" i="26"/>
  <c r="F283" i="26"/>
  <c r="C283" i="26" s="1"/>
  <c r="C246" i="26"/>
  <c r="I204" i="26"/>
  <c r="I195" i="26" s="1"/>
  <c r="C192" i="26"/>
  <c r="F191" i="26"/>
  <c r="O230" i="26"/>
  <c r="C151" i="26"/>
  <c r="C80" i="26"/>
  <c r="C76" i="26"/>
  <c r="C260" i="26"/>
  <c r="F259" i="26"/>
  <c r="C259" i="26" s="1"/>
  <c r="C286" i="26"/>
  <c r="C238" i="26"/>
  <c r="C276" i="26"/>
  <c r="C216" i="26"/>
  <c r="C196" i="26"/>
  <c r="F195" i="26"/>
  <c r="I292" i="26"/>
  <c r="I291" i="26" s="1"/>
  <c r="I20" i="26"/>
  <c r="F130" i="26"/>
  <c r="C130" i="26" s="1"/>
  <c r="C131" i="26"/>
  <c r="C252" i="26"/>
  <c r="F251" i="26"/>
  <c r="C251" i="26" s="1"/>
  <c r="C144" i="26"/>
  <c r="G289" i="26"/>
  <c r="O53" i="26"/>
  <c r="F54" i="26"/>
  <c r="G51" i="26"/>
  <c r="C26" i="26"/>
  <c r="H290" i="26" l="1"/>
  <c r="H50" i="26"/>
  <c r="J289" i="26"/>
  <c r="J51" i="26"/>
  <c r="F230" i="26"/>
  <c r="C230" i="26" s="1"/>
  <c r="D24" i="26"/>
  <c r="O52" i="26"/>
  <c r="C291" i="26"/>
  <c r="I194" i="26"/>
  <c r="I51" i="26" s="1"/>
  <c r="I289" i="26"/>
  <c r="E290" i="26"/>
  <c r="E50" i="26"/>
  <c r="M50" i="26"/>
  <c r="M290" i="26"/>
  <c r="F53" i="26"/>
  <c r="C54" i="26"/>
  <c r="F75" i="26"/>
  <c r="C75" i="26" s="1"/>
  <c r="O289" i="26"/>
  <c r="C83" i="26"/>
  <c r="F269" i="26"/>
  <c r="C270" i="26"/>
  <c r="F24" i="26"/>
  <c r="D20" i="26"/>
  <c r="G50" i="26"/>
  <c r="G290" i="26"/>
  <c r="L289" i="26"/>
  <c r="C191" i="26"/>
  <c r="F187" i="26"/>
  <c r="C187" i="26" s="1"/>
  <c r="N50" i="26"/>
  <c r="N290" i="26"/>
  <c r="K50" i="26"/>
  <c r="K290" i="26"/>
  <c r="L290" i="26"/>
  <c r="C195" i="26"/>
  <c r="C292" i="26"/>
  <c r="O194" i="26"/>
  <c r="O51" i="26" s="1"/>
  <c r="C174" i="26"/>
  <c r="F173" i="26"/>
  <c r="C173" i="26" s="1"/>
  <c r="C204" i="26"/>
  <c r="D290" i="26"/>
  <c r="J50" i="26" l="1"/>
  <c r="J290" i="26"/>
  <c r="O50" i="26"/>
  <c r="O290" i="26"/>
  <c r="C269" i="26"/>
  <c r="F289" i="26"/>
  <c r="C289" i="26" s="1"/>
  <c r="F194" i="26"/>
  <c r="C194" i="26" s="1"/>
  <c r="F52" i="26"/>
  <c r="C53" i="26"/>
  <c r="C24" i="26"/>
  <c r="F20" i="26"/>
  <c r="C20" i="26" s="1"/>
  <c r="I290" i="26"/>
  <c r="I50" i="26"/>
  <c r="C52" i="26" l="1"/>
  <c r="F51" i="26"/>
  <c r="F290" i="26" l="1"/>
  <c r="C290" i="26" s="1"/>
  <c r="C51" i="26"/>
  <c r="F50" i="26"/>
  <c r="C50" i="26" s="1"/>
  <c r="O301" i="25" l="1"/>
  <c r="L301" i="25"/>
  <c r="I301" i="25"/>
  <c r="F301" i="25"/>
  <c r="O300" i="25"/>
  <c r="L300" i="25"/>
  <c r="I300" i="25"/>
  <c r="F300" i="25"/>
  <c r="O299" i="25"/>
  <c r="L299" i="25"/>
  <c r="I299" i="25"/>
  <c r="F299" i="25"/>
  <c r="O298" i="25"/>
  <c r="L298" i="25"/>
  <c r="I298" i="25"/>
  <c r="F298" i="25"/>
  <c r="O297" i="25"/>
  <c r="L297" i="25"/>
  <c r="I297" i="25"/>
  <c r="F297" i="25"/>
  <c r="O296" i="25"/>
  <c r="L296" i="25"/>
  <c r="I296" i="25"/>
  <c r="F296" i="25"/>
  <c r="O295" i="25"/>
  <c r="L295" i="25"/>
  <c r="I295" i="25"/>
  <c r="F295" i="25"/>
  <c r="O294" i="25"/>
  <c r="L294" i="25"/>
  <c r="I294" i="25"/>
  <c r="F294" i="25"/>
  <c r="N293" i="25"/>
  <c r="M293" i="25"/>
  <c r="K293" i="25"/>
  <c r="J293" i="25"/>
  <c r="H293" i="25"/>
  <c r="G293" i="25"/>
  <c r="E293" i="25"/>
  <c r="D293" i="25"/>
  <c r="O288" i="25"/>
  <c r="L288" i="25"/>
  <c r="I288" i="25"/>
  <c r="F288" i="25"/>
  <c r="O287" i="25"/>
  <c r="L287" i="25"/>
  <c r="L286" i="25" s="1"/>
  <c r="I287" i="25"/>
  <c r="F287" i="25"/>
  <c r="F286" i="25" s="1"/>
  <c r="O286" i="25"/>
  <c r="N286" i="25"/>
  <c r="M286" i="25"/>
  <c r="K286" i="25"/>
  <c r="J286" i="25"/>
  <c r="H286" i="25"/>
  <c r="G286" i="25"/>
  <c r="E286" i="25"/>
  <c r="D286" i="25"/>
  <c r="O285" i="25"/>
  <c r="L285" i="25"/>
  <c r="L284" i="25" s="1"/>
  <c r="L283" i="25" s="1"/>
  <c r="I285" i="25"/>
  <c r="I284" i="25" s="1"/>
  <c r="I283" i="25" s="1"/>
  <c r="F285" i="25"/>
  <c r="O284" i="25"/>
  <c r="O283" i="25" s="1"/>
  <c r="N284" i="25"/>
  <c r="N283" i="25" s="1"/>
  <c r="M284" i="25"/>
  <c r="M283" i="25" s="1"/>
  <c r="K284" i="25"/>
  <c r="K283" i="25" s="1"/>
  <c r="J284" i="25"/>
  <c r="J283" i="25" s="1"/>
  <c r="H284" i="25"/>
  <c r="H283" i="25" s="1"/>
  <c r="G284" i="25"/>
  <c r="G283" i="25" s="1"/>
  <c r="E284" i="25"/>
  <c r="E283" i="25" s="1"/>
  <c r="D284" i="25"/>
  <c r="D283" i="25" s="1"/>
  <c r="O282" i="25"/>
  <c r="O281" i="25" s="1"/>
  <c r="L282" i="25"/>
  <c r="L281" i="25" s="1"/>
  <c r="I282" i="25"/>
  <c r="I281" i="25" s="1"/>
  <c r="F282" i="25"/>
  <c r="N281" i="25"/>
  <c r="M281" i="25"/>
  <c r="K281" i="25"/>
  <c r="J281" i="25"/>
  <c r="H281" i="25"/>
  <c r="G281" i="25"/>
  <c r="E281" i="25"/>
  <c r="D281" i="25"/>
  <c r="O280" i="25"/>
  <c r="L280" i="25"/>
  <c r="I280" i="25"/>
  <c r="F280" i="25"/>
  <c r="O279" i="25"/>
  <c r="L279" i="25"/>
  <c r="I279" i="25"/>
  <c r="F279" i="25"/>
  <c r="O278" i="25"/>
  <c r="L278" i="25"/>
  <c r="I278" i="25"/>
  <c r="F278" i="25"/>
  <c r="O277" i="25"/>
  <c r="L277" i="25"/>
  <c r="L276" i="25" s="1"/>
  <c r="I277" i="25"/>
  <c r="I276" i="25" s="1"/>
  <c r="F277" i="25"/>
  <c r="N276" i="25"/>
  <c r="M276" i="25"/>
  <c r="K276" i="25"/>
  <c r="J276" i="25"/>
  <c r="H276" i="25"/>
  <c r="G276" i="25"/>
  <c r="E276" i="25"/>
  <c r="D276" i="25"/>
  <c r="O275" i="25"/>
  <c r="L275" i="25"/>
  <c r="I275" i="25"/>
  <c r="F275" i="25"/>
  <c r="O274" i="25"/>
  <c r="L274" i="25"/>
  <c r="I274" i="25"/>
  <c r="F274" i="25"/>
  <c r="O273" i="25"/>
  <c r="L273" i="25"/>
  <c r="I273" i="25"/>
  <c r="F273" i="25"/>
  <c r="N272" i="25"/>
  <c r="N270" i="25" s="1"/>
  <c r="N269" i="25" s="1"/>
  <c r="M272" i="25"/>
  <c r="K272" i="25"/>
  <c r="K270" i="25" s="1"/>
  <c r="K269" i="25" s="1"/>
  <c r="J272" i="25"/>
  <c r="J270" i="25" s="1"/>
  <c r="H272" i="25"/>
  <c r="G272" i="25"/>
  <c r="E272" i="25"/>
  <c r="D272" i="25"/>
  <c r="D270" i="25" s="1"/>
  <c r="O271" i="25"/>
  <c r="L271" i="25"/>
  <c r="I271" i="25"/>
  <c r="F271" i="25"/>
  <c r="O268" i="25"/>
  <c r="L268" i="25"/>
  <c r="I268" i="25"/>
  <c r="F268" i="25"/>
  <c r="O267" i="25"/>
  <c r="L267" i="25"/>
  <c r="I267" i="25"/>
  <c r="F267" i="25"/>
  <c r="O266" i="25"/>
  <c r="L266" i="25"/>
  <c r="I266" i="25"/>
  <c r="F266" i="25"/>
  <c r="O265" i="25"/>
  <c r="L265" i="25"/>
  <c r="I265" i="25"/>
  <c r="F265" i="25"/>
  <c r="N264" i="25"/>
  <c r="M264" i="25"/>
  <c r="K264" i="25"/>
  <c r="J264" i="25"/>
  <c r="H264" i="25"/>
  <c r="G264" i="25"/>
  <c r="E264" i="25"/>
  <c r="D264" i="25"/>
  <c r="O263" i="25"/>
  <c r="L263" i="25"/>
  <c r="I263" i="25"/>
  <c r="F263" i="25"/>
  <c r="O262" i="25"/>
  <c r="L262" i="25"/>
  <c r="I262" i="25"/>
  <c r="F262" i="25"/>
  <c r="O261" i="25"/>
  <c r="L261" i="25"/>
  <c r="I261" i="25"/>
  <c r="F261" i="25"/>
  <c r="N260" i="25"/>
  <c r="M260" i="25"/>
  <c r="K260" i="25"/>
  <c r="J260" i="25"/>
  <c r="H260" i="25"/>
  <c r="H259" i="25" s="1"/>
  <c r="G260" i="25"/>
  <c r="E260" i="25"/>
  <c r="E259" i="25" s="1"/>
  <c r="D260" i="25"/>
  <c r="D259" i="25" s="1"/>
  <c r="J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M252" i="25"/>
  <c r="M251" i="25" s="1"/>
  <c r="K252" i="25"/>
  <c r="K251" i="25" s="1"/>
  <c r="J252" i="25"/>
  <c r="J251" i="25" s="1"/>
  <c r="H252" i="25"/>
  <c r="H251" i="25" s="1"/>
  <c r="G252" i="25"/>
  <c r="G251" i="25" s="1"/>
  <c r="E252" i="25"/>
  <c r="E251" i="25" s="1"/>
  <c r="D252" i="25"/>
  <c r="D251" i="25" s="1"/>
  <c r="N251" i="25"/>
  <c r="O250" i="25"/>
  <c r="L250" i="25"/>
  <c r="I250" i="25"/>
  <c r="F250" i="25"/>
  <c r="O249" i="25"/>
  <c r="L249" i="25"/>
  <c r="I249" i="25"/>
  <c r="F249" i="25"/>
  <c r="O248" i="25"/>
  <c r="L248" i="25"/>
  <c r="I248" i="25"/>
  <c r="F248" i="25"/>
  <c r="O247" i="25"/>
  <c r="L247" i="25"/>
  <c r="I247" i="25"/>
  <c r="F247"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L238" i="25" s="1"/>
  <c r="I239" i="25"/>
  <c r="F239" i="25"/>
  <c r="N238" i="25"/>
  <c r="M238" i="25"/>
  <c r="K238" i="25"/>
  <c r="J238" i="25"/>
  <c r="H238" i="25"/>
  <c r="G238" i="25"/>
  <c r="E238" i="25"/>
  <c r="D238" i="25"/>
  <c r="O237" i="25"/>
  <c r="L237" i="25"/>
  <c r="I237" i="25"/>
  <c r="F237" i="25"/>
  <c r="O236" i="25"/>
  <c r="L236" i="25"/>
  <c r="L235" i="25" s="1"/>
  <c r="I236" i="25"/>
  <c r="F236" i="25"/>
  <c r="O235" i="25"/>
  <c r="N235" i="25"/>
  <c r="M235" i="25"/>
  <c r="K235" i="25"/>
  <c r="J235" i="25"/>
  <c r="H235" i="25"/>
  <c r="G235" i="25"/>
  <c r="E235" i="25"/>
  <c r="D235" i="25"/>
  <c r="O234" i="25"/>
  <c r="O233" i="25" s="1"/>
  <c r="L234" i="25"/>
  <c r="L233" i="25" s="1"/>
  <c r="I234" i="25"/>
  <c r="F234" i="25"/>
  <c r="F233" i="25" s="1"/>
  <c r="N233" i="25"/>
  <c r="M233" i="25"/>
  <c r="M231" i="25" s="1"/>
  <c r="K233" i="25"/>
  <c r="J233" i="25"/>
  <c r="I233" i="25"/>
  <c r="H233" i="25"/>
  <c r="G233" i="25"/>
  <c r="E233" i="25"/>
  <c r="E231" i="25" s="1"/>
  <c r="D233" i="25"/>
  <c r="O232" i="25"/>
  <c r="L232" i="25"/>
  <c r="I232" i="25"/>
  <c r="F232" i="25"/>
  <c r="O229" i="25"/>
  <c r="L229" i="25"/>
  <c r="I229" i="25"/>
  <c r="F229" i="25"/>
  <c r="O228" i="25"/>
  <c r="L228" i="25"/>
  <c r="I228" i="25"/>
  <c r="I227" i="25" s="1"/>
  <c r="F228" i="25"/>
  <c r="F227" i="25" s="1"/>
  <c r="O227" i="25"/>
  <c r="N227" i="25"/>
  <c r="M227" i="25"/>
  <c r="L227" i="25"/>
  <c r="K227" i="25"/>
  <c r="J227" i="25"/>
  <c r="H227" i="25"/>
  <c r="G227" i="25"/>
  <c r="E227" i="25"/>
  <c r="D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O219" i="25"/>
  <c r="L219" i="25"/>
  <c r="I219" i="25"/>
  <c r="F219" i="25"/>
  <c r="O218" i="25"/>
  <c r="L218" i="25"/>
  <c r="I218" i="25"/>
  <c r="F218" i="25"/>
  <c r="O217" i="25"/>
  <c r="L217" i="25"/>
  <c r="I217" i="25"/>
  <c r="F217" i="25"/>
  <c r="N216" i="25"/>
  <c r="M216" i="25"/>
  <c r="K216" i="25"/>
  <c r="J216" i="25"/>
  <c r="H216" i="25"/>
  <c r="G216" i="25"/>
  <c r="E216" i="25"/>
  <c r="D216" i="25"/>
  <c r="O215" i="25"/>
  <c r="L215" i="25"/>
  <c r="I215" i="25"/>
  <c r="F215" i="25"/>
  <c r="O214" i="25"/>
  <c r="L214" i="25"/>
  <c r="I214" i="25"/>
  <c r="F214" i="25"/>
  <c r="C214" i="25" s="1"/>
  <c r="O213" i="25"/>
  <c r="L213" i="25"/>
  <c r="I213" i="25"/>
  <c r="F213" i="25"/>
  <c r="O212" i="25"/>
  <c r="L212" i="25"/>
  <c r="I212" i="25"/>
  <c r="F212" i="25"/>
  <c r="O211" i="25"/>
  <c r="L211" i="25"/>
  <c r="I211" i="25"/>
  <c r="F211" i="25"/>
  <c r="O210" i="25"/>
  <c r="L210" i="25"/>
  <c r="I210" i="25"/>
  <c r="F210" i="25"/>
  <c r="C210" i="25" s="1"/>
  <c r="O209" i="25"/>
  <c r="L209" i="25"/>
  <c r="I209" i="25"/>
  <c r="F209" i="25"/>
  <c r="O208" i="25"/>
  <c r="L208" i="25"/>
  <c r="I208" i="25"/>
  <c r="F208" i="25"/>
  <c r="O207" i="25"/>
  <c r="L207" i="25"/>
  <c r="I207" i="25"/>
  <c r="F207" i="25"/>
  <c r="O206" i="25"/>
  <c r="L206" i="25"/>
  <c r="L205" i="25" s="1"/>
  <c r="I206" i="25"/>
  <c r="F206" i="25"/>
  <c r="C206" i="25" s="1"/>
  <c r="N205" i="25"/>
  <c r="M205" i="25"/>
  <c r="K205" i="25"/>
  <c r="K204" i="25" s="1"/>
  <c r="J205" i="25"/>
  <c r="H205" i="25"/>
  <c r="G205" i="25"/>
  <c r="E205" i="25"/>
  <c r="E204" i="25" s="1"/>
  <c r="D205" i="25"/>
  <c r="O203" i="25"/>
  <c r="L203" i="25"/>
  <c r="I203" i="25"/>
  <c r="F203" i="25"/>
  <c r="O202" i="25"/>
  <c r="L202" i="25"/>
  <c r="I202" i="25"/>
  <c r="F202" i="25"/>
  <c r="O201" i="25"/>
  <c r="L201" i="25"/>
  <c r="I201" i="25"/>
  <c r="F201" i="25"/>
  <c r="O200" i="25"/>
  <c r="L200" i="25"/>
  <c r="I200" i="25"/>
  <c r="F200" i="25"/>
  <c r="O199" i="25"/>
  <c r="L199" i="25"/>
  <c r="L198" i="25" s="1"/>
  <c r="I199" i="25"/>
  <c r="F199" i="25"/>
  <c r="F198" i="25" s="1"/>
  <c r="O198" i="25"/>
  <c r="N198" i="25"/>
  <c r="M198" i="25"/>
  <c r="K198" i="25"/>
  <c r="K196" i="25" s="1"/>
  <c r="J198" i="25"/>
  <c r="J196" i="25" s="1"/>
  <c r="H198" i="25"/>
  <c r="G198" i="25"/>
  <c r="G196" i="25" s="1"/>
  <c r="E198" i="25"/>
  <c r="E196" i="25" s="1"/>
  <c r="D198" i="25"/>
  <c r="D196" i="25" s="1"/>
  <c r="O197" i="25"/>
  <c r="L197" i="25"/>
  <c r="I197" i="25"/>
  <c r="F197" i="25"/>
  <c r="N196" i="25"/>
  <c r="M196" i="25"/>
  <c r="H196" i="25"/>
  <c r="O193" i="25"/>
  <c r="L193" i="25"/>
  <c r="I193" i="25"/>
  <c r="F193" i="25"/>
  <c r="O192" i="25"/>
  <c r="N192" i="25"/>
  <c r="N191" i="25" s="1"/>
  <c r="M192" i="25"/>
  <c r="M191" i="25" s="1"/>
  <c r="L192" i="25"/>
  <c r="L191" i="25" s="1"/>
  <c r="K192" i="25"/>
  <c r="J192" i="25"/>
  <c r="I192" i="25"/>
  <c r="I191" i="25" s="1"/>
  <c r="H192" i="25"/>
  <c r="H191" i="25" s="1"/>
  <c r="G192" i="25"/>
  <c r="E192" i="25"/>
  <c r="E191" i="25" s="1"/>
  <c r="D192" i="25"/>
  <c r="D191" i="25" s="1"/>
  <c r="O191" i="25"/>
  <c r="K191" i="25"/>
  <c r="J191" i="25"/>
  <c r="G191" i="25"/>
  <c r="G187" i="25" s="1"/>
  <c r="O190" i="25"/>
  <c r="L190" i="25"/>
  <c r="I190" i="25"/>
  <c r="F190" i="25"/>
  <c r="O189" i="25"/>
  <c r="L189" i="25"/>
  <c r="L188" i="25" s="1"/>
  <c r="I189" i="25"/>
  <c r="I188" i="25" s="1"/>
  <c r="I187" i="25" s="1"/>
  <c r="F189" i="25"/>
  <c r="F188" i="25" s="1"/>
  <c r="N188" i="25"/>
  <c r="N187" i="25" s="1"/>
  <c r="M188" i="25"/>
  <c r="K188" i="25"/>
  <c r="K187" i="25" s="1"/>
  <c r="J188" i="25"/>
  <c r="H188" i="25"/>
  <c r="G188" i="25"/>
  <c r="E188" i="25"/>
  <c r="D188" i="25"/>
  <c r="O186" i="25"/>
  <c r="L186" i="25"/>
  <c r="I186" i="25"/>
  <c r="F186" i="25"/>
  <c r="O185" i="25"/>
  <c r="L185" i="25"/>
  <c r="L184" i="25" s="1"/>
  <c r="I185" i="25"/>
  <c r="I184" i="25" s="1"/>
  <c r="F185" i="25"/>
  <c r="N184" i="25"/>
  <c r="M184" i="25"/>
  <c r="K184" i="25"/>
  <c r="J184" i="25"/>
  <c r="H184" i="25"/>
  <c r="G184" i="25"/>
  <c r="F184" i="25"/>
  <c r="E184" i="25"/>
  <c r="D184" i="25"/>
  <c r="O183" i="25"/>
  <c r="L183" i="25"/>
  <c r="I183" i="25"/>
  <c r="F183" i="25"/>
  <c r="O182" i="25"/>
  <c r="L182" i="25"/>
  <c r="I182" i="25"/>
  <c r="F182" i="25"/>
  <c r="O181" i="25"/>
  <c r="L181" i="25"/>
  <c r="I181" i="25"/>
  <c r="F181" i="25"/>
  <c r="O180" i="25"/>
  <c r="L180" i="25"/>
  <c r="I180" i="25"/>
  <c r="F180" i="25"/>
  <c r="O179" i="25"/>
  <c r="N179" i="25"/>
  <c r="M179" i="25"/>
  <c r="K179" i="25"/>
  <c r="J179" i="25"/>
  <c r="H179" i="25"/>
  <c r="G179" i="25"/>
  <c r="E179" i="25"/>
  <c r="D179" i="25"/>
  <c r="O178" i="25"/>
  <c r="L178" i="25"/>
  <c r="I178" i="25"/>
  <c r="F178" i="25"/>
  <c r="O177" i="25"/>
  <c r="L177" i="25"/>
  <c r="I177" i="25"/>
  <c r="F177" i="25"/>
  <c r="O176" i="25"/>
  <c r="L176" i="25"/>
  <c r="L175" i="25" s="1"/>
  <c r="I176" i="25"/>
  <c r="F176" i="25"/>
  <c r="O175" i="25"/>
  <c r="N175" i="25"/>
  <c r="M175" i="25"/>
  <c r="K175" i="25"/>
  <c r="J175" i="25"/>
  <c r="H175" i="25"/>
  <c r="H174" i="25" s="1"/>
  <c r="G175" i="25"/>
  <c r="E175" i="25"/>
  <c r="D175" i="25"/>
  <c r="N174" i="25"/>
  <c r="D174" i="25"/>
  <c r="D173" i="25" s="1"/>
  <c r="O172" i="25"/>
  <c r="L172" i="25"/>
  <c r="I172" i="25"/>
  <c r="F172" i="25"/>
  <c r="O171" i="25"/>
  <c r="L171" i="25"/>
  <c r="I171" i="25"/>
  <c r="F171" i="25"/>
  <c r="O170" i="25"/>
  <c r="L170" i="25"/>
  <c r="I170" i="25"/>
  <c r="F170" i="25"/>
  <c r="O169" i="25"/>
  <c r="L169" i="25"/>
  <c r="I169" i="25"/>
  <c r="F169" i="25"/>
  <c r="O168" i="25"/>
  <c r="L168" i="25"/>
  <c r="I168" i="25"/>
  <c r="F168" i="25"/>
  <c r="O167" i="25"/>
  <c r="O166" i="25" s="1"/>
  <c r="L167" i="25"/>
  <c r="L166" i="25" s="1"/>
  <c r="L165" i="25" s="1"/>
  <c r="I167" i="25"/>
  <c r="F167" i="25"/>
  <c r="N166" i="25"/>
  <c r="N165" i="25" s="1"/>
  <c r="M166" i="25"/>
  <c r="M165" i="25" s="1"/>
  <c r="K166" i="25"/>
  <c r="J166" i="25"/>
  <c r="J165" i="25" s="1"/>
  <c r="H166" i="25"/>
  <c r="H165" i="25" s="1"/>
  <c r="G166" i="25"/>
  <c r="G165" i="25" s="1"/>
  <c r="E166" i="25"/>
  <c r="D166" i="25"/>
  <c r="D165" i="25" s="1"/>
  <c r="K165" i="25"/>
  <c r="E165" i="25"/>
  <c r="O164" i="25"/>
  <c r="L164" i="25"/>
  <c r="I164" i="25"/>
  <c r="F164" i="25"/>
  <c r="O163" i="25"/>
  <c r="L163" i="25"/>
  <c r="I163" i="25"/>
  <c r="F163" i="25"/>
  <c r="O162" i="25"/>
  <c r="L162" i="25"/>
  <c r="I162" i="25"/>
  <c r="F162" i="25"/>
  <c r="O161" i="25"/>
  <c r="L161" i="25"/>
  <c r="L160" i="25" s="1"/>
  <c r="I161" i="25"/>
  <c r="F161" i="25"/>
  <c r="O160" i="25"/>
  <c r="N160" i="25"/>
  <c r="M160" i="25"/>
  <c r="K160" i="25"/>
  <c r="J160" i="25"/>
  <c r="H160" i="25"/>
  <c r="G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I152" i="25"/>
  <c r="F152" i="25"/>
  <c r="O151"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L146" i="25"/>
  <c r="I146" i="25"/>
  <c r="F146" i="25"/>
  <c r="O145" i="25"/>
  <c r="L145" i="25"/>
  <c r="I145" i="25"/>
  <c r="F145" i="25"/>
  <c r="N144" i="25"/>
  <c r="M144" i="25"/>
  <c r="K144" i="25"/>
  <c r="J144" i="25"/>
  <c r="H144" i="25"/>
  <c r="G144" i="25"/>
  <c r="E144" i="25"/>
  <c r="D144" i="25"/>
  <c r="O143" i="25"/>
  <c r="L143" i="25"/>
  <c r="I143" i="25"/>
  <c r="F143" i="25"/>
  <c r="O142" i="25"/>
  <c r="L142" i="25"/>
  <c r="L141" i="25" s="1"/>
  <c r="I142" i="25"/>
  <c r="F142" i="25"/>
  <c r="N141" i="25"/>
  <c r="M141" i="25"/>
  <c r="K141" i="25"/>
  <c r="J141" i="25"/>
  <c r="H141" i="25"/>
  <c r="G141" i="25"/>
  <c r="E141" i="25"/>
  <c r="D141" i="25"/>
  <c r="O140" i="25"/>
  <c r="L140" i="25"/>
  <c r="I140" i="25"/>
  <c r="F140" i="25"/>
  <c r="O139" i="25"/>
  <c r="L139" i="25"/>
  <c r="I139" i="25"/>
  <c r="F139" i="25"/>
  <c r="O138" i="25"/>
  <c r="L138" i="25"/>
  <c r="I138" i="25"/>
  <c r="F138" i="25"/>
  <c r="O137" i="25"/>
  <c r="L137" i="25"/>
  <c r="L136" i="25" s="1"/>
  <c r="I137" i="25"/>
  <c r="I136" i="25" s="1"/>
  <c r="F137" i="25"/>
  <c r="N136" i="25"/>
  <c r="M136" i="25"/>
  <c r="K136" i="25"/>
  <c r="J136" i="25"/>
  <c r="H136" i="25"/>
  <c r="G136" i="25"/>
  <c r="E136" i="25"/>
  <c r="D136" i="25"/>
  <c r="O135" i="25"/>
  <c r="O131" i="25" s="1"/>
  <c r="L135" i="25"/>
  <c r="I135" i="25"/>
  <c r="F135" i="25"/>
  <c r="C135" i="25"/>
  <c r="O134" i="25"/>
  <c r="L134" i="25"/>
  <c r="I134" i="25"/>
  <c r="F134" i="25"/>
  <c r="O133" i="25"/>
  <c r="L133" i="25"/>
  <c r="I133" i="25"/>
  <c r="F133" i="25"/>
  <c r="O132" i="25"/>
  <c r="L132" i="25"/>
  <c r="I132" i="25"/>
  <c r="F132" i="25"/>
  <c r="N131" i="25"/>
  <c r="M131" i="25"/>
  <c r="K131" i="25"/>
  <c r="J131" i="25"/>
  <c r="H131" i="25"/>
  <c r="G131" i="25"/>
  <c r="E131" i="25"/>
  <c r="D131" i="25"/>
  <c r="D130" i="25" s="1"/>
  <c r="O129" i="25"/>
  <c r="L129" i="25"/>
  <c r="L128" i="25" s="1"/>
  <c r="I129" i="25"/>
  <c r="F129" i="25"/>
  <c r="O128" i="25"/>
  <c r="N128" i="25"/>
  <c r="M128" i="25"/>
  <c r="K128" i="25"/>
  <c r="J128" i="25"/>
  <c r="H128" i="25"/>
  <c r="G128" i="25"/>
  <c r="F128" i="25"/>
  <c r="E128" i="25"/>
  <c r="D128" i="25"/>
  <c r="O127" i="25"/>
  <c r="L127" i="25"/>
  <c r="I127" i="25"/>
  <c r="F127" i="25"/>
  <c r="O126" i="25"/>
  <c r="L126" i="25"/>
  <c r="I126" i="25"/>
  <c r="F126" i="25"/>
  <c r="O125" i="25"/>
  <c r="L125" i="25"/>
  <c r="I125" i="25"/>
  <c r="F125" i="25"/>
  <c r="O124" i="25"/>
  <c r="L124" i="25"/>
  <c r="I124" i="25"/>
  <c r="F124" i="25"/>
  <c r="O123" i="25"/>
  <c r="L123" i="25"/>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L117" i="25"/>
  <c r="I117" i="25"/>
  <c r="F117" i="25"/>
  <c r="N116" i="25"/>
  <c r="M116" i="25"/>
  <c r="K116" i="25"/>
  <c r="J116" i="25"/>
  <c r="H116" i="25"/>
  <c r="G116" i="25"/>
  <c r="F116" i="25"/>
  <c r="E116" i="25"/>
  <c r="D116" i="25"/>
  <c r="O115" i="25"/>
  <c r="L115" i="25"/>
  <c r="I115" i="25"/>
  <c r="F115" i="25"/>
  <c r="O114" i="25"/>
  <c r="L114" i="25"/>
  <c r="I114" i="25"/>
  <c r="F114" i="25"/>
  <c r="O113" i="25"/>
  <c r="L113" i="25"/>
  <c r="L112" i="25" s="1"/>
  <c r="I113" i="25"/>
  <c r="F113" i="25"/>
  <c r="N112" i="25"/>
  <c r="M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F98" i="25"/>
  <c r="O97" i="25"/>
  <c r="L97" i="25"/>
  <c r="I97" i="25"/>
  <c r="F97" i="25"/>
  <c r="O96" i="25"/>
  <c r="L96" i="25"/>
  <c r="I96" i="25"/>
  <c r="F96" i="25"/>
  <c r="N95" i="25"/>
  <c r="M95" i="25"/>
  <c r="K95" i="25"/>
  <c r="J95" i="25"/>
  <c r="H95" i="25"/>
  <c r="G95" i="25"/>
  <c r="E95" i="25"/>
  <c r="D95" i="25"/>
  <c r="O94" i="25"/>
  <c r="L94" i="25"/>
  <c r="I94" i="25"/>
  <c r="F94" i="25"/>
  <c r="O93" i="25"/>
  <c r="L93" i="25"/>
  <c r="I93" i="25"/>
  <c r="F93" i="25"/>
  <c r="O92" i="25"/>
  <c r="L92" i="25"/>
  <c r="I92" i="25"/>
  <c r="F92" i="25"/>
  <c r="O91" i="25"/>
  <c r="L91" i="25"/>
  <c r="I91" i="25"/>
  <c r="F91" i="25"/>
  <c r="O90" i="25"/>
  <c r="L90" i="25"/>
  <c r="I90" i="25"/>
  <c r="I89" i="25" s="1"/>
  <c r="F90" i="25"/>
  <c r="N89" i="25"/>
  <c r="M89" i="25"/>
  <c r="K89" i="25"/>
  <c r="J89" i="25"/>
  <c r="H89" i="25"/>
  <c r="G89" i="25"/>
  <c r="E89" i="25"/>
  <c r="D89" i="25"/>
  <c r="O88" i="25"/>
  <c r="L88" i="25"/>
  <c r="I88" i="25"/>
  <c r="F88" i="25"/>
  <c r="O87" i="25"/>
  <c r="L87" i="25"/>
  <c r="I87" i="25"/>
  <c r="F87" i="25"/>
  <c r="C87" i="25" s="1"/>
  <c r="O86" i="25"/>
  <c r="L86" i="25"/>
  <c r="I86" i="25"/>
  <c r="F86" i="25"/>
  <c r="O85" i="25"/>
  <c r="L85" i="25"/>
  <c r="I85" i="25"/>
  <c r="F85" i="25"/>
  <c r="F84" i="25" s="1"/>
  <c r="N84" i="25"/>
  <c r="M84" i="25"/>
  <c r="K84" i="25"/>
  <c r="J84" i="25"/>
  <c r="H84" i="25"/>
  <c r="G84" i="25"/>
  <c r="E84" i="25"/>
  <c r="D84" i="25"/>
  <c r="O82" i="25"/>
  <c r="L82" i="25"/>
  <c r="I82" i="25"/>
  <c r="F82" i="25"/>
  <c r="O81" i="25"/>
  <c r="L81" i="25"/>
  <c r="L80" i="25" s="1"/>
  <c r="I81" i="25"/>
  <c r="F81" i="25"/>
  <c r="O80" i="25"/>
  <c r="N80" i="25"/>
  <c r="M80" i="25"/>
  <c r="K80" i="25"/>
  <c r="J80" i="25"/>
  <c r="H80" i="25"/>
  <c r="G80" i="25"/>
  <c r="E80" i="25"/>
  <c r="D80" i="25"/>
  <c r="O79" i="25"/>
  <c r="L79" i="25"/>
  <c r="I79" i="25"/>
  <c r="F79" i="25"/>
  <c r="O78" i="25"/>
  <c r="L78" i="25"/>
  <c r="L77" i="25" s="1"/>
  <c r="I78" i="25"/>
  <c r="I77" i="25" s="1"/>
  <c r="F78" i="25"/>
  <c r="N77" i="25"/>
  <c r="M77" i="25"/>
  <c r="M76" i="25" s="1"/>
  <c r="K77" i="25"/>
  <c r="J77" i="25"/>
  <c r="H77" i="25"/>
  <c r="H76" i="25" s="1"/>
  <c r="G77" i="25"/>
  <c r="E77" i="25"/>
  <c r="E76" i="25" s="1"/>
  <c r="D77" i="25"/>
  <c r="K76" i="25"/>
  <c r="O74" i="25"/>
  <c r="L74" i="25"/>
  <c r="I74" i="25"/>
  <c r="F74" i="25"/>
  <c r="O73" i="25"/>
  <c r="L73" i="25"/>
  <c r="I73" i="25"/>
  <c r="F73" i="25"/>
  <c r="O72" i="25"/>
  <c r="L72" i="25"/>
  <c r="I72" i="25"/>
  <c r="F72" i="25"/>
  <c r="O71" i="25"/>
  <c r="L71" i="25"/>
  <c r="I71" i="25"/>
  <c r="F71" i="25"/>
  <c r="O70" i="25"/>
  <c r="L70" i="25"/>
  <c r="L69" i="25" s="1"/>
  <c r="I70" i="25"/>
  <c r="F70" i="25"/>
  <c r="N69" i="25"/>
  <c r="M69" i="25"/>
  <c r="M67" i="25" s="1"/>
  <c r="K69" i="25"/>
  <c r="K67" i="25" s="1"/>
  <c r="J69" i="25"/>
  <c r="H69" i="25"/>
  <c r="H67" i="25" s="1"/>
  <c r="G69" i="25"/>
  <c r="G67" i="25" s="1"/>
  <c r="E69" i="25"/>
  <c r="E67" i="25" s="1"/>
  <c r="D69" i="25"/>
  <c r="D67" i="25" s="1"/>
  <c r="O68" i="25"/>
  <c r="L68" i="25"/>
  <c r="I68" i="25"/>
  <c r="F68" i="25"/>
  <c r="N67" i="25"/>
  <c r="J67"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L59" i="25"/>
  <c r="I59" i="25"/>
  <c r="F59" i="25"/>
  <c r="O58" i="25"/>
  <c r="N58" i="25"/>
  <c r="M58" i="25"/>
  <c r="K58" i="25"/>
  <c r="J58" i="25"/>
  <c r="H58" i="25"/>
  <c r="G58" i="25"/>
  <c r="E58" i="25"/>
  <c r="D58" i="25"/>
  <c r="O57" i="25"/>
  <c r="L57" i="25"/>
  <c r="I57" i="25"/>
  <c r="F57" i="25"/>
  <c r="O56" i="25"/>
  <c r="O55" i="25" s="1"/>
  <c r="L56" i="25"/>
  <c r="L55" i="25" s="1"/>
  <c r="I56" i="25"/>
  <c r="I55" i="25" s="1"/>
  <c r="F56" i="25"/>
  <c r="N55" i="25"/>
  <c r="N54" i="25" s="1"/>
  <c r="M55" i="25"/>
  <c r="M54" i="25" s="1"/>
  <c r="M53" i="25" s="1"/>
  <c r="K55" i="25"/>
  <c r="J55" i="25"/>
  <c r="J54" i="25" s="1"/>
  <c r="J53" i="25" s="1"/>
  <c r="H55" i="25"/>
  <c r="H54" i="25" s="1"/>
  <c r="H53" i="25" s="1"/>
  <c r="G55" i="25"/>
  <c r="F55" i="25"/>
  <c r="E55" i="25"/>
  <c r="E54" i="25" s="1"/>
  <c r="E53" i="25" s="1"/>
  <c r="D55" i="25"/>
  <c r="D54" i="25" s="1"/>
  <c r="D53" i="25" s="1"/>
  <c r="K54" i="25"/>
  <c r="K53" i="25" s="1"/>
  <c r="O47" i="25"/>
  <c r="C47" i="25" s="1"/>
  <c r="O46" i="25"/>
  <c r="N45" i="25"/>
  <c r="M45" i="25"/>
  <c r="L44" i="25"/>
  <c r="L43" i="25" s="1"/>
  <c r="I44" i="25"/>
  <c r="F44" i="25"/>
  <c r="C44" i="25" s="1"/>
  <c r="K43" i="25"/>
  <c r="J43" i="25"/>
  <c r="I43" i="25"/>
  <c r="H43" i="25"/>
  <c r="G43" i="25"/>
  <c r="E43" i="25"/>
  <c r="D43" i="25"/>
  <c r="F42" i="25"/>
  <c r="C42" i="25" s="1"/>
  <c r="E41" i="25"/>
  <c r="D41" i="25"/>
  <c r="L40" i="25"/>
  <c r="C40" i="25" s="1"/>
  <c r="L39" i="25"/>
  <c r="C39" i="25" s="1"/>
  <c r="L38" i="25"/>
  <c r="C38" i="25" s="1"/>
  <c r="L37" i="25"/>
  <c r="C37" i="25" s="1"/>
  <c r="K36" i="25"/>
  <c r="J36" i="25"/>
  <c r="L35" i="25"/>
  <c r="C35" i="25" s="1"/>
  <c r="L34" i="25"/>
  <c r="C34" i="25" s="1"/>
  <c r="K33" i="25"/>
  <c r="J33" i="25"/>
  <c r="L32" i="25"/>
  <c r="K31" i="25"/>
  <c r="J31" i="25"/>
  <c r="L30" i="25"/>
  <c r="C30" i="25" s="1"/>
  <c r="L29" i="25"/>
  <c r="C29" i="25" s="1"/>
  <c r="L28" i="25"/>
  <c r="C28" i="25" s="1"/>
  <c r="K27" i="25"/>
  <c r="J27" i="25"/>
  <c r="F25" i="25"/>
  <c r="C25" i="25" s="1"/>
  <c r="G24" i="25"/>
  <c r="F24" i="25"/>
  <c r="O23" i="25"/>
  <c r="L23" i="25"/>
  <c r="I23" i="25"/>
  <c r="F23" i="25"/>
  <c r="O22" i="25"/>
  <c r="L22" i="25"/>
  <c r="L21" i="25" s="1"/>
  <c r="I22" i="25"/>
  <c r="F22" i="25"/>
  <c r="N21" i="25"/>
  <c r="N292" i="25" s="1"/>
  <c r="N291" i="25" s="1"/>
  <c r="M21" i="25"/>
  <c r="M20" i="25" s="1"/>
  <c r="K21" i="25"/>
  <c r="J21" i="25"/>
  <c r="J292" i="25" s="1"/>
  <c r="H21" i="25"/>
  <c r="H292" i="25" s="1"/>
  <c r="G21" i="25"/>
  <c r="G292" i="25" s="1"/>
  <c r="G291" i="25" s="1"/>
  <c r="E21" i="25"/>
  <c r="D21" i="25"/>
  <c r="D292" i="25" s="1"/>
  <c r="N20" i="25"/>
  <c r="O301" i="24"/>
  <c r="L301" i="24"/>
  <c r="I301" i="24"/>
  <c r="F301" i="24"/>
  <c r="O300" i="24"/>
  <c r="L300" i="24"/>
  <c r="I300" i="24"/>
  <c r="F300" i="24"/>
  <c r="O299" i="24"/>
  <c r="L299" i="24"/>
  <c r="I299" i="24"/>
  <c r="F299" i="24"/>
  <c r="O298" i="24"/>
  <c r="L298" i="24"/>
  <c r="I298" i="24"/>
  <c r="F298" i="24"/>
  <c r="C298" i="24" s="1"/>
  <c r="O297" i="24"/>
  <c r="L297" i="24"/>
  <c r="I297" i="24"/>
  <c r="F297" i="24"/>
  <c r="O296" i="24"/>
  <c r="L296" i="24"/>
  <c r="I296" i="24"/>
  <c r="F296" i="24"/>
  <c r="O295" i="24"/>
  <c r="L295" i="24"/>
  <c r="I295" i="24"/>
  <c r="F295" i="24"/>
  <c r="O294" i="24"/>
  <c r="O293" i="24" s="1"/>
  <c r="L294" i="24"/>
  <c r="I294" i="24"/>
  <c r="F294" i="24"/>
  <c r="F293" i="24" s="1"/>
  <c r="N293" i="24"/>
  <c r="M293" i="24"/>
  <c r="K293" i="24"/>
  <c r="J293" i="24"/>
  <c r="H293" i="24"/>
  <c r="G293" i="24"/>
  <c r="E293" i="24"/>
  <c r="D293" i="24"/>
  <c r="O288" i="24"/>
  <c r="L288" i="24"/>
  <c r="I288" i="24"/>
  <c r="F288" i="24"/>
  <c r="O287" i="24"/>
  <c r="L287" i="24"/>
  <c r="I287" i="24"/>
  <c r="F287" i="24"/>
  <c r="O286" i="24"/>
  <c r="N286" i="24"/>
  <c r="M286" i="24"/>
  <c r="K286" i="24"/>
  <c r="J286" i="24"/>
  <c r="H286" i="24"/>
  <c r="G286" i="24"/>
  <c r="F286" i="24"/>
  <c r="E286" i="24"/>
  <c r="D286" i="24"/>
  <c r="O285" i="24"/>
  <c r="L285" i="24"/>
  <c r="L284" i="24" s="1"/>
  <c r="L283" i="24" s="1"/>
  <c r="I285" i="24"/>
  <c r="F285" i="24"/>
  <c r="O284" i="24"/>
  <c r="N284" i="24"/>
  <c r="M284" i="24"/>
  <c r="M283" i="24" s="1"/>
  <c r="K284" i="24"/>
  <c r="J284" i="24"/>
  <c r="J283" i="24" s="1"/>
  <c r="I284" i="24"/>
  <c r="I283" i="24" s="1"/>
  <c r="H284" i="24"/>
  <c r="G284" i="24"/>
  <c r="F284" i="24"/>
  <c r="E284" i="24"/>
  <c r="E283" i="24" s="1"/>
  <c r="D284" i="24"/>
  <c r="O283" i="24"/>
  <c r="N283" i="24"/>
  <c r="K283" i="24"/>
  <c r="H283" i="24"/>
  <c r="G283" i="24"/>
  <c r="D283" i="24"/>
  <c r="O282" i="24"/>
  <c r="O281" i="24" s="1"/>
  <c r="L282" i="24"/>
  <c r="I282" i="24"/>
  <c r="I281" i="24" s="1"/>
  <c r="F282" i="24"/>
  <c r="N281" i="24"/>
  <c r="M281" i="24"/>
  <c r="L281" i="24"/>
  <c r="K281" i="24"/>
  <c r="J281" i="24"/>
  <c r="H281" i="24"/>
  <c r="G281" i="24"/>
  <c r="E281" i="24"/>
  <c r="D281" i="24"/>
  <c r="O280" i="24"/>
  <c r="L280" i="24"/>
  <c r="I280" i="24"/>
  <c r="F280" i="24"/>
  <c r="O279" i="24"/>
  <c r="L279" i="24"/>
  <c r="I279" i="24"/>
  <c r="F279" i="24"/>
  <c r="O278" i="24"/>
  <c r="L278" i="24"/>
  <c r="I278" i="24"/>
  <c r="F278" i="24"/>
  <c r="O277" i="24"/>
  <c r="L277" i="24"/>
  <c r="I277" i="24"/>
  <c r="I276" i="24" s="1"/>
  <c r="F277" i="24"/>
  <c r="C277" i="24" s="1"/>
  <c r="N276" i="24"/>
  <c r="M276" i="24"/>
  <c r="K276" i="24"/>
  <c r="J276" i="24"/>
  <c r="H276" i="24"/>
  <c r="G276" i="24"/>
  <c r="E276" i="24"/>
  <c r="D276" i="24"/>
  <c r="O275" i="24"/>
  <c r="L275" i="24"/>
  <c r="I275" i="24"/>
  <c r="F275" i="24"/>
  <c r="O274" i="24"/>
  <c r="L274" i="24"/>
  <c r="I274" i="24"/>
  <c r="F274" i="24"/>
  <c r="C274" i="24" s="1"/>
  <c r="O273" i="24"/>
  <c r="L273" i="24"/>
  <c r="I273" i="24"/>
  <c r="I272" i="24" s="1"/>
  <c r="F273" i="24"/>
  <c r="N272" i="24"/>
  <c r="N270" i="24" s="1"/>
  <c r="N269" i="24" s="1"/>
  <c r="M272" i="24"/>
  <c r="M270" i="24" s="1"/>
  <c r="L272" i="24"/>
  <c r="K272" i="24"/>
  <c r="K270" i="24" s="1"/>
  <c r="K269" i="24" s="1"/>
  <c r="J272" i="24"/>
  <c r="H272" i="24"/>
  <c r="G272" i="24"/>
  <c r="E272" i="24"/>
  <c r="E270" i="24" s="1"/>
  <c r="E269" i="24" s="1"/>
  <c r="D272" i="24"/>
  <c r="D270" i="24" s="1"/>
  <c r="D269" i="24" s="1"/>
  <c r="O271" i="24"/>
  <c r="L271" i="24"/>
  <c r="I271" i="24"/>
  <c r="F271" i="24"/>
  <c r="H270" i="24"/>
  <c r="G270" i="24"/>
  <c r="G269" i="24" s="1"/>
  <c r="M269" i="24"/>
  <c r="H269" i="24"/>
  <c r="O268" i="24"/>
  <c r="L268" i="24"/>
  <c r="I268" i="24"/>
  <c r="C268" i="24" s="1"/>
  <c r="F268" i="24"/>
  <c r="O267" i="24"/>
  <c r="L267" i="24"/>
  <c r="I267" i="24"/>
  <c r="F267" i="24"/>
  <c r="O266" i="24"/>
  <c r="L266" i="24"/>
  <c r="I266" i="24"/>
  <c r="F266" i="24"/>
  <c r="O265" i="24"/>
  <c r="L265" i="24"/>
  <c r="I265" i="24"/>
  <c r="F265" i="24"/>
  <c r="N264" i="24"/>
  <c r="M264" i="24"/>
  <c r="K264" i="24"/>
  <c r="J264" i="24"/>
  <c r="H264" i="24"/>
  <c r="G264" i="24"/>
  <c r="F264" i="24"/>
  <c r="E264" i="24"/>
  <c r="D264" i="24"/>
  <c r="O263" i="24"/>
  <c r="L263" i="24"/>
  <c r="I263" i="24"/>
  <c r="F263" i="24"/>
  <c r="O262" i="24"/>
  <c r="L262" i="24"/>
  <c r="C262" i="24" s="1"/>
  <c r="I262" i="24"/>
  <c r="F262" i="24"/>
  <c r="O261" i="24"/>
  <c r="L261" i="24"/>
  <c r="I261" i="24"/>
  <c r="I260" i="24" s="1"/>
  <c r="F261" i="24"/>
  <c r="N260" i="24"/>
  <c r="N259" i="24" s="1"/>
  <c r="M260" i="24"/>
  <c r="K260" i="24"/>
  <c r="J260" i="24"/>
  <c r="H260" i="24"/>
  <c r="H259" i="24" s="1"/>
  <c r="G260" i="24"/>
  <c r="F260" i="24"/>
  <c r="E260" i="24"/>
  <c r="E259" i="24" s="1"/>
  <c r="D260" i="24"/>
  <c r="D259" i="24" s="1"/>
  <c r="K259"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I252" i="24" s="1"/>
  <c r="I251" i="24" s="1"/>
  <c r="F253" i="24"/>
  <c r="N252" i="24"/>
  <c r="N251" i="24" s="1"/>
  <c r="M252" i="24"/>
  <c r="M251" i="24" s="1"/>
  <c r="K252" i="24"/>
  <c r="K251" i="24" s="1"/>
  <c r="J252" i="24"/>
  <c r="J251" i="24" s="1"/>
  <c r="H252" i="24"/>
  <c r="H251" i="24" s="1"/>
  <c r="G252" i="24"/>
  <c r="E252" i="24"/>
  <c r="E251" i="24" s="1"/>
  <c r="D252" i="24"/>
  <c r="D251" i="24" s="1"/>
  <c r="G251" i="24"/>
  <c r="O250" i="24"/>
  <c r="L250" i="24"/>
  <c r="I250" i="24"/>
  <c r="F250" i="24"/>
  <c r="O249" i="24"/>
  <c r="L249" i="24"/>
  <c r="I249" i="24"/>
  <c r="F249" i="24"/>
  <c r="O248" i="24"/>
  <c r="L248" i="24"/>
  <c r="I248" i="24"/>
  <c r="F248" i="24"/>
  <c r="O247" i="24"/>
  <c r="L247" i="24"/>
  <c r="I247" i="24"/>
  <c r="F247" i="24"/>
  <c r="O246" i="24"/>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C242" i="24" s="1"/>
  <c r="O241" i="24"/>
  <c r="L241" i="24"/>
  <c r="I241" i="24"/>
  <c r="F241" i="24"/>
  <c r="O240" i="24"/>
  <c r="L240" i="24"/>
  <c r="I240" i="24"/>
  <c r="F240" i="24"/>
  <c r="O239" i="24"/>
  <c r="O238" i="24" s="1"/>
  <c r="L239" i="24"/>
  <c r="I239" i="24"/>
  <c r="F239" i="24"/>
  <c r="C239" i="24" s="1"/>
  <c r="N238" i="24"/>
  <c r="M238" i="24"/>
  <c r="K238" i="24"/>
  <c r="J238" i="24"/>
  <c r="H238" i="24"/>
  <c r="G238" i="24"/>
  <c r="E238" i="24"/>
  <c r="D238" i="24"/>
  <c r="O237" i="24"/>
  <c r="L237" i="24"/>
  <c r="I237" i="24"/>
  <c r="F237" i="24"/>
  <c r="O236" i="24"/>
  <c r="L236" i="24"/>
  <c r="L235" i="24" s="1"/>
  <c r="I236" i="24"/>
  <c r="F236" i="24"/>
  <c r="O235" i="24"/>
  <c r="N235" i="24"/>
  <c r="M235" i="24"/>
  <c r="K235" i="24"/>
  <c r="J235" i="24"/>
  <c r="H235" i="24"/>
  <c r="G235" i="24"/>
  <c r="F235" i="24"/>
  <c r="E235" i="24"/>
  <c r="D235" i="24"/>
  <c r="O234" i="24"/>
  <c r="O233" i="24" s="1"/>
  <c r="L234" i="24"/>
  <c r="I234" i="24"/>
  <c r="F234" i="24"/>
  <c r="F233" i="24" s="1"/>
  <c r="N233" i="24"/>
  <c r="N231" i="24" s="1"/>
  <c r="M233" i="24"/>
  <c r="K233" i="24"/>
  <c r="J233" i="24"/>
  <c r="I233" i="24"/>
  <c r="H233" i="24"/>
  <c r="G233" i="24"/>
  <c r="E233" i="24"/>
  <c r="E231" i="24" s="1"/>
  <c r="D233" i="24"/>
  <c r="O232" i="24"/>
  <c r="L232" i="24"/>
  <c r="I232" i="24"/>
  <c r="F232" i="24"/>
  <c r="O229" i="24"/>
  <c r="L229" i="24"/>
  <c r="I229" i="24"/>
  <c r="F229" i="24"/>
  <c r="O228" i="24"/>
  <c r="L228" i="24"/>
  <c r="L227" i="24" s="1"/>
  <c r="I228" i="24"/>
  <c r="F228" i="24"/>
  <c r="O227" i="24"/>
  <c r="N227" i="24"/>
  <c r="M227" i="24"/>
  <c r="K227" i="24"/>
  <c r="J227" i="24"/>
  <c r="H227" i="24"/>
  <c r="G227" i="24"/>
  <c r="F227" i="24"/>
  <c r="E227" i="24"/>
  <c r="D227" i="24"/>
  <c r="O226" i="24"/>
  <c r="L226" i="24"/>
  <c r="I226" i="24"/>
  <c r="F226" i="24"/>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F217" i="24"/>
  <c r="N216" i="24"/>
  <c r="M216" i="24"/>
  <c r="K216" i="24"/>
  <c r="J216" i="24"/>
  <c r="H216" i="24"/>
  <c r="G216" i="24"/>
  <c r="F216" i="24"/>
  <c r="E216" i="24"/>
  <c r="D216" i="24"/>
  <c r="O215" i="24"/>
  <c r="L215" i="24"/>
  <c r="I215" i="24"/>
  <c r="F215" i="24"/>
  <c r="O214" i="24"/>
  <c r="L214" i="24"/>
  <c r="I214" i="24"/>
  <c r="F214" i="24"/>
  <c r="O213" i="24"/>
  <c r="L213" i="24"/>
  <c r="I213" i="24"/>
  <c r="F213" i="24"/>
  <c r="O212" i="24"/>
  <c r="L212" i="24"/>
  <c r="I212" i="24"/>
  <c r="F212" i="24"/>
  <c r="O211" i="24"/>
  <c r="L211" i="24"/>
  <c r="I211" i="24"/>
  <c r="C211" i="24" s="1"/>
  <c r="F211" i="24"/>
  <c r="O210" i="24"/>
  <c r="L210" i="24"/>
  <c r="I210" i="24"/>
  <c r="F210" i="24"/>
  <c r="O209" i="24"/>
  <c r="L209" i="24"/>
  <c r="I209" i="24"/>
  <c r="F209" i="24"/>
  <c r="O208" i="24"/>
  <c r="L208" i="24"/>
  <c r="I208" i="24"/>
  <c r="F208" i="24"/>
  <c r="O207" i="24"/>
  <c r="L207" i="24"/>
  <c r="I207" i="24"/>
  <c r="F207" i="24"/>
  <c r="O206" i="24"/>
  <c r="O205" i="24" s="1"/>
  <c r="L206" i="24"/>
  <c r="I206" i="24"/>
  <c r="F206" i="24"/>
  <c r="N205" i="24"/>
  <c r="M205" i="24"/>
  <c r="K205" i="24"/>
  <c r="J205" i="24"/>
  <c r="J204" i="24" s="1"/>
  <c r="H205" i="24"/>
  <c r="H204" i="24" s="1"/>
  <c r="G205" i="24"/>
  <c r="E205" i="24"/>
  <c r="D205" i="24"/>
  <c r="M204" i="24"/>
  <c r="O203" i="24"/>
  <c r="L203" i="24"/>
  <c r="I203" i="24"/>
  <c r="F203" i="24"/>
  <c r="O202" i="24"/>
  <c r="L202" i="24"/>
  <c r="I202" i="24"/>
  <c r="F202" i="24"/>
  <c r="O201" i="24"/>
  <c r="L201" i="24"/>
  <c r="I201" i="24"/>
  <c r="F201" i="24"/>
  <c r="O200" i="24"/>
  <c r="L200" i="24"/>
  <c r="I200" i="24"/>
  <c r="F200" i="24"/>
  <c r="O199" i="24"/>
  <c r="L199" i="24"/>
  <c r="I199" i="24"/>
  <c r="F199" i="24"/>
  <c r="F198" i="24" s="1"/>
  <c r="O198" i="24"/>
  <c r="N198" i="24"/>
  <c r="M198" i="24"/>
  <c r="K198" i="24"/>
  <c r="K196" i="24" s="1"/>
  <c r="J198" i="24"/>
  <c r="H198" i="24"/>
  <c r="H196" i="24" s="1"/>
  <c r="G198" i="24"/>
  <c r="G196" i="24" s="1"/>
  <c r="E198" i="24"/>
  <c r="E196" i="24" s="1"/>
  <c r="D198" i="24"/>
  <c r="D196" i="24" s="1"/>
  <c r="O197" i="24"/>
  <c r="L197" i="24"/>
  <c r="I197" i="24"/>
  <c r="F197" i="24"/>
  <c r="N196" i="24"/>
  <c r="M196" i="24"/>
  <c r="J196" i="24"/>
  <c r="O193" i="24"/>
  <c r="L193" i="24"/>
  <c r="L192" i="24" s="1"/>
  <c r="L191" i="24" s="1"/>
  <c r="I193" i="24"/>
  <c r="I192" i="24" s="1"/>
  <c r="I191" i="24" s="1"/>
  <c r="F193" i="24"/>
  <c r="F192" i="24" s="1"/>
  <c r="O192" i="24"/>
  <c r="N192" i="24"/>
  <c r="N191" i="24" s="1"/>
  <c r="M192" i="24"/>
  <c r="M191" i="24" s="1"/>
  <c r="K192" i="24"/>
  <c r="J192" i="24"/>
  <c r="H192" i="24"/>
  <c r="H191" i="24" s="1"/>
  <c r="G192" i="24"/>
  <c r="G191" i="24" s="1"/>
  <c r="E192" i="24"/>
  <c r="E191" i="24" s="1"/>
  <c r="D192" i="24"/>
  <c r="O191" i="24"/>
  <c r="K191" i="24"/>
  <c r="J191" i="24"/>
  <c r="D191" i="24"/>
  <c r="O190" i="24"/>
  <c r="L190" i="24"/>
  <c r="I190" i="24"/>
  <c r="F190" i="24"/>
  <c r="O189" i="24"/>
  <c r="L189" i="24"/>
  <c r="L188" i="24" s="1"/>
  <c r="L187" i="24" s="1"/>
  <c r="I189" i="24"/>
  <c r="I188" i="24" s="1"/>
  <c r="F189" i="24"/>
  <c r="N188" i="24"/>
  <c r="M188" i="24"/>
  <c r="K188" i="24"/>
  <c r="J188" i="24"/>
  <c r="H188" i="24"/>
  <c r="G188" i="24"/>
  <c r="G187" i="24" s="1"/>
  <c r="E188" i="24"/>
  <c r="E187" i="24" s="1"/>
  <c r="D188" i="24"/>
  <c r="O186" i="24"/>
  <c r="L186" i="24"/>
  <c r="I186" i="24"/>
  <c r="F186" i="24"/>
  <c r="O185" i="24"/>
  <c r="L185" i="24"/>
  <c r="L184" i="24" s="1"/>
  <c r="I185" i="24"/>
  <c r="I184" i="24" s="1"/>
  <c r="F185" i="24"/>
  <c r="N184" i="24"/>
  <c r="M184" i="24"/>
  <c r="K184" i="24"/>
  <c r="J184" i="24"/>
  <c r="H184" i="24"/>
  <c r="G184" i="24"/>
  <c r="E184" i="24"/>
  <c r="D184" i="24"/>
  <c r="O183" i="24"/>
  <c r="L183" i="24"/>
  <c r="I183" i="24"/>
  <c r="F183" i="24"/>
  <c r="O182" i="24"/>
  <c r="O179" i="24" s="1"/>
  <c r="L182" i="24"/>
  <c r="I182" i="24"/>
  <c r="F182" i="24"/>
  <c r="C182" i="24"/>
  <c r="O181" i="24"/>
  <c r="L181" i="24"/>
  <c r="I181" i="24"/>
  <c r="F181" i="24"/>
  <c r="C181" i="24" s="1"/>
  <c r="O180" i="24"/>
  <c r="L180" i="24"/>
  <c r="L179" i="24" s="1"/>
  <c r="I180" i="24"/>
  <c r="F180" i="24"/>
  <c r="F179" i="24" s="1"/>
  <c r="N179" i="24"/>
  <c r="M179" i="24"/>
  <c r="K179" i="24"/>
  <c r="J179" i="24"/>
  <c r="H179" i="24"/>
  <c r="G179" i="24"/>
  <c r="E179" i="24"/>
  <c r="D179" i="24"/>
  <c r="O178" i="24"/>
  <c r="L178" i="24"/>
  <c r="I178" i="24"/>
  <c r="F178" i="24"/>
  <c r="O177" i="24"/>
  <c r="L177" i="24"/>
  <c r="I177" i="24"/>
  <c r="F177" i="24"/>
  <c r="O176" i="24"/>
  <c r="L176" i="24"/>
  <c r="I176" i="24"/>
  <c r="F176" i="24"/>
  <c r="O175" i="24"/>
  <c r="N175" i="24"/>
  <c r="M175" i="24"/>
  <c r="K175" i="24"/>
  <c r="J175" i="24"/>
  <c r="J174" i="24" s="1"/>
  <c r="J173" i="24" s="1"/>
  <c r="H175" i="24"/>
  <c r="G175" i="24"/>
  <c r="F175" i="24"/>
  <c r="E175" i="24"/>
  <c r="E174" i="24" s="1"/>
  <c r="E173" i="24" s="1"/>
  <c r="D175" i="24"/>
  <c r="M174" i="24"/>
  <c r="H174" i="24"/>
  <c r="H173" i="24" s="1"/>
  <c r="G174" i="24"/>
  <c r="D174" i="24"/>
  <c r="D173" i="24"/>
  <c r="O172" i="24"/>
  <c r="L172" i="24"/>
  <c r="I172" i="24"/>
  <c r="F172" i="24"/>
  <c r="O171" i="24"/>
  <c r="L171" i="24"/>
  <c r="I171" i="24"/>
  <c r="F171" i="24"/>
  <c r="O170" i="24"/>
  <c r="L170" i="24"/>
  <c r="I170" i="24"/>
  <c r="F170" i="24"/>
  <c r="C170" i="24" s="1"/>
  <c r="O169" i="24"/>
  <c r="L169" i="24"/>
  <c r="I169" i="24"/>
  <c r="F169" i="24"/>
  <c r="O168" i="24"/>
  <c r="L168" i="24"/>
  <c r="I168" i="24"/>
  <c r="F168" i="24"/>
  <c r="O167" i="24"/>
  <c r="L167" i="24"/>
  <c r="I167" i="24"/>
  <c r="F167" i="24"/>
  <c r="F166" i="24" s="1"/>
  <c r="F165" i="24" s="1"/>
  <c r="N166" i="24"/>
  <c r="M166" i="24"/>
  <c r="K166" i="24"/>
  <c r="K165" i="24" s="1"/>
  <c r="J166" i="24"/>
  <c r="J165" i="24" s="1"/>
  <c r="H166" i="24"/>
  <c r="G166" i="24"/>
  <c r="G165" i="24" s="1"/>
  <c r="E166" i="24"/>
  <c r="E165" i="24" s="1"/>
  <c r="D166" i="24"/>
  <c r="D165" i="24" s="1"/>
  <c r="N165" i="24"/>
  <c r="M165" i="24"/>
  <c r="H165" i="24"/>
  <c r="O164" i="24"/>
  <c r="L164" i="24"/>
  <c r="I164" i="24"/>
  <c r="F164" i="24"/>
  <c r="O163" i="24"/>
  <c r="L163" i="24"/>
  <c r="I163" i="24"/>
  <c r="F163" i="24"/>
  <c r="O162" i="24"/>
  <c r="L162" i="24"/>
  <c r="I162" i="24"/>
  <c r="F162" i="24"/>
  <c r="C162" i="24" s="1"/>
  <c r="O161" i="24"/>
  <c r="L161" i="24"/>
  <c r="L160" i="24" s="1"/>
  <c r="I161" i="24"/>
  <c r="F161" i="24"/>
  <c r="N160" i="24"/>
  <c r="M160" i="24"/>
  <c r="K160" i="24"/>
  <c r="J160" i="24"/>
  <c r="H160" i="24"/>
  <c r="G160" i="24"/>
  <c r="E160" i="24"/>
  <c r="D160"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L152" i="24"/>
  <c r="L151" i="24" s="1"/>
  <c r="I152" i="24"/>
  <c r="F152" i="24"/>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L146" i="24"/>
  <c r="I146" i="24"/>
  <c r="F146" i="24"/>
  <c r="O145" i="24"/>
  <c r="L145" i="24"/>
  <c r="I145" i="24"/>
  <c r="F145" i="24"/>
  <c r="N144" i="24"/>
  <c r="M144" i="24"/>
  <c r="K144" i="24"/>
  <c r="J144" i="24"/>
  <c r="H144" i="24"/>
  <c r="G144" i="24"/>
  <c r="E144" i="24"/>
  <c r="D144" i="24"/>
  <c r="O143" i="24"/>
  <c r="L143" i="24"/>
  <c r="I143" i="24"/>
  <c r="F143" i="24"/>
  <c r="O142" i="24"/>
  <c r="O141" i="24" s="1"/>
  <c r="L142" i="24"/>
  <c r="I142" i="24"/>
  <c r="F142" i="24"/>
  <c r="F141" i="24" s="1"/>
  <c r="N141" i="24"/>
  <c r="M141" i="24"/>
  <c r="K141" i="24"/>
  <c r="J141" i="24"/>
  <c r="H141" i="24"/>
  <c r="G141" i="24"/>
  <c r="E141" i="24"/>
  <c r="D141" i="24"/>
  <c r="O140" i="24"/>
  <c r="L140" i="24"/>
  <c r="I140" i="24"/>
  <c r="F140" i="24"/>
  <c r="O139" i="24"/>
  <c r="L139" i="24"/>
  <c r="I139" i="24"/>
  <c r="F139" i="24"/>
  <c r="O138" i="24"/>
  <c r="L138" i="24"/>
  <c r="I138" i="24"/>
  <c r="F138" i="24"/>
  <c r="C138" i="24"/>
  <c r="O137" i="24"/>
  <c r="L137" i="24"/>
  <c r="I137" i="24"/>
  <c r="I136" i="24" s="1"/>
  <c r="F137" i="24"/>
  <c r="N136" i="24"/>
  <c r="M136" i="24"/>
  <c r="K136" i="24"/>
  <c r="J136" i="24"/>
  <c r="H136" i="24"/>
  <c r="G136" i="24"/>
  <c r="E136" i="24"/>
  <c r="D136" i="24"/>
  <c r="O135" i="24"/>
  <c r="L135" i="24"/>
  <c r="I135" i="24"/>
  <c r="F135" i="24"/>
  <c r="O134" i="24"/>
  <c r="L134" i="24"/>
  <c r="I134" i="24"/>
  <c r="F134" i="24"/>
  <c r="O133" i="24"/>
  <c r="L133" i="24"/>
  <c r="I133" i="24"/>
  <c r="F133" i="24"/>
  <c r="O132" i="24"/>
  <c r="L132" i="24"/>
  <c r="I132" i="24"/>
  <c r="F132" i="24"/>
  <c r="N131" i="24"/>
  <c r="M131" i="24"/>
  <c r="K131" i="24"/>
  <c r="K130" i="24" s="1"/>
  <c r="J131" i="24"/>
  <c r="H131" i="24"/>
  <c r="G131" i="24"/>
  <c r="E131" i="24"/>
  <c r="D131" i="24"/>
  <c r="G130" i="24"/>
  <c r="O129" i="24"/>
  <c r="L129" i="24"/>
  <c r="L128" i="24" s="1"/>
  <c r="I129" i="24"/>
  <c r="F129" i="24"/>
  <c r="F128" i="24" s="1"/>
  <c r="O128" i="24"/>
  <c r="N128" i="24"/>
  <c r="M128" i="24"/>
  <c r="K128" i="24"/>
  <c r="J128" i="24"/>
  <c r="I128" i="24"/>
  <c r="H128" i="24"/>
  <c r="G128" i="24"/>
  <c r="E128" i="24"/>
  <c r="D128" i="24"/>
  <c r="O127" i="24"/>
  <c r="L127" i="24"/>
  <c r="I127" i="24"/>
  <c r="F127" i="24"/>
  <c r="O126" i="24"/>
  <c r="L126" i="24"/>
  <c r="I126" i="24"/>
  <c r="F126" i="24"/>
  <c r="C126" i="24" s="1"/>
  <c r="O125" i="24"/>
  <c r="L125" i="24"/>
  <c r="I125" i="24"/>
  <c r="F125" i="24"/>
  <c r="O124" i="24"/>
  <c r="L124" i="24"/>
  <c r="I124" i="24"/>
  <c r="F124" i="24"/>
  <c r="O123" i="24"/>
  <c r="L123" i="24"/>
  <c r="I123" i="24"/>
  <c r="F123" i="24"/>
  <c r="F122" i="24" s="1"/>
  <c r="N122" i="24"/>
  <c r="M122" i="24"/>
  <c r="K122" i="24"/>
  <c r="J122" i="24"/>
  <c r="H122" i="24"/>
  <c r="G122" i="24"/>
  <c r="E122" i="24"/>
  <c r="D122" i="24"/>
  <c r="O121" i="24"/>
  <c r="L121" i="24"/>
  <c r="I121" i="24"/>
  <c r="F121" i="24"/>
  <c r="O120" i="24"/>
  <c r="L120" i="24"/>
  <c r="I120" i="24"/>
  <c r="F120" i="24"/>
  <c r="O119" i="24"/>
  <c r="L119" i="24"/>
  <c r="I119" i="24"/>
  <c r="F119" i="24"/>
  <c r="O118" i="24"/>
  <c r="L118" i="24"/>
  <c r="I118" i="24"/>
  <c r="C118" i="24" s="1"/>
  <c r="F118" i="24"/>
  <c r="O117" i="24"/>
  <c r="L117" i="24"/>
  <c r="L116" i="24" s="1"/>
  <c r="I117" i="24"/>
  <c r="F117" i="24"/>
  <c r="N116" i="24"/>
  <c r="M116" i="24"/>
  <c r="K116" i="24"/>
  <c r="J116" i="24"/>
  <c r="H116" i="24"/>
  <c r="G116" i="24"/>
  <c r="E116" i="24"/>
  <c r="D116" i="24"/>
  <c r="O115" i="24"/>
  <c r="L115" i="24"/>
  <c r="I115" i="24"/>
  <c r="F115" i="24"/>
  <c r="O114" i="24"/>
  <c r="L114" i="24"/>
  <c r="I114" i="24"/>
  <c r="F114" i="24"/>
  <c r="O113" i="24"/>
  <c r="L113" i="24"/>
  <c r="I113" i="24"/>
  <c r="I112" i="24" s="1"/>
  <c r="F113" i="24"/>
  <c r="N112" i="24"/>
  <c r="M112" i="24"/>
  <c r="K112" i="24"/>
  <c r="J112" i="24"/>
  <c r="H112" i="24"/>
  <c r="G112" i="24"/>
  <c r="E112" i="24"/>
  <c r="D112" i="24"/>
  <c r="O111" i="24"/>
  <c r="L111" i="24"/>
  <c r="I111" i="24"/>
  <c r="F111" i="24"/>
  <c r="O110" i="24"/>
  <c r="L110" i="24"/>
  <c r="I110" i="24"/>
  <c r="F110" i="24"/>
  <c r="O109" i="24"/>
  <c r="L109" i="24"/>
  <c r="I109" i="24"/>
  <c r="F109" i="24"/>
  <c r="O108" i="24"/>
  <c r="L108" i="24"/>
  <c r="I108" i="24"/>
  <c r="F108" i="24"/>
  <c r="O107" i="24"/>
  <c r="L107" i="24"/>
  <c r="I107" i="24"/>
  <c r="F107" i="24"/>
  <c r="O106" i="24"/>
  <c r="L106" i="24"/>
  <c r="I106" i="24"/>
  <c r="C106" i="24" s="1"/>
  <c r="F106" i="24"/>
  <c r="O105" i="24"/>
  <c r="L105" i="24"/>
  <c r="I105" i="24"/>
  <c r="F105" i="24"/>
  <c r="O104" i="24"/>
  <c r="L104" i="24"/>
  <c r="I104" i="24"/>
  <c r="F104" i="24"/>
  <c r="N103" i="24"/>
  <c r="M103" i="24"/>
  <c r="K103" i="24"/>
  <c r="J103" i="24"/>
  <c r="H103" i="24"/>
  <c r="G103" i="24"/>
  <c r="E103" i="24"/>
  <c r="D103" i="24"/>
  <c r="O102" i="24"/>
  <c r="L102" i="24"/>
  <c r="I102" i="24"/>
  <c r="F102" i="24"/>
  <c r="O101" i="24"/>
  <c r="L101" i="24"/>
  <c r="I101" i="24"/>
  <c r="F101" i="24"/>
  <c r="O100" i="24"/>
  <c r="L100" i="24"/>
  <c r="I100" i="24"/>
  <c r="F100" i="24"/>
  <c r="O99" i="24"/>
  <c r="L99" i="24"/>
  <c r="I99" i="24"/>
  <c r="F99" i="24"/>
  <c r="O98" i="24"/>
  <c r="L98" i="24"/>
  <c r="I98" i="24"/>
  <c r="F98" i="24"/>
  <c r="O97" i="24"/>
  <c r="L97" i="24"/>
  <c r="I97" i="24"/>
  <c r="F97" i="24"/>
  <c r="O96" i="24"/>
  <c r="L96" i="24"/>
  <c r="I96" i="24"/>
  <c r="F96" i="24"/>
  <c r="N95" i="24"/>
  <c r="M95" i="24"/>
  <c r="K95" i="24"/>
  <c r="J95" i="24"/>
  <c r="H95" i="24"/>
  <c r="G95" i="24"/>
  <c r="E95" i="24"/>
  <c r="D95" i="24"/>
  <c r="O94" i="24"/>
  <c r="L94" i="24"/>
  <c r="I94" i="24"/>
  <c r="F94" i="24"/>
  <c r="O93" i="24"/>
  <c r="L93" i="24"/>
  <c r="I93" i="24"/>
  <c r="F93" i="24"/>
  <c r="O92" i="24"/>
  <c r="L92" i="24"/>
  <c r="I92" i="24"/>
  <c r="F92" i="24"/>
  <c r="O91" i="24"/>
  <c r="L91" i="24"/>
  <c r="I91" i="24"/>
  <c r="F91" i="24"/>
  <c r="O90" i="24"/>
  <c r="L90" i="24"/>
  <c r="I90" i="24"/>
  <c r="F90" i="24"/>
  <c r="N89" i="24"/>
  <c r="M89" i="24"/>
  <c r="K89" i="24"/>
  <c r="J89" i="24"/>
  <c r="H89" i="24"/>
  <c r="G89" i="24"/>
  <c r="E89" i="24"/>
  <c r="D89" i="24"/>
  <c r="O88" i="24"/>
  <c r="L88" i="24"/>
  <c r="I88" i="24"/>
  <c r="F88" i="24"/>
  <c r="O87" i="24"/>
  <c r="L87" i="24"/>
  <c r="I87" i="24"/>
  <c r="F87" i="24"/>
  <c r="O86" i="24"/>
  <c r="L86" i="24"/>
  <c r="I86" i="24"/>
  <c r="F86" i="24"/>
  <c r="O85" i="24"/>
  <c r="L85" i="24"/>
  <c r="I85" i="24"/>
  <c r="F85" i="24"/>
  <c r="N84" i="24"/>
  <c r="M84" i="24"/>
  <c r="K84" i="24"/>
  <c r="J84" i="24"/>
  <c r="H84" i="24"/>
  <c r="G84" i="24"/>
  <c r="E84" i="24"/>
  <c r="D84" i="24"/>
  <c r="O82" i="24"/>
  <c r="L82" i="24"/>
  <c r="I82" i="24"/>
  <c r="F82" i="24"/>
  <c r="C82" i="24" s="1"/>
  <c r="O81" i="24"/>
  <c r="L81" i="24"/>
  <c r="I81" i="24"/>
  <c r="F81" i="24"/>
  <c r="N80" i="24"/>
  <c r="M80" i="24"/>
  <c r="K80" i="24"/>
  <c r="J80" i="24"/>
  <c r="H80" i="24"/>
  <c r="G80" i="24"/>
  <c r="E80" i="24"/>
  <c r="D80" i="24"/>
  <c r="O79" i="24"/>
  <c r="L79" i="24"/>
  <c r="I79" i="24"/>
  <c r="F79" i="24"/>
  <c r="O78" i="24"/>
  <c r="O77" i="24" s="1"/>
  <c r="L78" i="24"/>
  <c r="I78" i="24"/>
  <c r="C78" i="24" s="1"/>
  <c r="F78" i="24"/>
  <c r="F77" i="24" s="1"/>
  <c r="N77" i="24"/>
  <c r="M77" i="24"/>
  <c r="M76" i="24" s="1"/>
  <c r="K77" i="24"/>
  <c r="K76" i="24" s="1"/>
  <c r="J77" i="24"/>
  <c r="J76" i="24" s="1"/>
  <c r="H77" i="24"/>
  <c r="H76" i="24" s="1"/>
  <c r="G77" i="24"/>
  <c r="E77" i="24"/>
  <c r="D77" i="24"/>
  <c r="D76" i="24" s="1"/>
  <c r="N76" i="24"/>
  <c r="G76" i="24"/>
  <c r="O74" i="24"/>
  <c r="L74" i="24"/>
  <c r="I74" i="24"/>
  <c r="F74" i="24"/>
  <c r="O73" i="24"/>
  <c r="L73" i="24"/>
  <c r="I73" i="24"/>
  <c r="F73" i="24"/>
  <c r="O72" i="24"/>
  <c r="L72" i="24"/>
  <c r="I72" i="24"/>
  <c r="F72" i="24"/>
  <c r="O71" i="24"/>
  <c r="L71" i="24"/>
  <c r="I71" i="24"/>
  <c r="F71" i="24"/>
  <c r="O70" i="24"/>
  <c r="L70" i="24"/>
  <c r="L69" i="24" s="1"/>
  <c r="I70" i="24"/>
  <c r="F70" i="24"/>
  <c r="F69" i="24" s="1"/>
  <c r="N69" i="24"/>
  <c r="N67" i="24" s="1"/>
  <c r="M69" i="24"/>
  <c r="M67" i="24" s="1"/>
  <c r="K69" i="24"/>
  <c r="J69" i="24"/>
  <c r="J67" i="24" s="1"/>
  <c r="H69" i="24"/>
  <c r="H67" i="24" s="1"/>
  <c r="G69" i="24"/>
  <c r="E69" i="24"/>
  <c r="E67" i="24" s="1"/>
  <c r="D69" i="24"/>
  <c r="D67" i="24" s="1"/>
  <c r="O68" i="24"/>
  <c r="L68" i="24"/>
  <c r="I68" i="24"/>
  <c r="F68" i="24"/>
  <c r="K67" i="24"/>
  <c r="G67" i="24"/>
  <c r="O66" i="24"/>
  <c r="L66" i="24"/>
  <c r="I66" i="24"/>
  <c r="F66" i="24"/>
  <c r="O65" i="24"/>
  <c r="L65" i="24"/>
  <c r="I65" i="24"/>
  <c r="F65" i="24"/>
  <c r="O64" i="24"/>
  <c r="L64" i="24"/>
  <c r="I64" i="24"/>
  <c r="C64" i="24" s="1"/>
  <c r="F64" i="24"/>
  <c r="O63" i="24"/>
  <c r="L63" i="24"/>
  <c r="I63" i="24"/>
  <c r="F63" i="24"/>
  <c r="O62" i="24"/>
  <c r="L62" i="24"/>
  <c r="I62" i="24"/>
  <c r="C62" i="24" s="1"/>
  <c r="F62" i="24"/>
  <c r="O61" i="24"/>
  <c r="L61" i="24"/>
  <c r="I61" i="24"/>
  <c r="F61" i="24"/>
  <c r="O60" i="24"/>
  <c r="L60" i="24"/>
  <c r="I60" i="24"/>
  <c r="F60" i="24"/>
  <c r="O59" i="24"/>
  <c r="L59" i="24"/>
  <c r="I59" i="24"/>
  <c r="F59" i="24"/>
  <c r="F58" i="24" s="1"/>
  <c r="N58" i="24"/>
  <c r="M58" i="24"/>
  <c r="K58" i="24"/>
  <c r="J58" i="24"/>
  <c r="H58" i="24"/>
  <c r="G58" i="24"/>
  <c r="E58" i="24"/>
  <c r="D58" i="24"/>
  <c r="O57" i="24"/>
  <c r="L57" i="24"/>
  <c r="I57" i="24"/>
  <c r="F57" i="24"/>
  <c r="O56" i="24"/>
  <c r="L56" i="24"/>
  <c r="L55" i="24" s="1"/>
  <c r="I56" i="24"/>
  <c r="F56" i="24"/>
  <c r="O55" i="24"/>
  <c r="N55" i="24"/>
  <c r="N54" i="24" s="1"/>
  <c r="M55" i="24"/>
  <c r="K55" i="24"/>
  <c r="J55" i="24"/>
  <c r="H55" i="24"/>
  <c r="H54" i="24" s="1"/>
  <c r="H53" i="24" s="1"/>
  <c r="G55" i="24"/>
  <c r="F55" i="24"/>
  <c r="E55" i="24"/>
  <c r="D55" i="24"/>
  <c r="D54" i="24" s="1"/>
  <c r="D53" i="24" s="1"/>
  <c r="E54" i="24"/>
  <c r="O47" i="24"/>
  <c r="C47" i="24" s="1"/>
  <c r="O46" i="24"/>
  <c r="O45" i="24" s="1"/>
  <c r="C45" i="24" s="1"/>
  <c r="N45" i="24"/>
  <c r="M45" i="24"/>
  <c r="L44" i="24"/>
  <c r="L43" i="24" s="1"/>
  <c r="I44" i="24"/>
  <c r="F44" i="24"/>
  <c r="K43" i="24"/>
  <c r="J43" i="24"/>
  <c r="I43" i="24"/>
  <c r="H43" i="24"/>
  <c r="G43" i="24"/>
  <c r="E43" i="24"/>
  <c r="D43" i="24"/>
  <c r="F42" i="24"/>
  <c r="F41" i="24" s="1"/>
  <c r="C42" i="24"/>
  <c r="E41" i="24"/>
  <c r="D41" i="24"/>
  <c r="C41" i="24"/>
  <c r="L40" i="24"/>
  <c r="C40" i="24" s="1"/>
  <c r="L39" i="24"/>
  <c r="C39" i="24" s="1"/>
  <c r="L38" i="24"/>
  <c r="C38" i="24" s="1"/>
  <c r="L37" i="24"/>
  <c r="C37" i="24" s="1"/>
  <c r="K36" i="24"/>
  <c r="J36" i="24"/>
  <c r="L35" i="24"/>
  <c r="C35" i="24" s="1"/>
  <c r="L34" i="24"/>
  <c r="L33" i="24" s="1"/>
  <c r="C34" i="24"/>
  <c r="K33" i="24"/>
  <c r="J33" i="24"/>
  <c r="C33" i="24"/>
  <c r="L32" i="24"/>
  <c r="C32" i="24" s="1"/>
  <c r="K31" i="24"/>
  <c r="J31" i="24"/>
  <c r="L30" i="24"/>
  <c r="C30" i="24" s="1"/>
  <c r="L29" i="24"/>
  <c r="C29" i="24" s="1"/>
  <c r="L28" i="24"/>
  <c r="K27" i="24"/>
  <c r="J27" i="24"/>
  <c r="J26" i="24"/>
  <c r="F25" i="24"/>
  <c r="C25" i="24" s="1"/>
  <c r="I24" i="24"/>
  <c r="F24" i="24"/>
  <c r="O23" i="24"/>
  <c r="L23" i="24"/>
  <c r="I23" i="24"/>
  <c r="F23" i="24"/>
  <c r="O22" i="24"/>
  <c r="L22" i="24"/>
  <c r="I22" i="24"/>
  <c r="F22" i="24"/>
  <c r="O21" i="24"/>
  <c r="N21" i="24"/>
  <c r="N292" i="24" s="1"/>
  <c r="N291" i="24" s="1"/>
  <c r="M21" i="24"/>
  <c r="M292" i="24" s="1"/>
  <c r="M291" i="24" s="1"/>
  <c r="K21" i="24"/>
  <c r="J21" i="24"/>
  <c r="H21" i="24"/>
  <c r="H292" i="24" s="1"/>
  <c r="H291" i="24" s="1"/>
  <c r="G21" i="24"/>
  <c r="F21" i="24"/>
  <c r="F292" i="24" s="1"/>
  <c r="E21" i="24"/>
  <c r="D21" i="24"/>
  <c r="D292" i="24" s="1"/>
  <c r="D291" i="24" s="1"/>
  <c r="M20" i="24"/>
  <c r="C261" i="24" l="1"/>
  <c r="C278" i="24"/>
  <c r="C94" i="24"/>
  <c r="J195" i="24"/>
  <c r="H130" i="25"/>
  <c r="E174" i="25"/>
  <c r="O80" i="24"/>
  <c r="O136" i="24"/>
  <c r="L27" i="24"/>
  <c r="C27" i="24" s="1"/>
  <c r="C44" i="24"/>
  <c r="C93" i="24"/>
  <c r="C98" i="24"/>
  <c r="C146" i="24"/>
  <c r="C258" i="24"/>
  <c r="H173" i="25"/>
  <c r="F43" i="24"/>
  <c r="O58" i="24"/>
  <c r="O54" i="24" s="1"/>
  <c r="C74" i="24"/>
  <c r="L80" i="24"/>
  <c r="I80" i="24"/>
  <c r="C86" i="24"/>
  <c r="C88" i="24"/>
  <c r="C97" i="24"/>
  <c r="O95" i="24"/>
  <c r="C114" i="24"/>
  <c r="C115" i="24"/>
  <c r="C150" i="24"/>
  <c r="C158" i="24"/>
  <c r="C161" i="24"/>
  <c r="O160" i="24"/>
  <c r="O188" i="24"/>
  <c r="O187" i="24" s="1"/>
  <c r="H187" i="24"/>
  <c r="O276" i="24"/>
  <c r="C46" i="24"/>
  <c r="C66" i="24"/>
  <c r="C71" i="24"/>
  <c r="L89" i="24"/>
  <c r="C110" i="24"/>
  <c r="C128" i="24"/>
  <c r="C156" i="24"/>
  <c r="I160" i="24"/>
  <c r="D187" i="24"/>
  <c r="C214" i="24"/>
  <c r="O260" i="24"/>
  <c r="G259" i="24"/>
  <c r="I293" i="24"/>
  <c r="C213" i="25"/>
  <c r="D20" i="24"/>
  <c r="C28" i="24"/>
  <c r="L31" i="24"/>
  <c r="C31" i="24" s="1"/>
  <c r="O84" i="24"/>
  <c r="C108" i="24"/>
  <c r="C125" i="24"/>
  <c r="O122" i="24"/>
  <c r="H130" i="24"/>
  <c r="C169" i="24"/>
  <c r="O166" i="24"/>
  <c r="O165" i="24" s="1"/>
  <c r="C178" i="24"/>
  <c r="C212" i="24"/>
  <c r="C223" i="24"/>
  <c r="C226" i="24"/>
  <c r="C243" i="24"/>
  <c r="O264" i="24"/>
  <c r="C294" i="24"/>
  <c r="C295" i="24"/>
  <c r="C23" i="25"/>
  <c r="C258" i="25"/>
  <c r="C274" i="25"/>
  <c r="G54" i="24"/>
  <c r="G53" i="24" s="1"/>
  <c r="M54" i="24"/>
  <c r="E76" i="24"/>
  <c r="C120" i="24"/>
  <c r="C134" i="24"/>
  <c r="E130" i="24"/>
  <c r="O144" i="24"/>
  <c r="C206" i="24"/>
  <c r="C237" i="24"/>
  <c r="C255" i="24"/>
  <c r="C266" i="24"/>
  <c r="C271" i="24"/>
  <c r="I24" i="25"/>
  <c r="C262" i="25"/>
  <c r="F43" i="25"/>
  <c r="C43" i="25" s="1"/>
  <c r="C66" i="25"/>
  <c r="D187" i="25"/>
  <c r="C202" i="25"/>
  <c r="G204" i="25"/>
  <c r="I260" i="25"/>
  <c r="C298" i="25"/>
  <c r="C299" i="25"/>
  <c r="N76" i="25"/>
  <c r="C111" i="25"/>
  <c r="C250" i="25"/>
  <c r="G259" i="25"/>
  <c r="I272" i="25"/>
  <c r="C91" i="25"/>
  <c r="M174" i="25"/>
  <c r="M173" i="25" s="1"/>
  <c r="J231" i="25"/>
  <c r="N231" i="25"/>
  <c r="G270" i="25"/>
  <c r="C22" i="25"/>
  <c r="O21" i="25"/>
  <c r="N53" i="24"/>
  <c r="F89" i="24"/>
  <c r="C90" i="24"/>
  <c r="K83" i="24"/>
  <c r="K75" i="24" s="1"/>
  <c r="C145" i="24"/>
  <c r="F144" i="24"/>
  <c r="C190" i="24"/>
  <c r="F188" i="24"/>
  <c r="C188" i="24" s="1"/>
  <c r="F281" i="24"/>
  <c r="C282" i="24"/>
  <c r="L293" i="24"/>
  <c r="N20" i="24"/>
  <c r="J54" i="24"/>
  <c r="C63" i="24"/>
  <c r="E53" i="24"/>
  <c r="C70" i="24"/>
  <c r="O69" i="24"/>
  <c r="O67" i="24" s="1"/>
  <c r="O53" i="24" s="1"/>
  <c r="I77" i="24"/>
  <c r="I76" i="24" s="1"/>
  <c r="C79" i="24"/>
  <c r="I84" i="24"/>
  <c r="C87" i="24"/>
  <c r="C142" i="24"/>
  <c r="I141" i="24"/>
  <c r="C154" i="24"/>
  <c r="K187" i="24"/>
  <c r="N204" i="24"/>
  <c r="K83" i="25"/>
  <c r="L36" i="24"/>
  <c r="C36" i="24" s="1"/>
  <c r="C61" i="24"/>
  <c r="C73" i="24"/>
  <c r="H83" i="24"/>
  <c r="H75" i="24" s="1"/>
  <c r="H52" i="24" s="1"/>
  <c r="C102" i="24"/>
  <c r="C186" i="24"/>
  <c r="F184" i="24"/>
  <c r="C218" i="24"/>
  <c r="O238" i="25"/>
  <c r="M130" i="25"/>
  <c r="C57" i="24"/>
  <c r="L67" i="24"/>
  <c r="F67" i="24"/>
  <c r="H20" i="24"/>
  <c r="E292" i="24"/>
  <c r="E291" i="24" s="1"/>
  <c r="J292" i="24"/>
  <c r="J291" i="24" s="1"/>
  <c r="K26" i="24"/>
  <c r="E20" i="24"/>
  <c r="K54" i="24"/>
  <c r="K53" i="24" s="1"/>
  <c r="C65" i="24"/>
  <c r="M53" i="24"/>
  <c r="D83" i="24"/>
  <c r="C137" i="24"/>
  <c r="F136" i="24"/>
  <c r="O174" i="24"/>
  <c r="C203" i="24"/>
  <c r="L233" i="24"/>
  <c r="C234" i="24"/>
  <c r="D291" i="25"/>
  <c r="J291" i="25"/>
  <c r="O45" i="25"/>
  <c r="C45" i="25" s="1"/>
  <c r="C46" i="25"/>
  <c r="J76" i="25"/>
  <c r="C91" i="24"/>
  <c r="C101" i="24"/>
  <c r="C107" i="24"/>
  <c r="O112" i="24"/>
  <c r="C119" i="24"/>
  <c r="G83" i="24"/>
  <c r="G75" i="24" s="1"/>
  <c r="C135" i="24"/>
  <c r="D130" i="24"/>
  <c r="I144" i="24"/>
  <c r="C149" i="24"/>
  <c r="C155" i="24"/>
  <c r="F174" i="24"/>
  <c r="F173" i="24" s="1"/>
  <c r="K174" i="24"/>
  <c r="K173" i="24" s="1"/>
  <c r="C177" i="24"/>
  <c r="M173" i="24"/>
  <c r="D195" i="24"/>
  <c r="O196" i="24"/>
  <c r="D204" i="24"/>
  <c r="E204" i="24"/>
  <c r="E195" i="24" s="1"/>
  <c r="C217" i="24"/>
  <c r="O231" i="24"/>
  <c r="C240" i="24"/>
  <c r="C256" i="24"/>
  <c r="C257" i="24"/>
  <c r="I270" i="24"/>
  <c r="I269" i="24" s="1"/>
  <c r="C288" i="24"/>
  <c r="C299" i="24"/>
  <c r="E292" i="25"/>
  <c r="E291" i="25" s="1"/>
  <c r="K292" i="25"/>
  <c r="K291" i="25" s="1"/>
  <c r="L27" i="25"/>
  <c r="C27" i="25" s="1"/>
  <c r="F41" i="25"/>
  <c r="C41" i="25" s="1"/>
  <c r="E83" i="25"/>
  <c r="O89" i="25"/>
  <c r="C127" i="25"/>
  <c r="O141" i="25"/>
  <c r="C185" i="25"/>
  <c r="C186" i="25"/>
  <c r="G195" i="25"/>
  <c r="C226" i="25"/>
  <c r="D231" i="25"/>
  <c r="D230" i="25" s="1"/>
  <c r="C234" i="25"/>
  <c r="C248" i="25"/>
  <c r="O246" i="25"/>
  <c r="O260" i="25"/>
  <c r="N259" i="25"/>
  <c r="N230" i="25" s="1"/>
  <c r="O272" i="25"/>
  <c r="H270" i="25"/>
  <c r="O276" i="25"/>
  <c r="C296" i="25"/>
  <c r="L95" i="24"/>
  <c r="C100" i="24"/>
  <c r="J83" i="24"/>
  <c r="C105" i="24"/>
  <c r="O103" i="24"/>
  <c r="C111" i="24"/>
  <c r="O116" i="24"/>
  <c r="C133" i="24"/>
  <c r="O131" i="24"/>
  <c r="M130" i="24"/>
  <c r="C153" i="24"/>
  <c r="C159" i="24"/>
  <c r="C172" i="24"/>
  <c r="C210" i="24"/>
  <c r="C215" i="24"/>
  <c r="C222" i="24"/>
  <c r="K204" i="24"/>
  <c r="K195" i="24" s="1"/>
  <c r="C229" i="24"/>
  <c r="G231" i="24"/>
  <c r="G230" i="24" s="1"/>
  <c r="I238" i="24"/>
  <c r="M259" i="24"/>
  <c r="C265" i="24"/>
  <c r="I286" i="24"/>
  <c r="C297" i="24"/>
  <c r="I21" i="25"/>
  <c r="L33" i="25"/>
  <c r="C33" i="25" s="1"/>
  <c r="C62" i="25"/>
  <c r="C63" i="25"/>
  <c r="C65" i="25"/>
  <c r="C74" i="25"/>
  <c r="L76" i="25"/>
  <c r="C82" i="25"/>
  <c r="C107" i="25"/>
  <c r="C109" i="25"/>
  <c r="C110" i="25"/>
  <c r="O103" i="25"/>
  <c r="C123" i="25"/>
  <c r="C147" i="25"/>
  <c r="C148" i="25"/>
  <c r="C150" i="25"/>
  <c r="C172" i="25"/>
  <c r="E173" i="25"/>
  <c r="J174" i="25"/>
  <c r="C222" i="25"/>
  <c r="C224" i="25"/>
  <c r="C242" i="25"/>
  <c r="C244" i="25"/>
  <c r="C254" i="25"/>
  <c r="C257" i="25"/>
  <c r="L293" i="25"/>
  <c r="N83" i="24"/>
  <c r="C99" i="24"/>
  <c r="C109" i="24"/>
  <c r="L112" i="24"/>
  <c r="C121" i="24"/>
  <c r="C127" i="24"/>
  <c r="C139" i="24"/>
  <c r="C147" i="24"/>
  <c r="O151" i="24"/>
  <c r="C163" i="24"/>
  <c r="C171" i="24"/>
  <c r="G173" i="24"/>
  <c r="L175" i="24"/>
  <c r="L174" i="24" s="1"/>
  <c r="L173" i="24" s="1"/>
  <c r="C183" i="24"/>
  <c r="C185" i="24"/>
  <c r="O184" i="24"/>
  <c r="C189" i="24"/>
  <c r="J187" i="24"/>
  <c r="C213" i="24"/>
  <c r="C224" i="24"/>
  <c r="C225" i="24"/>
  <c r="G204" i="24"/>
  <c r="G195" i="24" s="1"/>
  <c r="M231" i="24"/>
  <c r="J231" i="24"/>
  <c r="K231" i="24"/>
  <c r="K230" i="24" s="1"/>
  <c r="C250" i="24"/>
  <c r="L252" i="24"/>
  <c r="L251" i="24" s="1"/>
  <c r="O272" i="24"/>
  <c r="O270" i="24" s="1"/>
  <c r="O269" i="24" s="1"/>
  <c r="C275" i="24"/>
  <c r="L276" i="24"/>
  <c r="C287" i="24"/>
  <c r="C300" i="24"/>
  <c r="G54" i="25"/>
  <c r="C60" i="25"/>
  <c r="L67" i="25"/>
  <c r="D76" i="25"/>
  <c r="O84" i="25"/>
  <c r="I141" i="25"/>
  <c r="C155" i="25"/>
  <c r="C159" i="25"/>
  <c r="H187" i="25"/>
  <c r="L246" i="25"/>
  <c r="K259" i="25"/>
  <c r="L272" i="25"/>
  <c r="L270" i="25" s="1"/>
  <c r="L269" i="25" s="1"/>
  <c r="C278" i="25"/>
  <c r="C280" i="25"/>
  <c r="L264" i="25"/>
  <c r="D20" i="25"/>
  <c r="L31" i="25"/>
  <c r="C32" i="25"/>
  <c r="L36" i="25"/>
  <c r="C36" i="25" s="1"/>
  <c r="G76" i="25"/>
  <c r="C119" i="25"/>
  <c r="C163" i="25"/>
  <c r="C218" i="25"/>
  <c r="J269" i="25"/>
  <c r="I293" i="25"/>
  <c r="C294" i="25"/>
  <c r="C115" i="25"/>
  <c r="F112" i="25"/>
  <c r="C99" i="25"/>
  <c r="I122" i="25"/>
  <c r="C139" i="25"/>
  <c r="F136" i="25"/>
  <c r="C167" i="25"/>
  <c r="O188" i="25"/>
  <c r="O187" i="25" s="1"/>
  <c r="H204" i="25"/>
  <c r="H195" i="25" s="1"/>
  <c r="C266" i="25"/>
  <c r="C282" i="25"/>
  <c r="H20" i="25"/>
  <c r="I103" i="25"/>
  <c r="L116" i="25"/>
  <c r="C143" i="25"/>
  <c r="C183" i="25"/>
  <c r="L216" i="25"/>
  <c r="L204" i="25" s="1"/>
  <c r="I270" i="25"/>
  <c r="I269" i="25" s="1"/>
  <c r="J26" i="25"/>
  <c r="J20" i="25" s="1"/>
  <c r="N53" i="25"/>
  <c r="O54" i="25"/>
  <c r="L58" i="25"/>
  <c r="L54" i="25" s="1"/>
  <c r="C64" i="25"/>
  <c r="O69" i="25"/>
  <c r="O67" i="25" s="1"/>
  <c r="O77" i="25"/>
  <c r="O76" i="25" s="1"/>
  <c r="N83" i="25"/>
  <c r="L84" i="25"/>
  <c r="C92" i="25"/>
  <c r="C93" i="25"/>
  <c r="C94" i="25"/>
  <c r="O95" i="25"/>
  <c r="C118" i="25"/>
  <c r="O116" i="25"/>
  <c r="H83" i="25"/>
  <c r="H75" i="25" s="1"/>
  <c r="H52" i="25" s="1"/>
  <c r="C124" i="25"/>
  <c r="K130" i="25"/>
  <c r="K75" i="25" s="1"/>
  <c r="E130" i="25"/>
  <c r="C149" i="25"/>
  <c r="C162" i="25"/>
  <c r="C171" i="25"/>
  <c r="I175" i="25"/>
  <c r="C180" i="25"/>
  <c r="J187" i="25"/>
  <c r="C190" i="25"/>
  <c r="K195" i="25"/>
  <c r="C201" i="25"/>
  <c r="D204" i="25"/>
  <c r="D195" i="25" s="1"/>
  <c r="C212" i="25"/>
  <c r="C223" i="25"/>
  <c r="J204" i="25"/>
  <c r="J195" i="25" s="1"/>
  <c r="N204" i="25"/>
  <c r="N195" i="25" s="1"/>
  <c r="I246" i="25"/>
  <c r="O264" i="25"/>
  <c r="G269" i="25"/>
  <c r="F281" i="25"/>
  <c r="C281" i="25" s="1"/>
  <c r="K26" i="25"/>
  <c r="K20" i="25" s="1"/>
  <c r="C57" i="25"/>
  <c r="C71" i="25"/>
  <c r="C73" i="25"/>
  <c r="C86" i="25"/>
  <c r="M83" i="25"/>
  <c r="C100" i="25"/>
  <c r="C102" i="25"/>
  <c r="C108" i="25"/>
  <c r="C120" i="25"/>
  <c r="C121" i="25"/>
  <c r="D83" i="25"/>
  <c r="D75" i="25" s="1"/>
  <c r="D52" i="25" s="1"/>
  <c r="J130" i="25"/>
  <c r="N130" i="25"/>
  <c r="C140" i="25"/>
  <c r="L144" i="25"/>
  <c r="C158" i="25"/>
  <c r="C164" i="25"/>
  <c r="C168" i="25"/>
  <c r="I179" i="25"/>
  <c r="L196" i="25"/>
  <c r="C203" i="25"/>
  <c r="C211" i="25"/>
  <c r="C219" i="25"/>
  <c r="C221" i="25"/>
  <c r="C227" i="25"/>
  <c r="C267" i="25"/>
  <c r="M270" i="25"/>
  <c r="M269" i="25" s="1"/>
  <c r="F58" i="25"/>
  <c r="F54" i="25" s="1"/>
  <c r="C61" i="25"/>
  <c r="I69" i="25"/>
  <c r="I67" i="25" s="1"/>
  <c r="C72" i="25"/>
  <c r="I84" i="25"/>
  <c r="L89" i="25"/>
  <c r="G83" i="25"/>
  <c r="L95" i="25"/>
  <c r="C101" i="25"/>
  <c r="C114" i="25"/>
  <c r="O112" i="25"/>
  <c r="C125" i="25"/>
  <c r="C138" i="25"/>
  <c r="O136" i="25"/>
  <c r="C145" i="25"/>
  <c r="C146" i="25"/>
  <c r="O144" i="25"/>
  <c r="C157" i="25"/>
  <c r="O174" i="25"/>
  <c r="L179" i="25"/>
  <c r="L174" i="25" s="1"/>
  <c r="L173" i="25" s="1"/>
  <c r="J173" i="25"/>
  <c r="N173" i="25"/>
  <c r="O184" i="25"/>
  <c r="C184" i="25" s="1"/>
  <c r="L187" i="25"/>
  <c r="C207" i="25"/>
  <c r="M204" i="25"/>
  <c r="C225" i="25"/>
  <c r="C228" i="25"/>
  <c r="C229" i="25"/>
  <c r="H231" i="25"/>
  <c r="H230" i="25" s="1"/>
  <c r="G231" i="25"/>
  <c r="G230" i="25" s="1"/>
  <c r="G194" i="25" s="1"/>
  <c r="C243" i="25"/>
  <c r="C245" i="25"/>
  <c r="O252" i="25"/>
  <c r="L260" i="25"/>
  <c r="I264" i="25"/>
  <c r="I259" i="25" s="1"/>
  <c r="C271" i="25"/>
  <c r="C279" i="25"/>
  <c r="D269" i="25"/>
  <c r="H269" i="25"/>
  <c r="C295" i="25"/>
  <c r="C31" i="25"/>
  <c r="O292" i="25"/>
  <c r="O20" i="25"/>
  <c r="G53" i="25"/>
  <c r="C24" i="25"/>
  <c r="L292" i="25"/>
  <c r="C70" i="25"/>
  <c r="C200" i="25"/>
  <c r="I198" i="25"/>
  <c r="I196" i="25" s="1"/>
  <c r="C301" i="25"/>
  <c r="G20" i="25"/>
  <c r="F21" i="25"/>
  <c r="C55" i="25"/>
  <c r="C59" i="25"/>
  <c r="I80" i="25"/>
  <c r="I76" i="25" s="1"/>
  <c r="C81" i="25"/>
  <c r="J83" i="25"/>
  <c r="J75" i="25" s="1"/>
  <c r="C85" i="25"/>
  <c r="C105" i="25"/>
  <c r="C106" i="25"/>
  <c r="F103" i="25"/>
  <c r="O122" i="25"/>
  <c r="C137" i="25"/>
  <c r="C152" i="25"/>
  <c r="C154" i="25"/>
  <c r="F151" i="25"/>
  <c r="F160" i="25"/>
  <c r="C169" i="25"/>
  <c r="I166" i="25"/>
  <c r="I165" i="25" s="1"/>
  <c r="K174" i="25"/>
  <c r="K173" i="25" s="1"/>
  <c r="C176" i="25"/>
  <c r="C177" i="25"/>
  <c r="C178" i="25"/>
  <c r="F175" i="25"/>
  <c r="E187" i="25"/>
  <c r="C189" i="25"/>
  <c r="C237" i="25"/>
  <c r="F235" i="25"/>
  <c r="C261" i="25"/>
  <c r="F260" i="25"/>
  <c r="C79" i="25"/>
  <c r="C142" i="25"/>
  <c r="F141" i="25"/>
  <c r="C141" i="25" s="1"/>
  <c r="C56" i="25"/>
  <c r="I58" i="25"/>
  <c r="I54" i="25" s="1"/>
  <c r="C68" i="25"/>
  <c r="F69" i="25"/>
  <c r="M75" i="25"/>
  <c r="C84" i="25"/>
  <c r="C88" i="25"/>
  <c r="C96" i="25"/>
  <c r="C98" i="25"/>
  <c r="F95" i="25"/>
  <c r="I112" i="25"/>
  <c r="C113" i="25"/>
  <c r="L122" i="25"/>
  <c r="C126" i="25"/>
  <c r="F122" i="25"/>
  <c r="I128" i="25"/>
  <c r="C128" i="25" s="1"/>
  <c r="C129" i="25"/>
  <c r="C134" i="25"/>
  <c r="F131" i="25"/>
  <c r="C153" i="25"/>
  <c r="I151" i="25"/>
  <c r="C156" i="25"/>
  <c r="G174" i="25"/>
  <c r="G173" i="25" s="1"/>
  <c r="C188" i="25"/>
  <c r="C220" i="25"/>
  <c r="I216" i="25"/>
  <c r="O231" i="25"/>
  <c r="C256" i="25"/>
  <c r="I252" i="25"/>
  <c r="I251" i="25" s="1"/>
  <c r="C78" i="25"/>
  <c r="F77" i="25"/>
  <c r="I116" i="25"/>
  <c r="C117" i="25"/>
  <c r="C132" i="25"/>
  <c r="L131" i="25"/>
  <c r="C170" i="25"/>
  <c r="F166" i="25"/>
  <c r="M292" i="25"/>
  <c r="M291" i="25" s="1"/>
  <c r="E20" i="25"/>
  <c r="I20" i="25"/>
  <c r="H291" i="25"/>
  <c r="F80" i="25"/>
  <c r="C90" i="25"/>
  <c r="F89" i="25"/>
  <c r="C89" i="25" s="1"/>
  <c r="C97" i="25"/>
  <c r="I95" i="25"/>
  <c r="C104" i="25"/>
  <c r="L103" i="25"/>
  <c r="G130" i="25"/>
  <c r="C133" i="25"/>
  <c r="I131" i="25"/>
  <c r="F144" i="25"/>
  <c r="I144" i="25"/>
  <c r="L151" i="25"/>
  <c r="I160" i="25"/>
  <c r="C161" i="25"/>
  <c r="O165" i="25"/>
  <c r="C181" i="25"/>
  <c r="C182" i="25"/>
  <c r="F179" i="25"/>
  <c r="M187" i="25"/>
  <c r="C208" i="25"/>
  <c r="I205" i="25"/>
  <c r="C197" i="25"/>
  <c r="F196" i="25"/>
  <c r="C215" i="25"/>
  <c r="L231" i="25"/>
  <c r="I235" i="25"/>
  <c r="C236" i="25"/>
  <c r="C247" i="25"/>
  <c r="C249" i="25"/>
  <c r="F246" i="25"/>
  <c r="L252" i="25"/>
  <c r="L251" i="25" s="1"/>
  <c r="C255" i="25"/>
  <c r="C263" i="25"/>
  <c r="E270" i="25"/>
  <c r="E269" i="25" s="1"/>
  <c r="C273" i="25"/>
  <c r="F272" i="25"/>
  <c r="C288" i="25"/>
  <c r="I286" i="25"/>
  <c r="I292" i="25" s="1"/>
  <c r="I291" i="25" s="1"/>
  <c r="C300" i="25"/>
  <c r="O196" i="25"/>
  <c r="O205" i="25"/>
  <c r="C217" i="25"/>
  <c r="F216" i="25"/>
  <c r="O216" i="25"/>
  <c r="J230" i="25"/>
  <c r="C232" i="25"/>
  <c r="K231" i="25"/>
  <c r="K230" i="25" s="1"/>
  <c r="K194" i="25" s="1"/>
  <c r="C239" i="25"/>
  <c r="C241" i="25"/>
  <c r="F238" i="25"/>
  <c r="E230" i="25"/>
  <c r="C253" i="25"/>
  <c r="F252" i="25"/>
  <c r="O251" i="25"/>
  <c r="M259" i="25"/>
  <c r="M230" i="25" s="1"/>
  <c r="C265" i="25"/>
  <c r="F264" i="25"/>
  <c r="C275" i="25"/>
  <c r="C285" i="25"/>
  <c r="F284" i="25"/>
  <c r="O293" i="25"/>
  <c r="C193" i="25"/>
  <c r="F192" i="25"/>
  <c r="E195" i="25"/>
  <c r="M195" i="25"/>
  <c r="C209" i="25"/>
  <c r="F205" i="25"/>
  <c r="C233" i="25"/>
  <c r="C240" i="25"/>
  <c r="I238" i="25"/>
  <c r="C268" i="25"/>
  <c r="C277" i="25"/>
  <c r="F276" i="25"/>
  <c r="C297" i="25"/>
  <c r="F293" i="25"/>
  <c r="C199" i="25"/>
  <c r="C287" i="25"/>
  <c r="K292" i="24"/>
  <c r="K291" i="24" s="1"/>
  <c r="K20" i="24"/>
  <c r="C68" i="24"/>
  <c r="C192" i="24"/>
  <c r="F191" i="24"/>
  <c r="C23" i="24"/>
  <c r="I21" i="24"/>
  <c r="C43" i="24"/>
  <c r="J53" i="24"/>
  <c r="C85" i="24"/>
  <c r="F84" i="24"/>
  <c r="I89" i="24"/>
  <c r="C92" i="24"/>
  <c r="I116" i="24"/>
  <c r="C22" i="24"/>
  <c r="L21" i="24"/>
  <c r="F54" i="24"/>
  <c r="L58" i="24"/>
  <c r="C59" i="24"/>
  <c r="I69" i="24"/>
  <c r="I67" i="24" s="1"/>
  <c r="C72" i="24"/>
  <c r="O76" i="24"/>
  <c r="F103" i="24"/>
  <c r="I103" i="24"/>
  <c r="C104" i="24"/>
  <c r="C117" i="24"/>
  <c r="F116" i="24"/>
  <c r="C124" i="24"/>
  <c r="I122" i="24"/>
  <c r="F131" i="24"/>
  <c r="C157" i="24"/>
  <c r="F151" i="24"/>
  <c r="L166" i="24"/>
  <c r="L165" i="24" s="1"/>
  <c r="C167" i="24"/>
  <c r="M187" i="24"/>
  <c r="C220" i="24"/>
  <c r="I216" i="24"/>
  <c r="C24" i="24"/>
  <c r="F20" i="24"/>
  <c r="L54" i="24"/>
  <c r="L53" i="24" s="1"/>
  <c r="C81" i="24"/>
  <c r="F80" i="24"/>
  <c r="C80" i="24" s="1"/>
  <c r="C113" i="24"/>
  <c r="F112" i="24"/>
  <c r="C143" i="24"/>
  <c r="L141" i="24"/>
  <c r="G292" i="24"/>
  <c r="G291" i="24" s="1"/>
  <c r="G20" i="24"/>
  <c r="C60" i="24"/>
  <c r="I58" i="24"/>
  <c r="C58" i="24" s="1"/>
  <c r="E83" i="24"/>
  <c r="E75" i="24" s="1"/>
  <c r="E52" i="24" s="1"/>
  <c r="F160" i="24"/>
  <c r="C160" i="24" s="1"/>
  <c r="L26" i="24"/>
  <c r="O292" i="24"/>
  <c r="O291" i="24" s="1"/>
  <c r="O20" i="24"/>
  <c r="I55" i="24"/>
  <c r="C56" i="24"/>
  <c r="L77" i="24"/>
  <c r="L76" i="24" s="1"/>
  <c r="M83" i="24"/>
  <c r="M75" i="24" s="1"/>
  <c r="M52" i="24" s="1"/>
  <c r="L84" i="24"/>
  <c r="O89" i="24"/>
  <c r="O83" i="24" s="1"/>
  <c r="F95" i="24"/>
  <c r="I95" i="24"/>
  <c r="C96" i="24"/>
  <c r="L103" i="24"/>
  <c r="C123" i="24"/>
  <c r="L122" i="24"/>
  <c r="N174" i="24"/>
  <c r="N173" i="24" s="1"/>
  <c r="N187" i="24"/>
  <c r="C207" i="24"/>
  <c r="L205" i="24"/>
  <c r="L260" i="24"/>
  <c r="C260" i="24" s="1"/>
  <c r="C263" i="24"/>
  <c r="C301" i="24"/>
  <c r="F291" i="24"/>
  <c r="I187" i="24"/>
  <c r="L216" i="24"/>
  <c r="C219" i="24"/>
  <c r="C248" i="24"/>
  <c r="I246" i="24"/>
  <c r="C284" i="24"/>
  <c r="F283" i="24"/>
  <c r="C283" i="24" s="1"/>
  <c r="J20" i="24"/>
  <c r="C129" i="24"/>
  <c r="N130" i="24"/>
  <c r="N75" i="24" s="1"/>
  <c r="N52" i="24" s="1"/>
  <c r="L131" i="24"/>
  <c r="L136" i="24"/>
  <c r="C136" i="24" s="1"/>
  <c r="L144" i="24"/>
  <c r="C184" i="24"/>
  <c r="M195" i="24"/>
  <c r="C200" i="24"/>
  <c r="I198" i="24"/>
  <c r="O216" i="24"/>
  <c r="O204" i="24" s="1"/>
  <c r="O195" i="24" s="1"/>
  <c r="L238" i="24"/>
  <c r="C241" i="24"/>
  <c r="F238" i="24"/>
  <c r="C247" i="24"/>
  <c r="L246" i="24"/>
  <c r="F259" i="24"/>
  <c r="C293" i="24"/>
  <c r="I131" i="24"/>
  <c r="C132" i="24"/>
  <c r="C141" i="24"/>
  <c r="C202" i="24"/>
  <c r="F196" i="24"/>
  <c r="N230" i="24"/>
  <c r="J259" i="24"/>
  <c r="O259" i="24"/>
  <c r="J130" i="24"/>
  <c r="C140" i="24"/>
  <c r="C148" i="24"/>
  <c r="I151" i="24"/>
  <c r="C152" i="24"/>
  <c r="C164" i="24"/>
  <c r="C168" i="24"/>
  <c r="I166" i="24"/>
  <c r="I175" i="24"/>
  <c r="C175" i="24" s="1"/>
  <c r="C176" i="24"/>
  <c r="I179" i="24"/>
  <c r="C179" i="24" s="1"/>
  <c r="C180" i="24"/>
  <c r="C193" i="24"/>
  <c r="N195" i="24"/>
  <c r="C199" i="24"/>
  <c r="L198" i="24"/>
  <c r="L196" i="24" s="1"/>
  <c r="C208" i="24"/>
  <c r="I205" i="24"/>
  <c r="E230" i="24"/>
  <c r="C254" i="24"/>
  <c r="F252" i="24"/>
  <c r="I264" i="24"/>
  <c r="I259" i="24" s="1"/>
  <c r="L264" i="24"/>
  <c r="C267" i="24"/>
  <c r="C273" i="24"/>
  <c r="F272" i="24"/>
  <c r="L270" i="24"/>
  <c r="L269" i="24" s="1"/>
  <c r="F276" i="24"/>
  <c r="C276" i="24" s="1"/>
  <c r="C279" i="24"/>
  <c r="C281" i="24"/>
  <c r="F205" i="24"/>
  <c r="I227" i="24"/>
  <c r="C227" i="24" s="1"/>
  <c r="C228" i="24"/>
  <c r="H231" i="24"/>
  <c r="H230" i="24" s="1"/>
  <c r="C233" i="24"/>
  <c r="I235" i="24"/>
  <c r="C235" i="24" s="1"/>
  <c r="C236" i="24"/>
  <c r="C280" i="24"/>
  <c r="C296" i="24"/>
  <c r="C197" i="24"/>
  <c r="H195" i="24"/>
  <c r="C201" i="24"/>
  <c r="C209" i="24"/>
  <c r="C221" i="24"/>
  <c r="C232" i="24"/>
  <c r="D231" i="24"/>
  <c r="D230" i="24" s="1"/>
  <c r="M230" i="24"/>
  <c r="C244" i="24"/>
  <c r="C245" i="24"/>
  <c r="C249" i="24"/>
  <c r="F246" i="24"/>
  <c r="C253" i="24"/>
  <c r="O252" i="24"/>
  <c r="O251" i="24" s="1"/>
  <c r="O230" i="24" s="1"/>
  <c r="J270" i="24"/>
  <c r="J269" i="24" s="1"/>
  <c r="C285" i="24"/>
  <c r="L286" i="24"/>
  <c r="L231" i="24" l="1"/>
  <c r="C246" i="24"/>
  <c r="C264" i="24"/>
  <c r="I83" i="24"/>
  <c r="C116" i="24"/>
  <c r="C80" i="25"/>
  <c r="N75" i="25"/>
  <c r="D75" i="24"/>
  <c r="D52" i="24" s="1"/>
  <c r="L130" i="24"/>
  <c r="K289" i="24"/>
  <c r="C103" i="24"/>
  <c r="E194" i="24"/>
  <c r="K194" i="24"/>
  <c r="G52" i="24"/>
  <c r="N289" i="24"/>
  <c r="G289" i="24"/>
  <c r="C67" i="24"/>
  <c r="I174" i="25"/>
  <c r="I173" i="25" s="1"/>
  <c r="L53" i="25"/>
  <c r="D289" i="25"/>
  <c r="O53" i="25"/>
  <c r="C95" i="25"/>
  <c r="C216" i="25"/>
  <c r="G75" i="25"/>
  <c r="G289" i="25" s="1"/>
  <c r="E289" i="24"/>
  <c r="D194" i="24"/>
  <c r="I231" i="24"/>
  <c r="I230" i="24" s="1"/>
  <c r="I54" i="24"/>
  <c r="C112" i="24"/>
  <c r="C238" i="25"/>
  <c r="C246" i="25"/>
  <c r="C179" i="25"/>
  <c r="C144" i="25"/>
  <c r="L83" i="25"/>
  <c r="I83" i="25"/>
  <c r="L291" i="25"/>
  <c r="L26" i="25"/>
  <c r="L20" i="25" s="1"/>
  <c r="H194" i="25"/>
  <c r="H51" i="25" s="1"/>
  <c r="H290" i="25" s="1"/>
  <c r="N289" i="25"/>
  <c r="D194" i="25"/>
  <c r="O83" i="25"/>
  <c r="O173" i="24"/>
  <c r="H289" i="24"/>
  <c r="J75" i="24"/>
  <c r="J52" i="24" s="1"/>
  <c r="C144" i="24"/>
  <c r="F76" i="24"/>
  <c r="C76" i="24" s="1"/>
  <c r="C122" i="24"/>
  <c r="C276" i="25"/>
  <c r="C216" i="24"/>
  <c r="C89" i="24"/>
  <c r="E194" i="25"/>
  <c r="I204" i="25"/>
  <c r="I195" i="25" s="1"/>
  <c r="O130" i="25"/>
  <c r="G194" i="24"/>
  <c r="G51" i="24" s="1"/>
  <c r="O130" i="24"/>
  <c r="O270" i="25"/>
  <c r="O269" i="25" s="1"/>
  <c r="J230" i="24"/>
  <c r="J194" i="24" s="1"/>
  <c r="L259" i="24"/>
  <c r="L230" i="24" s="1"/>
  <c r="E51" i="24"/>
  <c r="E50" i="24" s="1"/>
  <c r="C122" i="25"/>
  <c r="H289" i="25"/>
  <c r="O259" i="25"/>
  <c r="O230" i="25" s="1"/>
  <c r="E75" i="25"/>
  <c r="E52" i="25" s="1"/>
  <c r="D51" i="25"/>
  <c r="D290" i="25" s="1"/>
  <c r="C264" i="25"/>
  <c r="J194" i="25"/>
  <c r="I130" i="25"/>
  <c r="M52" i="25"/>
  <c r="I53" i="25"/>
  <c r="K52" i="25"/>
  <c r="K51" i="25" s="1"/>
  <c r="C151" i="25"/>
  <c r="C136" i="25"/>
  <c r="L259" i="25"/>
  <c r="L230" i="25" s="1"/>
  <c r="E289" i="25"/>
  <c r="I231" i="25"/>
  <c r="I230" i="25" s="1"/>
  <c r="N194" i="25"/>
  <c r="C198" i="25"/>
  <c r="K289" i="25"/>
  <c r="L195" i="25"/>
  <c r="M289" i="25"/>
  <c r="C112" i="25"/>
  <c r="C103" i="25"/>
  <c r="J52" i="25"/>
  <c r="O173" i="25"/>
  <c r="N52" i="25"/>
  <c r="D50" i="25"/>
  <c r="C205" i="25"/>
  <c r="F204" i="25"/>
  <c r="C284" i="25"/>
  <c r="F283" i="25"/>
  <c r="C283" i="25" s="1"/>
  <c r="I75" i="25"/>
  <c r="C235" i="25"/>
  <c r="F231" i="25"/>
  <c r="F174" i="25"/>
  <c r="C175" i="25"/>
  <c r="E51" i="25"/>
  <c r="O291" i="25"/>
  <c r="C293" i="25"/>
  <c r="C192" i="25"/>
  <c r="F191" i="25"/>
  <c r="C252" i="25"/>
  <c r="F251" i="25"/>
  <c r="C251" i="25" s="1"/>
  <c r="J289" i="25"/>
  <c r="C196" i="25"/>
  <c r="L130" i="25"/>
  <c r="L75" i="25" s="1"/>
  <c r="C116" i="25"/>
  <c r="O204" i="25"/>
  <c r="O195" i="25" s="1"/>
  <c r="F270" i="25"/>
  <c r="C272" i="25"/>
  <c r="C77" i="25"/>
  <c r="F76" i="25"/>
  <c r="F83" i="25"/>
  <c r="C69" i="25"/>
  <c r="F67" i="25"/>
  <c r="C67" i="25" s="1"/>
  <c r="C286" i="25"/>
  <c r="C260" i="25"/>
  <c r="F259" i="25"/>
  <c r="F292" i="25"/>
  <c r="F20" i="25"/>
  <c r="C20" i="25" s="1"/>
  <c r="C21" i="25"/>
  <c r="C58" i="25"/>
  <c r="F53" i="25"/>
  <c r="C54" i="25"/>
  <c r="M194" i="25"/>
  <c r="C166" i="25"/>
  <c r="F165" i="25"/>
  <c r="C165" i="25" s="1"/>
  <c r="F130" i="25"/>
  <c r="C131" i="25"/>
  <c r="C160" i="25"/>
  <c r="C26" i="25"/>
  <c r="O194" i="24"/>
  <c r="M289" i="24"/>
  <c r="C205" i="24"/>
  <c r="F204" i="24"/>
  <c r="C238" i="24"/>
  <c r="F231" i="24"/>
  <c r="L204" i="24"/>
  <c r="L195" i="24" s="1"/>
  <c r="L194" i="24" s="1"/>
  <c r="F130" i="24"/>
  <c r="C131" i="24"/>
  <c r="C191" i="24"/>
  <c r="F187" i="24"/>
  <c r="C187" i="24" s="1"/>
  <c r="F195" i="24"/>
  <c r="C259" i="24"/>
  <c r="M194" i="24"/>
  <c r="M51" i="24" s="1"/>
  <c r="K52" i="24"/>
  <c r="K51" i="24" s="1"/>
  <c r="H194" i="24"/>
  <c r="H51" i="24" s="1"/>
  <c r="I204" i="24"/>
  <c r="N194" i="24"/>
  <c r="N51" i="24" s="1"/>
  <c r="I130" i="24"/>
  <c r="C198" i="24"/>
  <c r="I196" i="24"/>
  <c r="C77" i="24"/>
  <c r="C26" i="24"/>
  <c r="C69" i="24"/>
  <c r="C151" i="24"/>
  <c r="L292" i="24"/>
  <c r="L291" i="24" s="1"/>
  <c r="L20" i="24"/>
  <c r="C252" i="24"/>
  <c r="F251" i="24"/>
  <c r="C251" i="24" s="1"/>
  <c r="F53" i="24"/>
  <c r="C54" i="24"/>
  <c r="I165" i="24"/>
  <c r="C165" i="24" s="1"/>
  <c r="C166" i="24"/>
  <c r="C95" i="24"/>
  <c r="D51" i="24"/>
  <c r="O75" i="24"/>
  <c r="C84" i="24"/>
  <c r="F83" i="24"/>
  <c r="I292" i="24"/>
  <c r="I20" i="24"/>
  <c r="C21" i="24"/>
  <c r="F270" i="24"/>
  <c r="C272" i="24"/>
  <c r="I174" i="24"/>
  <c r="C286" i="24"/>
  <c r="D289" i="24"/>
  <c r="L83" i="24"/>
  <c r="L75" i="24" s="1"/>
  <c r="L52" i="24" s="1"/>
  <c r="L51" i="24" s="1"/>
  <c r="I53" i="24"/>
  <c r="C55" i="24"/>
  <c r="F75" i="24" l="1"/>
  <c r="I194" i="25"/>
  <c r="I75" i="24"/>
  <c r="E290" i="24"/>
  <c r="G52" i="25"/>
  <c r="G51" i="25" s="1"/>
  <c r="C83" i="25"/>
  <c r="L194" i="25"/>
  <c r="G290" i="24"/>
  <c r="G50" i="24"/>
  <c r="O75" i="25"/>
  <c r="O52" i="25" s="1"/>
  <c r="C20" i="24"/>
  <c r="O52" i="24"/>
  <c r="O51" i="24" s="1"/>
  <c r="O290" i="24" s="1"/>
  <c r="C130" i="24"/>
  <c r="J289" i="24"/>
  <c r="H50" i="25"/>
  <c r="J51" i="25"/>
  <c r="I289" i="25"/>
  <c r="J51" i="24"/>
  <c r="J290" i="24" s="1"/>
  <c r="C204" i="25"/>
  <c r="C259" i="25"/>
  <c r="C130" i="25"/>
  <c r="M51" i="25"/>
  <c r="M50" i="25" s="1"/>
  <c r="I52" i="25"/>
  <c r="N51" i="25"/>
  <c r="L52" i="25"/>
  <c r="L289" i="25"/>
  <c r="C53" i="25"/>
  <c r="C292" i="25"/>
  <c r="F291" i="25"/>
  <c r="C291" i="25" s="1"/>
  <c r="E290" i="25"/>
  <c r="E50" i="25"/>
  <c r="K50" i="25"/>
  <c r="K290" i="25"/>
  <c r="O194" i="25"/>
  <c r="F195" i="25"/>
  <c r="C174" i="25"/>
  <c r="F173" i="25"/>
  <c r="C173" i="25" s="1"/>
  <c r="C76" i="25"/>
  <c r="F75" i="25"/>
  <c r="F269" i="25"/>
  <c r="C270" i="25"/>
  <c r="C191" i="25"/>
  <c r="F187" i="25"/>
  <c r="C187" i="25" s="1"/>
  <c r="G50" i="25"/>
  <c r="G290" i="25"/>
  <c r="F230" i="25"/>
  <c r="C230" i="25" s="1"/>
  <c r="C231" i="25"/>
  <c r="N50" i="24"/>
  <c r="N290" i="24"/>
  <c r="L50" i="24"/>
  <c r="L290" i="24"/>
  <c r="H50" i="24"/>
  <c r="H290" i="24"/>
  <c r="M50" i="24"/>
  <c r="M290" i="24"/>
  <c r="O50" i="24"/>
  <c r="I195" i="24"/>
  <c r="I194" i="24" s="1"/>
  <c r="C292" i="24"/>
  <c r="I291" i="24"/>
  <c r="C291" i="24" s="1"/>
  <c r="C75" i="24"/>
  <c r="F269" i="24"/>
  <c r="C270" i="24"/>
  <c r="C83" i="24"/>
  <c r="C53" i="24"/>
  <c r="F52" i="24"/>
  <c r="L289" i="24"/>
  <c r="C204" i="24"/>
  <c r="J50" i="24"/>
  <c r="I173" i="24"/>
  <c r="C173" i="24" s="1"/>
  <c r="C174" i="24"/>
  <c r="D290" i="24"/>
  <c r="D50" i="24"/>
  <c r="I52" i="24"/>
  <c r="K50" i="24"/>
  <c r="K290" i="24"/>
  <c r="C196" i="24"/>
  <c r="F230" i="24"/>
  <c r="C230" i="24" s="1"/>
  <c r="C231" i="24"/>
  <c r="O289" i="24"/>
  <c r="I51" i="24" l="1"/>
  <c r="I290" i="24" s="1"/>
  <c r="C195" i="24"/>
  <c r="C75" i="25"/>
  <c r="I51" i="25"/>
  <c r="I290" i="25" s="1"/>
  <c r="O51" i="25"/>
  <c r="O50" i="25" s="1"/>
  <c r="L51" i="25"/>
  <c r="M290" i="25"/>
  <c r="O289" i="25"/>
  <c r="J290" i="25"/>
  <c r="J50" i="25"/>
  <c r="N50" i="25"/>
  <c r="N290" i="25"/>
  <c r="C269" i="25"/>
  <c r="F289" i="25"/>
  <c r="F194" i="25"/>
  <c r="C194" i="25" s="1"/>
  <c r="C195" i="25"/>
  <c r="F52" i="25"/>
  <c r="L50" i="25"/>
  <c r="L290" i="25"/>
  <c r="F194" i="24"/>
  <c r="C194" i="24" s="1"/>
  <c r="C52" i="24"/>
  <c r="F51" i="24"/>
  <c r="C269" i="24"/>
  <c r="F289" i="24"/>
  <c r="I50" i="24"/>
  <c r="I289" i="24"/>
  <c r="I50" i="25" l="1"/>
  <c r="C289" i="25"/>
  <c r="O290" i="25"/>
  <c r="F51" i="25"/>
  <c r="C52" i="25"/>
  <c r="F290" i="24"/>
  <c r="C290" i="24" s="1"/>
  <c r="F50" i="24"/>
  <c r="C50" i="24" s="1"/>
  <c r="C51" i="24"/>
  <c r="C289" i="24"/>
  <c r="F290" i="25" l="1"/>
  <c r="C290" i="25" s="1"/>
  <c r="F50" i="25"/>
  <c r="C50" i="25" s="1"/>
  <c r="C51" i="25"/>
  <c r="O301" i="23"/>
  <c r="L301" i="23"/>
  <c r="I301" i="23"/>
  <c r="F301" i="23"/>
  <c r="O300" i="23"/>
  <c r="L300" i="23"/>
  <c r="I300" i="23"/>
  <c r="F300" i="23"/>
  <c r="O299" i="23"/>
  <c r="L299" i="23"/>
  <c r="I299" i="23"/>
  <c r="F299" i="23"/>
  <c r="O298" i="23"/>
  <c r="L298" i="23"/>
  <c r="I298" i="23"/>
  <c r="F298" i="23"/>
  <c r="O297" i="23"/>
  <c r="L297" i="23"/>
  <c r="I297" i="23"/>
  <c r="F297" i="23"/>
  <c r="O296" i="23"/>
  <c r="L296" i="23"/>
  <c r="I296" i="23"/>
  <c r="F296" i="23"/>
  <c r="O295" i="23"/>
  <c r="L295" i="23"/>
  <c r="I295" i="23"/>
  <c r="F295" i="23"/>
  <c r="O294" i="23"/>
  <c r="L294" i="23"/>
  <c r="I294" i="23"/>
  <c r="I293" i="23" s="1"/>
  <c r="F294" i="23"/>
  <c r="N293" i="23"/>
  <c r="M293" i="23"/>
  <c r="K293" i="23"/>
  <c r="J293" i="23"/>
  <c r="H293" i="23"/>
  <c r="G293" i="23"/>
  <c r="E293" i="23"/>
  <c r="D293" i="23"/>
  <c r="O288" i="23"/>
  <c r="L288" i="23"/>
  <c r="I288" i="23"/>
  <c r="F288" i="23"/>
  <c r="O287" i="23"/>
  <c r="O286" i="23" s="1"/>
  <c r="L287" i="23"/>
  <c r="L286" i="23" s="1"/>
  <c r="I287" i="23"/>
  <c r="F287" i="23"/>
  <c r="F286" i="23" s="1"/>
  <c r="N286" i="23"/>
  <c r="M286" i="23"/>
  <c r="K286" i="23"/>
  <c r="J286" i="23"/>
  <c r="H286" i="23"/>
  <c r="G286" i="23"/>
  <c r="E286" i="23"/>
  <c r="D286" i="23"/>
  <c r="O285" i="23"/>
  <c r="O284" i="23" s="1"/>
  <c r="O283" i="23" s="1"/>
  <c r="L285" i="23"/>
  <c r="L284" i="23" s="1"/>
  <c r="L283" i="23" s="1"/>
  <c r="I285" i="23"/>
  <c r="I284" i="23" s="1"/>
  <c r="I283" i="23" s="1"/>
  <c r="F285" i="23"/>
  <c r="N284" i="23"/>
  <c r="N283" i="23" s="1"/>
  <c r="M284" i="23"/>
  <c r="M283" i="23" s="1"/>
  <c r="K284" i="23"/>
  <c r="K283" i="23" s="1"/>
  <c r="J284" i="23"/>
  <c r="J283" i="23" s="1"/>
  <c r="H284" i="23"/>
  <c r="G284" i="23"/>
  <c r="E284" i="23"/>
  <c r="E283" i="23" s="1"/>
  <c r="D284" i="23"/>
  <c r="D283" i="23" s="1"/>
  <c r="H283" i="23"/>
  <c r="G283" i="23"/>
  <c r="O282" i="23"/>
  <c r="O281" i="23" s="1"/>
  <c r="L282" i="23"/>
  <c r="L281" i="23" s="1"/>
  <c r="I282" i="23"/>
  <c r="I281" i="23" s="1"/>
  <c r="F282" i="23"/>
  <c r="F281" i="23" s="1"/>
  <c r="N281" i="23"/>
  <c r="M281" i="23"/>
  <c r="K281" i="23"/>
  <c r="J281" i="23"/>
  <c r="H281" i="23"/>
  <c r="G281" i="23"/>
  <c r="E281" i="23"/>
  <c r="D281" i="23"/>
  <c r="O280" i="23"/>
  <c r="L280" i="23"/>
  <c r="I280" i="23"/>
  <c r="F280" i="23"/>
  <c r="O279" i="23"/>
  <c r="L279" i="23"/>
  <c r="I279" i="23"/>
  <c r="F279" i="23"/>
  <c r="O278" i="23"/>
  <c r="L278" i="23"/>
  <c r="I278" i="23"/>
  <c r="F278" i="23"/>
  <c r="O277" i="23"/>
  <c r="L277" i="23"/>
  <c r="I277" i="23"/>
  <c r="F277" i="23"/>
  <c r="N276" i="23"/>
  <c r="M276" i="23"/>
  <c r="K276" i="23"/>
  <c r="J276" i="23"/>
  <c r="H276" i="23"/>
  <c r="G276" i="23"/>
  <c r="E276" i="23"/>
  <c r="D276" i="23"/>
  <c r="O275" i="23"/>
  <c r="L275" i="23"/>
  <c r="I275" i="23"/>
  <c r="F275" i="23"/>
  <c r="O274" i="23"/>
  <c r="L274" i="23"/>
  <c r="I274" i="23"/>
  <c r="F274" i="23"/>
  <c r="O273" i="23"/>
  <c r="L273" i="23"/>
  <c r="I273" i="23"/>
  <c r="I272" i="23" s="1"/>
  <c r="F273" i="23"/>
  <c r="F272" i="23" s="1"/>
  <c r="N272" i="23"/>
  <c r="N270" i="23" s="1"/>
  <c r="M272" i="23"/>
  <c r="K272" i="23"/>
  <c r="K270" i="23" s="1"/>
  <c r="K269" i="23" s="1"/>
  <c r="J272" i="23"/>
  <c r="H272" i="23"/>
  <c r="H270" i="23" s="1"/>
  <c r="H269" i="23" s="1"/>
  <c r="G272" i="23"/>
  <c r="E272" i="23"/>
  <c r="E270" i="23" s="1"/>
  <c r="E269" i="23" s="1"/>
  <c r="D272" i="23"/>
  <c r="O271" i="23"/>
  <c r="L271" i="23"/>
  <c r="I271" i="23"/>
  <c r="F271" i="23"/>
  <c r="O268" i="23"/>
  <c r="L268" i="23"/>
  <c r="I268" i="23"/>
  <c r="F268" i="23"/>
  <c r="O267" i="23"/>
  <c r="L267" i="23"/>
  <c r="I267" i="23"/>
  <c r="F267" i="23"/>
  <c r="O266" i="23"/>
  <c r="L266" i="23"/>
  <c r="I266" i="23"/>
  <c r="F266" i="23"/>
  <c r="O265" i="23"/>
  <c r="L265" i="23"/>
  <c r="L264" i="23" s="1"/>
  <c r="I265" i="23"/>
  <c r="I264" i="23" s="1"/>
  <c r="F265" i="23"/>
  <c r="N264" i="23"/>
  <c r="M264" i="23"/>
  <c r="K264" i="23"/>
  <c r="J264" i="23"/>
  <c r="H264" i="23"/>
  <c r="G264" i="23"/>
  <c r="E264" i="23"/>
  <c r="D264" i="23"/>
  <c r="O263" i="23"/>
  <c r="L263" i="23"/>
  <c r="I263" i="23"/>
  <c r="F263" i="23"/>
  <c r="O262" i="23"/>
  <c r="L262" i="23"/>
  <c r="I262" i="23"/>
  <c r="F262" i="23"/>
  <c r="O261" i="23"/>
  <c r="L261" i="23"/>
  <c r="I261" i="23"/>
  <c r="F261" i="23"/>
  <c r="N260" i="23"/>
  <c r="N259" i="23" s="1"/>
  <c r="M260" i="23"/>
  <c r="K260" i="23"/>
  <c r="K259" i="23" s="1"/>
  <c r="J260" i="23"/>
  <c r="J259" i="23" s="1"/>
  <c r="H260" i="23"/>
  <c r="H259" i="23" s="1"/>
  <c r="G260" i="23"/>
  <c r="G259" i="23" s="1"/>
  <c r="E260" i="23"/>
  <c r="D260" i="23"/>
  <c r="D259" i="23" s="1"/>
  <c r="O258" i="23"/>
  <c r="L258" i="23"/>
  <c r="I258" i="23"/>
  <c r="F258" i="23"/>
  <c r="O257" i="23"/>
  <c r="L257" i="23"/>
  <c r="I257" i="23"/>
  <c r="F257" i="23"/>
  <c r="O256" i="23"/>
  <c r="L256" i="23"/>
  <c r="I256" i="23"/>
  <c r="F256" i="23"/>
  <c r="O255" i="23"/>
  <c r="L255" i="23"/>
  <c r="I255" i="23"/>
  <c r="F255" i="23"/>
  <c r="O254" i="23"/>
  <c r="L254" i="23"/>
  <c r="I254" i="23"/>
  <c r="F254" i="23"/>
  <c r="O253" i="23"/>
  <c r="L253" i="23"/>
  <c r="I253" i="23"/>
  <c r="I252" i="23" s="1"/>
  <c r="I251" i="23" s="1"/>
  <c r="F253" i="23"/>
  <c r="F252" i="23" s="1"/>
  <c r="N252" i="23"/>
  <c r="N251" i="23" s="1"/>
  <c r="M252" i="23"/>
  <c r="M251" i="23" s="1"/>
  <c r="K252" i="23"/>
  <c r="K251" i="23" s="1"/>
  <c r="J252" i="23"/>
  <c r="J251" i="23" s="1"/>
  <c r="H252" i="23"/>
  <c r="H251" i="23" s="1"/>
  <c r="G252" i="23"/>
  <c r="G251" i="23" s="1"/>
  <c r="E252" i="23"/>
  <c r="E251" i="23" s="1"/>
  <c r="D252" i="23"/>
  <c r="D251" i="23" s="1"/>
  <c r="O250" i="23"/>
  <c r="L250" i="23"/>
  <c r="I250" i="23"/>
  <c r="F250" i="23"/>
  <c r="O249" i="23"/>
  <c r="L249" i="23"/>
  <c r="I249" i="23"/>
  <c r="F249" i="23"/>
  <c r="O248" i="23"/>
  <c r="L248" i="23"/>
  <c r="I248" i="23"/>
  <c r="F248" i="23"/>
  <c r="O247" i="23"/>
  <c r="L247" i="23"/>
  <c r="L246" i="23" s="1"/>
  <c r="I247" i="23"/>
  <c r="F247" i="23"/>
  <c r="F246" i="23" s="1"/>
  <c r="N246" i="23"/>
  <c r="M246" i="23"/>
  <c r="K246" i="23"/>
  <c r="J246" i="23"/>
  <c r="H246" i="23"/>
  <c r="G246" i="23"/>
  <c r="E246" i="23"/>
  <c r="D246" i="23"/>
  <c r="O245" i="23"/>
  <c r="L245" i="23"/>
  <c r="I245" i="23"/>
  <c r="F245" i="23"/>
  <c r="O244" i="23"/>
  <c r="L244" i="23"/>
  <c r="I244" i="23"/>
  <c r="F244" i="23"/>
  <c r="O243" i="23"/>
  <c r="L243" i="23"/>
  <c r="I243" i="23"/>
  <c r="F243" i="23"/>
  <c r="O242" i="23"/>
  <c r="L242" i="23"/>
  <c r="I242" i="23"/>
  <c r="F242" i="23"/>
  <c r="O241" i="23"/>
  <c r="L241" i="23"/>
  <c r="I241" i="23"/>
  <c r="F241" i="23"/>
  <c r="O240" i="23"/>
  <c r="L240" i="23"/>
  <c r="I240" i="23"/>
  <c r="F240" i="23"/>
  <c r="O239" i="23"/>
  <c r="O238" i="23" s="1"/>
  <c r="L239" i="23"/>
  <c r="I239" i="23"/>
  <c r="F239" i="23"/>
  <c r="N238" i="23"/>
  <c r="M238" i="23"/>
  <c r="K238" i="23"/>
  <c r="J238" i="23"/>
  <c r="H238" i="23"/>
  <c r="G238" i="23"/>
  <c r="E238" i="23"/>
  <c r="D238" i="23"/>
  <c r="O237" i="23"/>
  <c r="L237" i="23"/>
  <c r="I237" i="23"/>
  <c r="F237" i="23"/>
  <c r="O236" i="23"/>
  <c r="L236" i="23"/>
  <c r="L235" i="23" s="1"/>
  <c r="I236" i="23"/>
  <c r="F236" i="23"/>
  <c r="O235" i="23"/>
  <c r="N235" i="23"/>
  <c r="M235" i="23"/>
  <c r="K235" i="23"/>
  <c r="J235" i="23"/>
  <c r="H235" i="23"/>
  <c r="G235" i="23"/>
  <c r="F235" i="23"/>
  <c r="E235" i="23"/>
  <c r="D235" i="23"/>
  <c r="O234" i="23"/>
  <c r="O233" i="23" s="1"/>
  <c r="L234" i="23"/>
  <c r="L233" i="23" s="1"/>
  <c r="I234" i="23"/>
  <c r="I233" i="23" s="1"/>
  <c r="F234" i="23"/>
  <c r="F233" i="23" s="1"/>
  <c r="N233" i="23"/>
  <c r="M233" i="23"/>
  <c r="K233" i="23"/>
  <c r="J233" i="23"/>
  <c r="H233" i="23"/>
  <c r="G233" i="23"/>
  <c r="E233" i="23"/>
  <c r="D233" i="23"/>
  <c r="O232" i="23"/>
  <c r="L232" i="23"/>
  <c r="I232" i="23"/>
  <c r="F232" i="23"/>
  <c r="O229" i="23"/>
  <c r="L229" i="23"/>
  <c r="I229" i="23"/>
  <c r="F229" i="23"/>
  <c r="O228" i="23"/>
  <c r="L228" i="23"/>
  <c r="L227" i="23" s="1"/>
  <c r="I228" i="23"/>
  <c r="F228" i="23"/>
  <c r="O227" i="23"/>
  <c r="N227" i="23"/>
  <c r="M227" i="23"/>
  <c r="K227" i="23"/>
  <c r="J227" i="23"/>
  <c r="H227" i="23"/>
  <c r="G227" i="23"/>
  <c r="F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O218" i="23"/>
  <c r="L218" i="23"/>
  <c r="I218" i="23"/>
  <c r="F218" i="23"/>
  <c r="O217" i="23"/>
  <c r="L217" i="23"/>
  <c r="L216" i="23" s="1"/>
  <c r="I217" i="23"/>
  <c r="F217" i="23"/>
  <c r="N216" i="23"/>
  <c r="M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C211" i="23" s="1"/>
  <c r="F211" i="23"/>
  <c r="O210" i="23"/>
  <c r="L210" i="23"/>
  <c r="I210" i="23"/>
  <c r="F210" i="23"/>
  <c r="O209" i="23"/>
  <c r="L209" i="23"/>
  <c r="I209" i="23"/>
  <c r="F209" i="23"/>
  <c r="O208" i="23"/>
  <c r="L208" i="23"/>
  <c r="I208" i="23"/>
  <c r="F208" i="23"/>
  <c r="O207" i="23"/>
  <c r="L207" i="23"/>
  <c r="I207" i="23"/>
  <c r="F207" i="23"/>
  <c r="O206" i="23"/>
  <c r="L206" i="23"/>
  <c r="I206" i="23"/>
  <c r="I205" i="23" s="1"/>
  <c r="F206" i="23"/>
  <c r="N205" i="23"/>
  <c r="M205" i="23"/>
  <c r="K205" i="23"/>
  <c r="J205" i="23"/>
  <c r="H205" i="23"/>
  <c r="G205" i="23"/>
  <c r="E205" i="23"/>
  <c r="D205" i="23"/>
  <c r="O203" i="23"/>
  <c r="L203" i="23"/>
  <c r="I203" i="23"/>
  <c r="F203" i="23"/>
  <c r="O202" i="23"/>
  <c r="L202" i="23"/>
  <c r="I202" i="23"/>
  <c r="F202" i="23"/>
  <c r="O201" i="23"/>
  <c r="L201" i="23"/>
  <c r="I201" i="23"/>
  <c r="F201" i="23"/>
  <c r="O200" i="23"/>
  <c r="L200" i="23"/>
  <c r="I200" i="23"/>
  <c r="F200" i="23"/>
  <c r="O199" i="23"/>
  <c r="O198" i="23" s="1"/>
  <c r="L199" i="23"/>
  <c r="L198" i="23" s="1"/>
  <c r="I199" i="23"/>
  <c r="F199" i="23"/>
  <c r="N198" i="23"/>
  <c r="N196" i="23" s="1"/>
  <c r="M198" i="23"/>
  <c r="K198" i="23"/>
  <c r="K196" i="23" s="1"/>
  <c r="J198" i="23"/>
  <c r="H198" i="23"/>
  <c r="H196" i="23" s="1"/>
  <c r="G198" i="23"/>
  <c r="G196" i="23" s="1"/>
  <c r="F198" i="23"/>
  <c r="E198" i="23"/>
  <c r="E196" i="23" s="1"/>
  <c r="D198" i="23"/>
  <c r="D196" i="23" s="1"/>
  <c r="O197" i="23"/>
  <c r="L197" i="23"/>
  <c r="I197" i="23"/>
  <c r="F197" i="23"/>
  <c r="M196" i="23"/>
  <c r="J196" i="23"/>
  <c r="O193" i="23"/>
  <c r="O192" i="23" s="1"/>
  <c r="O191" i="23" s="1"/>
  <c r="L193" i="23"/>
  <c r="L192" i="23" s="1"/>
  <c r="L191" i="23" s="1"/>
  <c r="I193" i="23"/>
  <c r="I192" i="23" s="1"/>
  <c r="F193" i="23"/>
  <c r="F192" i="23" s="1"/>
  <c r="N192" i="23"/>
  <c r="M192" i="23"/>
  <c r="M191" i="23" s="1"/>
  <c r="K192" i="23"/>
  <c r="K191" i="23" s="1"/>
  <c r="J192" i="23"/>
  <c r="H192" i="23"/>
  <c r="H191" i="23" s="1"/>
  <c r="G192" i="23"/>
  <c r="G191" i="23" s="1"/>
  <c r="E192" i="23"/>
  <c r="E191" i="23" s="1"/>
  <c r="D192" i="23"/>
  <c r="D191" i="23" s="1"/>
  <c r="N191" i="23"/>
  <c r="J191" i="23"/>
  <c r="F191" i="23"/>
  <c r="O190" i="23"/>
  <c r="L190" i="23"/>
  <c r="I190" i="23"/>
  <c r="F190" i="23"/>
  <c r="O189" i="23"/>
  <c r="L189" i="23"/>
  <c r="I189" i="23"/>
  <c r="F189" i="23"/>
  <c r="F188" i="23" s="1"/>
  <c r="O188" i="23"/>
  <c r="O187" i="23" s="1"/>
  <c r="N188" i="23"/>
  <c r="M188" i="23"/>
  <c r="K188" i="23"/>
  <c r="J188" i="23"/>
  <c r="H188" i="23"/>
  <c r="G188" i="23"/>
  <c r="G187" i="23" s="1"/>
  <c r="E188" i="23"/>
  <c r="D188" i="23"/>
  <c r="N187" i="23"/>
  <c r="O186" i="23"/>
  <c r="L186" i="23"/>
  <c r="I186" i="23"/>
  <c r="F186" i="23"/>
  <c r="O185" i="23"/>
  <c r="L185" i="23"/>
  <c r="L184" i="23" s="1"/>
  <c r="I185" i="23"/>
  <c r="F185" i="23"/>
  <c r="F184" i="23" s="1"/>
  <c r="N184" i="23"/>
  <c r="M184" i="23"/>
  <c r="K184" i="23"/>
  <c r="J184" i="23"/>
  <c r="H184" i="23"/>
  <c r="G184" i="23"/>
  <c r="E184" i="23"/>
  <c r="D184" i="23"/>
  <c r="O183" i="23"/>
  <c r="L183" i="23"/>
  <c r="I183" i="23"/>
  <c r="F183" i="23"/>
  <c r="O182" i="23"/>
  <c r="L182" i="23"/>
  <c r="I182" i="23"/>
  <c r="F182" i="23"/>
  <c r="O181" i="23"/>
  <c r="L181" i="23"/>
  <c r="I181" i="23"/>
  <c r="F181" i="23"/>
  <c r="C181" i="23" s="1"/>
  <c r="O180" i="23"/>
  <c r="L180" i="23"/>
  <c r="I180" i="23"/>
  <c r="F180" i="23"/>
  <c r="N179" i="23"/>
  <c r="M179" i="23"/>
  <c r="K179" i="23"/>
  <c r="J179" i="23"/>
  <c r="H179" i="23"/>
  <c r="G179" i="23"/>
  <c r="E179" i="23"/>
  <c r="D179" i="23"/>
  <c r="O178" i="23"/>
  <c r="L178" i="23"/>
  <c r="I178" i="23"/>
  <c r="F178" i="23"/>
  <c r="O177" i="23"/>
  <c r="L177" i="23"/>
  <c r="I177" i="23"/>
  <c r="F177" i="23"/>
  <c r="O176" i="23"/>
  <c r="L176" i="23"/>
  <c r="I176" i="23"/>
  <c r="F176" i="23"/>
  <c r="N175" i="23"/>
  <c r="M175" i="23"/>
  <c r="K175" i="23"/>
  <c r="K174" i="23" s="1"/>
  <c r="K173" i="23" s="1"/>
  <c r="J175" i="23"/>
  <c r="H175" i="23"/>
  <c r="G175" i="23"/>
  <c r="G174" i="23" s="1"/>
  <c r="G173" i="23" s="1"/>
  <c r="E175" i="23"/>
  <c r="E174" i="23" s="1"/>
  <c r="D175" i="23"/>
  <c r="N174" i="23"/>
  <c r="M174" i="23"/>
  <c r="O172" i="23"/>
  <c r="L172" i="23"/>
  <c r="I172" i="23"/>
  <c r="F172" i="23"/>
  <c r="O171" i="23"/>
  <c r="L171" i="23"/>
  <c r="I171" i="23"/>
  <c r="F171" i="23"/>
  <c r="O170" i="23"/>
  <c r="L170" i="23"/>
  <c r="I170" i="23"/>
  <c r="F170" i="23"/>
  <c r="O169" i="23"/>
  <c r="L169" i="23"/>
  <c r="I169" i="23"/>
  <c r="F169" i="23"/>
  <c r="O168" i="23"/>
  <c r="L168" i="23"/>
  <c r="I168" i="23"/>
  <c r="F168" i="23"/>
  <c r="O167" i="23"/>
  <c r="L167" i="23"/>
  <c r="L166" i="23" s="1"/>
  <c r="L165" i="23" s="1"/>
  <c r="I167" i="23"/>
  <c r="I166" i="23" s="1"/>
  <c r="I165" i="23" s="1"/>
  <c r="F167" i="23"/>
  <c r="N166" i="23"/>
  <c r="N165" i="23" s="1"/>
  <c r="M166" i="23"/>
  <c r="M165" i="23" s="1"/>
  <c r="K166" i="23"/>
  <c r="K165" i="23" s="1"/>
  <c r="J166" i="23"/>
  <c r="H166" i="23"/>
  <c r="G166" i="23"/>
  <c r="G165" i="23" s="1"/>
  <c r="E166" i="23"/>
  <c r="E165" i="23" s="1"/>
  <c r="D166" i="23"/>
  <c r="J165" i="23"/>
  <c r="H165" i="23"/>
  <c r="D165" i="23"/>
  <c r="O164" i="23"/>
  <c r="L164" i="23"/>
  <c r="I164" i="23"/>
  <c r="F164" i="23"/>
  <c r="O163" i="23"/>
  <c r="L163" i="23"/>
  <c r="I163" i="23"/>
  <c r="F163" i="23"/>
  <c r="O162" i="23"/>
  <c r="L162" i="23"/>
  <c r="I162" i="23"/>
  <c r="F162" i="23"/>
  <c r="O161" i="23"/>
  <c r="L161" i="23"/>
  <c r="L160" i="23" s="1"/>
  <c r="I161" i="23"/>
  <c r="I160" i="23" s="1"/>
  <c r="F161" i="23"/>
  <c r="N160" i="23"/>
  <c r="M160" i="23"/>
  <c r="K160" i="23"/>
  <c r="J160" i="23"/>
  <c r="H160" i="23"/>
  <c r="G160" i="23"/>
  <c r="E160" i="23"/>
  <c r="D160" i="23"/>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O153" i="23"/>
  <c r="L153" i="23"/>
  <c r="I153" i="23"/>
  <c r="F153" i="23"/>
  <c r="O152" i="23"/>
  <c r="L152" i="23"/>
  <c r="I152" i="23"/>
  <c r="F152" i="23"/>
  <c r="N151" i="23"/>
  <c r="M151" i="23"/>
  <c r="K151" i="23"/>
  <c r="J151" i="23"/>
  <c r="H151" i="23"/>
  <c r="G151" i="23"/>
  <c r="E151" i="23"/>
  <c r="D151" i="23"/>
  <c r="O150" i="23"/>
  <c r="L150" i="23"/>
  <c r="I150" i="23"/>
  <c r="F150" i="23"/>
  <c r="O149" i="23"/>
  <c r="L149" i="23"/>
  <c r="I149" i="23"/>
  <c r="F149" i="23"/>
  <c r="O148" i="23"/>
  <c r="L148" i="23"/>
  <c r="I148" i="23"/>
  <c r="F148" i="23"/>
  <c r="O147" i="23"/>
  <c r="L147" i="23"/>
  <c r="I147" i="23"/>
  <c r="F147" i="23"/>
  <c r="O146" i="23"/>
  <c r="L146" i="23"/>
  <c r="I146" i="23"/>
  <c r="F146" i="23"/>
  <c r="O145" i="23"/>
  <c r="O144" i="23" s="1"/>
  <c r="L145" i="23"/>
  <c r="I145" i="23"/>
  <c r="F145" i="23"/>
  <c r="N144" i="23"/>
  <c r="M144" i="23"/>
  <c r="K144" i="23"/>
  <c r="J144" i="23"/>
  <c r="H144" i="23"/>
  <c r="G144" i="23"/>
  <c r="E144" i="23"/>
  <c r="D144" i="23"/>
  <c r="O143" i="23"/>
  <c r="L143" i="23"/>
  <c r="I143" i="23"/>
  <c r="F143" i="23"/>
  <c r="O142" i="23"/>
  <c r="O141" i="23" s="1"/>
  <c r="L142" i="23"/>
  <c r="L141" i="23" s="1"/>
  <c r="I142" i="23"/>
  <c r="F142" i="23"/>
  <c r="F141" i="23" s="1"/>
  <c r="N141" i="23"/>
  <c r="M141" i="23"/>
  <c r="K141" i="23"/>
  <c r="J141" i="23"/>
  <c r="H141" i="23"/>
  <c r="G141" i="23"/>
  <c r="E141" i="23"/>
  <c r="D141" i="23"/>
  <c r="O140" i="23"/>
  <c r="L140" i="23"/>
  <c r="I140" i="23"/>
  <c r="F140" i="23"/>
  <c r="O139" i="23"/>
  <c r="L139" i="23"/>
  <c r="I139" i="23"/>
  <c r="F139" i="23"/>
  <c r="O138" i="23"/>
  <c r="L138" i="23"/>
  <c r="I138" i="23"/>
  <c r="F138" i="23"/>
  <c r="O137" i="23"/>
  <c r="O136" i="23" s="1"/>
  <c r="L137" i="23"/>
  <c r="I137" i="23"/>
  <c r="F137" i="23"/>
  <c r="N136" i="23"/>
  <c r="M136" i="23"/>
  <c r="K136" i="23"/>
  <c r="J136" i="23"/>
  <c r="H136" i="23"/>
  <c r="G136" i="23"/>
  <c r="E136" i="23"/>
  <c r="D136" i="23"/>
  <c r="O135" i="23"/>
  <c r="L135" i="23"/>
  <c r="I135" i="23"/>
  <c r="F135" i="23"/>
  <c r="O134" i="23"/>
  <c r="L134" i="23"/>
  <c r="I134" i="23"/>
  <c r="C134" i="23" s="1"/>
  <c r="F134" i="23"/>
  <c r="O133" i="23"/>
  <c r="L133" i="23"/>
  <c r="I133" i="23"/>
  <c r="F133" i="23"/>
  <c r="C133" i="23" s="1"/>
  <c r="O132" i="23"/>
  <c r="L132" i="23"/>
  <c r="I132" i="23"/>
  <c r="I131" i="23" s="1"/>
  <c r="F132" i="23"/>
  <c r="F131" i="23" s="1"/>
  <c r="N131" i="23"/>
  <c r="M131" i="23"/>
  <c r="K131" i="23"/>
  <c r="J131" i="23"/>
  <c r="H131" i="23"/>
  <c r="G131" i="23"/>
  <c r="E131" i="23"/>
  <c r="D131" i="23"/>
  <c r="O129" i="23"/>
  <c r="O128" i="23" s="1"/>
  <c r="L129" i="23"/>
  <c r="I129" i="23"/>
  <c r="I128" i="23" s="1"/>
  <c r="F129" i="23"/>
  <c r="N128" i="23"/>
  <c r="M128" i="23"/>
  <c r="L128" i="23"/>
  <c r="K128" i="23"/>
  <c r="J128" i="23"/>
  <c r="H128" i="23"/>
  <c r="G128" i="23"/>
  <c r="E128" i="23"/>
  <c r="D128" i="23"/>
  <c r="O127" i="23"/>
  <c r="L127" i="23"/>
  <c r="I127" i="23"/>
  <c r="F127" i="23"/>
  <c r="O126" i="23"/>
  <c r="L126" i="23"/>
  <c r="I126" i="23"/>
  <c r="C126" i="23" s="1"/>
  <c r="F126" i="23"/>
  <c r="O125" i="23"/>
  <c r="L125" i="23"/>
  <c r="I125" i="23"/>
  <c r="F125" i="23"/>
  <c r="O124" i="23"/>
  <c r="L124" i="23"/>
  <c r="I124" i="23"/>
  <c r="F124" i="23"/>
  <c r="O123" i="23"/>
  <c r="L123" i="23"/>
  <c r="I123" i="23"/>
  <c r="F123" i="23"/>
  <c r="N122" i="23"/>
  <c r="M122" i="23"/>
  <c r="K122" i="23"/>
  <c r="J122" i="23"/>
  <c r="H122" i="23"/>
  <c r="G122" i="23"/>
  <c r="E122" i="23"/>
  <c r="D122" i="23"/>
  <c r="O121" i="23"/>
  <c r="L121" i="23"/>
  <c r="I121" i="23"/>
  <c r="F121" i="23"/>
  <c r="O120" i="23"/>
  <c r="L120" i="23"/>
  <c r="I120" i="23"/>
  <c r="F120" i="23"/>
  <c r="O119" i="23"/>
  <c r="L119" i="23"/>
  <c r="I119" i="23"/>
  <c r="F119" i="23"/>
  <c r="O118" i="23"/>
  <c r="L118" i="23"/>
  <c r="I118" i="23"/>
  <c r="C118" i="23" s="1"/>
  <c r="F118" i="23"/>
  <c r="O117" i="23"/>
  <c r="L117" i="23"/>
  <c r="I117" i="23"/>
  <c r="I116" i="23" s="1"/>
  <c r="F117" i="23"/>
  <c r="N116" i="23"/>
  <c r="M116" i="23"/>
  <c r="K116" i="23"/>
  <c r="J116" i="23"/>
  <c r="H116" i="23"/>
  <c r="G116" i="23"/>
  <c r="E116" i="23"/>
  <c r="D116" i="23"/>
  <c r="O115" i="23"/>
  <c r="L115" i="23"/>
  <c r="I115" i="23"/>
  <c r="F115" i="23"/>
  <c r="O114" i="23"/>
  <c r="L114" i="23"/>
  <c r="I114" i="23"/>
  <c r="F114" i="23"/>
  <c r="O113" i="23"/>
  <c r="L113" i="23"/>
  <c r="I113" i="23"/>
  <c r="I112" i="23" s="1"/>
  <c r="F113" i="23"/>
  <c r="N112" i="23"/>
  <c r="M112" i="23"/>
  <c r="K112" i="23"/>
  <c r="J112" i="23"/>
  <c r="H112" i="23"/>
  <c r="G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L104" i="23"/>
  <c r="I104" i="23"/>
  <c r="I103" i="23" s="1"/>
  <c r="F104" i="23"/>
  <c r="N103" i="23"/>
  <c r="M103" i="23"/>
  <c r="K103" i="23"/>
  <c r="J103" i="23"/>
  <c r="H103" i="23"/>
  <c r="G103" i="23"/>
  <c r="F103" i="23"/>
  <c r="E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L96" i="23"/>
  <c r="I96" i="23"/>
  <c r="F96" i="23"/>
  <c r="N95" i="23"/>
  <c r="M95" i="23"/>
  <c r="K95" i="23"/>
  <c r="J95" i="23"/>
  <c r="H95" i="23"/>
  <c r="G95" i="23"/>
  <c r="E95" i="23"/>
  <c r="D95" i="23"/>
  <c r="O94" i="23"/>
  <c r="L94" i="23"/>
  <c r="I94" i="23"/>
  <c r="F94" i="23"/>
  <c r="O93" i="23"/>
  <c r="L93" i="23"/>
  <c r="I93" i="23"/>
  <c r="F93" i="23"/>
  <c r="O92" i="23"/>
  <c r="L92" i="23"/>
  <c r="I92" i="23"/>
  <c r="F92" i="23"/>
  <c r="O91" i="23"/>
  <c r="L91" i="23"/>
  <c r="I91" i="23"/>
  <c r="F91" i="23"/>
  <c r="O90" i="23"/>
  <c r="L90" i="23"/>
  <c r="I90" i="23"/>
  <c r="F90" i="23"/>
  <c r="N89" i="23"/>
  <c r="M89" i="23"/>
  <c r="K89" i="23"/>
  <c r="J89" i="23"/>
  <c r="H89" i="23"/>
  <c r="G89" i="23"/>
  <c r="E89" i="23"/>
  <c r="D89" i="23"/>
  <c r="O88" i="23"/>
  <c r="L88" i="23"/>
  <c r="I88" i="23"/>
  <c r="F88" i="23"/>
  <c r="O87" i="23"/>
  <c r="L87" i="23"/>
  <c r="I87" i="23"/>
  <c r="F87" i="23"/>
  <c r="O86" i="23"/>
  <c r="L86" i="23"/>
  <c r="I86" i="23"/>
  <c r="F86" i="23"/>
  <c r="O85" i="23"/>
  <c r="L85" i="23"/>
  <c r="I85" i="23"/>
  <c r="I84" i="23" s="1"/>
  <c r="F85" i="23"/>
  <c r="N84" i="23"/>
  <c r="M84" i="23"/>
  <c r="K84" i="23"/>
  <c r="J84" i="23"/>
  <c r="J83" i="23" s="1"/>
  <c r="H84" i="23"/>
  <c r="G84" i="23"/>
  <c r="E84" i="23"/>
  <c r="D84" i="23"/>
  <c r="O82" i="23"/>
  <c r="L82" i="23"/>
  <c r="I82" i="23"/>
  <c r="F82" i="23"/>
  <c r="O81" i="23"/>
  <c r="L81" i="23"/>
  <c r="I81" i="23"/>
  <c r="I80" i="23" s="1"/>
  <c r="F81" i="23"/>
  <c r="N80" i="23"/>
  <c r="M80" i="23"/>
  <c r="K80" i="23"/>
  <c r="J80" i="23"/>
  <c r="H80" i="23"/>
  <c r="G80" i="23"/>
  <c r="E80" i="23"/>
  <c r="D80" i="23"/>
  <c r="O79" i="23"/>
  <c r="L79" i="23"/>
  <c r="I79" i="23"/>
  <c r="F79" i="23"/>
  <c r="O78" i="23"/>
  <c r="O77" i="23" s="1"/>
  <c r="L78" i="23"/>
  <c r="L77" i="23" s="1"/>
  <c r="I78" i="23"/>
  <c r="F78" i="23"/>
  <c r="N77" i="23"/>
  <c r="M77" i="23"/>
  <c r="K77" i="23"/>
  <c r="K76" i="23" s="1"/>
  <c r="J77" i="23"/>
  <c r="H77" i="23"/>
  <c r="H76" i="23" s="1"/>
  <c r="G77" i="23"/>
  <c r="F77" i="23"/>
  <c r="E77" i="23"/>
  <c r="D77" i="23"/>
  <c r="G76" i="23"/>
  <c r="E76" i="23"/>
  <c r="O74" i="23"/>
  <c r="L74" i="23"/>
  <c r="I74" i="23"/>
  <c r="F74" i="23"/>
  <c r="O73" i="23"/>
  <c r="L73" i="23"/>
  <c r="I73" i="23"/>
  <c r="F73" i="23"/>
  <c r="O72" i="23"/>
  <c r="L72" i="23"/>
  <c r="I72" i="23"/>
  <c r="F72" i="23"/>
  <c r="O71" i="23"/>
  <c r="L71" i="23"/>
  <c r="I71" i="23"/>
  <c r="F71" i="23"/>
  <c r="O70" i="23"/>
  <c r="O69" i="23" s="1"/>
  <c r="L70" i="23"/>
  <c r="L69" i="23" s="1"/>
  <c r="I70" i="23"/>
  <c r="F70" i="23"/>
  <c r="N69" i="23"/>
  <c r="N67" i="23" s="1"/>
  <c r="M69" i="23"/>
  <c r="M67" i="23" s="1"/>
  <c r="K69" i="23"/>
  <c r="K67" i="23" s="1"/>
  <c r="J69" i="23"/>
  <c r="J67" i="23" s="1"/>
  <c r="H69" i="23"/>
  <c r="H67" i="23" s="1"/>
  <c r="G69" i="23"/>
  <c r="G67" i="23" s="1"/>
  <c r="E69" i="23"/>
  <c r="D69" i="23"/>
  <c r="D67" i="23" s="1"/>
  <c r="O68" i="23"/>
  <c r="L68" i="23"/>
  <c r="I68" i="23"/>
  <c r="F68" i="23"/>
  <c r="E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I58" i="23" s="1"/>
  <c r="F59" i="23"/>
  <c r="O58" i="23"/>
  <c r="N58" i="23"/>
  <c r="M58" i="23"/>
  <c r="K58" i="23"/>
  <c r="J58" i="23"/>
  <c r="H58" i="23"/>
  <c r="G58" i="23"/>
  <c r="E58" i="23"/>
  <c r="D58" i="23"/>
  <c r="O57" i="23"/>
  <c r="L57" i="23"/>
  <c r="I57" i="23"/>
  <c r="F57" i="23"/>
  <c r="O56" i="23"/>
  <c r="O55" i="23" s="1"/>
  <c r="O54" i="23" s="1"/>
  <c r="L56" i="23"/>
  <c r="L55" i="23" s="1"/>
  <c r="I56" i="23"/>
  <c r="I55" i="23" s="1"/>
  <c r="F56" i="23"/>
  <c r="N55" i="23"/>
  <c r="N54" i="23" s="1"/>
  <c r="M55" i="23"/>
  <c r="M54" i="23" s="1"/>
  <c r="K55" i="23"/>
  <c r="K54" i="23" s="1"/>
  <c r="J55" i="23"/>
  <c r="J54" i="23" s="1"/>
  <c r="H55" i="23"/>
  <c r="H54" i="23" s="1"/>
  <c r="H53" i="23" s="1"/>
  <c r="G55" i="23"/>
  <c r="F55" i="23"/>
  <c r="E55" i="23"/>
  <c r="D55" i="23"/>
  <c r="D54" i="23" s="1"/>
  <c r="D53" i="23" s="1"/>
  <c r="O47" i="23"/>
  <c r="C47" i="23" s="1"/>
  <c r="O46" i="23"/>
  <c r="C46" i="23" s="1"/>
  <c r="N45" i="23"/>
  <c r="M45" i="23"/>
  <c r="L44" i="23"/>
  <c r="L43" i="23" s="1"/>
  <c r="I44" i="23"/>
  <c r="I43" i="23" s="1"/>
  <c r="F44" i="23"/>
  <c r="K43" i="23"/>
  <c r="J43" i="23"/>
  <c r="H43" i="23"/>
  <c r="G43" i="23"/>
  <c r="E43" i="23"/>
  <c r="D43" i="23"/>
  <c r="F42" i="23"/>
  <c r="F41" i="23" s="1"/>
  <c r="C41" i="23" s="1"/>
  <c r="E41" i="23"/>
  <c r="D41" i="23"/>
  <c r="L40" i="23"/>
  <c r="C40" i="23" s="1"/>
  <c r="L39" i="23"/>
  <c r="C39" i="23" s="1"/>
  <c r="L38" i="23"/>
  <c r="C38" i="23" s="1"/>
  <c r="L37" i="23"/>
  <c r="C37" i="23" s="1"/>
  <c r="K36" i="23"/>
  <c r="J36" i="23"/>
  <c r="L35" i="23"/>
  <c r="C35" i="23" s="1"/>
  <c r="L34" i="23"/>
  <c r="C34" i="23" s="1"/>
  <c r="K33" i="23"/>
  <c r="J33" i="23"/>
  <c r="L32" i="23"/>
  <c r="C32" i="23" s="1"/>
  <c r="K31" i="23"/>
  <c r="J31" i="23"/>
  <c r="L30" i="23"/>
  <c r="C30" i="23" s="1"/>
  <c r="L29" i="23"/>
  <c r="C29" i="23" s="1"/>
  <c r="L28" i="23"/>
  <c r="C28" i="23" s="1"/>
  <c r="K27" i="23"/>
  <c r="J27" i="23"/>
  <c r="F25" i="23"/>
  <c r="C25" i="23" s="1"/>
  <c r="I24" i="23"/>
  <c r="F24" i="23"/>
  <c r="O23" i="23"/>
  <c r="L23" i="23"/>
  <c r="I23" i="23"/>
  <c r="F23" i="23"/>
  <c r="O22" i="23"/>
  <c r="L22" i="23"/>
  <c r="L21" i="23" s="1"/>
  <c r="I22" i="23"/>
  <c r="I21" i="23" s="1"/>
  <c r="F22" i="23"/>
  <c r="O21" i="23"/>
  <c r="N21" i="23"/>
  <c r="M21" i="23"/>
  <c r="M292" i="23" s="1"/>
  <c r="K21" i="23"/>
  <c r="K292" i="23" s="1"/>
  <c r="K291" i="23" s="1"/>
  <c r="J21" i="23"/>
  <c r="H21" i="23"/>
  <c r="H20" i="23" s="1"/>
  <c r="G21" i="23"/>
  <c r="G292" i="23" s="1"/>
  <c r="F21" i="23"/>
  <c r="F292" i="23" s="1"/>
  <c r="E21" i="23"/>
  <c r="E292" i="23" s="1"/>
  <c r="E291" i="23" s="1"/>
  <c r="D21" i="23"/>
  <c r="D20" i="23"/>
  <c r="O301" i="22"/>
  <c r="L301" i="22"/>
  <c r="I301" i="22"/>
  <c r="F301" i="22"/>
  <c r="O300" i="22"/>
  <c r="L300" i="22"/>
  <c r="I300" i="22"/>
  <c r="F300" i="22"/>
  <c r="O299" i="22"/>
  <c r="L299" i="22"/>
  <c r="I299" i="22"/>
  <c r="F299" i="22"/>
  <c r="O298" i="22"/>
  <c r="L298" i="22"/>
  <c r="I298" i="22"/>
  <c r="F298" i="22"/>
  <c r="O297" i="22"/>
  <c r="L297" i="22"/>
  <c r="I297" i="22"/>
  <c r="F297" i="22"/>
  <c r="O296" i="22"/>
  <c r="L296" i="22"/>
  <c r="I296" i="22"/>
  <c r="F296" i="22"/>
  <c r="O295" i="22"/>
  <c r="L295" i="22"/>
  <c r="I295" i="22"/>
  <c r="F295" i="22"/>
  <c r="O294" i="22"/>
  <c r="L294" i="22"/>
  <c r="I294" i="22"/>
  <c r="C294" i="22" s="1"/>
  <c r="F294" i="22"/>
  <c r="N293" i="22"/>
  <c r="M293" i="22"/>
  <c r="K293" i="22"/>
  <c r="J293" i="22"/>
  <c r="H293" i="22"/>
  <c r="G293" i="22"/>
  <c r="E293" i="22"/>
  <c r="D293" i="22"/>
  <c r="O288" i="22"/>
  <c r="L288" i="22"/>
  <c r="I288" i="22"/>
  <c r="F288" i="22"/>
  <c r="O287" i="22"/>
  <c r="L287" i="22"/>
  <c r="L286" i="22" s="1"/>
  <c r="I287" i="22"/>
  <c r="F287" i="22"/>
  <c r="O286" i="22"/>
  <c r="N286" i="22"/>
  <c r="M286" i="22"/>
  <c r="K286" i="22"/>
  <c r="J286" i="22"/>
  <c r="H286" i="22"/>
  <c r="G286" i="22"/>
  <c r="F286" i="22"/>
  <c r="E286" i="22"/>
  <c r="D286" i="22"/>
  <c r="O285" i="22"/>
  <c r="O284" i="22" s="1"/>
  <c r="O283" i="22" s="1"/>
  <c r="L285" i="22"/>
  <c r="I285" i="22"/>
  <c r="I284" i="22" s="1"/>
  <c r="I283" i="22" s="1"/>
  <c r="F285" i="22"/>
  <c r="N284" i="22"/>
  <c r="M284" i="22"/>
  <c r="M283" i="22" s="1"/>
  <c r="L284" i="22"/>
  <c r="L283" i="22" s="1"/>
  <c r="K284" i="22"/>
  <c r="K283" i="22" s="1"/>
  <c r="J284" i="22"/>
  <c r="H284" i="22"/>
  <c r="H283" i="22" s="1"/>
  <c r="G284" i="22"/>
  <c r="G283" i="22" s="1"/>
  <c r="E284" i="22"/>
  <c r="E283" i="22" s="1"/>
  <c r="D284" i="22"/>
  <c r="N283" i="22"/>
  <c r="J283" i="22"/>
  <c r="D283" i="22"/>
  <c r="O282" i="22"/>
  <c r="O281" i="22" s="1"/>
  <c r="L282" i="22"/>
  <c r="L281" i="22" s="1"/>
  <c r="I282" i="22"/>
  <c r="F282" i="22"/>
  <c r="N281" i="22"/>
  <c r="M281" i="22"/>
  <c r="K281" i="22"/>
  <c r="J281" i="22"/>
  <c r="I281" i="22"/>
  <c r="H281" i="22"/>
  <c r="G281" i="22"/>
  <c r="E281" i="22"/>
  <c r="D281" i="22"/>
  <c r="O280" i="22"/>
  <c r="L280" i="22"/>
  <c r="I280" i="22"/>
  <c r="F280" i="22"/>
  <c r="C280" i="22" s="1"/>
  <c r="O279" i="22"/>
  <c r="L279" i="22"/>
  <c r="I279" i="22"/>
  <c r="F279" i="22"/>
  <c r="O278" i="22"/>
  <c r="L278" i="22"/>
  <c r="I278" i="22"/>
  <c r="F278" i="22"/>
  <c r="C278" i="22" s="1"/>
  <c r="O277" i="22"/>
  <c r="L277" i="22"/>
  <c r="I277" i="22"/>
  <c r="I276" i="22" s="1"/>
  <c r="F277" i="22"/>
  <c r="N276" i="22"/>
  <c r="M276" i="22"/>
  <c r="K276" i="22"/>
  <c r="J276" i="22"/>
  <c r="H276" i="22"/>
  <c r="G276" i="22"/>
  <c r="E276" i="22"/>
  <c r="D276" i="22"/>
  <c r="O275" i="22"/>
  <c r="L275" i="22"/>
  <c r="I275" i="22"/>
  <c r="F275" i="22"/>
  <c r="O274" i="22"/>
  <c r="L274" i="22"/>
  <c r="I274" i="22"/>
  <c r="F274" i="22"/>
  <c r="C274" i="22" s="1"/>
  <c r="O273" i="22"/>
  <c r="L273" i="22"/>
  <c r="I273" i="22"/>
  <c r="I272" i="22" s="1"/>
  <c r="F273" i="22"/>
  <c r="N272" i="22"/>
  <c r="N270" i="22" s="1"/>
  <c r="N269" i="22" s="1"/>
  <c r="M272" i="22"/>
  <c r="M270" i="22" s="1"/>
  <c r="K272" i="22"/>
  <c r="J272" i="22"/>
  <c r="J270" i="22" s="1"/>
  <c r="J269" i="22" s="1"/>
  <c r="H272" i="22"/>
  <c r="H270" i="22" s="1"/>
  <c r="H269" i="22" s="1"/>
  <c r="G272" i="22"/>
  <c r="E272" i="22"/>
  <c r="D272" i="22"/>
  <c r="O271" i="22"/>
  <c r="L271" i="22"/>
  <c r="I271" i="22"/>
  <c r="F271" i="22"/>
  <c r="O268" i="22"/>
  <c r="L268" i="22"/>
  <c r="I268" i="22"/>
  <c r="F268" i="22"/>
  <c r="O267" i="22"/>
  <c r="L267" i="22"/>
  <c r="I267" i="22"/>
  <c r="F267" i="22"/>
  <c r="O266" i="22"/>
  <c r="L266" i="22"/>
  <c r="I266" i="22"/>
  <c r="F266" i="22"/>
  <c r="O265" i="22"/>
  <c r="L265" i="22"/>
  <c r="L264" i="22" s="1"/>
  <c r="I265" i="22"/>
  <c r="F265" i="22"/>
  <c r="N264" i="22"/>
  <c r="M264" i="22"/>
  <c r="K264" i="22"/>
  <c r="J264" i="22"/>
  <c r="H264" i="22"/>
  <c r="G264" i="22"/>
  <c r="E264" i="22"/>
  <c r="D264" i="22"/>
  <c r="O263" i="22"/>
  <c r="L263" i="22"/>
  <c r="I263" i="22"/>
  <c r="F263" i="22"/>
  <c r="O262" i="22"/>
  <c r="L262" i="22"/>
  <c r="I262" i="22"/>
  <c r="F262" i="22"/>
  <c r="O261" i="22"/>
  <c r="L261" i="22"/>
  <c r="I261" i="22"/>
  <c r="I260" i="22" s="1"/>
  <c r="F261" i="22"/>
  <c r="N260" i="22"/>
  <c r="N259" i="22" s="1"/>
  <c r="M260" i="22"/>
  <c r="K260" i="22"/>
  <c r="K259" i="22" s="1"/>
  <c r="J260" i="22"/>
  <c r="H260" i="22"/>
  <c r="H259" i="22" s="1"/>
  <c r="G260" i="22"/>
  <c r="G259" i="22" s="1"/>
  <c r="E260" i="22"/>
  <c r="E259" i="22" s="1"/>
  <c r="D260" i="22"/>
  <c r="D259" i="22"/>
  <c r="O258" i="22"/>
  <c r="L258" i="22"/>
  <c r="I258" i="22"/>
  <c r="F258" i="22"/>
  <c r="C258" i="22" s="1"/>
  <c r="O257" i="22"/>
  <c r="L257" i="22"/>
  <c r="I257" i="22"/>
  <c r="F257" i="22"/>
  <c r="O256" i="22"/>
  <c r="L256" i="22"/>
  <c r="I256" i="22"/>
  <c r="F256" i="22"/>
  <c r="O255" i="22"/>
  <c r="L255" i="22"/>
  <c r="I255" i="22"/>
  <c r="F255" i="22"/>
  <c r="O254" i="22"/>
  <c r="L254" i="22"/>
  <c r="I254" i="22"/>
  <c r="F254" i="22"/>
  <c r="O253" i="22"/>
  <c r="L253" i="22"/>
  <c r="I253" i="22"/>
  <c r="F253" i="22"/>
  <c r="N252" i="22"/>
  <c r="M252" i="22"/>
  <c r="M251" i="22" s="1"/>
  <c r="K252" i="22"/>
  <c r="J252" i="22"/>
  <c r="J251" i="22" s="1"/>
  <c r="H252" i="22"/>
  <c r="G252" i="22"/>
  <c r="G251" i="22" s="1"/>
  <c r="E252" i="22"/>
  <c r="E251" i="22" s="1"/>
  <c r="D252" i="22"/>
  <c r="N251" i="22"/>
  <c r="K251" i="22"/>
  <c r="H251" i="22"/>
  <c r="D251" i="22"/>
  <c r="O250" i="22"/>
  <c r="L250" i="22"/>
  <c r="I250" i="22"/>
  <c r="F250" i="22"/>
  <c r="C250" i="22" s="1"/>
  <c r="O249" i="22"/>
  <c r="L249" i="22"/>
  <c r="I249" i="22"/>
  <c r="F249" i="22"/>
  <c r="O248" i="22"/>
  <c r="L248" i="22"/>
  <c r="I248" i="22"/>
  <c r="F248" i="22"/>
  <c r="O247" i="22"/>
  <c r="L247" i="22"/>
  <c r="I247" i="22"/>
  <c r="F247" i="22"/>
  <c r="O246" i="22"/>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O238" i="22" s="1"/>
  <c r="L239" i="22"/>
  <c r="I239" i="22"/>
  <c r="F239" i="22"/>
  <c r="N238" i="22"/>
  <c r="M238" i="22"/>
  <c r="K238" i="22"/>
  <c r="J238" i="22"/>
  <c r="H238" i="22"/>
  <c r="G238" i="22"/>
  <c r="E238" i="22"/>
  <c r="D238" i="22"/>
  <c r="O237" i="22"/>
  <c r="L237" i="22"/>
  <c r="I237" i="22"/>
  <c r="F237" i="22"/>
  <c r="O236" i="22"/>
  <c r="L236" i="22"/>
  <c r="L235" i="22" s="1"/>
  <c r="I236" i="22"/>
  <c r="I235" i="22" s="1"/>
  <c r="F236" i="22"/>
  <c r="O235" i="22"/>
  <c r="N235" i="22"/>
  <c r="M235" i="22"/>
  <c r="M231" i="22" s="1"/>
  <c r="K235" i="22"/>
  <c r="J235" i="22"/>
  <c r="H235" i="22"/>
  <c r="G235" i="22"/>
  <c r="E235" i="22"/>
  <c r="D235" i="22"/>
  <c r="O234" i="22"/>
  <c r="O233" i="22" s="1"/>
  <c r="L234" i="22"/>
  <c r="L233" i="22" s="1"/>
  <c r="I234" i="22"/>
  <c r="F234" i="22"/>
  <c r="N233" i="22"/>
  <c r="N231" i="22" s="1"/>
  <c r="M233" i="22"/>
  <c r="K233" i="22"/>
  <c r="J233" i="22"/>
  <c r="J231" i="22" s="1"/>
  <c r="I233" i="22"/>
  <c r="H233" i="22"/>
  <c r="G233" i="22"/>
  <c r="F233" i="22"/>
  <c r="E233" i="22"/>
  <c r="E231" i="22" s="1"/>
  <c r="D233" i="22"/>
  <c r="O232" i="22"/>
  <c r="L232" i="22"/>
  <c r="I232" i="22"/>
  <c r="F232" i="22"/>
  <c r="O229" i="22"/>
  <c r="L229" i="22"/>
  <c r="I229" i="22"/>
  <c r="F229" i="22"/>
  <c r="O228" i="22"/>
  <c r="L228" i="22"/>
  <c r="L227" i="22" s="1"/>
  <c r="I228" i="22"/>
  <c r="I227" i="22" s="1"/>
  <c r="F228" i="22"/>
  <c r="O227" i="22"/>
  <c r="N227" i="22"/>
  <c r="M227" i="22"/>
  <c r="K227" i="22"/>
  <c r="J227" i="22"/>
  <c r="H227" i="22"/>
  <c r="G227" i="22"/>
  <c r="F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I206" i="22"/>
  <c r="F206" i="22"/>
  <c r="N205" i="22"/>
  <c r="M205" i="22"/>
  <c r="K205" i="22"/>
  <c r="J205" i="22"/>
  <c r="H205" i="22"/>
  <c r="H204" i="22" s="1"/>
  <c r="G205" i="22"/>
  <c r="E205" i="22"/>
  <c r="E204" i="22" s="1"/>
  <c r="D205" i="22"/>
  <c r="D204" i="22" s="1"/>
  <c r="M204" i="22"/>
  <c r="G204" i="22"/>
  <c r="O203" i="22"/>
  <c r="L203" i="22"/>
  <c r="I203" i="22"/>
  <c r="F203" i="22"/>
  <c r="O202" i="22"/>
  <c r="L202" i="22"/>
  <c r="I202" i="22"/>
  <c r="C202" i="22" s="1"/>
  <c r="F202" i="22"/>
  <c r="O201" i="22"/>
  <c r="L201" i="22"/>
  <c r="I201" i="22"/>
  <c r="F201" i="22"/>
  <c r="O200" i="22"/>
  <c r="L200" i="22"/>
  <c r="I200" i="22"/>
  <c r="F200" i="22"/>
  <c r="O199" i="22"/>
  <c r="L199" i="22"/>
  <c r="L198" i="22" s="1"/>
  <c r="I199" i="22"/>
  <c r="F199" i="22"/>
  <c r="O198" i="22"/>
  <c r="N198" i="22"/>
  <c r="N196" i="22" s="1"/>
  <c r="M198" i="22"/>
  <c r="K198" i="22"/>
  <c r="K196" i="22" s="1"/>
  <c r="J198" i="22"/>
  <c r="H198" i="22"/>
  <c r="H196" i="22" s="1"/>
  <c r="G198" i="22"/>
  <c r="G196" i="22" s="1"/>
  <c r="F198" i="22"/>
  <c r="E198" i="22"/>
  <c r="D198" i="22"/>
  <c r="D196" i="22" s="1"/>
  <c r="O197" i="22"/>
  <c r="L197" i="22"/>
  <c r="I197" i="22"/>
  <c r="F197" i="22"/>
  <c r="M196" i="22"/>
  <c r="J196" i="22"/>
  <c r="E196" i="22"/>
  <c r="O193" i="22"/>
  <c r="O192" i="22" s="1"/>
  <c r="O191" i="22" s="1"/>
  <c r="L193" i="22"/>
  <c r="I193" i="22"/>
  <c r="I192" i="22" s="1"/>
  <c r="I191" i="22" s="1"/>
  <c r="F193" i="22"/>
  <c r="N192" i="22"/>
  <c r="N191" i="22" s="1"/>
  <c r="M192" i="22"/>
  <c r="M191" i="22" s="1"/>
  <c r="L192" i="22"/>
  <c r="L191" i="22" s="1"/>
  <c r="K192" i="22"/>
  <c r="J192" i="22"/>
  <c r="J191" i="22" s="1"/>
  <c r="H192" i="22"/>
  <c r="G192" i="22"/>
  <c r="G191" i="22" s="1"/>
  <c r="E192" i="22"/>
  <c r="E191" i="22" s="1"/>
  <c r="D192" i="22"/>
  <c r="D191" i="22" s="1"/>
  <c r="K191" i="22"/>
  <c r="H191" i="22"/>
  <c r="O190" i="22"/>
  <c r="L190" i="22"/>
  <c r="I190" i="22"/>
  <c r="F190" i="22"/>
  <c r="O189" i="22"/>
  <c r="L189" i="22"/>
  <c r="I189" i="22"/>
  <c r="I188" i="22" s="1"/>
  <c r="F189" i="22"/>
  <c r="N188" i="22"/>
  <c r="M188" i="22"/>
  <c r="K188" i="22"/>
  <c r="K187" i="22" s="1"/>
  <c r="J188" i="22"/>
  <c r="H188" i="22"/>
  <c r="G188" i="22"/>
  <c r="E188" i="22"/>
  <c r="E187" i="22" s="1"/>
  <c r="D188" i="22"/>
  <c r="O186" i="22"/>
  <c r="L186" i="22"/>
  <c r="I186" i="22"/>
  <c r="F186" i="22"/>
  <c r="O185" i="22"/>
  <c r="O184" i="22" s="1"/>
  <c r="L185" i="22"/>
  <c r="I185" i="22"/>
  <c r="F185" i="22"/>
  <c r="N184" i="22"/>
  <c r="M184" i="22"/>
  <c r="K184" i="22"/>
  <c r="J184" i="22"/>
  <c r="H184" i="22"/>
  <c r="G184" i="22"/>
  <c r="F184" i="22"/>
  <c r="E184" i="22"/>
  <c r="D184" i="22"/>
  <c r="O183" i="22"/>
  <c r="L183" i="22"/>
  <c r="I183" i="22"/>
  <c r="F183" i="22"/>
  <c r="O182" i="22"/>
  <c r="L182" i="22"/>
  <c r="I182" i="22"/>
  <c r="F182" i="22"/>
  <c r="O181" i="22"/>
  <c r="L181" i="22"/>
  <c r="I181" i="22"/>
  <c r="F181" i="22"/>
  <c r="O180" i="22"/>
  <c r="L180" i="22"/>
  <c r="I180" i="22"/>
  <c r="F180" i="22"/>
  <c r="N179" i="22"/>
  <c r="M179" i="22"/>
  <c r="K179" i="22"/>
  <c r="J179" i="22"/>
  <c r="H179" i="22"/>
  <c r="G179" i="22"/>
  <c r="E179" i="22"/>
  <c r="D179" i="22"/>
  <c r="O178" i="22"/>
  <c r="L178" i="22"/>
  <c r="I178" i="22"/>
  <c r="F178" i="22"/>
  <c r="O177" i="22"/>
  <c r="L177" i="22"/>
  <c r="I177" i="22"/>
  <c r="F177" i="22"/>
  <c r="O176" i="22"/>
  <c r="L176" i="22"/>
  <c r="I176" i="22"/>
  <c r="F176" i="22"/>
  <c r="N175" i="22"/>
  <c r="N174" i="22" s="1"/>
  <c r="N173" i="22" s="1"/>
  <c r="M175" i="22"/>
  <c r="K175" i="22"/>
  <c r="J175" i="22"/>
  <c r="J174" i="22" s="1"/>
  <c r="J173" i="22" s="1"/>
  <c r="I175" i="22"/>
  <c r="H175" i="22"/>
  <c r="G175" i="22"/>
  <c r="E175" i="22"/>
  <c r="E174" i="22" s="1"/>
  <c r="E173" i="22" s="1"/>
  <c r="D175" i="22"/>
  <c r="D174" i="22" s="1"/>
  <c r="D173" i="22" s="1"/>
  <c r="K174" i="22"/>
  <c r="O172" i="22"/>
  <c r="L172" i="22"/>
  <c r="I172" i="22"/>
  <c r="F172" i="22"/>
  <c r="O171" i="22"/>
  <c r="L171" i="22"/>
  <c r="I171" i="22"/>
  <c r="F171" i="22"/>
  <c r="O170" i="22"/>
  <c r="L170" i="22"/>
  <c r="I170" i="22"/>
  <c r="F170" i="22"/>
  <c r="O169" i="22"/>
  <c r="L169" i="22"/>
  <c r="I169" i="22"/>
  <c r="F169" i="22"/>
  <c r="O168" i="22"/>
  <c r="L168" i="22"/>
  <c r="I168" i="22"/>
  <c r="F168" i="22"/>
  <c r="O167" i="22"/>
  <c r="L167" i="22"/>
  <c r="I167" i="22"/>
  <c r="I166" i="22" s="1"/>
  <c r="F167" i="22"/>
  <c r="F166" i="22" s="1"/>
  <c r="N166" i="22"/>
  <c r="N165" i="22" s="1"/>
  <c r="M166" i="22"/>
  <c r="M165" i="22" s="1"/>
  <c r="K166" i="22"/>
  <c r="K165" i="22" s="1"/>
  <c r="J166" i="22"/>
  <c r="J165" i="22" s="1"/>
  <c r="H166" i="22"/>
  <c r="H165" i="22" s="1"/>
  <c r="G166" i="22"/>
  <c r="E166" i="22"/>
  <c r="E165" i="22" s="1"/>
  <c r="D166" i="22"/>
  <c r="D165" i="22" s="1"/>
  <c r="G165" i="22"/>
  <c r="O164" i="22"/>
  <c r="L164" i="22"/>
  <c r="I164" i="22"/>
  <c r="F164" i="22"/>
  <c r="O163" i="22"/>
  <c r="L163" i="22"/>
  <c r="I163" i="22"/>
  <c r="F163" i="22"/>
  <c r="O162" i="22"/>
  <c r="L162" i="22"/>
  <c r="I162" i="22"/>
  <c r="F162" i="22"/>
  <c r="O161" i="22"/>
  <c r="O160" i="22" s="1"/>
  <c r="L161" i="22"/>
  <c r="I161" i="22"/>
  <c r="F161" i="22"/>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L152" i="22"/>
  <c r="I152" i="22"/>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L144" i="22" s="1"/>
  <c r="I145" i="22"/>
  <c r="F145" i="22"/>
  <c r="N144" i="22"/>
  <c r="M144" i="22"/>
  <c r="K144" i="22"/>
  <c r="J144" i="22"/>
  <c r="H144" i="22"/>
  <c r="G144" i="22"/>
  <c r="E144" i="22"/>
  <c r="D144" i="22"/>
  <c r="O143" i="22"/>
  <c r="L143" i="22"/>
  <c r="I143" i="22"/>
  <c r="F143" i="22"/>
  <c r="O142" i="22"/>
  <c r="L142" i="22"/>
  <c r="L141" i="22" s="1"/>
  <c r="I142" i="22"/>
  <c r="F142" i="22"/>
  <c r="O141" i="22"/>
  <c r="N141" i="22"/>
  <c r="M141" i="22"/>
  <c r="K141" i="22"/>
  <c r="J141" i="22"/>
  <c r="H141" i="22"/>
  <c r="G141" i="22"/>
  <c r="F141" i="22"/>
  <c r="E141" i="22"/>
  <c r="D141" i="22"/>
  <c r="O140" i="22"/>
  <c r="L140" i="22"/>
  <c r="I140" i="22"/>
  <c r="F140" i="22"/>
  <c r="O139" i="22"/>
  <c r="L139" i="22"/>
  <c r="I139" i="22"/>
  <c r="F139" i="22"/>
  <c r="O138" i="22"/>
  <c r="L138" i="22"/>
  <c r="I138" i="22"/>
  <c r="F138" i="22"/>
  <c r="O137" i="22"/>
  <c r="O136" i="22" s="1"/>
  <c r="L137" i="22"/>
  <c r="I137" i="22"/>
  <c r="F137" i="22"/>
  <c r="N136" i="22"/>
  <c r="M136" i="22"/>
  <c r="K136" i="22"/>
  <c r="J136" i="22"/>
  <c r="H136" i="22"/>
  <c r="G136" i="22"/>
  <c r="F136" i="22"/>
  <c r="E136" i="22"/>
  <c r="D136" i="22"/>
  <c r="O135" i="22"/>
  <c r="L135" i="22"/>
  <c r="I135" i="22"/>
  <c r="F135" i="22"/>
  <c r="O134" i="22"/>
  <c r="L134" i="22"/>
  <c r="I134" i="22"/>
  <c r="F134" i="22"/>
  <c r="O133" i="22"/>
  <c r="L133" i="22"/>
  <c r="I133" i="22"/>
  <c r="F133" i="22"/>
  <c r="O132" i="22"/>
  <c r="L132" i="22"/>
  <c r="I132" i="22"/>
  <c r="F132" i="22"/>
  <c r="N131" i="22"/>
  <c r="M131" i="22"/>
  <c r="K131" i="22"/>
  <c r="J131" i="22"/>
  <c r="H131" i="22"/>
  <c r="G131" i="22"/>
  <c r="E131" i="22"/>
  <c r="D131" i="22"/>
  <c r="O129" i="22"/>
  <c r="O128" i="22" s="1"/>
  <c r="L129" i="22"/>
  <c r="L128" i="22" s="1"/>
  <c r="I129" i="22"/>
  <c r="I128" i="22" s="1"/>
  <c r="F129" i="22"/>
  <c r="F128" i="22" s="1"/>
  <c r="N128" i="22"/>
  <c r="M128" i="22"/>
  <c r="K128" i="22"/>
  <c r="J128" i="22"/>
  <c r="H128" i="22"/>
  <c r="G128" i="22"/>
  <c r="E128" i="22"/>
  <c r="D128" i="22"/>
  <c r="O127" i="22"/>
  <c r="L127" i="22"/>
  <c r="I127" i="22"/>
  <c r="F127" i="22"/>
  <c r="O126" i="22"/>
  <c r="L126" i="22"/>
  <c r="I126" i="22"/>
  <c r="F126" i="22"/>
  <c r="O125" i="22"/>
  <c r="L125" i="22"/>
  <c r="I125" i="22"/>
  <c r="F125" i="22"/>
  <c r="O124" i="22"/>
  <c r="L124" i="22"/>
  <c r="I124" i="22"/>
  <c r="F124" i="22"/>
  <c r="O123" i="22"/>
  <c r="L123" i="22"/>
  <c r="I123" i="22"/>
  <c r="F123" i="22"/>
  <c r="F122" i="22" s="1"/>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L117" i="22"/>
  <c r="L116" i="22" s="1"/>
  <c r="I117" i="22"/>
  <c r="F117" i="22"/>
  <c r="N116" i="22"/>
  <c r="M116" i="22"/>
  <c r="K116" i="22"/>
  <c r="J116" i="22"/>
  <c r="H116" i="22"/>
  <c r="G116" i="22"/>
  <c r="E116" i="22"/>
  <c r="D116" i="22"/>
  <c r="O115" i="22"/>
  <c r="L115" i="22"/>
  <c r="I115" i="22"/>
  <c r="F115" i="22"/>
  <c r="O114" i="22"/>
  <c r="L114" i="22"/>
  <c r="I114" i="22"/>
  <c r="F114" i="22"/>
  <c r="O113" i="22"/>
  <c r="O112" i="22" s="1"/>
  <c r="L113" i="22"/>
  <c r="I113" i="22"/>
  <c r="F113" i="22"/>
  <c r="N112" i="22"/>
  <c r="M112" i="22"/>
  <c r="K112" i="22"/>
  <c r="J112" i="22"/>
  <c r="H112" i="22"/>
  <c r="G112" i="22"/>
  <c r="F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I103" i="22" s="1"/>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L97" i="22"/>
  <c r="I97" i="22"/>
  <c r="F97" i="22"/>
  <c r="O96" i="22"/>
  <c r="L96" i="22"/>
  <c r="I96" i="22"/>
  <c r="F96" i="22"/>
  <c r="N95" i="22"/>
  <c r="M95" i="22"/>
  <c r="K95" i="22"/>
  <c r="J95" i="22"/>
  <c r="I95" i="22"/>
  <c r="H95" i="22"/>
  <c r="G95" i="22"/>
  <c r="E95" i="22"/>
  <c r="D95" i="22"/>
  <c r="O94" i="22"/>
  <c r="L94" i="22"/>
  <c r="I94" i="22"/>
  <c r="F94" i="22"/>
  <c r="O93" i="22"/>
  <c r="L93" i="22"/>
  <c r="I93" i="22"/>
  <c r="F93" i="22"/>
  <c r="O92" i="22"/>
  <c r="L92" i="22"/>
  <c r="I92" i="22"/>
  <c r="F92" i="22"/>
  <c r="O91" i="22"/>
  <c r="L91" i="22"/>
  <c r="I91" i="22"/>
  <c r="F91" i="22"/>
  <c r="O90" i="22"/>
  <c r="L90" i="22"/>
  <c r="I90" i="22"/>
  <c r="F90" i="22"/>
  <c r="N89" i="22"/>
  <c r="M89" i="22"/>
  <c r="K89" i="22"/>
  <c r="J89" i="22"/>
  <c r="H89" i="22"/>
  <c r="G89" i="22"/>
  <c r="E89" i="22"/>
  <c r="D89" i="22"/>
  <c r="O88" i="22"/>
  <c r="L88" i="22"/>
  <c r="I88" i="22"/>
  <c r="F88" i="22"/>
  <c r="O87" i="22"/>
  <c r="L87" i="22"/>
  <c r="I87" i="22"/>
  <c r="F87" i="22"/>
  <c r="O86" i="22"/>
  <c r="L86" i="22"/>
  <c r="I86" i="22"/>
  <c r="F86" i="22"/>
  <c r="O85" i="22"/>
  <c r="O84" i="22" s="1"/>
  <c r="L85" i="22"/>
  <c r="I85" i="22"/>
  <c r="F85" i="22"/>
  <c r="N84" i="22"/>
  <c r="M84" i="22"/>
  <c r="K84" i="22"/>
  <c r="J84" i="22"/>
  <c r="H84" i="22"/>
  <c r="G84" i="22"/>
  <c r="E84" i="22"/>
  <c r="D84" i="22"/>
  <c r="O82" i="22"/>
  <c r="L82" i="22"/>
  <c r="I82" i="22"/>
  <c r="F82" i="22"/>
  <c r="O81" i="22"/>
  <c r="O80" i="22" s="1"/>
  <c r="L81" i="22"/>
  <c r="I81" i="22"/>
  <c r="I80" i="22" s="1"/>
  <c r="F81" i="22"/>
  <c r="N80" i="22"/>
  <c r="M80" i="22"/>
  <c r="L80" i="22"/>
  <c r="K80" i="22"/>
  <c r="J80" i="22"/>
  <c r="H80" i="22"/>
  <c r="G80" i="22"/>
  <c r="F80" i="22"/>
  <c r="E80" i="22"/>
  <c r="D80" i="22"/>
  <c r="O79" i="22"/>
  <c r="L79" i="22"/>
  <c r="I79" i="22"/>
  <c r="F79" i="22"/>
  <c r="O78" i="22"/>
  <c r="L78" i="22"/>
  <c r="I78" i="22"/>
  <c r="F78" i="22"/>
  <c r="O77" i="22"/>
  <c r="O76" i="22" s="1"/>
  <c r="N77" i="22"/>
  <c r="N76" i="22" s="1"/>
  <c r="M77" i="22"/>
  <c r="M76" i="22" s="1"/>
  <c r="K77" i="22"/>
  <c r="J77" i="22"/>
  <c r="H77" i="22"/>
  <c r="H76" i="22" s="1"/>
  <c r="G77" i="22"/>
  <c r="F77" i="22"/>
  <c r="F76" i="22" s="1"/>
  <c r="E77" i="22"/>
  <c r="D77" i="22"/>
  <c r="J76" i="22"/>
  <c r="O74" i="22"/>
  <c r="L74" i="22"/>
  <c r="I74" i="22"/>
  <c r="F74" i="22"/>
  <c r="O73" i="22"/>
  <c r="L73" i="22"/>
  <c r="I73" i="22"/>
  <c r="F73" i="22"/>
  <c r="O72" i="22"/>
  <c r="L72" i="22"/>
  <c r="I72" i="22"/>
  <c r="F72" i="22"/>
  <c r="O71" i="22"/>
  <c r="L71" i="22"/>
  <c r="I71" i="22"/>
  <c r="F71" i="22"/>
  <c r="O70" i="22"/>
  <c r="L70" i="22"/>
  <c r="L69" i="22" s="1"/>
  <c r="I70" i="22"/>
  <c r="I69" i="22" s="1"/>
  <c r="F70" i="22"/>
  <c r="O69" i="22"/>
  <c r="N69" i="22"/>
  <c r="N67" i="22" s="1"/>
  <c r="M69" i="22"/>
  <c r="M67" i="22" s="1"/>
  <c r="K69" i="22"/>
  <c r="K67" i="22" s="1"/>
  <c r="J69" i="22"/>
  <c r="J67" i="22" s="1"/>
  <c r="H69" i="22"/>
  <c r="G69" i="22"/>
  <c r="G67" i="22" s="1"/>
  <c r="E69" i="22"/>
  <c r="D69" i="22"/>
  <c r="O68" i="22"/>
  <c r="L68" i="22"/>
  <c r="I68" i="22"/>
  <c r="F68" i="22"/>
  <c r="H67" i="22"/>
  <c r="E67" i="22"/>
  <c r="D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O58" i="22" s="1"/>
  <c r="L59" i="22"/>
  <c r="I59" i="22"/>
  <c r="F59" i="22"/>
  <c r="N58" i="22"/>
  <c r="M58" i="22"/>
  <c r="K58" i="22"/>
  <c r="J58" i="22"/>
  <c r="H58" i="22"/>
  <c r="G58" i="22"/>
  <c r="E58" i="22"/>
  <c r="D58" i="22"/>
  <c r="O57" i="22"/>
  <c r="L57" i="22"/>
  <c r="I57" i="22"/>
  <c r="F57" i="22"/>
  <c r="O56" i="22"/>
  <c r="L56" i="22"/>
  <c r="L55" i="22" s="1"/>
  <c r="I56" i="22"/>
  <c r="I55" i="22" s="1"/>
  <c r="F56" i="22"/>
  <c r="N55" i="22"/>
  <c r="M55" i="22"/>
  <c r="K55" i="22"/>
  <c r="K54" i="22" s="1"/>
  <c r="K53" i="22" s="1"/>
  <c r="J55" i="22"/>
  <c r="H55" i="22"/>
  <c r="H54" i="22" s="1"/>
  <c r="H53" i="22" s="1"/>
  <c r="G55" i="22"/>
  <c r="G54" i="22" s="1"/>
  <c r="E55" i="22"/>
  <c r="D55" i="22"/>
  <c r="N54" i="22"/>
  <c r="N53" i="22" s="1"/>
  <c r="O47" i="22"/>
  <c r="C47" i="22" s="1"/>
  <c r="O46" i="22"/>
  <c r="C46" i="22" s="1"/>
  <c r="N45" i="22"/>
  <c r="M45" i="22"/>
  <c r="L44" i="22"/>
  <c r="L43" i="22" s="1"/>
  <c r="I44" i="22"/>
  <c r="I43" i="22" s="1"/>
  <c r="F44" i="22"/>
  <c r="F43" i="22" s="1"/>
  <c r="K43" i="22"/>
  <c r="J43" i="22"/>
  <c r="H43" i="22"/>
  <c r="G43" i="22"/>
  <c r="E43" i="22"/>
  <c r="D43" i="22"/>
  <c r="F42" i="22"/>
  <c r="C42" i="22" s="1"/>
  <c r="E41" i="22"/>
  <c r="D41" i="22"/>
  <c r="L40" i="22"/>
  <c r="C40" i="22" s="1"/>
  <c r="L39" i="22"/>
  <c r="C39" i="22" s="1"/>
  <c r="L38" i="22"/>
  <c r="C38" i="22" s="1"/>
  <c r="L37" i="22"/>
  <c r="C37" i="22" s="1"/>
  <c r="K36" i="22"/>
  <c r="J36" i="22"/>
  <c r="L35" i="22"/>
  <c r="C35" i="22" s="1"/>
  <c r="L34" i="22"/>
  <c r="C34" i="22" s="1"/>
  <c r="K33" i="22"/>
  <c r="J33" i="22"/>
  <c r="L32" i="22"/>
  <c r="K31" i="22"/>
  <c r="J31" i="22"/>
  <c r="L30" i="22"/>
  <c r="C30" i="22" s="1"/>
  <c r="L29" i="22"/>
  <c r="C29" i="22" s="1"/>
  <c r="L28" i="22"/>
  <c r="C28" i="22" s="1"/>
  <c r="K27" i="22"/>
  <c r="J27" i="22"/>
  <c r="F25" i="22"/>
  <c r="C25" i="22" s="1"/>
  <c r="I24" i="22"/>
  <c r="F24" i="22"/>
  <c r="O23" i="22"/>
  <c r="L23" i="22"/>
  <c r="I23" i="22"/>
  <c r="F23" i="22"/>
  <c r="O22" i="22"/>
  <c r="O21" i="22" s="1"/>
  <c r="L22" i="22"/>
  <c r="I22" i="22"/>
  <c r="I21" i="22" s="1"/>
  <c r="F22" i="22"/>
  <c r="N21" i="22"/>
  <c r="M21" i="22"/>
  <c r="L21" i="22"/>
  <c r="L292" i="22" s="1"/>
  <c r="K21" i="22"/>
  <c r="K292" i="22" s="1"/>
  <c r="K291" i="22" s="1"/>
  <c r="J21" i="22"/>
  <c r="H21" i="22"/>
  <c r="H292" i="22" s="1"/>
  <c r="G21" i="22"/>
  <c r="F21" i="22"/>
  <c r="E21" i="22"/>
  <c r="D21" i="22"/>
  <c r="D292" i="22" s="1"/>
  <c r="D291" i="22" s="1"/>
  <c r="C57" i="22" l="1"/>
  <c r="C125" i="22"/>
  <c r="C24" i="22"/>
  <c r="K26" i="22"/>
  <c r="G174" i="22"/>
  <c r="G173" i="22" s="1"/>
  <c r="C86" i="23"/>
  <c r="D187" i="22"/>
  <c r="J187" i="22"/>
  <c r="M20" i="22"/>
  <c r="C178" i="23"/>
  <c r="C81" i="22"/>
  <c r="C97" i="22"/>
  <c r="C101" i="22"/>
  <c r="O103" i="22"/>
  <c r="C118" i="22"/>
  <c r="O122" i="22"/>
  <c r="M130" i="22"/>
  <c r="C222" i="22"/>
  <c r="C227" i="22"/>
  <c r="C162" i="23"/>
  <c r="J54" i="22"/>
  <c r="J53" i="22" s="1"/>
  <c r="C153" i="22"/>
  <c r="C161" i="22"/>
  <c r="C164" i="22"/>
  <c r="L166" i="22"/>
  <c r="L165" i="22" s="1"/>
  <c r="G187" i="22"/>
  <c r="C206" i="22"/>
  <c r="K20" i="22"/>
  <c r="I151" i="22"/>
  <c r="H130" i="23"/>
  <c r="F58" i="22"/>
  <c r="G53" i="22"/>
  <c r="M53" i="23"/>
  <c r="J76" i="23"/>
  <c r="C82" i="23"/>
  <c r="I260" i="23"/>
  <c r="I259" i="23" s="1"/>
  <c r="C44" i="23"/>
  <c r="C68" i="23"/>
  <c r="C70" i="23"/>
  <c r="C74" i="23"/>
  <c r="C154" i="23"/>
  <c r="K231" i="23"/>
  <c r="K230" i="23" s="1"/>
  <c r="C278" i="23"/>
  <c r="E54" i="23"/>
  <c r="E53" i="23" s="1"/>
  <c r="I144" i="23"/>
  <c r="E187" i="23"/>
  <c r="K187" i="23"/>
  <c r="C219" i="23"/>
  <c r="J231" i="23"/>
  <c r="N269" i="23"/>
  <c r="C192" i="23"/>
  <c r="I191" i="23"/>
  <c r="C191" i="23" s="1"/>
  <c r="E83" i="22"/>
  <c r="I89" i="22"/>
  <c r="K173" i="22"/>
  <c r="D270" i="22"/>
  <c r="D269" i="22" s="1"/>
  <c r="L238" i="23"/>
  <c r="G292" i="22"/>
  <c r="G291" i="22" s="1"/>
  <c r="D54" i="22"/>
  <c r="D53" i="22" s="1"/>
  <c r="C61" i="22"/>
  <c r="C70" i="22"/>
  <c r="C71" i="22"/>
  <c r="C72" i="22"/>
  <c r="C74" i="22"/>
  <c r="C129" i="22"/>
  <c r="C137" i="22"/>
  <c r="J130" i="22"/>
  <c r="C149" i="22"/>
  <c r="C157" i="22"/>
  <c r="F160" i="22"/>
  <c r="C177" i="22"/>
  <c r="L188" i="22"/>
  <c r="L187" i="22" s="1"/>
  <c r="H187" i="22"/>
  <c r="L196" i="22"/>
  <c r="C210" i="22"/>
  <c r="C218" i="22"/>
  <c r="C219" i="22"/>
  <c r="C221" i="22"/>
  <c r="C234" i="22"/>
  <c r="C254" i="22"/>
  <c r="I270" i="22"/>
  <c r="I269" i="22" s="1"/>
  <c r="K270" i="22"/>
  <c r="K269" i="22" s="1"/>
  <c r="L293" i="22"/>
  <c r="H292" i="23"/>
  <c r="H291" i="23" s="1"/>
  <c r="C78" i="23"/>
  <c r="C90" i="23"/>
  <c r="C102" i="23"/>
  <c r="E130" i="23"/>
  <c r="K130" i="23"/>
  <c r="C138" i="23"/>
  <c r="C176" i="23"/>
  <c r="H204" i="23"/>
  <c r="H195" i="23" s="1"/>
  <c r="C254" i="23"/>
  <c r="C262" i="23"/>
  <c r="C263" i="23"/>
  <c r="C274" i="23"/>
  <c r="D270" i="23"/>
  <c r="D269" i="23" s="1"/>
  <c r="C277" i="23"/>
  <c r="O276" i="23"/>
  <c r="C285" i="23"/>
  <c r="C298" i="23"/>
  <c r="C299" i="23"/>
  <c r="L179" i="22"/>
  <c r="E76" i="22"/>
  <c r="L95" i="22"/>
  <c r="C109" i="22"/>
  <c r="C113" i="22"/>
  <c r="C121" i="22"/>
  <c r="C124" i="22"/>
  <c r="C128" i="22"/>
  <c r="C133" i="22"/>
  <c r="C134" i="22"/>
  <c r="D130" i="22"/>
  <c r="N130" i="22"/>
  <c r="C145" i="22"/>
  <c r="C181" i="22"/>
  <c r="N187" i="22"/>
  <c r="I187" i="22"/>
  <c r="K204" i="22"/>
  <c r="C214" i="22"/>
  <c r="C226" i="22"/>
  <c r="O264" i="22"/>
  <c r="M269" i="22"/>
  <c r="L272" i="22"/>
  <c r="G270" i="22"/>
  <c r="G269" i="22" s="1"/>
  <c r="C282" i="22"/>
  <c r="O292" i="23"/>
  <c r="C62" i="23"/>
  <c r="C63" i="23"/>
  <c r="C64" i="23"/>
  <c r="C65" i="23"/>
  <c r="L67" i="23"/>
  <c r="D76" i="23"/>
  <c r="L80" i="23"/>
  <c r="C94" i="23"/>
  <c r="C106" i="23"/>
  <c r="C114" i="23"/>
  <c r="C115" i="23"/>
  <c r="I136" i="23"/>
  <c r="C142" i="23"/>
  <c r="C158" i="23"/>
  <c r="G130" i="23"/>
  <c r="C170" i="23"/>
  <c r="C186" i="23"/>
  <c r="C199" i="23"/>
  <c r="D204" i="23"/>
  <c r="D195" i="23" s="1"/>
  <c r="C243" i="23"/>
  <c r="C245" i="23"/>
  <c r="E259" i="23"/>
  <c r="C296" i="23"/>
  <c r="K83" i="22"/>
  <c r="F41" i="22"/>
  <c r="C41" i="22" s="1"/>
  <c r="O67" i="22"/>
  <c r="C85" i="22"/>
  <c r="C93" i="22"/>
  <c r="C94" i="22"/>
  <c r="C117" i="22"/>
  <c r="E130" i="22"/>
  <c r="C185" i="22"/>
  <c r="C190" i="22"/>
  <c r="L205" i="22"/>
  <c r="H231" i="22"/>
  <c r="H230" i="22" s="1"/>
  <c r="C236" i="22"/>
  <c r="C242" i="22"/>
  <c r="O252" i="22"/>
  <c r="C262" i="22"/>
  <c r="J259" i="22"/>
  <c r="C298" i="22"/>
  <c r="C299" i="22"/>
  <c r="C300" i="22"/>
  <c r="C22" i="23"/>
  <c r="C23" i="23"/>
  <c r="C24" i="23"/>
  <c r="J26" i="23"/>
  <c r="C42" i="23"/>
  <c r="G54" i="23"/>
  <c r="G53" i="23" s="1"/>
  <c r="N76" i="23"/>
  <c r="C146" i="23"/>
  <c r="C150" i="23"/>
  <c r="C152" i="23"/>
  <c r="C153" i="23"/>
  <c r="N173" i="23"/>
  <c r="C202" i="23"/>
  <c r="E204" i="23"/>
  <c r="E195" i="23" s="1"/>
  <c r="C207" i="23"/>
  <c r="C215" i="23"/>
  <c r="J204" i="23"/>
  <c r="J195" i="23" s="1"/>
  <c r="C218" i="23"/>
  <c r="C223" i="23"/>
  <c r="G204" i="23"/>
  <c r="C239" i="23"/>
  <c r="C250" i="23"/>
  <c r="C255" i="23"/>
  <c r="L260" i="23"/>
  <c r="L259" i="23" s="1"/>
  <c r="C267" i="23"/>
  <c r="C268" i="23"/>
  <c r="G270" i="23"/>
  <c r="G269" i="23" s="1"/>
  <c r="D187" i="23"/>
  <c r="G83" i="23"/>
  <c r="G291" i="23"/>
  <c r="M291" i="23"/>
  <c r="K26" i="23"/>
  <c r="K20" i="23" s="1"/>
  <c r="L36" i="23"/>
  <c r="C36" i="23" s="1"/>
  <c r="J53" i="23"/>
  <c r="N53" i="23"/>
  <c r="L58" i="23"/>
  <c r="C87" i="23"/>
  <c r="C88" i="23"/>
  <c r="L95" i="23"/>
  <c r="C105" i="23"/>
  <c r="C110" i="23"/>
  <c r="D130" i="23"/>
  <c r="L136" i="23"/>
  <c r="L144" i="23"/>
  <c r="C157" i="23"/>
  <c r="C172" i="23"/>
  <c r="L175" i="23"/>
  <c r="I184" i="23"/>
  <c r="M187" i="23"/>
  <c r="C203" i="23"/>
  <c r="C206" i="23"/>
  <c r="L205" i="23"/>
  <c r="L204" i="23" s="1"/>
  <c r="C222" i="23"/>
  <c r="C226" i="23"/>
  <c r="D231" i="23"/>
  <c r="D230" i="23" s="1"/>
  <c r="M231" i="23"/>
  <c r="C244" i="23"/>
  <c r="C247" i="23"/>
  <c r="C253" i="23"/>
  <c r="O252" i="23"/>
  <c r="O251" i="23" s="1"/>
  <c r="M270" i="23"/>
  <c r="M269" i="23" s="1"/>
  <c r="L272" i="23"/>
  <c r="I276" i="23"/>
  <c r="I270" i="23" s="1"/>
  <c r="I269" i="23" s="1"/>
  <c r="C287" i="23"/>
  <c r="L293" i="23"/>
  <c r="F43" i="23"/>
  <c r="C43" i="23" s="1"/>
  <c r="L116" i="23"/>
  <c r="J230" i="23"/>
  <c r="D292" i="23"/>
  <c r="D291" i="23" s="1"/>
  <c r="N292" i="23"/>
  <c r="N291" i="23" s="1"/>
  <c r="L27" i="23"/>
  <c r="C27" i="23" s="1"/>
  <c r="L33" i="23"/>
  <c r="C33" i="23" s="1"/>
  <c r="O45" i="23"/>
  <c r="C45" i="23" s="1"/>
  <c r="C56" i="23"/>
  <c r="C57" i="23"/>
  <c r="C71" i="23"/>
  <c r="C72" i="23"/>
  <c r="C73" i="23"/>
  <c r="C93" i="23"/>
  <c r="N83" i="23"/>
  <c r="C98" i="23"/>
  <c r="C107" i="23"/>
  <c r="C108" i="23"/>
  <c r="C109" i="23"/>
  <c r="L112" i="23"/>
  <c r="C121" i="23"/>
  <c r="C123" i="23"/>
  <c r="O122" i="23"/>
  <c r="I175" i="23"/>
  <c r="O184" i="23"/>
  <c r="J187" i="23"/>
  <c r="G195" i="23"/>
  <c r="C201" i="23"/>
  <c r="C210" i="23"/>
  <c r="E231" i="23"/>
  <c r="E230" i="23" s="1"/>
  <c r="C249" i="23"/>
  <c r="C258" i="23"/>
  <c r="M259" i="23"/>
  <c r="C266" i="23"/>
  <c r="C275" i="23"/>
  <c r="C294" i="23"/>
  <c r="L89" i="23"/>
  <c r="H187" i="23"/>
  <c r="J292" i="23"/>
  <c r="J291" i="23" s="1"/>
  <c r="C59" i="23"/>
  <c r="C60" i="23"/>
  <c r="C61" i="23"/>
  <c r="C66" i="23"/>
  <c r="I69" i="23"/>
  <c r="I67" i="23" s="1"/>
  <c r="L76" i="23"/>
  <c r="M76" i="23"/>
  <c r="L84" i="23"/>
  <c r="I89" i="23"/>
  <c r="C96" i="23"/>
  <c r="C97" i="23"/>
  <c r="C101" i="23"/>
  <c r="K83" i="23"/>
  <c r="K75" i="23" s="1"/>
  <c r="I122" i="23"/>
  <c r="C149" i="23"/>
  <c r="C168" i="23"/>
  <c r="C169" i="23"/>
  <c r="M173" i="23"/>
  <c r="F175" i="23"/>
  <c r="J174" i="23"/>
  <c r="J173" i="23" s="1"/>
  <c r="C177" i="23"/>
  <c r="L179" i="23"/>
  <c r="C193" i="23"/>
  <c r="C208" i="23"/>
  <c r="C214" i="23"/>
  <c r="N204" i="23"/>
  <c r="N195" i="23" s="1"/>
  <c r="K204" i="23"/>
  <c r="K195" i="23" s="1"/>
  <c r="K194" i="23" s="1"/>
  <c r="N231" i="23"/>
  <c r="N230" i="23" s="1"/>
  <c r="G231" i="23"/>
  <c r="G230" i="23" s="1"/>
  <c r="C242" i="23"/>
  <c r="J270" i="23"/>
  <c r="J269" i="23" s="1"/>
  <c r="C273" i="23"/>
  <c r="O272" i="23"/>
  <c r="O270" i="23" s="1"/>
  <c r="O269" i="23" s="1"/>
  <c r="C279" i="23"/>
  <c r="F284" i="23"/>
  <c r="L292" i="23"/>
  <c r="L291" i="23" s="1"/>
  <c r="I20" i="23"/>
  <c r="C21" i="23"/>
  <c r="K53" i="23"/>
  <c r="L54" i="23"/>
  <c r="L53" i="23" s="1"/>
  <c r="I54" i="23"/>
  <c r="O67" i="23"/>
  <c r="O53" i="23" s="1"/>
  <c r="E20" i="23"/>
  <c r="M20" i="23"/>
  <c r="L31" i="23"/>
  <c r="C55" i="23"/>
  <c r="C79" i="23"/>
  <c r="O80" i="23"/>
  <c r="H83" i="23"/>
  <c r="H75" i="23" s="1"/>
  <c r="M83" i="23"/>
  <c r="O89" i="23"/>
  <c r="F95" i="23"/>
  <c r="I95" i="23"/>
  <c r="I83" i="23" s="1"/>
  <c r="C99" i="23"/>
  <c r="C100" i="23"/>
  <c r="C111" i="23"/>
  <c r="O112" i="23"/>
  <c r="C119" i="23"/>
  <c r="C120" i="23"/>
  <c r="L122" i="23"/>
  <c r="C127" i="23"/>
  <c r="M130" i="23"/>
  <c r="L131" i="23"/>
  <c r="C135" i="23"/>
  <c r="C137" i="23"/>
  <c r="F136" i="23"/>
  <c r="C143" i="23"/>
  <c r="C145" i="23"/>
  <c r="F144" i="23"/>
  <c r="C144" i="23" s="1"/>
  <c r="F151" i="23"/>
  <c r="I151" i="23"/>
  <c r="C156" i="23"/>
  <c r="C164" i="23"/>
  <c r="C180" i="23"/>
  <c r="F179" i="23"/>
  <c r="C190" i="23"/>
  <c r="I188" i="23"/>
  <c r="C197" i="23"/>
  <c r="F196" i="23"/>
  <c r="L196" i="23"/>
  <c r="C220" i="23"/>
  <c r="I216" i="23"/>
  <c r="C271" i="23"/>
  <c r="F20" i="23"/>
  <c r="J20" i="23"/>
  <c r="N20" i="23"/>
  <c r="F69" i="23"/>
  <c r="C81" i="23"/>
  <c r="F80" i="23"/>
  <c r="D83" i="23"/>
  <c r="D75" i="23" s="1"/>
  <c r="O84" i="23"/>
  <c r="C91" i="23"/>
  <c r="C92" i="23"/>
  <c r="O103" i="23"/>
  <c r="L103" i="23"/>
  <c r="C113" i="23"/>
  <c r="F112" i="23"/>
  <c r="C129" i="23"/>
  <c r="F128" i="23"/>
  <c r="C128" i="23" s="1"/>
  <c r="N130" i="23"/>
  <c r="O131" i="23"/>
  <c r="C140" i="23"/>
  <c r="C148" i="23"/>
  <c r="L151" i="23"/>
  <c r="C155" i="23"/>
  <c r="C163" i="23"/>
  <c r="E173" i="23"/>
  <c r="C189" i="23"/>
  <c r="L188" i="23"/>
  <c r="L187" i="23" s="1"/>
  <c r="C117" i="23"/>
  <c r="F116" i="23"/>
  <c r="C161" i="23"/>
  <c r="F160" i="23"/>
  <c r="C282" i="23"/>
  <c r="C301" i="23"/>
  <c r="G20" i="23"/>
  <c r="O20" i="23"/>
  <c r="F58" i="23"/>
  <c r="C58" i="23" s="1"/>
  <c r="O76" i="23"/>
  <c r="E83" i="23"/>
  <c r="C85" i="23"/>
  <c r="F84" i="23"/>
  <c r="O95" i="23"/>
  <c r="C104" i="23"/>
  <c r="O116" i="23"/>
  <c r="C124" i="23"/>
  <c r="C125" i="23"/>
  <c r="F122" i="23"/>
  <c r="C122" i="23" s="1"/>
  <c r="J130" i="23"/>
  <c r="J75" i="23" s="1"/>
  <c r="C132" i="23"/>
  <c r="C139" i="23"/>
  <c r="C147" i="23"/>
  <c r="O151" i="23"/>
  <c r="C159" i="23"/>
  <c r="O160" i="23"/>
  <c r="O166" i="23"/>
  <c r="O165" i="23" s="1"/>
  <c r="C182" i="23"/>
  <c r="F251" i="23"/>
  <c r="I77" i="23"/>
  <c r="I141" i="23"/>
  <c r="F166" i="23"/>
  <c r="C171" i="23"/>
  <c r="O175" i="23"/>
  <c r="C175" i="23" s="1"/>
  <c r="I179" i="23"/>
  <c r="I174" i="23" s="1"/>
  <c r="C200" i="23"/>
  <c r="I198" i="23"/>
  <c r="C284" i="23"/>
  <c r="F283" i="23"/>
  <c r="C283" i="23" s="1"/>
  <c r="F89" i="23"/>
  <c r="C167" i="23"/>
  <c r="D174" i="23"/>
  <c r="D173" i="23" s="1"/>
  <c r="H174" i="23"/>
  <c r="H173" i="23" s="1"/>
  <c r="C183" i="23"/>
  <c r="C185" i="23"/>
  <c r="F187" i="23"/>
  <c r="C209" i="23"/>
  <c r="C232" i="23"/>
  <c r="F276" i="23"/>
  <c r="F270" i="23" s="1"/>
  <c r="O179" i="23"/>
  <c r="O196" i="23"/>
  <c r="M204" i="23"/>
  <c r="M195" i="23" s="1"/>
  <c r="C221" i="23"/>
  <c r="O246" i="23"/>
  <c r="O231" i="23" s="1"/>
  <c r="C248" i="23"/>
  <c r="I246" i="23"/>
  <c r="C281" i="23"/>
  <c r="C300" i="23"/>
  <c r="O205" i="23"/>
  <c r="C213" i="23"/>
  <c r="F216" i="23"/>
  <c r="C217" i="23"/>
  <c r="O216" i="23"/>
  <c r="C225" i="23"/>
  <c r="C229" i="23"/>
  <c r="L231" i="23"/>
  <c r="C234" i="23"/>
  <c r="C237" i="23"/>
  <c r="F238" i="23"/>
  <c r="C241" i="23"/>
  <c r="L252" i="23"/>
  <c r="L251" i="23" s="1"/>
  <c r="C257" i="23"/>
  <c r="F260" i="23"/>
  <c r="C261" i="23"/>
  <c r="O260" i="23"/>
  <c r="F264" i="23"/>
  <c r="C265" i="23"/>
  <c r="O264" i="23"/>
  <c r="L276" i="23"/>
  <c r="L270" i="23" s="1"/>
  <c r="L269" i="23" s="1"/>
  <c r="C288" i="23"/>
  <c r="I286" i="23"/>
  <c r="I292" i="23" s="1"/>
  <c r="O293" i="23"/>
  <c r="F205" i="23"/>
  <c r="C212" i="23"/>
  <c r="C224" i="23"/>
  <c r="I227" i="23"/>
  <c r="C227" i="23" s="1"/>
  <c r="C228" i="23"/>
  <c r="H231" i="23"/>
  <c r="H230" i="23" s="1"/>
  <c r="C233" i="23"/>
  <c r="I235" i="23"/>
  <c r="C235" i="23" s="1"/>
  <c r="C236" i="23"/>
  <c r="C240" i="23"/>
  <c r="I238" i="23"/>
  <c r="C256" i="23"/>
  <c r="C280" i="23"/>
  <c r="C295" i="23"/>
  <c r="C297" i="23"/>
  <c r="F293" i="23"/>
  <c r="E75" i="22"/>
  <c r="L291" i="22"/>
  <c r="J83" i="22"/>
  <c r="J75" i="22" s="1"/>
  <c r="J52" i="22" s="1"/>
  <c r="L136" i="22"/>
  <c r="J26" i="22"/>
  <c r="L58" i="22"/>
  <c r="L54" i="22" s="1"/>
  <c r="I67" i="22"/>
  <c r="K76" i="22"/>
  <c r="D76" i="22"/>
  <c r="L84" i="22"/>
  <c r="G83" i="22"/>
  <c r="C108" i="22"/>
  <c r="C135" i="22"/>
  <c r="G130" i="22"/>
  <c r="C156" i="22"/>
  <c r="I160" i="22"/>
  <c r="C168" i="22"/>
  <c r="C169" i="22"/>
  <c r="I184" i="22"/>
  <c r="O188" i="22"/>
  <c r="O187" i="22" s="1"/>
  <c r="C207" i="22"/>
  <c r="C215" i="22"/>
  <c r="C224" i="22"/>
  <c r="C225" i="22"/>
  <c r="C228" i="22"/>
  <c r="C229" i="22"/>
  <c r="O231" i="22"/>
  <c r="K231" i="22"/>
  <c r="K230" i="22" s="1"/>
  <c r="C267" i="22"/>
  <c r="O272" i="22"/>
  <c r="C287" i="22"/>
  <c r="C288" i="22"/>
  <c r="K130" i="22"/>
  <c r="O166" i="22"/>
  <c r="O165" i="22" s="1"/>
  <c r="I293" i="22"/>
  <c r="E292" i="22"/>
  <c r="E291" i="22" s="1"/>
  <c r="O292" i="22"/>
  <c r="L33" i="22"/>
  <c r="C33" i="22" s="1"/>
  <c r="M54" i="22"/>
  <c r="M53" i="22" s="1"/>
  <c r="C60" i="22"/>
  <c r="C65" i="22"/>
  <c r="L67" i="22"/>
  <c r="G76" i="22"/>
  <c r="D83" i="22"/>
  <c r="C100" i="22"/>
  <c r="C107" i="22"/>
  <c r="L112" i="22"/>
  <c r="C127" i="22"/>
  <c r="L131" i="22"/>
  <c r="C140" i="22"/>
  <c r="C146" i="22"/>
  <c r="C158" i="22"/>
  <c r="L160" i="22"/>
  <c r="C172" i="22"/>
  <c r="C182" i="22"/>
  <c r="L184" i="22"/>
  <c r="K195" i="22"/>
  <c r="C199" i="22"/>
  <c r="C201" i="22"/>
  <c r="H195" i="22"/>
  <c r="H194" i="22" s="1"/>
  <c r="C211" i="22"/>
  <c r="C213" i="22"/>
  <c r="C232" i="22"/>
  <c r="D231" i="22"/>
  <c r="D230" i="22" s="1"/>
  <c r="G231" i="22"/>
  <c r="G230" i="22" s="1"/>
  <c r="I238" i="22"/>
  <c r="C245" i="22"/>
  <c r="C275" i="22"/>
  <c r="L276" i="22"/>
  <c r="L270" i="22" s="1"/>
  <c r="L269" i="22" s="1"/>
  <c r="F281" i="22"/>
  <c r="I286" i="22"/>
  <c r="C286" i="22" s="1"/>
  <c r="I84" i="22"/>
  <c r="C105" i="22"/>
  <c r="C266" i="22"/>
  <c r="G20" i="22"/>
  <c r="C23" i="22"/>
  <c r="L36" i="22"/>
  <c r="C36" i="22" s="1"/>
  <c r="E54" i="22"/>
  <c r="E53" i="22" s="1"/>
  <c r="E52" i="22" s="1"/>
  <c r="C64" i="22"/>
  <c r="C66" i="22"/>
  <c r="C68" i="22"/>
  <c r="C73" i="22"/>
  <c r="C82" i="22"/>
  <c r="C90" i="22"/>
  <c r="O89" i="22"/>
  <c r="M83" i="22"/>
  <c r="M75" i="22" s="1"/>
  <c r="C102" i="22"/>
  <c r="C111" i="22"/>
  <c r="I116" i="22"/>
  <c r="N83" i="22"/>
  <c r="N75" i="22" s="1"/>
  <c r="N52" i="22" s="1"/>
  <c r="O131" i="22"/>
  <c r="C150" i="22"/>
  <c r="L151" i="22"/>
  <c r="H174" i="22"/>
  <c r="H173" i="22" s="1"/>
  <c r="L175" i="22"/>
  <c r="L174" i="22" s="1"/>
  <c r="I179" i="22"/>
  <c r="G195" i="22"/>
  <c r="C203" i="22"/>
  <c r="D195" i="22"/>
  <c r="C212" i="22"/>
  <c r="C223" i="22"/>
  <c r="J204" i="22"/>
  <c r="J195" i="22" s="1"/>
  <c r="N204" i="22"/>
  <c r="N195" i="22" s="1"/>
  <c r="C243" i="22"/>
  <c r="C257" i="22"/>
  <c r="O260" i="22"/>
  <c r="O259" i="22" s="1"/>
  <c r="O276" i="22"/>
  <c r="C295" i="22"/>
  <c r="C56" i="22"/>
  <c r="F55" i="22"/>
  <c r="J292" i="22"/>
  <c r="J291" i="22" s="1"/>
  <c r="J20" i="22"/>
  <c r="N292" i="22"/>
  <c r="N291" i="22" s="1"/>
  <c r="N20" i="22"/>
  <c r="C44" i="22"/>
  <c r="C59" i="22"/>
  <c r="I292" i="22"/>
  <c r="I291" i="22" s="1"/>
  <c r="I20" i="22"/>
  <c r="C32" i="22"/>
  <c r="L31" i="22"/>
  <c r="C31" i="22" s="1"/>
  <c r="F292" i="22"/>
  <c r="F20" i="22"/>
  <c r="C21" i="22"/>
  <c r="C22" i="22"/>
  <c r="L27" i="22"/>
  <c r="C43" i="22"/>
  <c r="O45" i="22"/>
  <c r="O55" i="22"/>
  <c r="O54" i="22" s="1"/>
  <c r="O53" i="22" s="1"/>
  <c r="I58" i="22"/>
  <c r="I54" i="22" s="1"/>
  <c r="I53" i="22" s="1"/>
  <c r="C62" i="22"/>
  <c r="C63" i="22"/>
  <c r="L122" i="22"/>
  <c r="C126" i="22"/>
  <c r="C147" i="22"/>
  <c r="I144" i="22"/>
  <c r="C176" i="22"/>
  <c r="F175" i="22"/>
  <c r="C200" i="22"/>
  <c r="I198" i="22"/>
  <c r="M292" i="22"/>
  <c r="M291" i="22" s="1"/>
  <c r="C301" i="22"/>
  <c r="D20" i="22"/>
  <c r="H20" i="22"/>
  <c r="C79" i="22"/>
  <c r="I77" i="22"/>
  <c r="C86" i="22"/>
  <c r="C87" i="22"/>
  <c r="C88" i="22"/>
  <c r="F84" i="22"/>
  <c r="L89" i="22"/>
  <c r="C96" i="22"/>
  <c r="F95" i="22"/>
  <c r="O95" i="22"/>
  <c r="C106" i="22"/>
  <c r="C114" i="22"/>
  <c r="C123" i="22"/>
  <c r="I131" i="22"/>
  <c r="L130" i="22"/>
  <c r="C142" i="22"/>
  <c r="C152" i="22"/>
  <c r="F151" i="22"/>
  <c r="O151" i="22"/>
  <c r="C167" i="22"/>
  <c r="C178" i="22"/>
  <c r="O179" i="22"/>
  <c r="C268" i="22"/>
  <c r="I264" i="22"/>
  <c r="I259" i="22" s="1"/>
  <c r="C197" i="22"/>
  <c r="F196" i="22"/>
  <c r="E20" i="22"/>
  <c r="H291" i="22"/>
  <c r="C78" i="22"/>
  <c r="L77" i="22"/>
  <c r="L76" i="22" s="1"/>
  <c r="C80" i="22"/>
  <c r="H83" i="22"/>
  <c r="C98" i="22"/>
  <c r="C99" i="22"/>
  <c r="C110" i="22"/>
  <c r="C115" i="22"/>
  <c r="I112" i="22"/>
  <c r="C112" i="22" s="1"/>
  <c r="O116" i="22"/>
  <c r="I122" i="22"/>
  <c r="C132" i="22"/>
  <c r="F131" i="22"/>
  <c r="C138" i="22"/>
  <c r="C143" i="22"/>
  <c r="I141" i="22"/>
  <c r="C141" i="22" s="1"/>
  <c r="O144" i="22"/>
  <c r="O130" i="22" s="1"/>
  <c r="C154" i="22"/>
  <c r="C155" i="22"/>
  <c r="C162" i="22"/>
  <c r="C163" i="22"/>
  <c r="F165" i="22"/>
  <c r="C166" i="22"/>
  <c r="I165" i="22"/>
  <c r="C170" i="22"/>
  <c r="C171" i="22"/>
  <c r="M174" i="22"/>
  <c r="M173" i="22" s="1"/>
  <c r="C180" i="22"/>
  <c r="F179" i="22"/>
  <c r="C186" i="22"/>
  <c r="C220" i="22"/>
  <c r="I216" i="22"/>
  <c r="C237" i="22"/>
  <c r="F235" i="22"/>
  <c r="C239" i="22"/>
  <c r="L238" i="22"/>
  <c r="C261" i="22"/>
  <c r="F260" i="22"/>
  <c r="C104" i="22"/>
  <c r="F103" i="22"/>
  <c r="F69" i="22"/>
  <c r="C69" i="22" s="1"/>
  <c r="C91" i="22"/>
  <c r="C92" i="22"/>
  <c r="F89" i="22"/>
  <c r="L103" i="22"/>
  <c r="C119" i="22"/>
  <c r="C120" i="22"/>
  <c r="F116" i="22"/>
  <c r="H130" i="22"/>
  <c r="C139" i="22"/>
  <c r="I136" i="22"/>
  <c r="C148" i="22"/>
  <c r="F144" i="22"/>
  <c r="C159" i="22"/>
  <c r="I174" i="22"/>
  <c r="I173" i="22" s="1"/>
  <c r="O175" i="22"/>
  <c r="L173" i="22"/>
  <c r="C183" i="22"/>
  <c r="C184" i="22"/>
  <c r="C208" i="22"/>
  <c r="I205" i="22"/>
  <c r="N230" i="22"/>
  <c r="C256" i="22"/>
  <c r="I252" i="22"/>
  <c r="I251" i="22" s="1"/>
  <c r="C277" i="22"/>
  <c r="F276" i="22"/>
  <c r="M187" i="22"/>
  <c r="L216" i="22"/>
  <c r="L204" i="22" s="1"/>
  <c r="L195" i="22" s="1"/>
  <c r="C233" i="22"/>
  <c r="C249" i="22"/>
  <c r="F246" i="22"/>
  <c r="L252" i="22"/>
  <c r="L251" i="22" s="1"/>
  <c r="C255" i="22"/>
  <c r="C263" i="22"/>
  <c r="E270" i="22"/>
  <c r="E269" i="22" s="1"/>
  <c r="C279" i="22"/>
  <c r="C281" i="22"/>
  <c r="C285" i="22"/>
  <c r="F284" i="22"/>
  <c r="C193" i="22"/>
  <c r="F192" i="22"/>
  <c r="E195" i="22"/>
  <c r="M195" i="22"/>
  <c r="O196" i="22"/>
  <c r="O205" i="22"/>
  <c r="C217" i="22"/>
  <c r="F216" i="22"/>
  <c r="O216" i="22"/>
  <c r="J230" i="22"/>
  <c r="J194" i="22" s="1"/>
  <c r="C240" i="22"/>
  <c r="C241" i="22"/>
  <c r="F238" i="22"/>
  <c r="C248" i="22"/>
  <c r="I246" i="22"/>
  <c r="I231" i="22" s="1"/>
  <c r="E230" i="22"/>
  <c r="C253" i="22"/>
  <c r="F252" i="22"/>
  <c r="O251" i="22"/>
  <c r="O230" i="22" s="1"/>
  <c r="M259" i="22"/>
  <c r="M230" i="22" s="1"/>
  <c r="L260" i="22"/>
  <c r="L259" i="22" s="1"/>
  <c r="C265" i="22"/>
  <c r="F264" i="22"/>
  <c r="C271" i="22"/>
  <c r="C273" i="22"/>
  <c r="F272" i="22"/>
  <c r="O293" i="22"/>
  <c r="O291" i="22" s="1"/>
  <c r="C189" i="22"/>
  <c r="F188" i="22"/>
  <c r="C209" i="22"/>
  <c r="F205" i="22"/>
  <c r="C244" i="22"/>
  <c r="C247" i="22"/>
  <c r="L246" i="22"/>
  <c r="C296" i="22"/>
  <c r="C297" i="22"/>
  <c r="F293" i="22"/>
  <c r="C264" i="23" l="1"/>
  <c r="C246" i="23"/>
  <c r="C184" i="23"/>
  <c r="G75" i="23"/>
  <c r="G52" i="23" s="1"/>
  <c r="C89" i="22"/>
  <c r="D194" i="23"/>
  <c r="O83" i="22"/>
  <c r="L174" i="23"/>
  <c r="L173" i="23" s="1"/>
  <c r="J51" i="22"/>
  <c r="H75" i="22"/>
  <c r="H52" i="22" s="1"/>
  <c r="H51" i="22" s="1"/>
  <c r="J289" i="22"/>
  <c r="C122" i="22"/>
  <c r="C103" i="23"/>
  <c r="H289" i="23"/>
  <c r="O259" i="23"/>
  <c r="K52" i="23"/>
  <c r="O291" i="23"/>
  <c r="E75" i="23"/>
  <c r="E289" i="23" s="1"/>
  <c r="C136" i="23"/>
  <c r="D52" i="23"/>
  <c r="D51" i="23" s="1"/>
  <c r="L231" i="22"/>
  <c r="E289" i="22"/>
  <c r="L53" i="22"/>
  <c r="M75" i="23"/>
  <c r="M52" i="23" s="1"/>
  <c r="F174" i="23"/>
  <c r="N75" i="23"/>
  <c r="N52" i="23" s="1"/>
  <c r="C272" i="23"/>
  <c r="I83" i="22"/>
  <c r="E194" i="23"/>
  <c r="O204" i="22"/>
  <c r="C160" i="22"/>
  <c r="K75" i="22"/>
  <c r="M230" i="23"/>
  <c r="M194" i="23" s="1"/>
  <c r="G289" i="23"/>
  <c r="H52" i="23"/>
  <c r="C292" i="23"/>
  <c r="I231" i="23"/>
  <c r="I230" i="23" s="1"/>
  <c r="I173" i="23"/>
  <c r="I130" i="23"/>
  <c r="C112" i="23"/>
  <c r="I53" i="23"/>
  <c r="N194" i="23"/>
  <c r="G194" i="23"/>
  <c r="G51" i="23" s="1"/>
  <c r="K51" i="23"/>
  <c r="K50" i="23" s="1"/>
  <c r="C293" i="23"/>
  <c r="C238" i="23"/>
  <c r="C216" i="23"/>
  <c r="I291" i="23"/>
  <c r="O230" i="23"/>
  <c r="F130" i="23"/>
  <c r="I204" i="23"/>
  <c r="L130" i="23"/>
  <c r="J194" i="23"/>
  <c r="F269" i="23"/>
  <c r="C270" i="23"/>
  <c r="J289" i="23"/>
  <c r="J52" i="23"/>
  <c r="J51" i="23" s="1"/>
  <c r="F291" i="23"/>
  <c r="C160" i="23"/>
  <c r="C116" i="23"/>
  <c r="C188" i="23"/>
  <c r="I187" i="23"/>
  <c r="C151" i="23"/>
  <c r="F54" i="23"/>
  <c r="C260" i="23"/>
  <c r="F259" i="23"/>
  <c r="C259" i="23" s="1"/>
  <c r="F231" i="23"/>
  <c r="C198" i="23"/>
  <c r="I196" i="23"/>
  <c r="C69" i="23"/>
  <c r="F67" i="23"/>
  <c r="C67" i="23" s="1"/>
  <c r="L26" i="23"/>
  <c r="C31" i="23"/>
  <c r="E52" i="23"/>
  <c r="E51" i="23" s="1"/>
  <c r="C205" i="23"/>
  <c r="F204" i="23"/>
  <c r="F195" i="23" s="1"/>
  <c r="C77" i="23"/>
  <c r="I76" i="23"/>
  <c r="I75" i="23" s="1"/>
  <c r="O204" i="23"/>
  <c r="C89" i="23"/>
  <c r="D289" i="23"/>
  <c r="H194" i="23"/>
  <c r="H51" i="23" s="1"/>
  <c r="C251" i="23"/>
  <c r="L83" i="23"/>
  <c r="L75" i="23" s="1"/>
  <c r="L52" i="23" s="1"/>
  <c r="C80" i="23"/>
  <c r="F76" i="23"/>
  <c r="C141" i="23"/>
  <c r="L195" i="23"/>
  <c r="O130" i="23"/>
  <c r="C276" i="23"/>
  <c r="O174" i="23"/>
  <c r="O173" i="23" s="1"/>
  <c r="K289" i="23"/>
  <c r="C286" i="23"/>
  <c r="L230" i="23"/>
  <c r="O195" i="23"/>
  <c r="C166" i="23"/>
  <c r="F165" i="23"/>
  <c r="C165" i="23" s="1"/>
  <c r="C252" i="23"/>
  <c r="F173" i="23"/>
  <c r="C84" i="23"/>
  <c r="F83" i="23"/>
  <c r="C131" i="23"/>
  <c r="O83" i="23"/>
  <c r="C179" i="23"/>
  <c r="C95" i="23"/>
  <c r="O75" i="22"/>
  <c r="C293" i="22"/>
  <c r="C238" i="22"/>
  <c r="C276" i="22"/>
  <c r="N194" i="22"/>
  <c r="N51" i="22" s="1"/>
  <c r="N50" i="22" s="1"/>
  <c r="C136" i="22"/>
  <c r="C179" i="22"/>
  <c r="H289" i="22"/>
  <c r="O270" i="22"/>
  <c r="O269" i="22" s="1"/>
  <c r="D194" i="22"/>
  <c r="G75" i="22"/>
  <c r="K194" i="22"/>
  <c r="M289" i="22"/>
  <c r="O174" i="22"/>
  <c r="O173" i="22" s="1"/>
  <c r="M52" i="22"/>
  <c r="L83" i="22"/>
  <c r="L75" i="22" s="1"/>
  <c r="L52" i="22" s="1"/>
  <c r="G194" i="22"/>
  <c r="D75" i="22"/>
  <c r="J50" i="22"/>
  <c r="J290" i="22"/>
  <c r="I230" i="22"/>
  <c r="N289" i="22"/>
  <c r="I204" i="22"/>
  <c r="C95" i="22"/>
  <c r="C58" i="22"/>
  <c r="C205" i="22"/>
  <c r="F204" i="22"/>
  <c r="F195" i="22" s="1"/>
  <c r="C264" i="22"/>
  <c r="C216" i="22"/>
  <c r="C144" i="22"/>
  <c r="C260" i="22"/>
  <c r="F259" i="22"/>
  <c r="C259" i="22" s="1"/>
  <c r="F67" i="22"/>
  <c r="C67" i="22" s="1"/>
  <c r="F291" i="22"/>
  <c r="C291" i="22" s="1"/>
  <c r="O52" i="22"/>
  <c r="C55" i="22"/>
  <c r="F54" i="22"/>
  <c r="C192" i="22"/>
  <c r="F191" i="22"/>
  <c r="C191" i="22" s="1"/>
  <c r="L230" i="22"/>
  <c r="L194" i="22" s="1"/>
  <c r="I130" i="22"/>
  <c r="C84" i="22"/>
  <c r="F83" i="22"/>
  <c r="I76" i="22"/>
  <c r="C77" i="22"/>
  <c r="C45" i="22"/>
  <c r="O20" i="22"/>
  <c r="O195" i="22"/>
  <c r="C131" i="22"/>
  <c r="F130" i="22"/>
  <c r="C198" i="22"/>
  <c r="I196" i="22"/>
  <c r="C188" i="22"/>
  <c r="F270" i="22"/>
  <c r="C272" i="22"/>
  <c r="M194" i="22"/>
  <c r="C284" i="22"/>
  <c r="F283" i="22"/>
  <c r="C283" i="22" s="1"/>
  <c r="C246" i="22"/>
  <c r="C235" i="22"/>
  <c r="F231" i="22"/>
  <c r="C252" i="22"/>
  <c r="F251" i="22"/>
  <c r="C251" i="22" s="1"/>
  <c r="E194" i="22"/>
  <c r="E51" i="22" s="1"/>
  <c r="C116" i="22"/>
  <c r="C103" i="22"/>
  <c r="C165" i="22"/>
  <c r="C151" i="22"/>
  <c r="C175" i="22"/>
  <c r="F174" i="22"/>
  <c r="C27" i="22"/>
  <c r="L26" i="22"/>
  <c r="C292" i="22"/>
  <c r="M51" i="22" l="1"/>
  <c r="I195" i="22"/>
  <c r="M51" i="23"/>
  <c r="H50" i="22"/>
  <c r="H290" i="22"/>
  <c r="M289" i="23"/>
  <c r="K290" i="23"/>
  <c r="D290" i="23"/>
  <c r="D50" i="23"/>
  <c r="I195" i="23"/>
  <c r="I194" i="23" s="1"/>
  <c r="N51" i="23"/>
  <c r="N50" i="23" s="1"/>
  <c r="N289" i="23"/>
  <c r="L289" i="23"/>
  <c r="K52" i="22"/>
  <c r="K51" i="22" s="1"/>
  <c r="K290" i="22" s="1"/>
  <c r="K289" i="22"/>
  <c r="O75" i="23"/>
  <c r="O52" i="23" s="1"/>
  <c r="G50" i="23"/>
  <c r="G290" i="23"/>
  <c r="C196" i="23"/>
  <c r="L194" i="23"/>
  <c r="L51" i="23" s="1"/>
  <c r="I52" i="23"/>
  <c r="I51" i="23" s="1"/>
  <c r="I50" i="23" s="1"/>
  <c r="C173" i="23"/>
  <c r="C130" i="23"/>
  <c r="C187" i="23"/>
  <c r="C291" i="23"/>
  <c r="C174" i="23"/>
  <c r="O194" i="23"/>
  <c r="C195" i="23"/>
  <c r="C76" i="23"/>
  <c r="F75" i="23"/>
  <c r="F53" i="23"/>
  <c r="C54" i="23"/>
  <c r="H290" i="23"/>
  <c r="H50" i="23"/>
  <c r="C83" i="23"/>
  <c r="E290" i="23"/>
  <c r="E50" i="23"/>
  <c r="F230" i="23"/>
  <c r="C230" i="23" s="1"/>
  <c r="C231" i="23"/>
  <c r="M50" i="23"/>
  <c r="M290" i="23"/>
  <c r="C269" i="23"/>
  <c r="J50" i="23"/>
  <c r="J290" i="23"/>
  <c r="O289" i="23"/>
  <c r="C204" i="23"/>
  <c r="C26" i="23"/>
  <c r="L20" i="23"/>
  <c r="C20" i="23" s="1"/>
  <c r="L289" i="22"/>
  <c r="F187" i="22"/>
  <c r="C187" i="22" s="1"/>
  <c r="N290" i="22"/>
  <c r="G52" i="22"/>
  <c r="G51" i="22" s="1"/>
  <c r="G289" i="22"/>
  <c r="I194" i="22"/>
  <c r="O194" i="22"/>
  <c r="O51" i="22" s="1"/>
  <c r="D52" i="22"/>
  <c r="D51" i="22" s="1"/>
  <c r="D289" i="22"/>
  <c r="M50" i="22"/>
  <c r="M290" i="22"/>
  <c r="C195" i="22"/>
  <c r="F53" i="22"/>
  <c r="C54" i="22"/>
  <c r="O289" i="22"/>
  <c r="F173" i="22"/>
  <c r="C173" i="22" s="1"/>
  <c r="C174" i="22"/>
  <c r="C26" i="22"/>
  <c r="L20" i="22"/>
  <c r="C20" i="22" s="1"/>
  <c r="F230" i="22"/>
  <c r="C230" i="22" s="1"/>
  <c r="C231" i="22"/>
  <c r="C130" i="22"/>
  <c r="C83" i="22"/>
  <c r="F75" i="22"/>
  <c r="E290" i="22"/>
  <c r="E50" i="22"/>
  <c r="F269" i="22"/>
  <c r="C270" i="22"/>
  <c r="I75" i="22"/>
  <c r="I52" i="22" s="1"/>
  <c r="C76" i="22"/>
  <c r="C204" i="22"/>
  <c r="L51" i="22"/>
  <c r="L50" i="22" s="1"/>
  <c r="C196" i="22"/>
  <c r="C75" i="23" l="1"/>
  <c r="I290" i="23"/>
  <c r="I289" i="23"/>
  <c r="N290" i="23"/>
  <c r="K50" i="22"/>
  <c r="I289" i="22"/>
  <c r="C75" i="22"/>
  <c r="L50" i="23"/>
  <c r="L290" i="23"/>
  <c r="O51" i="23"/>
  <c r="F194" i="23"/>
  <c r="C194" i="23" s="1"/>
  <c r="F289" i="23"/>
  <c r="C289" i="23" s="1"/>
  <c r="C53" i="23"/>
  <c r="F52" i="23"/>
  <c r="D290" i="22"/>
  <c r="D50" i="22"/>
  <c r="G290" i="22"/>
  <c r="G50" i="22"/>
  <c r="I51" i="22"/>
  <c r="I290" i="22" s="1"/>
  <c r="C269" i="22"/>
  <c r="F289" i="22"/>
  <c r="F194" i="22"/>
  <c r="C194" i="22" s="1"/>
  <c r="O50" i="22"/>
  <c r="O290" i="22"/>
  <c r="L290" i="22"/>
  <c r="F52" i="22"/>
  <c r="C53" i="22"/>
  <c r="C289" i="22" l="1"/>
  <c r="O290" i="23"/>
  <c r="O50" i="23"/>
  <c r="C52" i="23"/>
  <c r="F51" i="23"/>
  <c r="I50" i="22"/>
  <c r="C52" i="22"/>
  <c r="F51" i="22"/>
  <c r="F290" i="23" l="1"/>
  <c r="C290" i="23" s="1"/>
  <c r="F50" i="23"/>
  <c r="C50" i="23" s="1"/>
  <c r="C51" i="23"/>
  <c r="F290" i="22"/>
  <c r="C290" i="22" s="1"/>
  <c r="C51" i="22"/>
  <c r="F50" i="22"/>
  <c r="C50" i="22" s="1"/>
  <c r="O301" i="21" l="1"/>
  <c r="L301" i="21"/>
  <c r="I301" i="21"/>
  <c r="F301" i="21"/>
  <c r="O300" i="21"/>
  <c r="L300" i="21"/>
  <c r="I300" i="21"/>
  <c r="F300" i="21"/>
  <c r="O299" i="21"/>
  <c r="L299" i="21"/>
  <c r="I299" i="21"/>
  <c r="F299" i="21"/>
  <c r="C299" i="21" s="1"/>
  <c r="O298" i="21"/>
  <c r="L298" i="21"/>
  <c r="I298" i="21"/>
  <c r="F298" i="21"/>
  <c r="O297" i="21"/>
  <c r="L297" i="21"/>
  <c r="I297" i="21"/>
  <c r="F297" i="21"/>
  <c r="O296" i="21"/>
  <c r="L296" i="21"/>
  <c r="I296" i="21"/>
  <c r="F296" i="21"/>
  <c r="O295" i="21"/>
  <c r="L295" i="21"/>
  <c r="I295" i="21"/>
  <c r="F295" i="21"/>
  <c r="O294" i="21"/>
  <c r="O293" i="21" s="1"/>
  <c r="L294" i="21"/>
  <c r="I294" i="21"/>
  <c r="F294" i="21"/>
  <c r="F293" i="21" s="1"/>
  <c r="N293" i="21"/>
  <c r="M293" i="21"/>
  <c r="K293" i="21"/>
  <c r="J293" i="21"/>
  <c r="H293" i="21"/>
  <c r="G293" i="21"/>
  <c r="E293" i="21"/>
  <c r="D293" i="21"/>
  <c r="O288" i="21"/>
  <c r="L288" i="21"/>
  <c r="I288" i="21"/>
  <c r="F288" i="21"/>
  <c r="O287" i="21"/>
  <c r="O286" i="21" s="1"/>
  <c r="L287" i="21"/>
  <c r="I287" i="21"/>
  <c r="F287" i="21"/>
  <c r="N286" i="21"/>
  <c r="M286" i="21"/>
  <c r="L286" i="21"/>
  <c r="K286" i="21"/>
  <c r="J286" i="21"/>
  <c r="H286" i="21"/>
  <c r="G286" i="21"/>
  <c r="E286" i="21"/>
  <c r="D286" i="21"/>
  <c r="O285" i="21"/>
  <c r="L285" i="21"/>
  <c r="L284" i="21" s="1"/>
  <c r="L283" i="21" s="1"/>
  <c r="I285" i="21"/>
  <c r="I284" i="21" s="1"/>
  <c r="I283" i="21" s="1"/>
  <c r="F285" i="21"/>
  <c r="O284" i="21"/>
  <c r="O283" i="21" s="1"/>
  <c r="N284" i="21"/>
  <c r="N283" i="21" s="1"/>
  <c r="M284" i="21"/>
  <c r="M283" i="21" s="1"/>
  <c r="K284" i="21"/>
  <c r="K283" i="21" s="1"/>
  <c r="J284" i="21"/>
  <c r="J283" i="21" s="1"/>
  <c r="H284" i="21"/>
  <c r="H283" i="21" s="1"/>
  <c r="G284" i="21"/>
  <c r="G283" i="21" s="1"/>
  <c r="F284" i="21"/>
  <c r="E284" i="21"/>
  <c r="E283" i="21" s="1"/>
  <c r="D284" i="21"/>
  <c r="D283" i="21"/>
  <c r="O282" i="21"/>
  <c r="O281" i="21" s="1"/>
  <c r="L282" i="21"/>
  <c r="L281" i="21" s="1"/>
  <c r="I282" i="21"/>
  <c r="I281" i="21" s="1"/>
  <c r="F282" i="21"/>
  <c r="F281" i="21" s="1"/>
  <c r="N281" i="21"/>
  <c r="M281" i="21"/>
  <c r="K281" i="21"/>
  <c r="J281" i="21"/>
  <c r="H281" i="21"/>
  <c r="G281" i="21"/>
  <c r="E281" i="21"/>
  <c r="D281" i="21"/>
  <c r="O280" i="21"/>
  <c r="L280" i="21"/>
  <c r="I280" i="21"/>
  <c r="F280" i="21"/>
  <c r="O279" i="21"/>
  <c r="L279" i="21"/>
  <c r="I279" i="21"/>
  <c r="F279" i="21"/>
  <c r="O278" i="21"/>
  <c r="L278" i="21"/>
  <c r="I278" i="21"/>
  <c r="F278" i="21"/>
  <c r="O277" i="21"/>
  <c r="L277" i="21"/>
  <c r="I277" i="21"/>
  <c r="I276" i="21" s="1"/>
  <c r="F277" i="21"/>
  <c r="F276" i="21" s="1"/>
  <c r="N276" i="21"/>
  <c r="M276" i="21"/>
  <c r="K276" i="21"/>
  <c r="J276" i="21"/>
  <c r="H276" i="21"/>
  <c r="G276" i="21"/>
  <c r="E276" i="21"/>
  <c r="D276" i="21"/>
  <c r="O275" i="21"/>
  <c r="L275" i="21"/>
  <c r="I275" i="21"/>
  <c r="F275" i="21"/>
  <c r="O274" i="21"/>
  <c r="L274" i="21"/>
  <c r="I274" i="21"/>
  <c r="F274" i="21"/>
  <c r="O273" i="21"/>
  <c r="L273" i="21"/>
  <c r="I273" i="21"/>
  <c r="I272" i="21" s="1"/>
  <c r="F273" i="21"/>
  <c r="N272" i="21"/>
  <c r="N270" i="21" s="1"/>
  <c r="N269" i="21" s="1"/>
  <c r="M272" i="21"/>
  <c r="M270" i="21" s="1"/>
  <c r="L272" i="21"/>
  <c r="K272" i="21"/>
  <c r="J272" i="21"/>
  <c r="H272" i="21"/>
  <c r="G272" i="21"/>
  <c r="G270" i="21" s="1"/>
  <c r="G269" i="21" s="1"/>
  <c r="E272" i="21"/>
  <c r="D272" i="21"/>
  <c r="D270" i="21" s="1"/>
  <c r="D269" i="21" s="1"/>
  <c r="O271" i="21"/>
  <c r="L271" i="21"/>
  <c r="I271" i="21"/>
  <c r="F271" i="21"/>
  <c r="C271" i="21" s="1"/>
  <c r="K270" i="21"/>
  <c r="K269" i="21" s="1"/>
  <c r="H270" i="21"/>
  <c r="H269" i="21" s="1"/>
  <c r="M269" i="21"/>
  <c r="O268" i="21"/>
  <c r="L268" i="21"/>
  <c r="I268" i="21"/>
  <c r="F268" i="21"/>
  <c r="O267" i="21"/>
  <c r="L267" i="21"/>
  <c r="I267" i="21"/>
  <c r="F267" i="21"/>
  <c r="O266" i="21"/>
  <c r="L266" i="21"/>
  <c r="I266" i="21"/>
  <c r="F266" i="21"/>
  <c r="C266" i="21" s="1"/>
  <c r="O265" i="21"/>
  <c r="L265" i="21"/>
  <c r="I265" i="21"/>
  <c r="F265" i="21"/>
  <c r="F264" i="21" s="1"/>
  <c r="N264" i="21"/>
  <c r="M264" i="21"/>
  <c r="K264" i="21"/>
  <c r="J264" i="21"/>
  <c r="H264" i="21"/>
  <c r="G264" i="21"/>
  <c r="E264" i="21"/>
  <c r="D264" i="21"/>
  <c r="O263" i="21"/>
  <c r="L263" i="21"/>
  <c r="I263" i="21"/>
  <c r="F263" i="21"/>
  <c r="O262" i="21"/>
  <c r="L262" i="21"/>
  <c r="I262" i="21"/>
  <c r="C262" i="21" s="1"/>
  <c r="F262" i="21"/>
  <c r="O261" i="21"/>
  <c r="L261" i="21"/>
  <c r="I261" i="21"/>
  <c r="F261" i="21"/>
  <c r="C261" i="21" s="1"/>
  <c r="N260" i="21"/>
  <c r="M260" i="21"/>
  <c r="M259" i="21" s="1"/>
  <c r="K260" i="21"/>
  <c r="J260" i="21"/>
  <c r="J259" i="21" s="1"/>
  <c r="I260" i="21"/>
  <c r="H260" i="21"/>
  <c r="G260" i="21"/>
  <c r="F260" i="21"/>
  <c r="E260" i="21"/>
  <c r="E259" i="21" s="1"/>
  <c r="D260" i="21"/>
  <c r="D259" i="21" s="1"/>
  <c r="N259" i="21"/>
  <c r="K259" i="21"/>
  <c r="H259" i="21"/>
  <c r="G259" i="21"/>
  <c r="O258" i="21"/>
  <c r="L258" i="21"/>
  <c r="I258" i="21"/>
  <c r="F258" i="21"/>
  <c r="C258" i="21"/>
  <c r="O257" i="21"/>
  <c r="L257" i="21"/>
  <c r="I257" i="21"/>
  <c r="F257" i="21"/>
  <c r="C257" i="21" s="1"/>
  <c r="O256" i="21"/>
  <c r="L256" i="21"/>
  <c r="I256" i="21"/>
  <c r="F256" i="21"/>
  <c r="O255" i="21"/>
  <c r="L255" i="21"/>
  <c r="I255" i="21"/>
  <c r="F255" i="21"/>
  <c r="C255" i="21" s="1"/>
  <c r="O254" i="21"/>
  <c r="L254" i="21"/>
  <c r="I254" i="21"/>
  <c r="F254" i="21"/>
  <c r="O253" i="21"/>
  <c r="L253" i="21"/>
  <c r="I253" i="21"/>
  <c r="I252" i="21" s="1"/>
  <c r="I251" i="21" s="1"/>
  <c r="F253" i="21"/>
  <c r="N252" i="21"/>
  <c r="M252" i="21"/>
  <c r="M251" i="21" s="1"/>
  <c r="K252" i="21"/>
  <c r="K251" i="21" s="1"/>
  <c r="J252" i="21"/>
  <c r="H252" i="21"/>
  <c r="H251" i="21" s="1"/>
  <c r="G252" i="21"/>
  <c r="E252" i="21"/>
  <c r="E251" i="21" s="1"/>
  <c r="D252" i="21"/>
  <c r="N251" i="21"/>
  <c r="J251" i="21"/>
  <c r="G251" i="21"/>
  <c r="D251" i="21"/>
  <c r="O250" i="21"/>
  <c r="L250" i="21"/>
  <c r="I250" i="21"/>
  <c r="F250" i="21"/>
  <c r="O249" i="21"/>
  <c r="L249" i="21"/>
  <c r="I249" i="21"/>
  <c r="F249" i="21"/>
  <c r="O248" i="21"/>
  <c r="L248" i="21"/>
  <c r="I248" i="21"/>
  <c r="F248" i="21"/>
  <c r="O247" i="21"/>
  <c r="L247" i="21"/>
  <c r="I247" i="21"/>
  <c r="F247" i="21"/>
  <c r="O246"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F242" i="21"/>
  <c r="O241" i="21"/>
  <c r="L241" i="21"/>
  <c r="I241" i="21"/>
  <c r="F241" i="21"/>
  <c r="O240" i="21"/>
  <c r="L240" i="21"/>
  <c r="I240" i="21"/>
  <c r="F240" i="21"/>
  <c r="O239" i="21"/>
  <c r="L239" i="21"/>
  <c r="L238" i="21" s="1"/>
  <c r="I239" i="21"/>
  <c r="F239" i="21"/>
  <c r="N238" i="21"/>
  <c r="M238" i="21"/>
  <c r="K238" i="21"/>
  <c r="J238" i="21"/>
  <c r="H238" i="21"/>
  <c r="G238" i="21"/>
  <c r="E238" i="21"/>
  <c r="D238" i="21"/>
  <c r="O237" i="21"/>
  <c r="L237" i="21"/>
  <c r="I237" i="21"/>
  <c r="F237" i="21"/>
  <c r="O236" i="21"/>
  <c r="L236" i="21"/>
  <c r="L235" i="21" s="1"/>
  <c r="I236" i="21"/>
  <c r="F236" i="21"/>
  <c r="O235" i="21"/>
  <c r="N235" i="21"/>
  <c r="M235" i="21"/>
  <c r="K235" i="21"/>
  <c r="J235" i="21"/>
  <c r="H235" i="21"/>
  <c r="G235" i="21"/>
  <c r="F235" i="21"/>
  <c r="E235" i="21"/>
  <c r="D235" i="21"/>
  <c r="O234" i="21"/>
  <c r="O233" i="21" s="1"/>
  <c r="L234" i="21"/>
  <c r="L233" i="21" s="1"/>
  <c r="I234" i="21"/>
  <c r="F234" i="21"/>
  <c r="F233" i="21" s="1"/>
  <c r="N233" i="21"/>
  <c r="M233" i="21"/>
  <c r="M231" i="21" s="1"/>
  <c r="K233" i="21"/>
  <c r="J233" i="21"/>
  <c r="I233" i="21"/>
  <c r="H233" i="21"/>
  <c r="G233" i="21"/>
  <c r="E233" i="21"/>
  <c r="E231" i="21" s="1"/>
  <c r="E230" i="21" s="1"/>
  <c r="D233" i="21"/>
  <c r="O232" i="21"/>
  <c r="L232" i="21"/>
  <c r="I232" i="21"/>
  <c r="F232" i="21"/>
  <c r="N231" i="21"/>
  <c r="O229" i="21"/>
  <c r="L229" i="21"/>
  <c r="I229" i="21"/>
  <c r="F229" i="21"/>
  <c r="O228" i="21"/>
  <c r="L228" i="21"/>
  <c r="L227" i="21" s="1"/>
  <c r="I228" i="21"/>
  <c r="I227" i="21" s="1"/>
  <c r="F228" i="21"/>
  <c r="O227" i="21"/>
  <c r="N227" i="21"/>
  <c r="M227" i="21"/>
  <c r="K227" i="21"/>
  <c r="J227" i="21"/>
  <c r="H227" i="21"/>
  <c r="G227" i="21"/>
  <c r="F227" i="21"/>
  <c r="E227" i="21"/>
  <c r="D227" i="21"/>
  <c r="O226" i="21"/>
  <c r="L226" i="21"/>
  <c r="I226" i="21"/>
  <c r="F226" i="21"/>
  <c r="O225" i="21"/>
  <c r="L225" i="21"/>
  <c r="I225" i="21"/>
  <c r="F225" i="21"/>
  <c r="C225" i="21" s="1"/>
  <c r="O224" i="21"/>
  <c r="L224" i="21"/>
  <c r="I224" i="21"/>
  <c r="F224" i="21"/>
  <c r="C224" i="21" s="1"/>
  <c r="O223" i="21"/>
  <c r="L223" i="21"/>
  <c r="I223" i="21"/>
  <c r="F223" i="21"/>
  <c r="O222" i="21"/>
  <c r="L222" i="21"/>
  <c r="I222" i="21"/>
  <c r="F222" i="21"/>
  <c r="C222" i="21" s="1"/>
  <c r="O221" i="21"/>
  <c r="L221" i="21"/>
  <c r="I221" i="21"/>
  <c r="F221" i="21"/>
  <c r="O220" i="21"/>
  <c r="L220" i="21"/>
  <c r="I220" i="21"/>
  <c r="F220" i="21"/>
  <c r="O219" i="21"/>
  <c r="L219" i="21"/>
  <c r="I219" i="21"/>
  <c r="F219" i="21"/>
  <c r="O218" i="21"/>
  <c r="L218" i="21"/>
  <c r="I218" i="21"/>
  <c r="F218" i="21"/>
  <c r="C218" i="21" s="1"/>
  <c r="O217" i="21"/>
  <c r="L217" i="21"/>
  <c r="I217" i="21"/>
  <c r="I216" i="21" s="1"/>
  <c r="F217" i="21"/>
  <c r="N216" i="21"/>
  <c r="M216" i="21"/>
  <c r="K216" i="21"/>
  <c r="J216" i="21"/>
  <c r="H216" i="21"/>
  <c r="G216" i="21"/>
  <c r="E216" i="21"/>
  <c r="D216" i="21"/>
  <c r="O215" i="21"/>
  <c r="L215" i="21"/>
  <c r="I215" i="21"/>
  <c r="F215" i="21"/>
  <c r="O214" i="21"/>
  <c r="L214" i="21"/>
  <c r="I214" i="21"/>
  <c r="F214" i="21"/>
  <c r="O213" i="21"/>
  <c r="L213" i="21"/>
  <c r="I213" i="21"/>
  <c r="F213" i="21"/>
  <c r="O212" i="21"/>
  <c r="L212" i="21"/>
  <c r="I212" i="21"/>
  <c r="F212" i="21"/>
  <c r="O211" i="21"/>
  <c r="L211" i="21"/>
  <c r="I211" i="21"/>
  <c r="F211" i="21"/>
  <c r="C211" i="21" s="1"/>
  <c r="O210" i="21"/>
  <c r="L210" i="21"/>
  <c r="I210" i="21"/>
  <c r="F210" i="21"/>
  <c r="C210" i="21" s="1"/>
  <c r="O209" i="21"/>
  <c r="L209" i="21"/>
  <c r="I209" i="21"/>
  <c r="F209" i="21"/>
  <c r="O208" i="21"/>
  <c r="L208" i="21"/>
  <c r="I208" i="21"/>
  <c r="F208" i="21"/>
  <c r="O207" i="21"/>
  <c r="L207" i="21"/>
  <c r="I207" i="21"/>
  <c r="F207" i="21"/>
  <c r="O206" i="21"/>
  <c r="L206" i="21"/>
  <c r="I206" i="21"/>
  <c r="F206" i="21"/>
  <c r="C206" i="21" s="1"/>
  <c r="N205" i="21"/>
  <c r="M205" i="21"/>
  <c r="K205" i="21"/>
  <c r="J205" i="21"/>
  <c r="H205" i="21"/>
  <c r="H204" i="21" s="1"/>
  <c r="G205" i="21"/>
  <c r="E205" i="21"/>
  <c r="D205" i="21"/>
  <c r="D204" i="21" s="1"/>
  <c r="M204" i="21"/>
  <c r="E204" i="21"/>
  <c r="O203" i="21"/>
  <c r="L203" i="21"/>
  <c r="I203" i="21"/>
  <c r="F203" i="21"/>
  <c r="O202" i="21"/>
  <c r="L202" i="21"/>
  <c r="I202" i="21"/>
  <c r="F202" i="21"/>
  <c r="O201" i="21"/>
  <c r="L201" i="21"/>
  <c r="I201" i="21"/>
  <c r="F201" i="21"/>
  <c r="O200" i="21"/>
  <c r="L200" i="21"/>
  <c r="I200" i="21"/>
  <c r="F200" i="21"/>
  <c r="O199" i="21"/>
  <c r="L199" i="21"/>
  <c r="I199" i="21"/>
  <c r="F199" i="21"/>
  <c r="O198" i="21"/>
  <c r="N198" i="21"/>
  <c r="M198" i="21"/>
  <c r="K198" i="21"/>
  <c r="K196" i="21" s="1"/>
  <c r="J198" i="21"/>
  <c r="H198" i="21"/>
  <c r="H196" i="21" s="1"/>
  <c r="H195" i="21" s="1"/>
  <c r="G198" i="21"/>
  <c r="G196" i="21" s="1"/>
  <c r="F198" i="21"/>
  <c r="E198" i="21"/>
  <c r="D198" i="21"/>
  <c r="D196" i="21" s="1"/>
  <c r="D195" i="21" s="1"/>
  <c r="O197" i="21"/>
  <c r="L197" i="21"/>
  <c r="I197" i="21"/>
  <c r="F197" i="21"/>
  <c r="N196" i="21"/>
  <c r="M196" i="21"/>
  <c r="M195" i="21" s="1"/>
  <c r="J196" i="21"/>
  <c r="F196" i="21"/>
  <c r="E196" i="21"/>
  <c r="E195" i="21" s="1"/>
  <c r="O193" i="21"/>
  <c r="O192" i="21" s="1"/>
  <c r="O191" i="21" s="1"/>
  <c r="L193" i="21"/>
  <c r="L192" i="21" s="1"/>
  <c r="L191" i="21" s="1"/>
  <c r="I193" i="21"/>
  <c r="I192" i="21" s="1"/>
  <c r="F193" i="21"/>
  <c r="N192" i="21"/>
  <c r="N191" i="21" s="1"/>
  <c r="M192" i="21"/>
  <c r="K192" i="21"/>
  <c r="K191" i="21" s="1"/>
  <c r="J192" i="21"/>
  <c r="J191" i="21" s="1"/>
  <c r="H192" i="21"/>
  <c r="G192" i="21"/>
  <c r="G191" i="21" s="1"/>
  <c r="F192" i="21"/>
  <c r="F191" i="21" s="1"/>
  <c r="E192" i="21"/>
  <c r="E191" i="21" s="1"/>
  <c r="D192" i="21"/>
  <c r="D191" i="21" s="1"/>
  <c r="M191" i="21"/>
  <c r="I191" i="21"/>
  <c r="H191" i="21"/>
  <c r="O190" i="21"/>
  <c r="L190" i="21"/>
  <c r="I190" i="21"/>
  <c r="F190" i="21"/>
  <c r="O189" i="21"/>
  <c r="L189" i="21"/>
  <c r="I189" i="21"/>
  <c r="I188" i="21" s="1"/>
  <c r="I187" i="21" s="1"/>
  <c r="F189" i="21"/>
  <c r="O188" i="21"/>
  <c r="O187" i="21" s="1"/>
  <c r="N188" i="21"/>
  <c r="N187" i="21" s="1"/>
  <c r="M188" i="21"/>
  <c r="K188" i="21"/>
  <c r="K187" i="21" s="1"/>
  <c r="J188" i="21"/>
  <c r="J187" i="21" s="1"/>
  <c r="H188" i="21"/>
  <c r="G188" i="21"/>
  <c r="F188" i="21"/>
  <c r="F187" i="21" s="1"/>
  <c r="E188" i="21"/>
  <c r="E187" i="21" s="1"/>
  <c r="D188" i="21"/>
  <c r="M187" i="21"/>
  <c r="O186" i="21"/>
  <c r="L186" i="21"/>
  <c r="I186" i="21"/>
  <c r="F186" i="21"/>
  <c r="O185" i="21"/>
  <c r="L185" i="21"/>
  <c r="I185" i="21"/>
  <c r="I184" i="21" s="1"/>
  <c r="F185" i="21"/>
  <c r="O184" i="21"/>
  <c r="N184" i="21"/>
  <c r="M184" i="21"/>
  <c r="K184" i="21"/>
  <c r="J184" i="21"/>
  <c r="H184" i="21"/>
  <c r="G184" i="21"/>
  <c r="F184" i="21"/>
  <c r="E184" i="21"/>
  <c r="D184" i="21"/>
  <c r="O183" i="21"/>
  <c r="L183" i="21"/>
  <c r="I183" i="21"/>
  <c r="F183" i="21"/>
  <c r="O182" i="21"/>
  <c r="L182" i="21"/>
  <c r="I182" i="21"/>
  <c r="F182" i="21"/>
  <c r="O181" i="21"/>
  <c r="L181" i="21"/>
  <c r="I181" i="21"/>
  <c r="F181" i="21"/>
  <c r="O180" i="21"/>
  <c r="O179" i="21" s="1"/>
  <c r="L180" i="21"/>
  <c r="I180" i="21"/>
  <c r="F180" i="21"/>
  <c r="F179" i="21" s="1"/>
  <c r="N179" i="21"/>
  <c r="M179" i="21"/>
  <c r="K179" i="21"/>
  <c r="J179" i="21"/>
  <c r="H179" i="21"/>
  <c r="G179" i="21"/>
  <c r="E179" i="21"/>
  <c r="D179" i="21"/>
  <c r="O178" i="21"/>
  <c r="L178" i="21"/>
  <c r="I178" i="21"/>
  <c r="F178" i="21"/>
  <c r="O177" i="21"/>
  <c r="L177" i="21"/>
  <c r="I177" i="21"/>
  <c r="F177" i="21"/>
  <c r="O176" i="21"/>
  <c r="O175" i="21" s="1"/>
  <c r="O174" i="21" s="1"/>
  <c r="O173" i="21" s="1"/>
  <c r="L176" i="21"/>
  <c r="I176" i="21"/>
  <c r="F176" i="21"/>
  <c r="N175" i="21"/>
  <c r="N174" i="21" s="1"/>
  <c r="N173" i="21" s="1"/>
  <c r="M175" i="21"/>
  <c r="M174" i="21" s="1"/>
  <c r="M173" i="21" s="1"/>
  <c r="L175" i="21"/>
  <c r="K175" i="21"/>
  <c r="J175" i="21"/>
  <c r="J174" i="21" s="1"/>
  <c r="J173" i="21" s="1"/>
  <c r="I175" i="21"/>
  <c r="H175" i="21"/>
  <c r="G175" i="21"/>
  <c r="E175" i="21"/>
  <c r="E174" i="21" s="1"/>
  <c r="E173" i="21" s="1"/>
  <c r="D175" i="21"/>
  <c r="D174" i="21" s="1"/>
  <c r="D173" i="21" s="1"/>
  <c r="H174" i="21"/>
  <c r="H173" i="21" s="1"/>
  <c r="O172" i="21"/>
  <c r="L172" i="21"/>
  <c r="I172" i="21"/>
  <c r="F172" i="21"/>
  <c r="O171" i="21"/>
  <c r="L171" i="21"/>
  <c r="I171" i="21"/>
  <c r="F171" i="21"/>
  <c r="O170" i="21"/>
  <c r="L170" i="21"/>
  <c r="I170" i="21"/>
  <c r="F170" i="21"/>
  <c r="O169" i="21"/>
  <c r="L169" i="21"/>
  <c r="I169" i="21"/>
  <c r="F169" i="21"/>
  <c r="O168" i="21"/>
  <c r="L168" i="21"/>
  <c r="I168" i="21"/>
  <c r="F168" i="21"/>
  <c r="O167" i="21"/>
  <c r="L167" i="21"/>
  <c r="I167" i="21"/>
  <c r="I166" i="21" s="1"/>
  <c r="I165" i="21" s="1"/>
  <c r="F167" i="21"/>
  <c r="N166" i="21"/>
  <c r="M166" i="21"/>
  <c r="M165" i="21" s="1"/>
  <c r="K166" i="21"/>
  <c r="J166" i="21"/>
  <c r="J165" i="21" s="1"/>
  <c r="H166" i="21"/>
  <c r="H165" i="21" s="1"/>
  <c r="G166" i="21"/>
  <c r="E166" i="21"/>
  <c r="E165" i="21" s="1"/>
  <c r="D166" i="21"/>
  <c r="D165" i="21" s="1"/>
  <c r="N165" i="21"/>
  <c r="K165" i="21"/>
  <c r="G165" i="21"/>
  <c r="O164" i="21"/>
  <c r="L164" i="21"/>
  <c r="I164" i="21"/>
  <c r="F164" i="21"/>
  <c r="O163" i="21"/>
  <c r="L163" i="21"/>
  <c r="I163" i="21"/>
  <c r="F163" i="21"/>
  <c r="C163" i="21" s="1"/>
  <c r="O162" i="21"/>
  <c r="L162" i="21"/>
  <c r="I162" i="21"/>
  <c r="F162" i="21"/>
  <c r="O161" i="21"/>
  <c r="O160" i="21" s="1"/>
  <c r="L161" i="21"/>
  <c r="L160" i="21" s="1"/>
  <c r="I161" i="21"/>
  <c r="I160" i="21" s="1"/>
  <c r="F161" i="21"/>
  <c r="N160" i="21"/>
  <c r="M160" i="21"/>
  <c r="K160" i="21"/>
  <c r="J160" i="21"/>
  <c r="H160" i="21"/>
  <c r="G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L152" i="21"/>
  <c r="I152" i="21"/>
  <c r="I151" i="21" s="1"/>
  <c r="F152" i="21"/>
  <c r="O151" i="21"/>
  <c r="N151" i="21"/>
  <c r="M151" i="21"/>
  <c r="K151" i="21"/>
  <c r="J151" i="21"/>
  <c r="H151" i="21"/>
  <c r="G151" i="21"/>
  <c r="E151" i="21"/>
  <c r="D151" i="21"/>
  <c r="O150" i="21"/>
  <c r="L150" i="21"/>
  <c r="I150" i="21"/>
  <c r="F150" i="21"/>
  <c r="O149" i="21"/>
  <c r="L149" i="21"/>
  <c r="I149" i="21"/>
  <c r="F149" i="21"/>
  <c r="O148" i="21"/>
  <c r="L148" i="21"/>
  <c r="C148" i="21" s="1"/>
  <c r="I148" i="21"/>
  <c r="F148" i="21"/>
  <c r="O147" i="21"/>
  <c r="L147" i="21"/>
  <c r="I147" i="21"/>
  <c r="F147" i="21"/>
  <c r="O146" i="21"/>
  <c r="L146" i="21"/>
  <c r="I146" i="21"/>
  <c r="F146" i="21"/>
  <c r="O145" i="21"/>
  <c r="L145" i="21"/>
  <c r="I145" i="21"/>
  <c r="I144" i="21" s="1"/>
  <c r="F145" i="21"/>
  <c r="F144" i="21" s="1"/>
  <c r="N144" i="21"/>
  <c r="M144" i="21"/>
  <c r="K144" i="21"/>
  <c r="J144" i="21"/>
  <c r="H144" i="21"/>
  <c r="G144" i="21"/>
  <c r="E144" i="21"/>
  <c r="D144" i="21"/>
  <c r="O143" i="21"/>
  <c r="L143" i="21"/>
  <c r="I143" i="21"/>
  <c r="F143" i="21"/>
  <c r="O142" i="21"/>
  <c r="O141" i="21" s="1"/>
  <c r="L142" i="21"/>
  <c r="L141" i="21" s="1"/>
  <c r="I142" i="21"/>
  <c r="I141" i="21" s="1"/>
  <c r="F142" i="21"/>
  <c r="N141" i="21"/>
  <c r="M141" i="21"/>
  <c r="K141" i="21"/>
  <c r="J141" i="21"/>
  <c r="H141" i="21"/>
  <c r="G141" i="21"/>
  <c r="E141" i="21"/>
  <c r="D141" i="21"/>
  <c r="O140" i="21"/>
  <c r="L140" i="21"/>
  <c r="I140" i="21"/>
  <c r="F140" i="21"/>
  <c r="O139" i="21"/>
  <c r="L139" i="21"/>
  <c r="I139" i="21"/>
  <c r="F139" i="21"/>
  <c r="O138" i="21"/>
  <c r="L138" i="21"/>
  <c r="I138" i="21"/>
  <c r="F138" i="21"/>
  <c r="O137" i="21"/>
  <c r="L137" i="21"/>
  <c r="L136" i="21" s="1"/>
  <c r="I137" i="21"/>
  <c r="I136" i="21" s="1"/>
  <c r="F137" i="21"/>
  <c r="N136" i="21"/>
  <c r="M136" i="21"/>
  <c r="K136" i="21"/>
  <c r="J136" i="21"/>
  <c r="H136" i="21"/>
  <c r="G136" i="21"/>
  <c r="F136" i="21"/>
  <c r="E136" i="21"/>
  <c r="D136" i="21"/>
  <c r="O135" i="21"/>
  <c r="L135" i="21"/>
  <c r="I135" i="21"/>
  <c r="F135" i="21"/>
  <c r="O134" i="21"/>
  <c r="L134" i="21"/>
  <c r="I134" i="21"/>
  <c r="F134" i="21"/>
  <c r="O133" i="21"/>
  <c r="L133" i="21"/>
  <c r="I133" i="21"/>
  <c r="F133" i="21"/>
  <c r="C133" i="21" s="1"/>
  <c r="O132" i="21"/>
  <c r="L132" i="21"/>
  <c r="I132" i="21"/>
  <c r="I131" i="21" s="1"/>
  <c r="F132" i="21"/>
  <c r="N131" i="21"/>
  <c r="M131" i="21"/>
  <c r="K131" i="21"/>
  <c r="K130" i="21" s="1"/>
  <c r="J131" i="21"/>
  <c r="J130" i="21" s="1"/>
  <c r="H131" i="21"/>
  <c r="G131" i="21"/>
  <c r="G130" i="21" s="1"/>
  <c r="E131" i="21"/>
  <c r="D131" i="21"/>
  <c r="D130" i="21" s="1"/>
  <c r="H130" i="21"/>
  <c r="O129" i="21"/>
  <c r="L129" i="21"/>
  <c r="L128" i="21" s="1"/>
  <c r="I129" i="21"/>
  <c r="I128" i="21" s="1"/>
  <c r="F129" i="21"/>
  <c r="O128" i="21"/>
  <c r="N128" i="21"/>
  <c r="M128" i="21"/>
  <c r="K128" i="21"/>
  <c r="J128" i="21"/>
  <c r="H128" i="21"/>
  <c r="G128" i="21"/>
  <c r="F128" i="21"/>
  <c r="E128" i="21"/>
  <c r="D128" i="21"/>
  <c r="O127" i="21"/>
  <c r="L127" i="21"/>
  <c r="I127" i="21"/>
  <c r="F127" i="21"/>
  <c r="O126" i="21"/>
  <c r="L126" i="21"/>
  <c r="I126" i="21"/>
  <c r="F126" i="21"/>
  <c r="O125" i="21"/>
  <c r="L125" i="21"/>
  <c r="I125" i="21"/>
  <c r="F125" i="21"/>
  <c r="O124" i="21"/>
  <c r="L124" i="21"/>
  <c r="I124" i="21"/>
  <c r="F124" i="21"/>
  <c r="O123" i="21"/>
  <c r="L123" i="21"/>
  <c r="L122" i="21" s="1"/>
  <c r="I123" i="21"/>
  <c r="F123" i="21"/>
  <c r="F122" i="21" s="1"/>
  <c r="N122" i="21"/>
  <c r="M122" i="21"/>
  <c r="K122" i="21"/>
  <c r="J122" i="21"/>
  <c r="H122" i="21"/>
  <c r="G122" i="21"/>
  <c r="E122" i="21"/>
  <c r="D122" i="21"/>
  <c r="O121" i="21"/>
  <c r="L121" i="21"/>
  <c r="I121" i="21"/>
  <c r="F121" i="21"/>
  <c r="O120" i="21"/>
  <c r="L120" i="21"/>
  <c r="I120" i="21"/>
  <c r="F120" i="21"/>
  <c r="O119" i="21"/>
  <c r="L119" i="21"/>
  <c r="I119" i="21"/>
  <c r="F119" i="21"/>
  <c r="O118" i="21"/>
  <c r="L118" i="21"/>
  <c r="I118" i="21"/>
  <c r="F118" i="21"/>
  <c r="O117" i="21"/>
  <c r="L117" i="21"/>
  <c r="I117" i="21"/>
  <c r="F117" i="21"/>
  <c r="N116" i="21"/>
  <c r="M116" i="21"/>
  <c r="K116" i="21"/>
  <c r="J116" i="21"/>
  <c r="H116" i="21"/>
  <c r="G116" i="21"/>
  <c r="E116" i="21"/>
  <c r="D116" i="21"/>
  <c r="O115" i="21"/>
  <c r="L115" i="21"/>
  <c r="I115" i="21"/>
  <c r="F115" i="21"/>
  <c r="C115" i="21" s="1"/>
  <c r="O114" i="21"/>
  <c r="L114" i="21"/>
  <c r="I114" i="21"/>
  <c r="F114" i="21"/>
  <c r="O113" i="21"/>
  <c r="L113" i="21"/>
  <c r="I113" i="21"/>
  <c r="I112" i="21" s="1"/>
  <c r="F113" i="21"/>
  <c r="F112" i="21" s="1"/>
  <c r="N112" i="21"/>
  <c r="M112" i="21"/>
  <c r="K112" i="21"/>
  <c r="J112" i="21"/>
  <c r="H112" i="21"/>
  <c r="G112" i="21"/>
  <c r="E112" i="21"/>
  <c r="D112" i="21"/>
  <c r="O111" i="21"/>
  <c r="L111" i="21"/>
  <c r="I111" i="21"/>
  <c r="F111" i="21"/>
  <c r="O110" i="21"/>
  <c r="L110" i="21"/>
  <c r="I110" i="21"/>
  <c r="F110" i="21"/>
  <c r="C110" i="21" s="1"/>
  <c r="O109" i="21"/>
  <c r="L109" i="21"/>
  <c r="I109" i="21"/>
  <c r="F109" i="21"/>
  <c r="C109" i="21" s="1"/>
  <c r="O108" i="21"/>
  <c r="L108" i="21"/>
  <c r="I108" i="21"/>
  <c r="F108" i="21"/>
  <c r="O107" i="21"/>
  <c r="L107" i="21"/>
  <c r="I107" i="21"/>
  <c r="F107" i="21"/>
  <c r="C107" i="21" s="1"/>
  <c r="O106" i="21"/>
  <c r="L106" i="21"/>
  <c r="I106" i="21"/>
  <c r="F106" i="21"/>
  <c r="O105" i="21"/>
  <c r="L105" i="21"/>
  <c r="I105" i="21"/>
  <c r="F105" i="21"/>
  <c r="O104" i="21"/>
  <c r="L104" i="21"/>
  <c r="I104" i="21"/>
  <c r="I103" i="21" s="1"/>
  <c r="F104" i="2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O96" i="21"/>
  <c r="L96" i="21"/>
  <c r="I96" i="21"/>
  <c r="F96" i="21"/>
  <c r="O95" i="21"/>
  <c r="N95" i="21"/>
  <c r="M95" i="21"/>
  <c r="K95" i="21"/>
  <c r="J95" i="21"/>
  <c r="H95" i="21"/>
  <c r="G95" i="21"/>
  <c r="E95" i="21"/>
  <c r="D95" i="21"/>
  <c r="O94" i="21"/>
  <c r="L94" i="21"/>
  <c r="I94" i="21"/>
  <c r="F94" i="21"/>
  <c r="O93" i="21"/>
  <c r="L93" i="21"/>
  <c r="I93" i="21"/>
  <c r="F93" i="21"/>
  <c r="O92" i="21"/>
  <c r="L92" i="21"/>
  <c r="I92" i="21"/>
  <c r="F92" i="21"/>
  <c r="O91" i="21"/>
  <c r="L91" i="21"/>
  <c r="I91" i="21"/>
  <c r="F91" i="21"/>
  <c r="O90" i="21"/>
  <c r="O89" i="21" s="1"/>
  <c r="L90" i="21"/>
  <c r="I90" i="21"/>
  <c r="F90" i="21"/>
  <c r="N89" i="21"/>
  <c r="M89" i="21"/>
  <c r="K89" i="21"/>
  <c r="J89" i="21"/>
  <c r="H89" i="21"/>
  <c r="G89" i="21"/>
  <c r="E89" i="21"/>
  <c r="D89" i="21"/>
  <c r="O88" i="21"/>
  <c r="L88" i="21"/>
  <c r="I88" i="21"/>
  <c r="F88" i="21"/>
  <c r="O87" i="21"/>
  <c r="L87" i="21"/>
  <c r="I87" i="21"/>
  <c r="F87" i="21"/>
  <c r="C87" i="21"/>
  <c r="O86" i="21"/>
  <c r="L86" i="21"/>
  <c r="I86" i="21"/>
  <c r="F86" i="21"/>
  <c r="C86" i="21" s="1"/>
  <c r="O85" i="21"/>
  <c r="L85" i="21"/>
  <c r="I85" i="21"/>
  <c r="I84" i="21" s="1"/>
  <c r="F85" i="21"/>
  <c r="C85" i="21" s="1"/>
  <c r="N84" i="21"/>
  <c r="M84" i="21"/>
  <c r="K84" i="21"/>
  <c r="J84" i="21"/>
  <c r="J83" i="21" s="1"/>
  <c r="H84" i="21"/>
  <c r="G84" i="21"/>
  <c r="E84" i="21"/>
  <c r="E83" i="21" s="1"/>
  <c r="D84" i="21"/>
  <c r="D83" i="21" s="1"/>
  <c r="H83" i="21"/>
  <c r="O82" i="21"/>
  <c r="L82" i="21"/>
  <c r="I82" i="21"/>
  <c r="F82" i="21"/>
  <c r="O81" i="21"/>
  <c r="L81" i="21"/>
  <c r="L80" i="21" s="1"/>
  <c r="I81" i="21"/>
  <c r="I80" i="21" s="1"/>
  <c r="F81" i="21"/>
  <c r="O80" i="21"/>
  <c r="N80" i="21"/>
  <c r="M80" i="21"/>
  <c r="K80" i="21"/>
  <c r="J80" i="21"/>
  <c r="H80" i="21"/>
  <c r="G80" i="21"/>
  <c r="G76" i="21" s="1"/>
  <c r="F80" i="21"/>
  <c r="E80" i="21"/>
  <c r="D80" i="21"/>
  <c r="O79" i="21"/>
  <c r="L79" i="21"/>
  <c r="I79" i="21"/>
  <c r="F79" i="21"/>
  <c r="O78" i="21"/>
  <c r="O77" i="21" s="1"/>
  <c r="O76" i="21" s="1"/>
  <c r="L78" i="21"/>
  <c r="L77" i="21" s="1"/>
  <c r="I78" i="21"/>
  <c r="F78" i="21"/>
  <c r="N77" i="21"/>
  <c r="N76" i="21" s="1"/>
  <c r="M77" i="21"/>
  <c r="K77" i="21"/>
  <c r="J77" i="21"/>
  <c r="J76" i="21" s="1"/>
  <c r="I77" i="21"/>
  <c r="I76" i="21" s="1"/>
  <c r="H77" i="21"/>
  <c r="H76" i="21" s="1"/>
  <c r="G77" i="21"/>
  <c r="F77" i="21"/>
  <c r="F76" i="21" s="1"/>
  <c r="E77" i="21"/>
  <c r="E76" i="21" s="1"/>
  <c r="D77" i="21"/>
  <c r="D76" i="21" s="1"/>
  <c r="O74" i="21"/>
  <c r="L74" i="21"/>
  <c r="I74" i="21"/>
  <c r="F74" i="21"/>
  <c r="O73" i="21"/>
  <c r="L73" i="21"/>
  <c r="I73" i="21"/>
  <c r="F73" i="21"/>
  <c r="O72" i="21"/>
  <c r="L72" i="21"/>
  <c r="I72" i="21"/>
  <c r="F72" i="21"/>
  <c r="O71" i="21"/>
  <c r="L71" i="21"/>
  <c r="I71" i="21"/>
  <c r="F71" i="21"/>
  <c r="O70" i="21"/>
  <c r="O69" i="21" s="1"/>
  <c r="L70" i="21"/>
  <c r="I70" i="21"/>
  <c r="F70" i="21"/>
  <c r="N69" i="21"/>
  <c r="N67" i="21" s="1"/>
  <c r="M69" i="21"/>
  <c r="M67" i="21" s="1"/>
  <c r="K69" i="21"/>
  <c r="J69" i="21"/>
  <c r="J67" i="21" s="1"/>
  <c r="I69" i="21"/>
  <c r="H69" i="21"/>
  <c r="H67" i="21" s="1"/>
  <c r="G69" i="21"/>
  <c r="G67" i="21" s="1"/>
  <c r="E69" i="21"/>
  <c r="E67" i="21" s="1"/>
  <c r="D69" i="21"/>
  <c r="D67" i="21" s="1"/>
  <c r="O68" i="21"/>
  <c r="L68" i="21"/>
  <c r="I68" i="21"/>
  <c r="F68" i="21"/>
  <c r="K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O58" i="21" s="1"/>
  <c r="L59" i="21"/>
  <c r="I59" i="21"/>
  <c r="F59" i="21"/>
  <c r="F58" i="21" s="1"/>
  <c r="N58" i="21"/>
  <c r="M58" i="21"/>
  <c r="K58" i="21"/>
  <c r="J58" i="21"/>
  <c r="H58" i="21"/>
  <c r="G58" i="21"/>
  <c r="E58" i="21"/>
  <c r="D58" i="21"/>
  <c r="O57" i="21"/>
  <c r="L57" i="21"/>
  <c r="I57" i="21"/>
  <c r="F57" i="21"/>
  <c r="O56" i="21"/>
  <c r="L56" i="21"/>
  <c r="L55" i="21" s="1"/>
  <c r="I56" i="21"/>
  <c r="I55" i="21" s="1"/>
  <c r="F56" i="21"/>
  <c r="O55" i="21"/>
  <c r="O54" i="21" s="1"/>
  <c r="N55" i="21"/>
  <c r="M55" i="21"/>
  <c r="K55" i="21"/>
  <c r="K54" i="21" s="1"/>
  <c r="K53" i="21" s="1"/>
  <c r="J55" i="21"/>
  <c r="J54" i="21" s="1"/>
  <c r="J53" i="21" s="1"/>
  <c r="H55" i="21"/>
  <c r="H54" i="21" s="1"/>
  <c r="H53" i="21" s="1"/>
  <c r="G55" i="21"/>
  <c r="F55" i="21"/>
  <c r="F54" i="21" s="1"/>
  <c r="E55" i="21"/>
  <c r="D55" i="21"/>
  <c r="M54" i="21"/>
  <c r="M53" i="21" s="1"/>
  <c r="E54" i="21"/>
  <c r="E53" i="21" s="1"/>
  <c r="D54" i="21"/>
  <c r="O47" i="21"/>
  <c r="C47" i="21" s="1"/>
  <c r="O46" i="21"/>
  <c r="N45" i="21"/>
  <c r="M45" i="21"/>
  <c r="L44" i="21"/>
  <c r="L43" i="21" s="1"/>
  <c r="I44" i="21"/>
  <c r="I43" i="21" s="1"/>
  <c r="F44" i="21"/>
  <c r="K43" i="21"/>
  <c r="J43" i="21"/>
  <c r="H43" i="21"/>
  <c r="G43" i="21"/>
  <c r="E43" i="21"/>
  <c r="D43" i="21"/>
  <c r="F42" i="21"/>
  <c r="E41" i="21"/>
  <c r="D41" i="21"/>
  <c r="L40" i="21"/>
  <c r="C40" i="21" s="1"/>
  <c r="L39" i="21"/>
  <c r="C39" i="21" s="1"/>
  <c r="L38" i="21"/>
  <c r="C38" i="21" s="1"/>
  <c r="L37" i="21"/>
  <c r="K36" i="21"/>
  <c r="J36" i="21"/>
  <c r="L35" i="21"/>
  <c r="C35" i="21" s="1"/>
  <c r="L34" i="21"/>
  <c r="K33" i="21"/>
  <c r="J33" i="21"/>
  <c r="L32" i="21"/>
  <c r="L31" i="21" s="1"/>
  <c r="C31" i="21" s="1"/>
  <c r="K31" i="21"/>
  <c r="J31" i="21"/>
  <c r="L30" i="21"/>
  <c r="C30" i="21" s="1"/>
  <c r="L29" i="21"/>
  <c r="C29" i="21" s="1"/>
  <c r="L28" i="21"/>
  <c r="K27" i="21"/>
  <c r="K26" i="21" s="1"/>
  <c r="J27" i="21"/>
  <c r="J26" i="21" s="1"/>
  <c r="F25" i="21"/>
  <c r="C25" i="21" s="1"/>
  <c r="I24" i="21"/>
  <c r="F24" i="21"/>
  <c r="O23" i="21"/>
  <c r="L23" i="21"/>
  <c r="I23" i="21"/>
  <c r="F23" i="21"/>
  <c r="O22" i="21"/>
  <c r="O21" i="21" s="1"/>
  <c r="L22" i="21"/>
  <c r="I22" i="21"/>
  <c r="F22" i="21"/>
  <c r="F21" i="21" s="1"/>
  <c r="N21" i="21"/>
  <c r="N292" i="21" s="1"/>
  <c r="N291" i="21" s="1"/>
  <c r="M21" i="21"/>
  <c r="M292" i="21" s="1"/>
  <c r="M291" i="21" s="1"/>
  <c r="K21" i="21"/>
  <c r="K292" i="21" s="1"/>
  <c r="K291" i="21" s="1"/>
  <c r="J21" i="21"/>
  <c r="J292" i="21" s="1"/>
  <c r="J291" i="21" s="1"/>
  <c r="I21" i="21"/>
  <c r="H21" i="21"/>
  <c r="G21" i="21"/>
  <c r="G292" i="21" s="1"/>
  <c r="G291" i="21" s="1"/>
  <c r="E21" i="21"/>
  <c r="E292" i="21" s="1"/>
  <c r="E291" i="21" s="1"/>
  <c r="D21" i="21"/>
  <c r="N20" i="21"/>
  <c r="M20" i="21"/>
  <c r="E20" i="21"/>
  <c r="G54" i="21" l="1"/>
  <c r="G53" i="21" s="1"/>
  <c r="C64" i="21"/>
  <c r="C32" i="21"/>
  <c r="D75" i="21"/>
  <c r="L112" i="21"/>
  <c r="C135" i="21"/>
  <c r="C139" i="21"/>
  <c r="C177" i="21"/>
  <c r="C178" i="21"/>
  <c r="C180" i="21"/>
  <c r="C68" i="21"/>
  <c r="J75" i="21"/>
  <c r="I67" i="21"/>
  <c r="C72" i="21"/>
  <c r="C114" i="21"/>
  <c r="C147" i="21"/>
  <c r="C193" i="21"/>
  <c r="C274" i="21"/>
  <c r="C278" i="21"/>
  <c r="C63" i="21"/>
  <c r="C127" i="21"/>
  <c r="L144" i="21"/>
  <c r="C156" i="21"/>
  <c r="C168" i="21"/>
  <c r="C239" i="21"/>
  <c r="C250" i="21"/>
  <c r="O260" i="21"/>
  <c r="C268" i="21"/>
  <c r="O67" i="21"/>
  <c r="C91" i="21"/>
  <c r="C105" i="21"/>
  <c r="C275" i="21"/>
  <c r="C44" i="21"/>
  <c r="N54" i="21"/>
  <c r="N53" i="21" s="1"/>
  <c r="C60" i="21"/>
  <c r="M76" i="21"/>
  <c r="C79" i="21"/>
  <c r="C80" i="21"/>
  <c r="C88" i="21"/>
  <c r="O112" i="21"/>
  <c r="C112" i="21" s="1"/>
  <c r="C146" i="21"/>
  <c r="C157" i="21"/>
  <c r="C203" i="21"/>
  <c r="C214" i="21"/>
  <c r="C226" i="21"/>
  <c r="L252" i="21"/>
  <c r="L251" i="21" s="1"/>
  <c r="C265" i="21"/>
  <c r="O264" i="21"/>
  <c r="L276" i="21"/>
  <c r="L270" i="21" s="1"/>
  <c r="L269" i="21" s="1"/>
  <c r="C77" i="21"/>
  <c r="C111" i="21"/>
  <c r="O131" i="21"/>
  <c r="C143" i="21"/>
  <c r="C149" i="21"/>
  <c r="C150" i="21"/>
  <c r="F216" i="21"/>
  <c r="C217" i="21"/>
  <c r="O216" i="21"/>
  <c r="C242" i="21"/>
  <c r="C287" i="21"/>
  <c r="C294" i="21"/>
  <c r="C23" i="21"/>
  <c r="J52" i="21"/>
  <c r="I58" i="21"/>
  <c r="I54" i="21" s="1"/>
  <c r="I53" i="21" s="1"/>
  <c r="C65" i="21"/>
  <c r="C66" i="21"/>
  <c r="C73" i="21"/>
  <c r="C74" i="21"/>
  <c r="O84" i="21"/>
  <c r="K83" i="21"/>
  <c r="C123" i="21"/>
  <c r="C138" i="21"/>
  <c r="O136" i="21"/>
  <c r="O130" i="21" s="1"/>
  <c r="C164" i="21"/>
  <c r="D187" i="21"/>
  <c r="I205" i="21"/>
  <c r="I204" i="21" s="1"/>
  <c r="C212" i="21"/>
  <c r="C213" i="21"/>
  <c r="G204" i="21"/>
  <c r="G195" i="21" s="1"/>
  <c r="J231" i="21"/>
  <c r="J230" i="21" s="1"/>
  <c r="I238" i="21"/>
  <c r="I270" i="21"/>
  <c r="I269" i="21" s="1"/>
  <c r="I293" i="21"/>
  <c r="C300" i="21"/>
  <c r="C100" i="21"/>
  <c r="G83" i="21"/>
  <c r="G75" i="21" s="1"/>
  <c r="C120" i="21"/>
  <c r="C125" i="21"/>
  <c r="C126" i="21"/>
  <c r="M130" i="21"/>
  <c r="O144" i="21"/>
  <c r="C144" i="21" s="1"/>
  <c r="C172" i="21"/>
  <c r="H187" i="21"/>
  <c r="K231" i="21"/>
  <c r="K230" i="21" s="1"/>
  <c r="C237" i="21"/>
  <c r="C279" i="21"/>
  <c r="F286" i="21"/>
  <c r="C295" i="21"/>
  <c r="L293" i="21"/>
  <c r="L69" i="21"/>
  <c r="L67" i="21" s="1"/>
  <c r="K76" i="21"/>
  <c r="K75" i="21" s="1"/>
  <c r="C81" i="21"/>
  <c r="C82" i="21"/>
  <c r="C94" i="21"/>
  <c r="C99" i="21"/>
  <c r="C108" i="21"/>
  <c r="O116" i="21"/>
  <c r="I122" i="21"/>
  <c r="E130" i="21"/>
  <c r="C185" i="21"/>
  <c r="N204" i="21"/>
  <c r="N195" i="21" s="1"/>
  <c r="C234" i="21"/>
  <c r="C243" i="21"/>
  <c r="I20" i="21"/>
  <c r="C71" i="21"/>
  <c r="C78" i="21"/>
  <c r="H75" i="21"/>
  <c r="I89" i="21"/>
  <c r="C97" i="21"/>
  <c r="C102" i="21"/>
  <c r="O103" i="21"/>
  <c r="C117" i="21"/>
  <c r="C118" i="21"/>
  <c r="C124" i="21"/>
  <c r="C140" i="21"/>
  <c r="C169" i="21"/>
  <c r="I179" i="21"/>
  <c r="C202" i="21"/>
  <c r="C215" i="21"/>
  <c r="C223" i="21"/>
  <c r="K204" i="21"/>
  <c r="K195" i="21" s="1"/>
  <c r="C228" i="21"/>
  <c r="C229" i="21"/>
  <c r="G231" i="21"/>
  <c r="G230" i="21" s="1"/>
  <c r="G194" i="21" s="1"/>
  <c r="C240" i="21"/>
  <c r="I286" i="21"/>
  <c r="I292" i="21" s="1"/>
  <c r="I291" i="21" s="1"/>
  <c r="C298" i="21"/>
  <c r="C55" i="21"/>
  <c r="J20" i="21"/>
  <c r="O292" i="21"/>
  <c r="O291" i="21" s="1"/>
  <c r="C106" i="21"/>
  <c r="F103" i="21"/>
  <c r="L151" i="21"/>
  <c r="C152" i="21"/>
  <c r="C162" i="21"/>
  <c r="F160" i="21"/>
  <c r="C160" i="21" s="1"/>
  <c r="H292" i="21"/>
  <c r="H291" i="21" s="1"/>
  <c r="H20" i="21"/>
  <c r="L21" i="21"/>
  <c r="C21" i="21" s="1"/>
  <c r="C56" i="21"/>
  <c r="F84" i="21"/>
  <c r="L89" i="21"/>
  <c r="C92" i="21"/>
  <c r="I130" i="21"/>
  <c r="C142" i="21"/>
  <c r="F141" i="21"/>
  <c r="C141" i="21" s="1"/>
  <c r="C167" i="21"/>
  <c r="F166" i="21"/>
  <c r="F175" i="21"/>
  <c r="C176" i="21"/>
  <c r="C181" i="21"/>
  <c r="L179" i="21"/>
  <c r="L174" i="21" s="1"/>
  <c r="C192" i="21"/>
  <c r="D292" i="21"/>
  <c r="D291" i="21" s="1"/>
  <c r="D20" i="21"/>
  <c r="C24" i="21"/>
  <c r="C28" i="21"/>
  <c r="L27" i="21"/>
  <c r="C34" i="21"/>
  <c r="L33" i="21"/>
  <c r="C33" i="21" s="1"/>
  <c r="C46" i="21"/>
  <c r="O45" i="21"/>
  <c r="O20" i="21" s="1"/>
  <c r="C57" i="21"/>
  <c r="C61" i="21"/>
  <c r="C62" i="21"/>
  <c r="F69" i="21"/>
  <c r="C70" i="21"/>
  <c r="L76" i="21"/>
  <c r="C76" i="21" s="1"/>
  <c r="M83" i="21"/>
  <c r="L84" i="21"/>
  <c r="C90" i="21"/>
  <c r="F89" i="21"/>
  <c r="I95" i="21"/>
  <c r="C101" i="21"/>
  <c r="C104" i="21"/>
  <c r="L103" i="21"/>
  <c r="F116" i="21"/>
  <c r="I116" i="21"/>
  <c r="I83" i="21" s="1"/>
  <c r="I75" i="21" s="1"/>
  <c r="C121" i="21"/>
  <c r="N130" i="21"/>
  <c r="L131" i="21"/>
  <c r="C132" i="21"/>
  <c r="C137" i="21"/>
  <c r="C153" i="21"/>
  <c r="C155" i="21"/>
  <c r="F151" i="21"/>
  <c r="C151" i="21" s="1"/>
  <c r="L166" i="21"/>
  <c r="L165" i="21" s="1"/>
  <c r="C171" i="21"/>
  <c r="J204" i="21"/>
  <c r="J195" i="21" s="1"/>
  <c r="C22" i="21"/>
  <c r="O53" i="21"/>
  <c r="C59" i="21"/>
  <c r="C134" i="21"/>
  <c r="F131" i="21"/>
  <c r="F259" i="21"/>
  <c r="C301" i="21"/>
  <c r="F292" i="21"/>
  <c r="F291" i="21" s="1"/>
  <c r="H52" i="21"/>
  <c r="L58" i="21"/>
  <c r="C58" i="21" s="1"/>
  <c r="C98" i="21"/>
  <c r="F95" i="21"/>
  <c r="C119" i="21"/>
  <c r="C37" i="21"/>
  <c r="L36" i="21"/>
  <c r="C36" i="21" s="1"/>
  <c r="C42" i="21"/>
  <c r="F41" i="21"/>
  <c r="F43" i="21"/>
  <c r="C43" i="21" s="1"/>
  <c r="D53" i="21"/>
  <c r="D52" i="21" s="1"/>
  <c r="E75" i="21"/>
  <c r="E52" i="21" s="1"/>
  <c r="M75" i="21"/>
  <c r="M52" i="21" s="1"/>
  <c r="N83" i="21"/>
  <c r="N75" i="21" s="1"/>
  <c r="N52" i="21" s="1"/>
  <c r="C93" i="21"/>
  <c r="C96" i="21"/>
  <c r="L95" i="21"/>
  <c r="C113" i="21"/>
  <c r="L116" i="21"/>
  <c r="O122" i="21"/>
  <c r="O83" i="21" s="1"/>
  <c r="C128" i="21"/>
  <c r="C129" i="21"/>
  <c r="C136" i="21"/>
  <c r="C145" i="21"/>
  <c r="C159" i="21"/>
  <c r="I174" i="21"/>
  <c r="I173" i="21" s="1"/>
  <c r="C189" i="21"/>
  <c r="L188" i="21"/>
  <c r="C200" i="21"/>
  <c r="I198" i="21"/>
  <c r="C241" i="21"/>
  <c r="F238" i="21"/>
  <c r="C247" i="21"/>
  <c r="L246" i="21"/>
  <c r="L231" i="21" s="1"/>
  <c r="C199" i="21"/>
  <c r="L198" i="21"/>
  <c r="L196" i="21" s="1"/>
  <c r="C284" i="21"/>
  <c r="F283" i="21"/>
  <c r="C283" i="21" s="1"/>
  <c r="G20" i="21"/>
  <c r="K20" i="21"/>
  <c r="C158" i="21"/>
  <c r="C170" i="21"/>
  <c r="G174" i="21"/>
  <c r="G173" i="21" s="1"/>
  <c r="K174" i="21"/>
  <c r="K173" i="21" s="1"/>
  <c r="C182" i="21"/>
  <c r="C183" i="21"/>
  <c r="L184" i="21"/>
  <c r="C184" i="21" s="1"/>
  <c r="C190" i="21"/>
  <c r="O196" i="21"/>
  <c r="C207" i="21"/>
  <c r="L205" i="21"/>
  <c r="C254" i="21"/>
  <c r="F252" i="21"/>
  <c r="I264" i="21"/>
  <c r="C264" i="21" s="1"/>
  <c r="L264" i="21"/>
  <c r="C267" i="21"/>
  <c r="C277" i="21"/>
  <c r="O276" i="21"/>
  <c r="C276" i="21" s="1"/>
  <c r="C282" i="21"/>
  <c r="C288" i="21"/>
  <c r="C293" i="21"/>
  <c r="G187" i="21"/>
  <c r="C227" i="21"/>
  <c r="C154" i="21"/>
  <c r="C161" i="21"/>
  <c r="O166" i="21"/>
  <c r="O165" i="21" s="1"/>
  <c r="C186" i="21"/>
  <c r="C191" i="21"/>
  <c r="O205" i="21"/>
  <c r="O204" i="21" s="1"/>
  <c r="L216" i="21"/>
  <c r="C216" i="21" s="1"/>
  <c r="C219" i="21"/>
  <c r="N230" i="21"/>
  <c r="O238" i="21"/>
  <c r="O231" i="21" s="1"/>
  <c r="C248" i="21"/>
  <c r="I246" i="21"/>
  <c r="I259" i="21"/>
  <c r="L260" i="21"/>
  <c r="C263" i="21"/>
  <c r="C273" i="21"/>
  <c r="F272" i="21"/>
  <c r="C281" i="21"/>
  <c r="C286" i="21"/>
  <c r="C197" i="21"/>
  <c r="F205" i="21"/>
  <c r="H231" i="21"/>
  <c r="H230" i="21" s="1"/>
  <c r="H194" i="21" s="1"/>
  <c r="C233" i="21"/>
  <c r="I235" i="21"/>
  <c r="C235" i="21" s="1"/>
  <c r="C236" i="21"/>
  <c r="C256" i="21"/>
  <c r="E270" i="21"/>
  <c r="E269" i="21" s="1"/>
  <c r="C280" i="21"/>
  <c r="C297" i="21"/>
  <c r="C201" i="21"/>
  <c r="C208" i="21"/>
  <c r="C209" i="21"/>
  <c r="C220" i="21"/>
  <c r="C221" i="21"/>
  <c r="C232" i="21"/>
  <c r="D231" i="21"/>
  <c r="D230" i="21" s="1"/>
  <c r="D194" i="21" s="1"/>
  <c r="M230" i="21"/>
  <c r="M289" i="21" s="1"/>
  <c r="C244" i="21"/>
  <c r="C245" i="21"/>
  <c r="C249" i="21"/>
  <c r="F246" i="21"/>
  <c r="C253" i="21"/>
  <c r="O252" i="21"/>
  <c r="O251" i="21" s="1"/>
  <c r="J270" i="21"/>
  <c r="J269" i="21" s="1"/>
  <c r="J289" i="21" s="1"/>
  <c r="O272" i="21"/>
  <c r="C285" i="21"/>
  <c r="C296" i="21"/>
  <c r="K52" i="21" l="1"/>
  <c r="E289" i="21"/>
  <c r="C95" i="21"/>
  <c r="L204" i="21"/>
  <c r="N194" i="21"/>
  <c r="O259" i="21"/>
  <c r="O230" i="21" s="1"/>
  <c r="K194" i="21"/>
  <c r="K51" i="21" s="1"/>
  <c r="G289" i="21"/>
  <c r="O270" i="21"/>
  <c r="O269" i="21" s="1"/>
  <c r="C246" i="21"/>
  <c r="L259" i="21"/>
  <c r="L230" i="21" s="1"/>
  <c r="E194" i="21"/>
  <c r="I52" i="21"/>
  <c r="D289" i="21"/>
  <c r="O75" i="21"/>
  <c r="O52" i="21" s="1"/>
  <c r="L54" i="21"/>
  <c r="N289" i="21"/>
  <c r="N51" i="21"/>
  <c r="N290" i="21" s="1"/>
  <c r="D51" i="21"/>
  <c r="D290" i="21" s="1"/>
  <c r="C260" i="21"/>
  <c r="J194" i="21"/>
  <c r="J51" i="21" s="1"/>
  <c r="L83" i="21"/>
  <c r="L173" i="21"/>
  <c r="N50" i="21"/>
  <c r="J50" i="21"/>
  <c r="J290" i="21"/>
  <c r="C252" i="21"/>
  <c r="F251" i="21"/>
  <c r="C251" i="21" s="1"/>
  <c r="F67" i="21"/>
  <c r="C69" i="21"/>
  <c r="C27" i="21"/>
  <c r="L26" i="21"/>
  <c r="I231" i="21"/>
  <c r="I230" i="21" s="1"/>
  <c r="C41" i="21"/>
  <c r="F20" i="21"/>
  <c r="C179" i="21"/>
  <c r="L130" i="21"/>
  <c r="C116" i="21"/>
  <c r="C175" i="21"/>
  <c r="F174" i="21"/>
  <c r="F83" i="21"/>
  <c r="C84" i="21"/>
  <c r="L292" i="21"/>
  <c r="L291" i="21" s="1"/>
  <c r="C291" i="21" s="1"/>
  <c r="L20" i="21"/>
  <c r="C103" i="21"/>
  <c r="G52" i="21"/>
  <c r="G51" i="21" s="1"/>
  <c r="L195" i="21"/>
  <c r="L187" i="21"/>
  <c r="C187" i="21" s="1"/>
  <c r="C188" i="21"/>
  <c r="C122" i="21"/>
  <c r="K289" i="21"/>
  <c r="F270" i="21"/>
  <c r="C272" i="21"/>
  <c r="O195" i="21"/>
  <c r="C238" i="21"/>
  <c r="F231" i="21"/>
  <c r="H51" i="21"/>
  <c r="F130" i="21"/>
  <c r="C131" i="21"/>
  <c r="C89" i="21"/>
  <c r="L75" i="21"/>
  <c r="C166" i="21"/>
  <c r="F165" i="21"/>
  <c r="C165" i="21" s="1"/>
  <c r="E51" i="21"/>
  <c r="C198" i="21"/>
  <c r="C45" i="21"/>
  <c r="C205" i="21"/>
  <c r="F204" i="21"/>
  <c r="H289" i="21"/>
  <c r="M194" i="21"/>
  <c r="M51" i="21" s="1"/>
  <c r="I196" i="21"/>
  <c r="C292" i="21"/>
  <c r="C259" i="21"/>
  <c r="K290" i="21" l="1"/>
  <c r="K50" i="21"/>
  <c r="L194" i="21"/>
  <c r="C20" i="21"/>
  <c r="O194" i="21"/>
  <c r="O51" i="21" s="1"/>
  <c r="L53" i="21"/>
  <c r="L52" i="21" s="1"/>
  <c r="C54" i="21"/>
  <c r="D50" i="21"/>
  <c r="O289" i="21"/>
  <c r="M50" i="21"/>
  <c r="M290" i="21"/>
  <c r="C204" i="21"/>
  <c r="F195" i="21"/>
  <c r="C130" i="21"/>
  <c r="G50" i="21"/>
  <c r="G290" i="21"/>
  <c r="L289" i="21"/>
  <c r="H290" i="21"/>
  <c r="H50" i="21"/>
  <c r="C83" i="21"/>
  <c r="F75" i="21"/>
  <c r="C75" i="21" s="1"/>
  <c r="C67" i="21"/>
  <c r="F53" i="21"/>
  <c r="I195" i="21"/>
  <c r="I194" i="21" s="1"/>
  <c r="I51" i="21" s="1"/>
  <c r="C196" i="21"/>
  <c r="E290" i="21"/>
  <c r="E50" i="21"/>
  <c r="F230" i="21"/>
  <c r="C230" i="21" s="1"/>
  <c r="C231" i="21"/>
  <c r="F269" i="21"/>
  <c r="C270" i="21"/>
  <c r="C174" i="21"/>
  <c r="F173" i="21"/>
  <c r="C173" i="21" s="1"/>
  <c r="C26" i="21"/>
  <c r="O50" i="21" l="1"/>
  <c r="O290" i="21"/>
  <c r="I289" i="21"/>
  <c r="L51" i="21"/>
  <c r="L50" i="21" s="1"/>
  <c r="I290" i="21"/>
  <c r="I50" i="21"/>
  <c r="F194" i="21"/>
  <c r="C194" i="21" s="1"/>
  <c r="C195" i="21"/>
  <c r="C53" i="21"/>
  <c r="F52" i="21"/>
  <c r="C269" i="21"/>
  <c r="F289" i="21"/>
  <c r="C289" i="21" s="1"/>
  <c r="L290" i="21" l="1"/>
  <c r="F51" i="21"/>
  <c r="C52" i="21"/>
  <c r="F290" i="21" l="1"/>
  <c r="C290" i="21" s="1"/>
  <c r="F50" i="21"/>
  <c r="C50" i="21" s="1"/>
  <c r="C51" i="21"/>
  <c r="O301" i="20" l="1"/>
  <c r="L301" i="20"/>
  <c r="I301" i="20"/>
  <c r="F301" i="20"/>
  <c r="O300" i="20"/>
  <c r="L300" i="20"/>
  <c r="I300" i="20"/>
  <c r="F300" i="20"/>
  <c r="O299" i="20"/>
  <c r="L299" i="20"/>
  <c r="I299" i="20"/>
  <c r="F299" i="20"/>
  <c r="O298" i="20"/>
  <c r="L298" i="20"/>
  <c r="I298" i="20"/>
  <c r="F298" i="20"/>
  <c r="O297" i="20"/>
  <c r="L297" i="20"/>
  <c r="I297" i="20"/>
  <c r="F297" i="20"/>
  <c r="O296" i="20"/>
  <c r="L296" i="20"/>
  <c r="I296" i="20"/>
  <c r="F296" i="20"/>
  <c r="O295" i="20"/>
  <c r="L295" i="20"/>
  <c r="I295" i="20"/>
  <c r="F295" i="20"/>
  <c r="O294" i="20"/>
  <c r="L294" i="20"/>
  <c r="I294" i="20"/>
  <c r="F294" i="20"/>
  <c r="N293" i="20"/>
  <c r="M293" i="20"/>
  <c r="K293" i="20"/>
  <c r="J293" i="20"/>
  <c r="H293" i="20"/>
  <c r="G293" i="20"/>
  <c r="E293" i="20"/>
  <c r="D293" i="20"/>
  <c r="O288" i="20"/>
  <c r="L288" i="20"/>
  <c r="I288" i="20"/>
  <c r="F288" i="20"/>
  <c r="O287" i="20"/>
  <c r="L287" i="20"/>
  <c r="I287" i="20"/>
  <c r="F287" i="20"/>
  <c r="F286" i="20" s="1"/>
  <c r="O286" i="20"/>
  <c r="N286" i="20"/>
  <c r="M286" i="20"/>
  <c r="K286" i="20"/>
  <c r="J286" i="20"/>
  <c r="H286" i="20"/>
  <c r="G286" i="20"/>
  <c r="E286" i="20"/>
  <c r="D286" i="20"/>
  <c r="O285" i="20"/>
  <c r="O284" i="20" s="1"/>
  <c r="O283" i="20" s="1"/>
  <c r="L285" i="20"/>
  <c r="L284" i="20" s="1"/>
  <c r="L283" i="20" s="1"/>
  <c r="I285" i="20"/>
  <c r="I284" i="20" s="1"/>
  <c r="I283" i="20" s="1"/>
  <c r="F285" i="20"/>
  <c r="N284" i="20"/>
  <c r="N283" i="20" s="1"/>
  <c r="M284" i="20"/>
  <c r="M283" i="20" s="1"/>
  <c r="K284" i="20"/>
  <c r="K283" i="20" s="1"/>
  <c r="J284" i="20"/>
  <c r="J283" i="20" s="1"/>
  <c r="H284" i="20"/>
  <c r="H283" i="20" s="1"/>
  <c r="G284" i="20"/>
  <c r="G283" i="20" s="1"/>
  <c r="E284" i="20"/>
  <c r="E283" i="20" s="1"/>
  <c r="D284" i="20"/>
  <c r="D283" i="20"/>
  <c r="O282" i="20"/>
  <c r="O281" i="20" s="1"/>
  <c r="L282" i="20"/>
  <c r="L281" i="20" s="1"/>
  <c r="I282" i="20"/>
  <c r="I281" i="20" s="1"/>
  <c r="F282" i="20"/>
  <c r="N281" i="20"/>
  <c r="M281" i="20"/>
  <c r="K281" i="20"/>
  <c r="J281" i="20"/>
  <c r="H281" i="20"/>
  <c r="G281" i="20"/>
  <c r="E281" i="20"/>
  <c r="D281" i="20"/>
  <c r="O280" i="20"/>
  <c r="L280" i="20"/>
  <c r="I280" i="20"/>
  <c r="F280" i="20"/>
  <c r="O279" i="20"/>
  <c r="L279" i="20"/>
  <c r="I279" i="20"/>
  <c r="F279" i="20"/>
  <c r="O278" i="20"/>
  <c r="L278" i="20"/>
  <c r="I278" i="20"/>
  <c r="F278" i="20"/>
  <c r="O277" i="20"/>
  <c r="L277" i="20"/>
  <c r="I277" i="20"/>
  <c r="I276" i="20" s="1"/>
  <c r="F277" i="20"/>
  <c r="N276" i="20"/>
  <c r="M276" i="20"/>
  <c r="K276" i="20"/>
  <c r="J276" i="20"/>
  <c r="H276" i="20"/>
  <c r="G276" i="20"/>
  <c r="E276" i="20"/>
  <c r="D276" i="20"/>
  <c r="O275" i="20"/>
  <c r="L275" i="20"/>
  <c r="I275" i="20"/>
  <c r="F275" i="20"/>
  <c r="O274" i="20"/>
  <c r="L274" i="20"/>
  <c r="I274" i="20"/>
  <c r="F274" i="20"/>
  <c r="O273" i="20"/>
  <c r="L273" i="20"/>
  <c r="L272" i="20" s="1"/>
  <c r="I273" i="20"/>
  <c r="I272" i="20" s="1"/>
  <c r="F273" i="20"/>
  <c r="N272" i="20"/>
  <c r="M272" i="20"/>
  <c r="M270" i="20" s="1"/>
  <c r="M269" i="20" s="1"/>
  <c r="K272" i="20"/>
  <c r="J272" i="20"/>
  <c r="J270" i="20" s="1"/>
  <c r="J269" i="20" s="1"/>
  <c r="H272" i="20"/>
  <c r="G272" i="20"/>
  <c r="E272" i="20"/>
  <c r="E270" i="20" s="1"/>
  <c r="D272" i="20"/>
  <c r="D270" i="20" s="1"/>
  <c r="D269" i="20" s="1"/>
  <c r="O271" i="20"/>
  <c r="L271" i="20"/>
  <c r="I271" i="20"/>
  <c r="F271" i="20"/>
  <c r="H270" i="20"/>
  <c r="G270" i="20"/>
  <c r="G269" i="20" s="1"/>
  <c r="O268" i="20"/>
  <c r="L268" i="20"/>
  <c r="I268" i="20"/>
  <c r="F268" i="20"/>
  <c r="O267" i="20"/>
  <c r="L267" i="20"/>
  <c r="I267" i="20"/>
  <c r="F267" i="20"/>
  <c r="O266" i="20"/>
  <c r="L266" i="20"/>
  <c r="I266" i="20"/>
  <c r="F266" i="20"/>
  <c r="O265" i="20"/>
  <c r="L265" i="20"/>
  <c r="I265" i="20"/>
  <c r="I264" i="20" s="1"/>
  <c r="F265" i="20"/>
  <c r="N264" i="20"/>
  <c r="M264" i="20"/>
  <c r="K264" i="20"/>
  <c r="J264" i="20"/>
  <c r="H264" i="20"/>
  <c r="G264" i="20"/>
  <c r="E264" i="20"/>
  <c r="D264" i="20"/>
  <c r="O263" i="20"/>
  <c r="L263" i="20"/>
  <c r="I263" i="20"/>
  <c r="F263" i="20"/>
  <c r="O262" i="20"/>
  <c r="L262" i="20"/>
  <c r="I262" i="20"/>
  <c r="F262" i="20"/>
  <c r="O261" i="20"/>
  <c r="L261" i="20"/>
  <c r="L260" i="20" s="1"/>
  <c r="I261" i="20"/>
  <c r="I260" i="20" s="1"/>
  <c r="F261" i="20"/>
  <c r="N260" i="20"/>
  <c r="M260" i="20"/>
  <c r="M259" i="20" s="1"/>
  <c r="K260" i="20"/>
  <c r="J260" i="20"/>
  <c r="J259" i="20" s="1"/>
  <c r="H260" i="20"/>
  <c r="G260" i="20"/>
  <c r="G259" i="20" s="1"/>
  <c r="E260" i="20"/>
  <c r="D260" i="20"/>
  <c r="H259" i="20"/>
  <c r="O258" i="20"/>
  <c r="L258" i="20"/>
  <c r="I258" i="20"/>
  <c r="F258" i="20"/>
  <c r="O257" i="20"/>
  <c r="L257" i="20"/>
  <c r="I257" i="20"/>
  <c r="F257" i="20"/>
  <c r="O256" i="20"/>
  <c r="L256" i="20"/>
  <c r="I256" i="20"/>
  <c r="F256" i="20"/>
  <c r="O255" i="20"/>
  <c r="L255" i="20"/>
  <c r="I255" i="20"/>
  <c r="F255" i="20"/>
  <c r="O254" i="20"/>
  <c r="L254" i="20"/>
  <c r="I254" i="20"/>
  <c r="F254" i="20"/>
  <c r="O253" i="20"/>
  <c r="L253" i="20"/>
  <c r="I253" i="20"/>
  <c r="F253" i="20"/>
  <c r="N252" i="20"/>
  <c r="N251" i="20" s="1"/>
  <c r="M252" i="20"/>
  <c r="M251" i="20" s="1"/>
  <c r="K252" i="20"/>
  <c r="J252" i="20"/>
  <c r="J251" i="20" s="1"/>
  <c r="I252" i="20"/>
  <c r="I251" i="20" s="1"/>
  <c r="H252" i="20"/>
  <c r="H251" i="20" s="1"/>
  <c r="G252" i="20"/>
  <c r="E252" i="20"/>
  <c r="E251" i="20" s="1"/>
  <c r="D252" i="20"/>
  <c r="D251" i="20" s="1"/>
  <c r="K251" i="20"/>
  <c r="G251" i="20"/>
  <c r="O250" i="20"/>
  <c r="L250" i="20"/>
  <c r="I250" i="20"/>
  <c r="F250" i="20"/>
  <c r="O249" i="20"/>
  <c r="L249" i="20"/>
  <c r="I249" i="20"/>
  <c r="F249" i="20"/>
  <c r="O248" i="20"/>
  <c r="L248" i="20"/>
  <c r="I248" i="20"/>
  <c r="F248" i="20"/>
  <c r="O247" i="20"/>
  <c r="O246" i="20" s="1"/>
  <c r="L247" i="20"/>
  <c r="L246" i="20" s="1"/>
  <c r="I247" i="20"/>
  <c r="F247" i="20"/>
  <c r="N246" i="20"/>
  <c r="M246" i="20"/>
  <c r="K246" i="20"/>
  <c r="J246" i="20"/>
  <c r="H246" i="20"/>
  <c r="G246" i="20"/>
  <c r="E246" i="20"/>
  <c r="D246" i="20"/>
  <c r="O245" i="20"/>
  <c r="L245" i="20"/>
  <c r="I245" i="20"/>
  <c r="F245" i="20"/>
  <c r="O244" i="20"/>
  <c r="L244" i="20"/>
  <c r="I244" i="20"/>
  <c r="F244" i="20"/>
  <c r="O243" i="20"/>
  <c r="L243" i="20"/>
  <c r="I243" i="20"/>
  <c r="F243" i="20"/>
  <c r="O242" i="20"/>
  <c r="L242" i="20"/>
  <c r="I242" i="20"/>
  <c r="F242" i="20"/>
  <c r="O241" i="20"/>
  <c r="L241" i="20"/>
  <c r="I241" i="20"/>
  <c r="F241" i="20"/>
  <c r="O240" i="20"/>
  <c r="L240" i="20"/>
  <c r="I240" i="20"/>
  <c r="F240" i="20"/>
  <c r="O239" i="20"/>
  <c r="O238" i="20" s="1"/>
  <c r="L239" i="20"/>
  <c r="I239" i="20"/>
  <c r="F239" i="20"/>
  <c r="N238" i="20"/>
  <c r="M238" i="20"/>
  <c r="K238" i="20"/>
  <c r="J238" i="20"/>
  <c r="H238" i="20"/>
  <c r="G238" i="20"/>
  <c r="E238" i="20"/>
  <c r="D238" i="20"/>
  <c r="O237" i="20"/>
  <c r="L237" i="20"/>
  <c r="I237" i="20"/>
  <c r="F237" i="20"/>
  <c r="O236" i="20"/>
  <c r="L236" i="20"/>
  <c r="L235" i="20" s="1"/>
  <c r="I236" i="20"/>
  <c r="F236" i="20"/>
  <c r="O235" i="20"/>
  <c r="N235" i="20"/>
  <c r="M235" i="20"/>
  <c r="K235" i="20"/>
  <c r="J235" i="20"/>
  <c r="H235" i="20"/>
  <c r="G235" i="20"/>
  <c r="F235" i="20"/>
  <c r="E235" i="20"/>
  <c r="D235" i="20"/>
  <c r="O234" i="20"/>
  <c r="O233" i="20" s="1"/>
  <c r="L234" i="20"/>
  <c r="I234" i="20"/>
  <c r="I233" i="20" s="1"/>
  <c r="F234" i="20"/>
  <c r="N233" i="20"/>
  <c r="M233" i="20"/>
  <c r="L233" i="20"/>
  <c r="K233" i="20"/>
  <c r="J233" i="20"/>
  <c r="H233" i="20"/>
  <c r="G233" i="20"/>
  <c r="E233" i="20"/>
  <c r="E231" i="20" s="1"/>
  <c r="D233" i="20"/>
  <c r="O232" i="20"/>
  <c r="L232" i="20"/>
  <c r="I232" i="20"/>
  <c r="F232" i="20"/>
  <c r="O229" i="20"/>
  <c r="L229" i="20"/>
  <c r="I229" i="20"/>
  <c r="F229" i="20"/>
  <c r="O228" i="20"/>
  <c r="L228" i="20"/>
  <c r="L227" i="20" s="1"/>
  <c r="I228" i="20"/>
  <c r="F228" i="20"/>
  <c r="O227" i="20"/>
  <c r="N227" i="20"/>
  <c r="M227" i="20"/>
  <c r="K227" i="20"/>
  <c r="J227" i="20"/>
  <c r="H227" i="20"/>
  <c r="G227" i="20"/>
  <c r="F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C219" i="20"/>
  <c r="O218" i="20"/>
  <c r="L218" i="20"/>
  <c r="I218" i="20"/>
  <c r="F218" i="20"/>
  <c r="O217" i="20"/>
  <c r="L217" i="20"/>
  <c r="I217" i="20"/>
  <c r="I216" i="20" s="1"/>
  <c r="F217" i="20"/>
  <c r="N216" i="20"/>
  <c r="M216" i="20"/>
  <c r="K216" i="20"/>
  <c r="J216" i="20"/>
  <c r="H216" i="20"/>
  <c r="G216" i="20"/>
  <c r="E216" i="20"/>
  <c r="D216" i="20"/>
  <c r="O215" i="20"/>
  <c r="L215" i="20"/>
  <c r="I215" i="20"/>
  <c r="F215" i="20"/>
  <c r="C215" i="20" s="1"/>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O208" i="20"/>
  <c r="L208" i="20"/>
  <c r="I208" i="20"/>
  <c r="F208" i="20"/>
  <c r="O207" i="20"/>
  <c r="L207" i="20"/>
  <c r="I207" i="20"/>
  <c r="F207" i="20"/>
  <c r="O206" i="20"/>
  <c r="L206" i="20"/>
  <c r="I206" i="20"/>
  <c r="F206" i="20"/>
  <c r="N205" i="20"/>
  <c r="N204" i="20" s="1"/>
  <c r="M205" i="20"/>
  <c r="K205" i="20"/>
  <c r="J205" i="20"/>
  <c r="H205" i="20"/>
  <c r="H204" i="20" s="1"/>
  <c r="G205" i="20"/>
  <c r="E205" i="20"/>
  <c r="D205" i="20"/>
  <c r="K204" i="20"/>
  <c r="O203" i="20"/>
  <c r="L203" i="20"/>
  <c r="I203" i="20"/>
  <c r="F203" i="20"/>
  <c r="O202" i="20"/>
  <c r="L202" i="20"/>
  <c r="I202" i="20"/>
  <c r="F202" i="20"/>
  <c r="O201" i="20"/>
  <c r="L201" i="20"/>
  <c r="I201" i="20"/>
  <c r="F201" i="20"/>
  <c r="O200" i="20"/>
  <c r="L200" i="20"/>
  <c r="I200" i="20"/>
  <c r="F200" i="20"/>
  <c r="O199" i="20"/>
  <c r="O198" i="20" s="1"/>
  <c r="L199" i="20"/>
  <c r="I199" i="20"/>
  <c r="I198" i="20" s="1"/>
  <c r="F199" i="20"/>
  <c r="N198" i="20"/>
  <c r="M198" i="20"/>
  <c r="K198" i="20"/>
  <c r="K196" i="20" s="1"/>
  <c r="K195" i="20" s="1"/>
  <c r="J198" i="20"/>
  <c r="H198" i="20"/>
  <c r="H196" i="20" s="1"/>
  <c r="G198" i="20"/>
  <c r="G196" i="20" s="1"/>
  <c r="E198" i="20"/>
  <c r="E196" i="20" s="1"/>
  <c r="D198" i="20"/>
  <c r="D196" i="20" s="1"/>
  <c r="O197" i="20"/>
  <c r="L197" i="20"/>
  <c r="I197" i="20"/>
  <c r="F197" i="20"/>
  <c r="N196" i="20"/>
  <c r="M196" i="20"/>
  <c r="J196" i="20"/>
  <c r="O193" i="20"/>
  <c r="L193" i="20"/>
  <c r="L192" i="20" s="1"/>
  <c r="L191" i="20" s="1"/>
  <c r="I193" i="20"/>
  <c r="I192" i="20" s="1"/>
  <c r="I191" i="20" s="1"/>
  <c r="F193" i="20"/>
  <c r="O192" i="20"/>
  <c r="O191" i="20" s="1"/>
  <c r="N192" i="20"/>
  <c r="M192" i="20"/>
  <c r="M191" i="20" s="1"/>
  <c r="K192" i="20"/>
  <c r="K191" i="20" s="1"/>
  <c r="J192" i="20"/>
  <c r="J191" i="20" s="1"/>
  <c r="J187" i="20" s="1"/>
  <c r="H192" i="20"/>
  <c r="H191" i="20" s="1"/>
  <c r="G192" i="20"/>
  <c r="G191" i="20" s="1"/>
  <c r="E192" i="20"/>
  <c r="E191" i="20" s="1"/>
  <c r="D192" i="20"/>
  <c r="D191" i="20" s="1"/>
  <c r="N191" i="20"/>
  <c r="O190" i="20"/>
  <c r="L190" i="20"/>
  <c r="I190" i="20"/>
  <c r="F190" i="20"/>
  <c r="O189" i="20"/>
  <c r="O188" i="20" s="1"/>
  <c r="O187" i="20" s="1"/>
  <c r="L189" i="20"/>
  <c r="I189" i="20"/>
  <c r="I188" i="20" s="1"/>
  <c r="I187" i="20" s="1"/>
  <c r="F189" i="20"/>
  <c r="F188" i="20" s="1"/>
  <c r="N188" i="20"/>
  <c r="M188" i="20"/>
  <c r="M187" i="20" s="1"/>
  <c r="K188" i="20"/>
  <c r="J188" i="20"/>
  <c r="H188" i="20"/>
  <c r="G188" i="20"/>
  <c r="E188" i="20"/>
  <c r="D188" i="20"/>
  <c r="D187" i="20" s="1"/>
  <c r="O186" i="20"/>
  <c r="L186" i="20"/>
  <c r="I186" i="20"/>
  <c r="F186" i="20"/>
  <c r="O185" i="20"/>
  <c r="L185" i="20"/>
  <c r="I185" i="20"/>
  <c r="F185" i="20"/>
  <c r="F184" i="20" s="1"/>
  <c r="O184" i="20"/>
  <c r="N184" i="20"/>
  <c r="M184" i="20"/>
  <c r="K184" i="20"/>
  <c r="J184" i="20"/>
  <c r="H184" i="20"/>
  <c r="G184" i="20"/>
  <c r="E184" i="20"/>
  <c r="D184" i="20"/>
  <c r="O183" i="20"/>
  <c r="L183" i="20"/>
  <c r="I183" i="20"/>
  <c r="F183" i="20"/>
  <c r="O182" i="20"/>
  <c r="L182" i="20"/>
  <c r="I182" i="20"/>
  <c r="F182" i="20"/>
  <c r="O181" i="20"/>
  <c r="L181" i="20"/>
  <c r="I181" i="20"/>
  <c r="F181" i="20"/>
  <c r="O180" i="20"/>
  <c r="L180" i="20"/>
  <c r="I180" i="20"/>
  <c r="F180" i="20"/>
  <c r="N179" i="20"/>
  <c r="M179" i="20"/>
  <c r="K179" i="20"/>
  <c r="J179" i="20"/>
  <c r="H179" i="20"/>
  <c r="G179" i="20"/>
  <c r="F179" i="20"/>
  <c r="E179" i="20"/>
  <c r="D179" i="20"/>
  <c r="O178" i="20"/>
  <c r="L178" i="20"/>
  <c r="I178" i="20"/>
  <c r="F178" i="20"/>
  <c r="O177" i="20"/>
  <c r="L177" i="20"/>
  <c r="I177" i="20"/>
  <c r="F177" i="20"/>
  <c r="O176" i="20"/>
  <c r="O175" i="20" s="1"/>
  <c r="L176" i="20"/>
  <c r="I176" i="20"/>
  <c r="F176" i="20"/>
  <c r="N175" i="20"/>
  <c r="M175" i="20"/>
  <c r="K175" i="20"/>
  <c r="J175" i="20"/>
  <c r="H175" i="20"/>
  <c r="G175" i="20"/>
  <c r="G174" i="20" s="1"/>
  <c r="G173" i="20" s="1"/>
  <c r="E175" i="20"/>
  <c r="D175" i="20"/>
  <c r="O172" i="20"/>
  <c r="L172" i="20"/>
  <c r="I172" i="20"/>
  <c r="F172" i="20"/>
  <c r="O171" i="20"/>
  <c r="L171" i="20"/>
  <c r="I171" i="20"/>
  <c r="F171" i="20"/>
  <c r="O170" i="20"/>
  <c r="L170" i="20"/>
  <c r="I170" i="20"/>
  <c r="F170" i="20"/>
  <c r="O169" i="20"/>
  <c r="L169" i="20"/>
  <c r="I169" i="20"/>
  <c r="F169" i="20"/>
  <c r="O168" i="20"/>
  <c r="L168" i="20"/>
  <c r="I168" i="20"/>
  <c r="F168" i="20"/>
  <c r="O167" i="20"/>
  <c r="L167" i="20"/>
  <c r="L166" i="20" s="1"/>
  <c r="I167" i="20"/>
  <c r="F167" i="20"/>
  <c r="N166" i="20"/>
  <c r="N165" i="20" s="1"/>
  <c r="M166" i="20"/>
  <c r="K166" i="20"/>
  <c r="J166" i="20"/>
  <c r="J165" i="20" s="1"/>
  <c r="H166" i="20"/>
  <c r="H165" i="20" s="1"/>
  <c r="G166" i="20"/>
  <c r="G165" i="20" s="1"/>
  <c r="E166" i="20"/>
  <c r="D166" i="20"/>
  <c r="D165" i="20" s="1"/>
  <c r="M165" i="20"/>
  <c r="L165" i="20"/>
  <c r="K165" i="20"/>
  <c r="E165" i="20"/>
  <c r="O164" i="20"/>
  <c r="L164" i="20"/>
  <c r="I164" i="20"/>
  <c r="F164" i="20"/>
  <c r="O163" i="20"/>
  <c r="L163" i="20"/>
  <c r="I163" i="20"/>
  <c r="F163" i="20"/>
  <c r="O162" i="20"/>
  <c r="L162" i="20"/>
  <c r="I162" i="20"/>
  <c r="F162" i="20"/>
  <c r="O161" i="20"/>
  <c r="O160" i="20" s="1"/>
  <c r="L161" i="20"/>
  <c r="I161" i="20"/>
  <c r="I160" i="20" s="1"/>
  <c r="F161" i="20"/>
  <c r="F160" i="20" s="1"/>
  <c r="N160" i="20"/>
  <c r="M160" i="20"/>
  <c r="K160" i="20"/>
  <c r="J160" i="20"/>
  <c r="H160" i="20"/>
  <c r="G160" i="20"/>
  <c r="E160" i="20"/>
  <c r="D160" i="20"/>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L152" i="20"/>
  <c r="I152" i="20"/>
  <c r="I151" i="20" s="1"/>
  <c r="F152" i="20"/>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L145" i="20"/>
  <c r="I145" i="20"/>
  <c r="F145" i="20"/>
  <c r="C145" i="20"/>
  <c r="N144" i="20"/>
  <c r="M144" i="20"/>
  <c r="K144" i="20"/>
  <c r="J144" i="20"/>
  <c r="H144" i="20"/>
  <c r="G144" i="20"/>
  <c r="E144" i="20"/>
  <c r="D144" i="20"/>
  <c r="O143" i="20"/>
  <c r="L143" i="20"/>
  <c r="I143" i="20"/>
  <c r="F143" i="20"/>
  <c r="O142" i="20"/>
  <c r="L142" i="20"/>
  <c r="I142" i="20"/>
  <c r="F142" i="20"/>
  <c r="F141" i="20" s="1"/>
  <c r="O141" i="20"/>
  <c r="N141" i="20"/>
  <c r="M141" i="20"/>
  <c r="K141" i="20"/>
  <c r="J141" i="20"/>
  <c r="H141" i="20"/>
  <c r="G141" i="20"/>
  <c r="E141" i="20"/>
  <c r="D141" i="20"/>
  <c r="O140" i="20"/>
  <c r="L140" i="20"/>
  <c r="I140" i="20"/>
  <c r="F140" i="20"/>
  <c r="O139" i="20"/>
  <c r="L139" i="20"/>
  <c r="I139" i="20"/>
  <c r="C139" i="20" s="1"/>
  <c r="F139" i="20"/>
  <c r="O138" i="20"/>
  <c r="L138" i="20"/>
  <c r="I138" i="20"/>
  <c r="F138" i="20"/>
  <c r="O137" i="20"/>
  <c r="O136" i="20" s="1"/>
  <c r="L137" i="20"/>
  <c r="I137" i="20"/>
  <c r="F137" i="20"/>
  <c r="N136" i="20"/>
  <c r="M136" i="20"/>
  <c r="K136" i="20"/>
  <c r="J136" i="20"/>
  <c r="H136" i="20"/>
  <c r="G136" i="20"/>
  <c r="E136" i="20"/>
  <c r="D136" i="20"/>
  <c r="O135" i="20"/>
  <c r="L135" i="20"/>
  <c r="I135" i="20"/>
  <c r="F135" i="20"/>
  <c r="O134" i="20"/>
  <c r="L134" i="20"/>
  <c r="I134" i="20"/>
  <c r="F134" i="20"/>
  <c r="O133" i="20"/>
  <c r="L133" i="20"/>
  <c r="I133" i="20"/>
  <c r="F133" i="20"/>
  <c r="O132" i="20"/>
  <c r="L132" i="20"/>
  <c r="I132" i="20"/>
  <c r="I131" i="20" s="1"/>
  <c r="F132" i="20"/>
  <c r="N131" i="20"/>
  <c r="M131" i="20"/>
  <c r="K131" i="20"/>
  <c r="J131" i="20"/>
  <c r="H131" i="20"/>
  <c r="G131" i="20"/>
  <c r="F131" i="20"/>
  <c r="E131" i="20"/>
  <c r="D131" i="20"/>
  <c r="O129" i="20"/>
  <c r="O128" i="20" s="1"/>
  <c r="L129" i="20"/>
  <c r="L128" i="20" s="1"/>
  <c r="I129" i="20"/>
  <c r="F129" i="20"/>
  <c r="F128" i="20" s="1"/>
  <c r="N128" i="20"/>
  <c r="M128" i="20"/>
  <c r="K128" i="20"/>
  <c r="J128" i="20"/>
  <c r="I128" i="20"/>
  <c r="H128" i="20"/>
  <c r="G128" i="20"/>
  <c r="E128" i="20"/>
  <c r="D128" i="20"/>
  <c r="O127" i="20"/>
  <c r="L127" i="20"/>
  <c r="I127" i="20"/>
  <c r="F127" i="20"/>
  <c r="O126" i="20"/>
  <c r="L126" i="20"/>
  <c r="I126" i="20"/>
  <c r="F126" i="20"/>
  <c r="O125" i="20"/>
  <c r="L125" i="20"/>
  <c r="I125" i="20"/>
  <c r="F125" i="20"/>
  <c r="O124" i="20"/>
  <c r="L124" i="20"/>
  <c r="I124" i="20"/>
  <c r="F124" i="20"/>
  <c r="O123" i="20"/>
  <c r="L123" i="20"/>
  <c r="L122" i="20" s="1"/>
  <c r="I123" i="20"/>
  <c r="F123"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O116" i="20" s="1"/>
  <c r="L117" i="20"/>
  <c r="I117" i="20"/>
  <c r="F117" i="20"/>
  <c r="N116" i="20"/>
  <c r="M116" i="20"/>
  <c r="K116" i="20"/>
  <c r="J116" i="20"/>
  <c r="H116" i="20"/>
  <c r="G116" i="20"/>
  <c r="E116" i="20"/>
  <c r="D116" i="20"/>
  <c r="O115" i="20"/>
  <c r="L115" i="20"/>
  <c r="I115" i="20"/>
  <c r="F115" i="20"/>
  <c r="O114" i="20"/>
  <c r="L114" i="20"/>
  <c r="I114" i="20"/>
  <c r="F114" i="20"/>
  <c r="O113" i="20"/>
  <c r="O112" i="20" s="1"/>
  <c r="L113" i="20"/>
  <c r="I113" i="20"/>
  <c r="F113" i="20"/>
  <c r="F112" i="20" s="1"/>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O106" i="20"/>
  <c r="L106" i="20"/>
  <c r="I106" i="20"/>
  <c r="F106" i="20"/>
  <c r="O105" i="20"/>
  <c r="L105" i="20"/>
  <c r="I105" i="20"/>
  <c r="F105" i="20"/>
  <c r="O104" i="20"/>
  <c r="L104" i="20"/>
  <c r="I104" i="20"/>
  <c r="F104" i="20"/>
  <c r="N103" i="20"/>
  <c r="M103" i="20"/>
  <c r="K103" i="20"/>
  <c r="J103" i="20"/>
  <c r="H103" i="20"/>
  <c r="G103" i="20"/>
  <c r="E103" i="20"/>
  <c r="D103" i="20"/>
  <c r="O102" i="20"/>
  <c r="L102" i="20"/>
  <c r="I102" i="20"/>
  <c r="F102" i="20"/>
  <c r="O101" i="20"/>
  <c r="L101" i="20"/>
  <c r="I101" i="20"/>
  <c r="F101" i="20"/>
  <c r="O100" i="20"/>
  <c r="L100" i="20"/>
  <c r="I100" i="20"/>
  <c r="F100" i="20"/>
  <c r="O99" i="20"/>
  <c r="L99" i="20"/>
  <c r="I99" i="20"/>
  <c r="F99" i="20"/>
  <c r="O98" i="20"/>
  <c r="L98" i="20"/>
  <c r="I98" i="20"/>
  <c r="F98" i="20"/>
  <c r="O97" i="20"/>
  <c r="L97" i="20"/>
  <c r="I97" i="20"/>
  <c r="F97" i="20"/>
  <c r="O96" i="20"/>
  <c r="L96" i="20"/>
  <c r="I96" i="20"/>
  <c r="I95" i="20" s="1"/>
  <c r="F96" i="20"/>
  <c r="N95" i="20"/>
  <c r="M95" i="20"/>
  <c r="K95" i="20"/>
  <c r="J95" i="20"/>
  <c r="H95" i="20"/>
  <c r="G95" i="20"/>
  <c r="E95" i="20"/>
  <c r="D95" i="20"/>
  <c r="O94" i="20"/>
  <c r="L94" i="20"/>
  <c r="I94" i="20"/>
  <c r="F94" i="20"/>
  <c r="O93" i="20"/>
  <c r="L93" i="20"/>
  <c r="I93" i="20"/>
  <c r="F93" i="20"/>
  <c r="O92" i="20"/>
  <c r="L92" i="20"/>
  <c r="I92" i="20"/>
  <c r="F92" i="20"/>
  <c r="O91" i="20"/>
  <c r="L91" i="20"/>
  <c r="I91" i="20"/>
  <c r="F91" i="20"/>
  <c r="O90" i="20"/>
  <c r="O89" i="20" s="1"/>
  <c r="L90" i="20"/>
  <c r="L89" i="20" s="1"/>
  <c r="I90" i="20"/>
  <c r="F90" i="20"/>
  <c r="F89" i="20" s="1"/>
  <c r="N89" i="20"/>
  <c r="M89" i="20"/>
  <c r="K89" i="20"/>
  <c r="J89" i="20"/>
  <c r="H89" i="20"/>
  <c r="G89" i="20"/>
  <c r="E89" i="20"/>
  <c r="D89" i="20"/>
  <c r="O88" i="20"/>
  <c r="L88" i="20"/>
  <c r="I88" i="20"/>
  <c r="F88" i="20"/>
  <c r="O87" i="20"/>
  <c r="L87" i="20"/>
  <c r="I87" i="20"/>
  <c r="F87" i="20"/>
  <c r="O86" i="20"/>
  <c r="L86" i="20"/>
  <c r="I86" i="20"/>
  <c r="F86" i="20"/>
  <c r="O85" i="20"/>
  <c r="L85" i="20"/>
  <c r="I85" i="20"/>
  <c r="I84" i="20" s="1"/>
  <c r="F85" i="20"/>
  <c r="N84" i="20"/>
  <c r="M84" i="20"/>
  <c r="L84" i="20"/>
  <c r="K84" i="20"/>
  <c r="J84" i="20"/>
  <c r="H84" i="20"/>
  <c r="G84" i="20"/>
  <c r="E84" i="20"/>
  <c r="D84" i="20"/>
  <c r="O82" i="20"/>
  <c r="L82" i="20"/>
  <c r="I82" i="20"/>
  <c r="F82" i="20"/>
  <c r="O81" i="20"/>
  <c r="O80" i="20" s="1"/>
  <c r="L81" i="20"/>
  <c r="I81" i="20"/>
  <c r="I80" i="20" s="1"/>
  <c r="F81" i="20"/>
  <c r="N80" i="20"/>
  <c r="M80" i="20"/>
  <c r="K80" i="20"/>
  <c r="J80" i="20"/>
  <c r="H80" i="20"/>
  <c r="G80" i="20"/>
  <c r="E80" i="20"/>
  <c r="D80" i="20"/>
  <c r="O79" i="20"/>
  <c r="L79" i="20"/>
  <c r="I79" i="20"/>
  <c r="F79" i="20"/>
  <c r="O78" i="20"/>
  <c r="L78" i="20"/>
  <c r="I78" i="20"/>
  <c r="F78" i="20"/>
  <c r="F77" i="20" s="1"/>
  <c r="N77" i="20"/>
  <c r="M77" i="20"/>
  <c r="K77" i="20"/>
  <c r="J77" i="20"/>
  <c r="J76" i="20" s="1"/>
  <c r="H77" i="20"/>
  <c r="G77" i="20"/>
  <c r="E77" i="20"/>
  <c r="D77" i="20"/>
  <c r="D76" i="20" s="1"/>
  <c r="O74" i="20"/>
  <c r="L74" i="20"/>
  <c r="I74" i="20"/>
  <c r="F74" i="20"/>
  <c r="O73" i="20"/>
  <c r="L73" i="20"/>
  <c r="I73" i="20"/>
  <c r="F73" i="20"/>
  <c r="O72" i="20"/>
  <c r="L72" i="20"/>
  <c r="I72" i="20"/>
  <c r="F72" i="20"/>
  <c r="O71" i="20"/>
  <c r="L71" i="20"/>
  <c r="I71" i="20"/>
  <c r="F71" i="20"/>
  <c r="O70" i="20"/>
  <c r="L70" i="20"/>
  <c r="I70" i="20"/>
  <c r="F70" i="20"/>
  <c r="N69" i="20"/>
  <c r="M69" i="20"/>
  <c r="K69" i="20"/>
  <c r="K67" i="20" s="1"/>
  <c r="J69" i="20"/>
  <c r="J67" i="20" s="1"/>
  <c r="H69" i="20"/>
  <c r="H67" i="20" s="1"/>
  <c r="G69" i="20"/>
  <c r="G67" i="20" s="1"/>
  <c r="E69" i="20"/>
  <c r="E67" i="20" s="1"/>
  <c r="D69" i="20"/>
  <c r="D67" i="20" s="1"/>
  <c r="O68" i="20"/>
  <c r="L68" i="20"/>
  <c r="I68" i="20"/>
  <c r="F68" i="20"/>
  <c r="N67" i="20"/>
  <c r="M67"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L59" i="20"/>
  <c r="L58" i="20" s="1"/>
  <c r="I59" i="20"/>
  <c r="I58" i="20" s="1"/>
  <c r="F59" i="20"/>
  <c r="N58" i="20"/>
  <c r="M58" i="20"/>
  <c r="K58" i="20"/>
  <c r="J58" i="20"/>
  <c r="H58" i="20"/>
  <c r="G58" i="20"/>
  <c r="E58" i="20"/>
  <c r="D58" i="20"/>
  <c r="O57" i="20"/>
  <c r="L57" i="20"/>
  <c r="I57" i="20"/>
  <c r="F57" i="20"/>
  <c r="O56" i="20"/>
  <c r="L56" i="20"/>
  <c r="L55" i="20" s="1"/>
  <c r="I56" i="20"/>
  <c r="F56" i="20"/>
  <c r="O55" i="20"/>
  <c r="N55" i="20"/>
  <c r="M55" i="20"/>
  <c r="K55" i="20"/>
  <c r="J55" i="20"/>
  <c r="H55" i="20"/>
  <c r="G55" i="20"/>
  <c r="F55" i="20"/>
  <c r="E55" i="20"/>
  <c r="E54" i="20" s="1"/>
  <c r="D55" i="20"/>
  <c r="O47" i="20"/>
  <c r="C47" i="20" s="1"/>
  <c r="O46" i="20"/>
  <c r="N45" i="20"/>
  <c r="M45" i="20"/>
  <c r="L44" i="20"/>
  <c r="L43" i="20" s="1"/>
  <c r="I44" i="20"/>
  <c r="I43" i="20" s="1"/>
  <c r="F44" i="20"/>
  <c r="F43" i="20" s="1"/>
  <c r="K43" i="20"/>
  <c r="J43" i="20"/>
  <c r="H43" i="20"/>
  <c r="G43" i="20"/>
  <c r="E43" i="20"/>
  <c r="D43" i="20"/>
  <c r="F42" i="20"/>
  <c r="E41" i="20"/>
  <c r="D41" i="20"/>
  <c r="L40" i="20"/>
  <c r="C40" i="20" s="1"/>
  <c r="L39" i="20"/>
  <c r="C39" i="20" s="1"/>
  <c r="L38" i="20"/>
  <c r="C38" i="20" s="1"/>
  <c r="L37" i="20"/>
  <c r="K36" i="20"/>
  <c r="J36" i="20"/>
  <c r="L35" i="20"/>
  <c r="C35" i="20" s="1"/>
  <c r="L34" i="20"/>
  <c r="C34" i="20" s="1"/>
  <c r="K33" i="20"/>
  <c r="J33" i="20"/>
  <c r="L32" i="20"/>
  <c r="C32" i="20" s="1"/>
  <c r="K31" i="20"/>
  <c r="J31" i="20"/>
  <c r="L30" i="20"/>
  <c r="C30" i="20" s="1"/>
  <c r="L29" i="20"/>
  <c r="C29" i="20" s="1"/>
  <c r="L28" i="20"/>
  <c r="K27" i="20"/>
  <c r="J27" i="20"/>
  <c r="F25" i="20"/>
  <c r="C25" i="20" s="1"/>
  <c r="I24" i="20"/>
  <c r="F24" i="20"/>
  <c r="O23" i="20"/>
  <c r="L23" i="20"/>
  <c r="I23" i="20"/>
  <c r="F23" i="20"/>
  <c r="O22" i="20"/>
  <c r="O21" i="20" s="1"/>
  <c r="L22" i="20"/>
  <c r="L21" i="20" s="1"/>
  <c r="I22" i="20"/>
  <c r="F22" i="20"/>
  <c r="N21" i="20"/>
  <c r="M21" i="20"/>
  <c r="M292" i="20" s="1"/>
  <c r="K21" i="20"/>
  <c r="J21" i="20"/>
  <c r="J292" i="20" s="1"/>
  <c r="J291" i="20" s="1"/>
  <c r="I21" i="20"/>
  <c r="H21" i="20"/>
  <c r="G21" i="20"/>
  <c r="E21" i="20"/>
  <c r="E292" i="20" s="1"/>
  <c r="E291" i="20" s="1"/>
  <c r="D21" i="20"/>
  <c r="D292" i="20" s="1"/>
  <c r="M20" i="20"/>
  <c r="C97" i="20" l="1"/>
  <c r="C157" i="20"/>
  <c r="C22" i="20"/>
  <c r="C169" i="20"/>
  <c r="C172" i="20"/>
  <c r="H54" i="20"/>
  <c r="H53" i="20" s="1"/>
  <c r="H83" i="20"/>
  <c r="J174" i="20"/>
  <c r="J173" i="20" s="1"/>
  <c r="C239" i="20"/>
  <c r="O77" i="20"/>
  <c r="O76" i="20" s="1"/>
  <c r="N76" i="20"/>
  <c r="N83" i="20"/>
  <c r="G204" i="20"/>
  <c r="G231" i="20"/>
  <c r="G230" i="20" s="1"/>
  <c r="L27" i="20"/>
  <c r="J54" i="20"/>
  <c r="J53" i="20" s="1"/>
  <c r="C73" i="20"/>
  <c r="C86" i="20"/>
  <c r="C88" i="20"/>
  <c r="C96" i="20"/>
  <c r="C102" i="20"/>
  <c r="L151" i="20"/>
  <c r="K174" i="20"/>
  <c r="C182" i="20"/>
  <c r="N195" i="20"/>
  <c r="C223" i="20"/>
  <c r="K259" i="20"/>
  <c r="I259" i="20"/>
  <c r="K270" i="20"/>
  <c r="K269" i="20" s="1"/>
  <c r="C294" i="20"/>
  <c r="C298" i="20"/>
  <c r="I293" i="20"/>
  <c r="E20" i="20"/>
  <c r="K54" i="20"/>
  <c r="C65" i="20"/>
  <c r="C70" i="20"/>
  <c r="C94" i="20"/>
  <c r="C109" i="20"/>
  <c r="C111" i="20"/>
  <c r="C115" i="20"/>
  <c r="C119" i="20"/>
  <c r="C127" i="20"/>
  <c r="C134" i="20"/>
  <c r="G130" i="20"/>
  <c r="C150" i="20"/>
  <c r="C154" i="20"/>
  <c r="C156" i="20"/>
  <c r="C162" i="20"/>
  <c r="G195" i="20"/>
  <c r="C212" i="20"/>
  <c r="E204" i="20"/>
  <c r="C247" i="20"/>
  <c r="C250" i="20"/>
  <c r="C267" i="20"/>
  <c r="C279" i="20"/>
  <c r="I179" i="20"/>
  <c r="H292" i="20"/>
  <c r="H291" i="20" s="1"/>
  <c r="C28" i="20"/>
  <c r="D54" i="20"/>
  <c r="D53" i="20" s="1"/>
  <c r="C106" i="20"/>
  <c r="E130" i="20"/>
  <c r="N130" i="20"/>
  <c r="N75" i="20" s="1"/>
  <c r="N174" i="20"/>
  <c r="N173" i="20" s="1"/>
  <c r="N187" i="20"/>
  <c r="C207" i="20"/>
  <c r="L205" i="20"/>
  <c r="C255" i="20"/>
  <c r="C263" i="20"/>
  <c r="D259" i="20"/>
  <c r="C271" i="20"/>
  <c r="L36" i="20"/>
  <c r="C36" i="20" s="1"/>
  <c r="C37" i="20"/>
  <c r="C46" i="20"/>
  <c r="O45" i="20"/>
  <c r="O20" i="20" s="1"/>
  <c r="L54" i="20"/>
  <c r="I20" i="20"/>
  <c r="C24" i="20"/>
  <c r="F80" i="20"/>
  <c r="F76" i="20" s="1"/>
  <c r="C81" i="20"/>
  <c r="C87" i="20"/>
  <c r="C155" i="20"/>
  <c r="C190" i="20"/>
  <c r="K231" i="20"/>
  <c r="N292" i="20"/>
  <c r="N291" i="20" s="1"/>
  <c r="N20" i="20"/>
  <c r="K26" i="20"/>
  <c r="K20" i="20" s="1"/>
  <c r="L33" i="20"/>
  <c r="C33" i="20" s="1"/>
  <c r="C42" i="20"/>
  <c r="F41" i="20"/>
  <c r="C41" i="20" s="1"/>
  <c r="C57" i="20"/>
  <c r="C62" i="20"/>
  <c r="C66" i="20"/>
  <c r="E53" i="20"/>
  <c r="C71" i="20"/>
  <c r="D83" i="20"/>
  <c r="M83" i="20"/>
  <c r="C93" i="20"/>
  <c r="C101" i="20"/>
  <c r="C105" i="20"/>
  <c r="F136" i="20"/>
  <c r="C137" i="20"/>
  <c r="C146" i="20"/>
  <c r="O166" i="20"/>
  <c r="O165" i="20" s="1"/>
  <c r="F175" i="20"/>
  <c r="F174" i="20" s="1"/>
  <c r="C176" i="20"/>
  <c r="M174" i="20"/>
  <c r="M173" i="20" s="1"/>
  <c r="L179" i="20"/>
  <c r="F198" i="20"/>
  <c r="C199" i="20"/>
  <c r="C243" i="20"/>
  <c r="L238" i="20"/>
  <c r="G292" i="20"/>
  <c r="G291" i="20" s="1"/>
  <c r="G20" i="20"/>
  <c r="C90" i="20"/>
  <c r="K83" i="20"/>
  <c r="J83" i="20"/>
  <c r="C110" i="20"/>
  <c r="C114" i="20"/>
  <c r="H187" i="20"/>
  <c r="C43" i="20"/>
  <c r="H76" i="20"/>
  <c r="C78" i="20"/>
  <c r="C117" i="20"/>
  <c r="C121" i="20"/>
  <c r="C125" i="20"/>
  <c r="C133" i="20"/>
  <c r="C135" i="20"/>
  <c r="K130" i="20"/>
  <c r="C163" i="20"/>
  <c r="E174" i="20"/>
  <c r="E173" i="20" s="1"/>
  <c r="D204" i="20"/>
  <c r="D195" i="20" s="1"/>
  <c r="C206" i="20"/>
  <c r="C23" i="20"/>
  <c r="J26" i="20"/>
  <c r="J20" i="20" s="1"/>
  <c r="C56" i="20"/>
  <c r="N54" i="20"/>
  <c r="N53" i="20" s="1"/>
  <c r="C63" i="20"/>
  <c r="C74" i="20"/>
  <c r="K76" i="20"/>
  <c r="C82" i="20"/>
  <c r="E83" i="20"/>
  <c r="G83" i="20"/>
  <c r="C92" i="20"/>
  <c r="C99" i="20"/>
  <c r="I103" i="20"/>
  <c r="C108" i="20"/>
  <c r="C118" i="20"/>
  <c r="J130" i="20"/>
  <c r="C132" i="20"/>
  <c r="O131" i="20"/>
  <c r="H130" i="20"/>
  <c r="C138" i="20"/>
  <c r="C149" i="20"/>
  <c r="C159" i="20"/>
  <c r="C161" i="20"/>
  <c r="C171" i="20"/>
  <c r="H174" i="20"/>
  <c r="H173" i="20" s="1"/>
  <c r="C177" i="20"/>
  <c r="C181" i="20"/>
  <c r="C185" i="20"/>
  <c r="C189" i="20"/>
  <c r="M204" i="20"/>
  <c r="L216" i="20"/>
  <c r="L204" i="20" s="1"/>
  <c r="C220" i="20"/>
  <c r="C226" i="20"/>
  <c r="H231" i="20"/>
  <c r="H230" i="20" s="1"/>
  <c r="J231" i="20"/>
  <c r="J230" i="20" s="1"/>
  <c r="C258" i="20"/>
  <c r="O293" i="20"/>
  <c r="C299" i="20"/>
  <c r="H195" i="20"/>
  <c r="J204" i="20"/>
  <c r="J195" i="20" s="1"/>
  <c r="C222" i="20"/>
  <c r="N231" i="20"/>
  <c r="C242" i="20"/>
  <c r="C295" i="20"/>
  <c r="D291" i="20"/>
  <c r="C44" i="20"/>
  <c r="G54" i="20"/>
  <c r="G53" i="20" s="1"/>
  <c r="M54" i="20"/>
  <c r="M53" i="20" s="1"/>
  <c r="I55" i="20"/>
  <c r="I54" i="20" s="1"/>
  <c r="C61" i="20"/>
  <c r="O58" i="20"/>
  <c r="O54" i="20" s="1"/>
  <c r="C72" i="20"/>
  <c r="O69" i="20"/>
  <c r="O67" i="20" s="1"/>
  <c r="G76" i="20"/>
  <c r="G75" i="20" s="1"/>
  <c r="M76" i="20"/>
  <c r="C79" i="20"/>
  <c r="E76" i="20"/>
  <c r="E75" i="20" s="1"/>
  <c r="F84" i="20"/>
  <c r="C98" i="20"/>
  <c r="L103" i="20"/>
  <c r="C107" i="20"/>
  <c r="C126" i="20"/>
  <c r="C142" i="20"/>
  <c r="C147" i="20"/>
  <c r="C153" i="20"/>
  <c r="C158" i="20"/>
  <c r="D174" i="20"/>
  <c r="D173" i="20" s="1"/>
  <c r="C180" i="20"/>
  <c r="C183" i="20"/>
  <c r="E187" i="20"/>
  <c r="E195" i="20"/>
  <c r="O196" i="20"/>
  <c r="C208" i="20"/>
  <c r="C210" i="20"/>
  <c r="C214" i="20"/>
  <c r="C224" i="20"/>
  <c r="M231" i="20"/>
  <c r="M230" i="20" s="1"/>
  <c r="C244" i="20"/>
  <c r="C256" i="20"/>
  <c r="L264" i="20"/>
  <c r="L259" i="20" s="1"/>
  <c r="C268" i="20"/>
  <c r="O272" i="20"/>
  <c r="C275" i="20"/>
  <c r="C280" i="20"/>
  <c r="C297" i="20"/>
  <c r="C55" i="20"/>
  <c r="O292" i="20"/>
  <c r="C27" i="20"/>
  <c r="K53" i="20"/>
  <c r="J75" i="20"/>
  <c r="J52" i="20" s="1"/>
  <c r="I122" i="20"/>
  <c r="C123" i="20"/>
  <c r="C128" i="20"/>
  <c r="C170" i="20"/>
  <c r="F173" i="20"/>
  <c r="C186" i="20"/>
  <c r="I184" i="20"/>
  <c r="C274" i="20"/>
  <c r="F272" i="20"/>
  <c r="M291" i="20"/>
  <c r="F58" i="20"/>
  <c r="C58" i="20" s="1"/>
  <c r="O95" i="20"/>
  <c r="O144" i="20"/>
  <c r="E269" i="20"/>
  <c r="I270" i="20"/>
  <c r="I269" i="20" s="1"/>
  <c r="F21" i="20"/>
  <c r="C59" i="20"/>
  <c r="C64" i="20"/>
  <c r="C68" i="20"/>
  <c r="L69" i="20"/>
  <c r="L67" i="20" s="1"/>
  <c r="L53" i="20" s="1"/>
  <c r="I77" i="20"/>
  <c r="L80" i="20"/>
  <c r="C91" i="20"/>
  <c r="I89" i="20"/>
  <c r="L112" i="20"/>
  <c r="L116" i="20"/>
  <c r="F116" i="20"/>
  <c r="O122" i="20"/>
  <c r="L136" i="20"/>
  <c r="L141" i="20"/>
  <c r="L144" i="20"/>
  <c r="F144" i="20"/>
  <c r="L160" i="20"/>
  <c r="C160" i="20" s="1"/>
  <c r="L184" i="20"/>
  <c r="F192" i="20"/>
  <c r="C193" i="20"/>
  <c r="G194" i="20"/>
  <c r="C202" i="20"/>
  <c r="I196" i="20"/>
  <c r="C143" i="20"/>
  <c r="I141" i="20"/>
  <c r="I166" i="20"/>
  <c r="I165" i="20" s="1"/>
  <c r="C167" i="20"/>
  <c r="C211" i="20"/>
  <c r="F205" i="20"/>
  <c r="C301" i="20"/>
  <c r="L77" i="20"/>
  <c r="F95" i="20"/>
  <c r="C113" i="20"/>
  <c r="C178" i="20"/>
  <c r="I175" i="20"/>
  <c r="I174" i="20" s="1"/>
  <c r="D20" i="20"/>
  <c r="H20" i="20"/>
  <c r="K292" i="20"/>
  <c r="K291" i="20" s="1"/>
  <c r="L31" i="20"/>
  <c r="C31" i="20" s="1"/>
  <c r="C60" i="20"/>
  <c r="I69" i="20"/>
  <c r="I67" i="20" s="1"/>
  <c r="I53" i="20" s="1"/>
  <c r="F69" i="20"/>
  <c r="C85" i="20"/>
  <c r="O84" i="20"/>
  <c r="L95" i="20"/>
  <c r="C100" i="20"/>
  <c r="F103" i="20"/>
  <c r="C104" i="20"/>
  <c r="O103" i="20"/>
  <c r="I112" i="20"/>
  <c r="I116" i="20"/>
  <c r="C120" i="20"/>
  <c r="F122" i="20"/>
  <c r="C122" i="20" s="1"/>
  <c r="C124" i="20"/>
  <c r="C129" i="20"/>
  <c r="M130" i="20"/>
  <c r="M75" i="20" s="1"/>
  <c r="L131" i="20"/>
  <c r="C131" i="20" s="1"/>
  <c r="D130" i="20"/>
  <c r="D75" i="20" s="1"/>
  <c r="D52" i="20" s="1"/>
  <c r="I136" i="20"/>
  <c r="C140" i="20"/>
  <c r="I144" i="20"/>
  <c r="C148" i="20"/>
  <c r="F151" i="20"/>
  <c r="C152" i="20"/>
  <c r="O151" i="20"/>
  <c r="C164" i="20"/>
  <c r="F166" i="20"/>
  <c r="C168" i="20"/>
  <c r="K173" i="20"/>
  <c r="L175" i="20"/>
  <c r="L174" i="20" s="1"/>
  <c r="L188" i="20"/>
  <c r="L187" i="20" s="1"/>
  <c r="C200" i="20"/>
  <c r="L198" i="20"/>
  <c r="C198" i="20" s="1"/>
  <c r="C232" i="20"/>
  <c r="O231" i="20"/>
  <c r="I227" i="20"/>
  <c r="C227" i="20" s="1"/>
  <c r="C228" i="20"/>
  <c r="K230" i="20"/>
  <c r="K194" i="20" s="1"/>
  <c r="F233" i="20"/>
  <c r="C234" i="20"/>
  <c r="I235" i="20"/>
  <c r="C235" i="20" s="1"/>
  <c r="C236" i="20"/>
  <c r="C254" i="20"/>
  <c r="F252" i="20"/>
  <c r="C266" i="20"/>
  <c r="F264" i="20"/>
  <c r="F281" i="20"/>
  <c r="C281" i="20" s="1"/>
  <c r="C282" i="20"/>
  <c r="L293" i="20"/>
  <c r="O179" i="20"/>
  <c r="O174" i="20" s="1"/>
  <c r="O173" i="20" s="1"/>
  <c r="C197" i="20"/>
  <c r="C201" i="20"/>
  <c r="C248" i="20"/>
  <c r="I246" i="20"/>
  <c r="N259" i="20"/>
  <c r="N230" i="20" s="1"/>
  <c r="C278" i="20"/>
  <c r="F276" i="20"/>
  <c r="F270" i="20" s="1"/>
  <c r="C285" i="20"/>
  <c r="F284" i="20"/>
  <c r="C287" i="20"/>
  <c r="L286" i="20"/>
  <c r="L292" i="20" s="1"/>
  <c r="L291" i="20" s="1"/>
  <c r="G187" i="20"/>
  <c r="K187" i="20"/>
  <c r="F196" i="20"/>
  <c r="C203" i="20"/>
  <c r="C209" i="20"/>
  <c r="C218" i="20"/>
  <c r="F216" i="20"/>
  <c r="C240" i="20"/>
  <c r="I238" i="20"/>
  <c r="E259" i="20"/>
  <c r="E230" i="20" s="1"/>
  <c r="C262" i="20"/>
  <c r="F260" i="20"/>
  <c r="H269" i="20"/>
  <c r="N270" i="20"/>
  <c r="N269" i="20" s="1"/>
  <c r="I205" i="20"/>
  <c r="C213" i="20"/>
  <c r="C217" i="20"/>
  <c r="O216" i="20"/>
  <c r="C225" i="20"/>
  <c r="C229" i="20"/>
  <c r="L231" i="20"/>
  <c r="C237" i="20"/>
  <c r="F238" i="20"/>
  <c r="C241" i="20"/>
  <c r="L252" i="20"/>
  <c r="L251" i="20" s="1"/>
  <c r="C257" i="20"/>
  <c r="C261" i="20"/>
  <c r="O260" i="20"/>
  <c r="C265" i="20"/>
  <c r="O264" i="20"/>
  <c r="L276" i="20"/>
  <c r="L270" i="20" s="1"/>
  <c r="L269" i="20" s="1"/>
  <c r="C288" i="20"/>
  <c r="I286" i="20"/>
  <c r="I292" i="20" s="1"/>
  <c r="I291" i="20" s="1"/>
  <c r="F293" i="20"/>
  <c r="C300" i="20"/>
  <c r="M195" i="20"/>
  <c r="M194" i="20" s="1"/>
  <c r="O205" i="20"/>
  <c r="C221" i="20"/>
  <c r="D231" i="20"/>
  <c r="D230" i="20" s="1"/>
  <c r="C245" i="20"/>
  <c r="F246" i="20"/>
  <c r="C249" i="20"/>
  <c r="C253" i="20"/>
  <c r="O252" i="20"/>
  <c r="O251" i="20" s="1"/>
  <c r="C273" i="20"/>
  <c r="C277" i="20"/>
  <c r="O276" i="20"/>
  <c r="C296" i="20"/>
  <c r="C136" i="20" l="1"/>
  <c r="O259" i="20"/>
  <c r="O291" i="20"/>
  <c r="N52" i="20"/>
  <c r="C141" i="20"/>
  <c r="F54" i="20"/>
  <c r="K75" i="20"/>
  <c r="K289" i="20" s="1"/>
  <c r="I130" i="20"/>
  <c r="L83" i="20"/>
  <c r="E52" i="20"/>
  <c r="E51" i="20" s="1"/>
  <c r="G289" i="20"/>
  <c r="E194" i="20"/>
  <c r="N194" i="20"/>
  <c r="C293" i="20"/>
  <c r="O204" i="20"/>
  <c r="O195" i="20" s="1"/>
  <c r="I231" i="20"/>
  <c r="I230" i="20" s="1"/>
  <c r="C112" i="20"/>
  <c r="I173" i="20"/>
  <c r="L76" i="20"/>
  <c r="J194" i="20"/>
  <c r="J51" i="20" s="1"/>
  <c r="J289" i="20"/>
  <c r="L196" i="20"/>
  <c r="L195" i="20" s="1"/>
  <c r="C80" i="20"/>
  <c r="C286" i="20"/>
  <c r="C45" i="20"/>
  <c r="D194" i="20"/>
  <c r="O270" i="20"/>
  <c r="O269" i="20" s="1"/>
  <c r="O130" i="20"/>
  <c r="C216" i="20"/>
  <c r="L173" i="20"/>
  <c r="C173" i="20" s="1"/>
  <c r="C272" i="20"/>
  <c r="O53" i="20"/>
  <c r="H75" i="20"/>
  <c r="H52" i="20" s="1"/>
  <c r="M289" i="20"/>
  <c r="M52" i="20"/>
  <c r="M51" i="20" s="1"/>
  <c r="F269" i="20"/>
  <c r="C270" i="20"/>
  <c r="D51" i="20"/>
  <c r="N289" i="20"/>
  <c r="C233" i="20"/>
  <c r="F231" i="20"/>
  <c r="L130" i="20"/>
  <c r="L75" i="20" s="1"/>
  <c r="L52" i="20" s="1"/>
  <c r="H194" i="20"/>
  <c r="C144" i="20"/>
  <c r="F130" i="20"/>
  <c r="C174" i="20"/>
  <c r="C246" i="20"/>
  <c r="C238" i="20"/>
  <c r="I204" i="20"/>
  <c r="C260" i="20"/>
  <c r="F259" i="20"/>
  <c r="C259" i="20" s="1"/>
  <c r="C264" i="20"/>
  <c r="O230" i="20"/>
  <c r="C188" i="20"/>
  <c r="O83" i="20"/>
  <c r="O75" i="20" s="1"/>
  <c r="O52" i="20" s="1"/>
  <c r="C95" i="20"/>
  <c r="F83" i="20"/>
  <c r="C84" i="20"/>
  <c r="C179" i="20"/>
  <c r="C184" i="20"/>
  <c r="G52" i="20"/>
  <c r="G51" i="20" s="1"/>
  <c r="L26" i="20"/>
  <c r="H51" i="20"/>
  <c r="D289" i="20"/>
  <c r="L230" i="20"/>
  <c r="C196" i="20"/>
  <c r="C252" i="20"/>
  <c r="F251" i="20"/>
  <c r="C251" i="20" s="1"/>
  <c r="C69" i="20"/>
  <c r="F67" i="20"/>
  <c r="C67" i="20" s="1"/>
  <c r="C192" i="20"/>
  <c r="F191" i="20"/>
  <c r="C54" i="20"/>
  <c r="C276" i="20"/>
  <c r="O194" i="20"/>
  <c r="C284" i="20"/>
  <c r="F283" i="20"/>
  <c r="C283" i="20" s="1"/>
  <c r="C175" i="20"/>
  <c r="F165" i="20"/>
  <c r="C165" i="20" s="1"/>
  <c r="C166" i="20"/>
  <c r="C151" i="20"/>
  <c r="C103" i="20"/>
  <c r="C205" i="20"/>
  <c r="F204" i="20"/>
  <c r="I195" i="20"/>
  <c r="I194" i="20" s="1"/>
  <c r="C116" i="20"/>
  <c r="I83" i="20"/>
  <c r="C89" i="20"/>
  <c r="C77" i="20"/>
  <c r="I76" i="20"/>
  <c r="F292" i="20"/>
  <c r="C21" i="20"/>
  <c r="F20" i="20"/>
  <c r="E289" i="20"/>
  <c r="K52" i="20"/>
  <c r="K51" i="20" s="1"/>
  <c r="N51" i="20"/>
  <c r="J50" i="20" l="1"/>
  <c r="J290" i="20"/>
  <c r="F53" i="20"/>
  <c r="C53" i="20" s="1"/>
  <c r="L289" i="20"/>
  <c r="O289" i="20"/>
  <c r="H289" i="20"/>
  <c r="C83" i="20"/>
  <c r="F75" i="20"/>
  <c r="C130" i="20"/>
  <c r="M50" i="20"/>
  <c r="M290" i="20"/>
  <c r="N50" i="20"/>
  <c r="N290" i="20"/>
  <c r="C204" i="20"/>
  <c r="D290" i="20"/>
  <c r="D50" i="20"/>
  <c r="I75" i="20"/>
  <c r="C76" i="20"/>
  <c r="C26" i="20"/>
  <c r="L20" i="20"/>
  <c r="C20" i="20" s="1"/>
  <c r="C269" i="20"/>
  <c r="C191" i="20"/>
  <c r="F187" i="20"/>
  <c r="C187" i="20" s="1"/>
  <c r="G50" i="20"/>
  <c r="G290" i="20"/>
  <c r="F230" i="20"/>
  <c r="C230" i="20" s="1"/>
  <c r="C231" i="20"/>
  <c r="L194" i="20"/>
  <c r="L51" i="20" s="1"/>
  <c r="K50" i="20"/>
  <c r="K290" i="20"/>
  <c r="C292" i="20"/>
  <c r="F291" i="20"/>
  <c r="C291" i="20" s="1"/>
  <c r="F195" i="20"/>
  <c r="H290" i="20"/>
  <c r="H50" i="20"/>
  <c r="O51" i="20"/>
  <c r="E290" i="20"/>
  <c r="E50" i="20"/>
  <c r="C75" i="20" l="1"/>
  <c r="F289" i="20"/>
  <c r="L50" i="20"/>
  <c r="L290" i="20"/>
  <c r="O50" i="20"/>
  <c r="O290" i="20"/>
  <c r="F52" i="20"/>
  <c r="I52" i="20"/>
  <c r="I51" i="20" s="1"/>
  <c r="I289" i="20"/>
  <c r="C195" i="20"/>
  <c r="F194" i="20"/>
  <c r="C194" i="20" s="1"/>
  <c r="C289" i="20" l="1"/>
  <c r="I290" i="20"/>
  <c r="I50" i="20"/>
  <c r="C52" i="20"/>
  <c r="F51" i="20"/>
  <c r="F290" i="20" l="1"/>
  <c r="C290" i="20" s="1"/>
  <c r="C51" i="20"/>
  <c r="F50" i="20"/>
  <c r="C50" i="20" s="1"/>
  <c r="O301" i="19" l="1"/>
  <c r="L301" i="19"/>
  <c r="I301" i="19"/>
  <c r="F301" i="19"/>
  <c r="O300" i="19"/>
  <c r="L300" i="19"/>
  <c r="I300" i="19"/>
  <c r="F300" i="19"/>
  <c r="O299" i="19"/>
  <c r="L299" i="19"/>
  <c r="I299" i="19"/>
  <c r="F299" i="19"/>
  <c r="O298" i="19"/>
  <c r="L298" i="19"/>
  <c r="I298" i="19"/>
  <c r="F298" i="19"/>
  <c r="O297" i="19"/>
  <c r="L297" i="19"/>
  <c r="I297" i="19"/>
  <c r="F297" i="19"/>
  <c r="O296" i="19"/>
  <c r="L296" i="19"/>
  <c r="I296" i="19"/>
  <c r="F296" i="19"/>
  <c r="O295" i="19"/>
  <c r="L295" i="19"/>
  <c r="I295" i="19"/>
  <c r="F295" i="19"/>
  <c r="O294" i="19"/>
  <c r="O293" i="19" s="1"/>
  <c r="L294" i="19"/>
  <c r="I294" i="19"/>
  <c r="F294" i="19"/>
  <c r="N293" i="19"/>
  <c r="M293" i="19"/>
  <c r="K293" i="19"/>
  <c r="J293" i="19"/>
  <c r="H293" i="19"/>
  <c r="G293" i="19"/>
  <c r="E293" i="19"/>
  <c r="D293" i="19"/>
  <c r="O288" i="19"/>
  <c r="L288" i="19"/>
  <c r="I288" i="19"/>
  <c r="F288" i="19"/>
  <c r="O287" i="19"/>
  <c r="L287" i="19"/>
  <c r="L286" i="19" s="1"/>
  <c r="I287" i="19"/>
  <c r="F287" i="19"/>
  <c r="O286" i="19"/>
  <c r="N286" i="19"/>
  <c r="M286" i="19"/>
  <c r="K286" i="19"/>
  <c r="J286" i="19"/>
  <c r="H286" i="19"/>
  <c r="G286" i="19"/>
  <c r="F286" i="19"/>
  <c r="E286" i="19"/>
  <c r="D286" i="19"/>
  <c r="O285" i="19"/>
  <c r="L285" i="19"/>
  <c r="L284" i="19" s="1"/>
  <c r="L283" i="19" s="1"/>
  <c r="I285" i="19"/>
  <c r="F285" i="19"/>
  <c r="O284" i="19"/>
  <c r="O283" i="19" s="1"/>
  <c r="N284" i="19"/>
  <c r="N283" i="19" s="1"/>
  <c r="M284" i="19"/>
  <c r="M283" i="19" s="1"/>
  <c r="K284" i="19"/>
  <c r="K283" i="19" s="1"/>
  <c r="J284" i="19"/>
  <c r="J283" i="19" s="1"/>
  <c r="I284" i="19"/>
  <c r="I283" i="19" s="1"/>
  <c r="H284" i="19"/>
  <c r="G284" i="19"/>
  <c r="G283" i="19" s="1"/>
  <c r="E284" i="19"/>
  <c r="E283" i="19" s="1"/>
  <c r="D284" i="19"/>
  <c r="D283" i="19" s="1"/>
  <c r="H283" i="19"/>
  <c r="O282" i="19"/>
  <c r="O281" i="19" s="1"/>
  <c r="L282" i="19"/>
  <c r="L281" i="19" s="1"/>
  <c r="I282" i="19"/>
  <c r="I281" i="19" s="1"/>
  <c r="F282" i="19"/>
  <c r="F281" i="19" s="1"/>
  <c r="N281" i="19"/>
  <c r="M281" i="19"/>
  <c r="K281" i="19"/>
  <c r="J281" i="19"/>
  <c r="H281" i="19"/>
  <c r="G281" i="19"/>
  <c r="E281" i="19"/>
  <c r="D281" i="19"/>
  <c r="O280" i="19"/>
  <c r="L280" i="19"/>
  <c r="I280" i="19"/>
  <c r="F280" i="19"/>
  <c r="O279" i="19"/>
  <c r="L279" i="19"/>
  <c r="I279" i="19"/>
  <c r="F279" i="19"/>
  <c r="O278" i="19"/>
  <c r="L278" i="19"/>
  <c r="I278" i="19"/>
  <c r="F278" i="19"/>
  <c r="O277" i="19"/>
  <c r="L277" i="19"/>
  <c r="I277" i="19"/>
  <c r="I276" i="19" s="1"/>
  <c r="F277" i="19"/>
  <c r="N276" i="19"/>
  <c r="M276" i="19"/>
  <c r="K276" i="19"/>
  <c r="J276" i="19"/>
  <c r="H276" i="19"/>
  <c r="G276" i="19"/>
  <c r="E276" i="19"/>
  <c r="D276" i="19"/>
  <c r="O275" i="19"/>
  <c r="L275" i="19"/>
  <c r="I275" i="19"/>
  <c r="F275" i="19"/>
  <c r="O274" i="19"/>
  <c r="L274" i="19"/>
  <c r="I274" i="19"/>
  <c r="F274" i="19"/>
  <c r="O273" i="19"/>
  <c r="L273" i="19"/>
  <c r="L272" i="19" s="1"/>
  <c r="I273" i="19"/>
  <c r="I272" i="19" s="1"/>
  <c r="F273" i="19"/>
  <c r="N272" i="19"/>
  <c r="M272" i="19"/>
  <c r="K272" i="19"/>
  <c r="J272" i="19"/>
  <c r="J270" i="19" s="1"/>
  <c r="J269" i="19" s="1"/>
  <c r="H272" i="19"/>
  <c r="H270" i="19" s="1"/>
  <c r="G272" i="19"/>
  <c r="E272" i="19"/>
  <c r="D272" i="19"/>
  <c r="O271" i="19"/>
  <c r="L271" i="19"/>
  <c r="I271" i="19"/>
  <c r="F271" i="19"/>
  <c r="G270" i="19"/>
  <c r="G269" i="19" s="1"/>
  <c r="H269" i="19"/>
  <c r="O268" i="19"/>
  <c r="L268" i="19"/>
  <c r="I268" i="19"/>
  <c r="F268" i="19"/>
  <c r="O267" i="19"/>
  <c r="L267" i="19"/>
  <c r="I267" i="19"/>
  <c r="F267" i="19"/>
  <c r="O266" i="19"/>
  <c r="L266" i="19"/>
  <c r="I266" i="19"/>
  <c r="F266" i="19"/>
  <c r="O265" i="19"/>
  <c r="L265" i="19"/>
  <c r="I265" i="19"/>
  <c r="F265" i="19"/>
  <c r="N264" i="19"/>
  <c r="M264" i="19"/>
  <c r="K264" i="19"/>
  <c r="J264" i="19"/>
  <c r="H264" i="19"/>
  <c r="G264" i="19"/>
  <c r="E264" i="19"/>
  <c r="D264" i="19"/>
  <c r="O263" i="19"/>
  <c r="L263" i="19"/>
  <c r="I263" i="19"/>
  <c r="F263" i="19"/>
  <c r="O262" i="19"/>
  <c r="L262" i="19"/>
  <c r="I262" i="19"/>
  <c r="F262" i="19"/>
  <c r="O261" i="19"/>
  <c r="L261" i="19"/>
  <c r="I261" i="19"/>
  <c r="I260" i="19" s="1"/>
  <c r="F261" i="19"/>
  <c r="N260" i="19"/>
  <c r="N259" i="19" s="1"/>
  <c r="M260" i="19"/>
  <c r="K260" i="19"/>
  <c r="J260" i="19"/>
  <c r="H260" i="19"/>
  <c r="H259" i="19" s="1"/>
  <c r="G260" i="19"/>
  <c r="E260" i="19"/>
  <c r="D260" i="19"/>
  <c r="D259" i="19" s="1"/>
  <c r="K259" i="19"/>
  <c r="O258" i="19"/>
  <c r="L258" i="19"/>
  <c r="I258" i="19"/>
  <c r="F258" i="19"/>
  <c r="C258" i="19" s="1"/>
  <c r="O257" i="19"/>
  <c r="L257" i="19"/>
  <c r="I257" i="19"/>
  <c r="F257" i="19"/>
  <c r="O256" i="19"/>
  <c r="L256" i="19"/>
  <c r="I256" i="19"/>
  <c r="F256" i="19"/>
  <c r="O255" i="19"/>
  <c r="L255" i="19"/>
  <c r="I255" i="19"/>
  <c r="F255" i="19"/>
  <c r="O254" i="19"/>
  <c r="L254" i="19"/>
  <c r="I254" i="19"/>
  <c r="F254" i="19"/>
  <c r="O253" i="19"/>
  <c r="L253" i="19"/>
  <c r="I253" i="19"/>
  <c r="F253" i="19"/>
  <c r="N252" i="19"/>
  <c r="M252" i="19"/>
  <c r="M251" i="19" s="1"/>
  <c r="K252" i="19"/>
  <c r="K251" i="19" s="1"/>
  <c r="J252" i="19"/>
  <c r="H252" i="19"/>
  <c r="H251" i="19" s="1"/>
  <c r="G252" i="19"/>
  <c r="E252" i="19"/>
  <c r="E251" i="19" s="1"/>
  <c r="D252" i="19"/>
  <c r="N251" i="19"/>
  <c r="J251" i="19"/>
  <c r="G251" i="19"/>
  <c r="D251" i="19"/>
  <c r="O250" i="19"/>
  <c r="L250" i="19"/>
  <c r="I250" i="19"/>
  <c r="C250" i="19" s="1"/>
  <c r="F250" i="19"/>
  <c r="O249" i="19"/>
  <c r="L249" i="19"/>
  <c r="I249" i="19"/>
  <c r="F249" i="19"/>
  <c r="O248" i="19"/>
  <c r="L248" i="19"/>
  <c r="I248" i="19"/>
  <c r="F248" i="19"/>
  <c r="O247" i="19"/>
  <c r="L247" i="19"/>
  <c r="L246" i="19" s="1"/>
  <c r="I247" i="19"/>
  <c r="F247" i="19"/>
  <c r="N246" i="19"/>
  <c r="M246" i="19"/>
  <c r="K246" i="19"/>
  <c r="J246" i="19"/>
  <c r="H246" i="19"/>
  <c r="G246" i="19"/>
  <c r="E246" i="19"/>
  <c r="D246" i="19"/>
  <c r="O245" i="19"/>
  <c r="L245" i="19"/>
  <c r="I245" i="19"/>
  <c r="F245" i="19"/>
  <c r="O244" i="19"/>
  <c r="L244" i="19"/>
  <c r="I244" i="19"/>
  <c r="F244" i="19"/>
  <c r="O243" i="19"/>
  <c r="L243" i="19"/>
  <c r="I243" i="19"/>
  <c r="F243" i="19"/>
  <c r="O242" i="19"/>
  <c r="L242" i="19"/>
  <c r="I242" i="19"/>
  <c r="F242" i="19"/>
  <c r="O241" i="19"/>
  <c r="L241" i="19"/>
  <c r="I241" i="19"/>
  <c r="F241" i="19"/>
  <c r="O240" i="19"/>
  <c r="L240" i="19"/>
  <c r="I240" i="19"/>
  <c r="F240" i="19"/>
  <c r="O239" i="19"/>
  <c r="L239" i="19"/>
  <c r="L238" i="19" s="1"/>
  <c r="I239" i="19"/>
  <c r="F239" i="19"/>
  <c r="N238" i="19"/>
  <c r="M238" i="19"/>
  <c r="K238" i="19"/>
  <c r="J238" i="19"/>
  <c r="H238" i="19"/>
  <c r="G238" i="19"/>
  <c r="E238" i="19"/>
  <c r="D238" i="19"/>
  <c r="O237" i="19"/>
  <c r="L237" i="19"/>
  <c r="I237" i="19"/>
  <c r="F237" i="19"/>
  <c r="O236" i="19"/>
  <c r="O235" i="19" s="1"/>
  <c r="L236" i="19"/>
  <c r="L235" i="19" s="1"/>
  <c r="I236" i="19"/>
  <c r="F236" i="19"/>
  <c r="F235" i="19" s="1"/>
  <c r="N235" i="19"/>
  <c r="M235" i="19"/>
  <c r="K235" i="19"/>
  <c r="J235" i="19"/>
  <c r="H235" i="19"/>
  <c r="G235" i="19"/>
  <c r="E235" i="19"/>
  <c r="D235" i="19"/>
  <c r="O234" i="19"/>
  <c r="O233" i="19" s="1"/>
  <c r="L234" i="19"/>
  <c r="L233" i="19" s="1"/>
  <c r="I234" i="19"/>
  <c r="I233" i="19" s="1"/>
  <c r="F234" i="19"/>
  <c r="N233" i="19"/>
  <c r="N231" i="19" s="1"/>
  <c r="N230" i="19" s="1"/>
  <c r="M233" i="19"/>
  <c r="K233" i="19"/>
  <c r="J233" i="19"/>
  <c r="H233" i="19"/>
  <c r="G233" i="19"/>
  <c r="E233" i="19"/>
  <c r="E231" i="19" s="1"/>
  <c r="D233" i="19"/>
  <c r="O232" i="19"/>
  <c r="L232" i="19"/>
  <c r="I232" i="19"/>
  <c r="F232" i="19"/>
  <c r="J231" i="19"/>
  <c r="O229" i="19"/>
  <c r="L229" i="19"/>
  <c r="I229" i="19"/>
  <c r="F229" i="19"/>
  <c r="O228" i="19"/>
  <c r="L228" i="19"/>
  <c r="I228" i="19"/>
  <c r="I227" i="19" s="1"/>
  <c r="F228" i="19"/>
  <c r="F227" i="19" s="1"/>
  <c r="O227" i="19"/>
  <c r="N227" i="19"/>
  <c r="M227" i="19"/>
  <c r="L227" i="19"/>
  <c r="K227" i="19"/>
  <c r="J227" i="19"/>
  <c r="H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O219" i="19"/>
  <c r="L219" i="19"/>
  <c r="I219" i="19"/>
  <c r="F219" i="19"/>
  <c r="O218" i="19"/>
  <c r="L218" i="19"/>
  <c r="I218" i="19"/>
  <c r="F218" i="19"/>
  <c r="O217" i="19"/>
  <c r="L217" i="19"/>
  <c r="I217" i="19"/>
  <c r="F217" i="19"/>
  <c r="N216" i="19"/>
  <c r="M216" i="19"/>
  <c r="K216" i="19"/>
  <c r="J216" i="19"/>
  <c r="H216" i="19"/>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C211" i="19" s="1"/>
  <c r="O210" i="19"/>
  <c r="L210" i="19"/>
  <c r="I210" i="19"/>
  <c r="F210" i="19"/>
  <c r="C210" i="19" s="1"/>
  <c r="O209" i="19"/>
  <c r="L209" i="19"/>
  <c r="I209" i="19"/>
  <c r="F209" i="19"/>
  <c r="O208" i="19"/>
  <c r="L208" i="19"/>
  <c r="I208" i="19"/>
  <c r="F208" i="19"/>
  <c r="O207" i="19"/>
  <c r="L207" i="19"/>
  <c r="I207" i="19"/>
  <c r="F207" i="19"/>
  <c r="O206" i="19"/>
  <c r="L206" i="19"/>
  <c r="I206" i="19"/>
  <c r="F206" i="19"/>
  <c r="N205" i="19"/>
  <c r="M205" i="19"/>
  <c r="K205" i="19"/>
  <c r="K204" i="19" s="1"/>
  <c r="J205" i="19"/>
  <c r="H205" i="19"/>
  <c r="G205" i="19"/>
  <c r="G204" i="19" s="1"/>
  <c r="E205" i="19"/>
  <c r="E204" i="19" s="1"/>
  <c r="D205" i="19"/>
  <c r="O203" i="19"/>
  <c r="L203" i="19"/>
  <c r="I203" i="19"/>
  <c r="F203" i="19"/>
  <c r="O202" i="19"/>
  <c r="L202" i="19"/>
  <c r="I202" i="19"/>
  <c r="F202" i="19"/>
  <c r="O201" i="19"/>
  <c r="L201" i="19"/>
  <c r="I201" i="19"/>
  <c r="F201" i="19"/>
  <c r="O200" i="19"/>
  <c r="L200" i="19"/>
  <c r="I200" i="19"/>
  <c r="F200" i="19"/>
  <c r="O199" i="19"/>
  <c r="L199" i="19"/>
  <c r="L198" i="19" s="1"/>
  <c r="I199" i="19"/>
  <c r="F199" i="19"/>
  <c r="F198" i="19" s="1"/>
  <c r="O198" i="19"/>
  <c r="N198" i="19"/>
  <c r="N196" i="19" s="1"/>
  <c r="M198" i="19"/>
  <c r="K198" i="19"/>
  <c r="J198" i="19"/>
  <c r="J196" i="19" s="1"/>
  <c r="H198" i="19"/>
  <c r="H196" i="19" s="1"/>
  <c r="G198" i="19"/>
  <c r="G196" i="19" s="1"/>
  <c r="E198" i="19"/>
  <c r="E196" i="19" s="1"/>
  <c r="D198" i="19"/>
  <c r="O197" i="19"/>
  <c r="L197" i="19"/>
  <c r="I197" i="19"/>
  <c r="F197" i="19"/>
  <c r="M196" i="19"/>
  <c r="K196" i="19"/>
  <c r="D196" i="19"/>
  <c r="O193" i="19"/>
  <c r="L193" i="19"/>
  <c r="L192" i="19" s="1"/>
  <c r="L191" i="19" s="1"/>
  <c r="I193" i="19"/>
  <c r="I192" i="19" s="1"/>
  <c r="I191" i="19" s="1"/>
  <c r="F193" i="19"/>
  <c r="O192" i="19"/>
  <c r="O191" i="19" s="1"/>
  <c r="N192" i="19"/>
  <c r="M192" i="19"/>
  <c r="M191" i="19" s="1"/>
  <c r="K192" i="19"/>
  <c r="K191" i="19" s="1"/>
  <c r="J192" i="19"/>
  <c r="H192" i="19"/>
  <c r="H191" i="19" s="1"/>
  <c r="G192" i="19"/>
  <c r="G191" i="19" s="1"/>
  <c r="E192" i="19"/>
  <c r="E191" i="19" s="1"/>
  <c r="D192" i="19"/>
  <c r="D191" i="19" s="1"/>
  <c r="N191" i="19"/>
  <c r="J191" i="19"/>
  <c r="O190" i="19"/>
  <c r="L190" i="19"/>
  <c r="I190" i="19"/>
  <c r="F190" i="19"/>
  <c r="O189" i="19"/>
  <c r="O188" i="19" s="1"/>
  <c r="L189" i="19"/>
  <c r="I189" i="19"/>
  <c r="I188" i="19" s="1"/>
  <c r="F189" i="19"/>
  <c r="C189" i="19" s="1"/>
  <c r="N188" i="19"/>
  <c r="M188" i="19"/>
  <c r="K188" i="19"/>
  <c r="K187" i="19" s="1"/>
  <c r="J188" i="19"/>
  <c r="H188" i="19"/>
  <c r="G188" i="19"/>
  <c r="G187" i="19" s="1"/>
  <c r="F188" i="19"/>
  <c r="E188" i="19"/>
  <c r="D188" i="19"/>
  <c r="D187" i="19" s="1"/>
  <c r="O186" i="19"/>
  <c r="L186" i="19"/>
  <c r="I186" i="19"/>
  <c r="F186" i="19"/>
  <c r="O185" i="19"/>
  <c r="O184" i="19" s="1"/>
  <c r="L185" i="19"/>
  <c r="I185" i="19"/>
  <c r="I184" i="19" s="1"/>
  <c r="F185" i="19"/>
  <c r="N184" i="19"/>
  <c r="M184" i="19"/>
  <c r="K184" i="19"/>
  <c r="J184" i="19"/>
  <c r="H184" i="19"/>
  <c r="G184" i="19"/>
  <c r="F184" i="19"/>
  <c r="E184" i="19"/>
  <c r="D184" i="19"/>
  <c r="O183" i="19"/>
  <c r="L183" i="19"/>
  <c r="I183" i="19"/>
  <c r="F183" i="19"/>
  <c r="O182" i="19"/>
  <c r="L182" i="19"/>
  <c r="I182" i="19"/>
  <c r="F182" i="19"/>
  <c r="O181" i="19"/>
  <c r="L181" i="19"/>
  <c r="I181" i="19"/>
  <c r="F181" i="19"/>
  <c r="O180" i="19"/>
  <c r="L180" i="19"/>
  <c r="L179" i="19" s="1"/>
  <c r="I180" i="19"/>
  <c r="F180" i="19"/>
  <c r="N179" i="19"/>
  <c r="M179" i="19"/>
  <c r="K179" i="19"/>
  <c r="J179" i="19"/>
  <c r="H179" i="19"/>
  <c r="G179" i="19"/>
  <c r="E179" i="19"/>
  <c r="D179" i="19"/>
  <c r="O178" i="19"/>
  <c r="L178" i="19"/>
  <c r="I178" i="19"/>
  <c r="F178" i="19"/>
  <c r="O177" i="19"/>
  <c r="L177" i="19"/>
  <c r="I177" i="19"/>
  <c r="F177" i="19"/>
  <c r="O176" i="19"/>
  <c r="L176" i="19"/>
  <c r="I176" i="19"/>
  <c r="F176" i="19"/>
  <c r="N175" i="19"/>
  <c r="N174" i="19" s="1"/>
  <c r="N173" i="19" s="1"/>
  <c r="M175" i="19"/>
  <c r="K175" i="19"/>
  <c r="K174" i="19" s="1"/>
  <c r="J175" i="19"/>
  <c r="I175" i="19"/>
  <c r="H175" i="19"/>
  <c r="H174" i="19" s="1"/>
  <c r="G175" i="19"/>
  <c r="E175" i="19"/>
  <c r="D175" i="19"/>
  <c r="D174" i="19" s="1"/>
  <c r="J174" i="19"/>
  <c r="K173" i="19"/>
  <c r="O172" i="19"/>
  <c r="L172" i="19"/>
  <c r="I172" i="19"/>
  <c r="F172" i="19"/>
  <c r="O171" i="19"/>
  <c r="L171" i="19"/>
  <c r="I171" i="19"/>
  <c r="F171" i="19"/>
  <c r="O170" i="19"/>
  <c r="L170" i="19"/>
  <c r="I170" i="19"/>
  <c r="F170" i="19"/>
  <c r="O169" i="19"/>
  <c r="L169" i="19"/>
  <c r="I169" i="19"/>
  <c r="F169" i="19"/>
  <c r="O168" i="19"/>
  <c r="L168" i="19"/>
  <c r="I168" i="19"/>
  <c r="F168" i="19"/>
  <c r="O167" i="19"/>
  <c r="O166" i="19" s="1"/>
  <c r="L167" i="19"/>
  <c r="I167" i="19"/>
  <c r="F167" i="19"/>
  <c r="N166" i="19"/>
  <c r="N165" i="19" s="1"/>
  <c r="M166" i="19"/>
  <c r="K166" i="19"/>
  <c r="J166" i="19"/>
  <c r="J165" i="19" s="1"/>
  <c r="H166" i="19"/>
  <c r="H165" i="19" s="1"/>
  <c r="G166" i="19"/>
  <c r="G165" i="19" s="1"/>
  <c r="E166" i="19"/>
  <c r="E165" i="19" s="1"/>
  <c r="D166" i="19"/>
  <c r="D165" i="19" s="1"/>
  <c r="O165" i="19"/>
  <c r="M165" i="19"/>
  <c r="K165" i="19"/>
  <c r="O164" i="19"/>
  <c r="L164" i="19"/>
  <c r="I164" i="19"/>
  <c r="F164" i="19"/>
  <c r="O163" i="19"/>
  <c r="L163" i="19"/>
  <c r="I163" i="19"/>
  <c r="F163" i="19"/>
  <c r="O162" i="19"/>
  <c r="L162" i="19"/>
  <c r="I162" i="19"/>
  <c r="F162" i="19"/>
  <c r="O161" i="19"/>
  <c r="O160" i="19" s="1"/>
  <c r="L161" i="19"/>
  <c r="I161" i="19"/>
  <c r="I160" i="19" s="1"/>
  <c r="F161" i="19"/>
  <c r="N160" i="19"/>
  <c r="M160" i="19"/>
  <c r="K160" i="19"/>
  <c r="J160" i="19"/>
  <c r="H160" i="19"/>
  <c r="G160" i="19"/>
  <c r="E160" i="19"/>
  <c r="D160" i="19"/>
  <c r="O159" i="19"/>
  <c r="L159" i="19"/>
  <c r="I159" i="19"/>
  <c r="F159" i="19"/>
  <c r="O158" i="19"/>
  <c r="L158" i="19"/>
  <c r="I158" i="19"/>
  <c r="F158" i="19"/>
  <c r="O157" i="19"/>
  <c r="L157" i="19"/>
  <c r="I157" i="19"/>
  <c r="F157" i="19"/>
  <c r="O156" i="19"/>
  <c r="L156" i="19"/>
  <c r="I156" i="19"/>
  <c r="F156" i="19"/>
  <c r="O155" i="19"/>
  <c r="L155" i="19"/>
  <c r="I155" i="19"/>
  <c r="F155" i="19"/>
  <c r="O154" i="19"/>
  <c r="L154" i="19"/>
  <c r="I154" i="19"/>
  <c r="F154" i="19"/>
  <c r="O153" i="19"/>
  <c r="L153" i="19"/>
  <c r="I153" i="19"/>
  <c r="F153" i="19"/>
  <c r="C153" i="19" s="1"/>
  <c r="O152" i="19"/>
  <c r="L152" i="19"/>
  <c r="I152" i="19"/>
  <c r="F152" i="19"/>
  <c r="N151" i="19"/>
  <c r="M151" i="19"/>
  <c r="K151" i="19"/>
  <c r="J151" i="19"/>
  <c r="H151" i="19"/>
  <c r="G151" i="19"/>
  <c r="E151" i="19"/>
  <c r="D151" i="19"/>
  <c r="O150" i="19"/>
  <c r="L150" i="19"/>
  <c r="I150" i="19"/>
  <c r="F150" i="19"/>
  <c r="O149" i="19"/>
  <c r="L149" i="19"/>
  <c r="I149" i="19"/>
  <c r="F149" i="19"/>
  <c r="O148" i="19"/>
  <c r="L148" i="19"/>
  <c r="I148" i="19"/>
  <c r="F148" i="19"/>
  <c r="O147" i="19"/>
  <c r="L147" i="19"/>
  <c r="I147" i="19"/>
  <c r="F147" i="19"/>
  <c r="O146" i="19"/>
  <c r="L146" i="19"/>
  <c r="I146" i="19"/>
  <c r="F146" i="19"/>
  <c r="O145" i="19"/>
  <c r="L145" i="19"/>
  <c r="I145" i="19"/>
  <c r="F145" i="19"/>
  <c r="N144" i="19"/>
  <c r="M144" i="19"/>
  <c r="K144" i="19"/>
  <c r="J144" i="19"/>
  <c r="H144" i="19"/>
  <c r="G144" i="19"/>
  <c r="E144" i="19"/>
  <c r="D144" i="19"/>
  <c r="O143" i="19"/>
  <c r="L143" i="19"/>
  <c r="I143" i="19"/>
  <c r="F143" i="19"/>
  <c r="O142" i="19"/>
  <c r="L142" i="19"/>
  <c r="L141" i="19" s="1"/>
  <c r="I142" i="19"/>
  <c r="F142" i="19"/>
  <c r="F141" i="19" s="1"/>
  <c r="O141" i="19"/>
  <c r="N141" i="19"/>
  <c r="M141" i="19"/>
  <c r="K141" i="19"/>
  <c r="J141" i="19"/>
  <c r="H141" i="19"/>
  <c r="G141" i="19"/>
  <c r="E141" i="19"/>
  <c r="D141" i="19"/>
  <c r="O140" i="19"/>
  <c r="L140" i="19"/>
  <c r="I140" i="19"/>
  <c r="F140" i="19"/>
  <c r="O139" i="19"/>
  <c r="L139" i="19"/>
  <c r="I139" i="19"/>
  <c r="F139" i="19"/>
  <c r="O138" i="19"/>
  <c r="L138" i="19"/>
  <c r="I138" i="19"/>
  <c r="F138" i="19"/>
  <c r="O137" i="19"/>
  <c r="O136" i="19" s="1"/>
  <c r="L137" i="19"/>
  <c r="I137" i="19"/>
  <c r="I136" i="19" s="1"/>
  <c r="F137" i="19"/>
  <c r="N136" i="19"/>
  <c r="M136" i="19"/>
  <c r="L136" i="19"/>
  <c r="K136" i="19"/>
  <c r="J136" i="19"/>
  <c r="H136" i="19"/>
  <c r="G136" i="19"/>
  <c r="E136" i="19"/>
  <c r="D136" i="19"/>
  <c r="O135" i="19"/>
  <c r="L135" i="19"/>
  <c r="I135" i="19"/>
  <c r="F135" i="19"/>
  <c r="O134" i="19"/>
  <c r="L134" i="19"/>
  <c r="I134" i="19"/>
  <c r="F134" i="19"/>
  <c r="O133" i="19"/>
  <c r="L133" i="19"/>
  <c r="I133" i="19"/>
  <c r="F133" i="19"/>
  <c r="O132" i="19"/>
  <c r="L132" i="19"/>
  <c r="I132" i="19"/>
  <c r="F132" i="19"/>
  <c r="N131" i="19"/>
  <c r="M131" i="19"/>
  <c r="K131" i="19"/>
  <c r="J131" i="19"/>
  <c r="H131" i="19"/>
  <c r="G131" i="19"/>
  <c r="E131" i="19"/>
  <c r="E130" i="19" s="1"/>
  <c r="D131" i="19"/>
  <c r="N130" i="19"/>
  <c r="O129" i="19"/>
  <c r="O128" i="19" s="1"/>
  <c r="L129" i="19"/>
  <c r="L128" i="19" s="1"/>
  <c r="I129" i="19"/>
  <c r="I128" i="19" s="1"/>
  <c r="F129" i="19"/>
  <c r="F128" i="19" s="1"/>
  <c r="N128" i="19"/>
  <c r="M128" i="19"/>
  <c r="K128" i="19"/>
  <c r="J128" i="19"/>
  <c r="H128" i="19"/>
  <c r="G128" i="19"/>
  <c r="E128" i="19"/>
  <c r="D128" i="19"/>
  <c r="O127" i="19"/>
  <c r="L127" i="19"/>
  <c r="I127" i="19"/>
  <c r="F127" i="19"/>
  <c r="O126" i="19"/>
  <c r="L126" i="19"/>
  <c r="I126" i="19"/>
  <c r="F126" i="19"/>
  <c r="O125" i="19"/>
  <c r="L125" i="19"/>
  <c r="I125" i="19"/>
  <c r="F125" i="19"/>
  <c r="O124" i="19"/>
  <c r="L124" i="19"/>
  <c r="I124" i="19"/>
  <c r="F124" i="19"/>
  <c r="O123" i="19"/>
  <c r="O122" i="19" s="1"/>
  <c r="L123" i="19"/>
  <c r="I123" i="19"/>
  <c r="F123" i="19"/>
  <c r="F122" i="19" s="1"/>
  <c r="N122" i="19"/>
  <c r="M122" i="19"/>
  <c r="K122" i="19"/>
  <c r="J122" i="19"/>
  <c r="H122" i="19"/>
  <c r="G122" i="19"/>
  <c r="E122" i="19"/>
  <c r="D122" i="19"/>
  <c r="O121" i="19"/>
  <c r="L121" i="19"/>
  <c r="I121" i="19"/>
  <c r="F121" i="19"/>
  <c r="O120" i="19"/>
  <c r="L120" i="19"/>
  <c r="I120" i="19"/>
  <c r="F120" i="19"/>
  <c r="O119" i="19"/>
  <c r="L119" i="19"/>
  <c r="I119" i="19"/>
  <c r="F119" i="19"/>
  <c r="O118" i="19"/>
  <c r="L118" i="19"/>
  <c r="I118" i="19"/>
  <c r="F118" i="19"/>
  <c r="O117" i="19"/>
  <c r="L117" i="19"/>
  <c r="I117" i="19"/>
  <c r="F117" i="19"/>
  <c r="F116" i="19" s="1"/>
  <c r="N116" i="19"/>
  <c r="M116" i="19"/>
  <c r="K116" i="19"/>
  <c r="J116" i="19"/>
  <c r="H116" i="19"/>
  <c r="G116" i="19"/>
  <c r="E116" i="19"/>
  <c r="D116" i="19"/>
  <c r="O115" i="19"/>
  <c r="L115" i="19"/>
  <c r="I115" i="19"/>
  <c r="F115" i="19"/>
  <c r="O114" i="19"/>
  <c r="L114" i="19"/>
  <c r="I114" i="19"/>
  <c r="F114" i="19"/>
  <c r="O113" i="19"/>
  <c r="L113" i="19"/>
  <c r="L112" i="19" s="1"/>
  <c r="I113" i="19"/>
  <c r="F113" i="19"/>
  <c r="N112" i="19"/>
  <c r="M112" i="19"/>
  <c r="K112" i="19"/>
  <c r="J112" i="19"/>
  <c r="H112" i="19"/>
  <c r="G112" i="19"/>
  <c r="E112" i="19"/>
  <c r="D112" i="19"/>
  <c r="O111" i="19"/>
  <c r="L111" i="19"/>
  <c r="I111" i="19"/>
  <c r="F111" i="19"/>
  <c r="O110" i="19"/>
  <c r="L110" i="19"/>
  <c r="I110" i="19"/>
  <c r="F110" i="19"/>
  <c r="O109" i="19"/>
  <c r="L109" i="19"/>
  <c r="I109" i="19"/>
  <c r="F109" i="19"/>
  <c r="O108" i="19"/>
  <c r="L108" i="19"/>
  <c r="I108" i="19"/>
  <c r="F108" i="19"/>
  <c r="O107" i="19"/>
  <c r="L107" i="19"/>
  <c r="I107" i="19"/>
  <c r="F107" i="19"/>
  <c r="O106" i="19"/>
  <c r="L106" i="19"/>
  <c r="I106" i="19"/>
  <c r="F106" i="19"/>
  <c r="O105" i="19"/>
  <c r="L105" i="19"/>
  <c r="I105" i="19"/>
  <c r="F105" i="19"/>
  <c r="O104" i="19"/>
  <c r="L104" i="19"/>
  <c r="I104" i="19"/>
  <c r="F104" i="19"/>
  <c r="O103" i="19"/>
  <c r="N103" i="19"/>
  <c r="M103" i="19"/>
  <c r="K103" i="19"/>
  <c r="J103" i="19"/>
  <c r="H103" i="19"/>
  <c r="G103" i="19"/>
  <c r="E103" i="19"/>
  <c r="D103" i="19"/>
  <c r="O102" i="19"/>
  <c r="L102" i="19"/>
  <c r="I102" i="19"/>
  <c r="F102" i="19"/>
  <c r="O101" i="19"/>
  <c r="L101" i="19"/>
  <c r="I101" i="19"/>
  <c r="F101" i="19"/>
  <c r="O100" i="19"/>
  <c r="L100" i="19"/>
  <c r="I100" i="19"/>
  <c r="F100" i="19"/>
  <c r="O99" i="19"/>
  <c r="L99" i="19"/>
  <c r="I99" i="19"/>
  <c r="F99" i="19"/>
  <c r="O98" i="19"/>
  <c r="L98" i="19"/>
  <c r="I98" i="19"/>
  <c r="F98" i="19"/>
  <c r="O97" i="19"/>
  <c r="L97" i="19"/>
  <c r="I97" i="19"/>
  <c r="F97" i="19"/>
  <c r="O96" i="19"/>
  <c r="L96" i="19"/>
  <c r="I96" i="19"/>
  <c r="F96" i="19"/>
  <c r="N95" i="19"/>
  <c r="M95" i="19"/>
  <c r="K95" i="19"/>
  <c r="J95" i="19"/>
  <c r="H95" i="19"/>
  <c r="G95" i="19"/>
  <c r="E95" i="19"/>
  <c r="D95" i="19"/>
  <c r="O94" i="19"/>
  <c r="L94" i="19"/>
  <c r="I94" i="19"/>
  <c r="F94" i="19"/>
  <c r="O93" i="19"/>
  <c r="L93" i="19"/>
  <c r="I93" i="19"/>
  <c r="F93" i="19"/>
  <c r="O92" i="19"/>
  <c r="L92" i="19"/>
  <c r="I92" i="19"/>
  <c r="F92" i="19"/>
  <c r="O91" i="19"/>
  <c r="L91" i="19"/>
  <c r="I91" i="19"/>
  <c r="F91" i="19"/>
  <c r="O90" i="19"/>
  <c r="L90" i="19"/>
  <c r="I90" i="19"/>
  <c r="I89" i="19" s="1"/>
  <c r="F90" i="19"/>
  <c r="N89" i="19"/>
  <c r="M89" i="19"/>
  <c r="K89" i="19"/>
  <c r="J89" i="19"/>
  <c r="H89" i="19"/>
  <c r="G89" i="19"/>
  <c r="E89" i="19"/>
  <c r="D89" i="19"/>
  <c r="O88" i="19"/>
  <c r="L88" i="19"/>
  <c r="I88" i="19"/>
  <c r="F88" i="19"/>
  <c r="O87" i="19"/>
  <c r="L87" i="19"/>
  <c r="I87" i="19"/>
  <c r="C87" i="19" s="1"/>
  <c r="F87" i="19"/>
  <c r="O86" i="19"/>
  <c r="L86" i="19"/>
  <c r="I86" i="19"/>
  <c r="F86" i="19"/>
  <c r="O85" i="19"/>
  <c r="L85" i="19"/>
  <c r="I85" i="19"/>
  <c r="F85" i="19"/>
  <c r="F84" i="19" s="1"/>
  <c r="N84" i="19"/>
  <c r="M84" i="19"/>
  <c r="K84" i="19"/>
  <c r="J84" i="19"/>
  <c r="H84" i="19"/>
  <c r="G84" i="19"/>
  <c r="E84" i="19"/>
  <c r="D84" i="19"/>
  <c r="O82" i="19"/>
  <c r="L82" i="19"/>
  <c r="I82" i="19"/>
  <c r="F82" i="19"/>
  <c r="O81" i="19"/>
  <c r="L81" i="19"/>
  <c r="L80" i="19" s="1"/>
  <c r="I81" i="19"/>
  <c r="F81" i="19"/>
  <c r="O80" i="19"/>
  <c r="N80" i="19"/>
  <c r="M80" i="19"/>
  <c r="K80" i="19"/>
  <c r="J80" i="19"/>
  <c r="H80" i="19"/>
  <c r="G80" i="19"/>
  <c r="F80" i="19"/>
  <c r="E80" i="19"/>
  <c r="D80" i="19"/>
  <c r="O79" i="19"/>
  <c r="L79" i="19"/>
  <c r="I79" i="19"/>
  <c r="F79" i="19"/>
  <c r="O78" i="19"/>
  <c r="L78" i="19"/>
  <c r="I78" i="19"/>
  <c r="I77" i="19" s="1"/>
  <c r="F78" i="19"/>
  <c r="N77" i="19"/>
  <c r="M77" i="19"/>
  <c r="K77" i="19"/>
  <c r="K76" i="19" s="1"/>
  <c r="J77" i="19"/>
  <c r="J76" i="19" s="1"/>
  <c r="H77" i="19"/>
  <c r="G77" i="19"/>
  <c r="G76" i="19" s="1"/>
  <c r="E77" i="19"/>
  <c r="E76" i="19" s="1"/>
  <c r="D77" i="19"/>
  <c r="D76" i="19" s="1"/>
  <c r="O74" i="19"/>
  <c r="L74" i="19"/>
  <c r="I74" i="19"/>
  <c r="F74" i="19"/>
  <c r="O73" i="19"/>
  <c r="L73" i="19"/>
  <c r="I73" i="19"/>
  <c r="F73" i="19"/>
  <c r="O72" i="19"/>
  <c r="L72" i="19"/>
  <c r="I72" i="19"/>
  <c r="F72" i="19"/>
  <c r="O71" i="19"/>
  <c r="L71" i="19"/>
  <c r="I71" i="19"/>
  <c r="F71" i="19"/>
  <c r="O70" i="19"/>
  <c r="L70" i="19"/>
  <c r="L69" i="19" s="1"/>
  <c r="I70" i="19"/>
  <c r="F70" i="19"/>
  <c r="N69" i="19"/>
  <c r="M69" i="19"/>
  <c r="M67" i="19" s="1"/>
  <c r="K69" i="19"/>
  <c r="J69" i="19"/>
  <c r="J67" i="19" s="1"/>
  <c r="H69" i="19"/>
  <c r="H67" i="19" s="1"/>
  <c r="G69" i="19"/>
  <c r="G67" i="19" s="1"/>
  <c r="E69" i="19"/>
  <c r="E67" i="19" s="1"/>
  <c r="D69" i="19"/>
  <c r="D67" i="19" s="1"/>
  <c r="O68" i="19"/>
  <c r="L68" i="19"/>
  <c r="I68" i="19"/>
  <c r="F68" i="19"/>
  <c r="N67" i="19"/>
  <c r="K67"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I59" i="19"/>
  <c r="F59" i="19"/>
  <c r="N58" i="19"/>
  <c r="M58" i="19"/>
  <c r="K58" i="19"/>
  <c r="J58" i="19"/>
  <c r="H58" i="19"/>
  <c r="G58" i="19"/>
  <c r="E58" i="19"/>
  <c r="D58" i="19"/>
  <c r="O57" i="19"/>
  <c r="L57" i="19"/>
  <c r="I57" i="19"/>
  <c r="F57" i="19"/>
  <c r="O56" i="19"/>
  <c r="L56" i="19"/>
  <c r="L55" i="19" s="1"/>
  <c r="I56" i="19"/>
  <c r="F56" i="19"/>
  <c r="O55" i="19"/>
  <c r="N55" i="19"/>
  <c r="N54" i="19" s="1"/>
  <c r="N53" i="19" s="1"/>
  <c r="M55" i="19"/>
  <c r="K55" i="19"/>
  <c r="K54" i="19" s="1"/>
  <c r="K53" i="19" s="1"/>
  <c r="J55" i="19"/>
  <c r="H55" i="19"/>
  <c r="G55" i="19"/>
  <c r="F55" i="19"/>
  <c r="E55" i="19"/>
  <c r="E54" i="19" s="1"/>
  <c r="D55" i="19"/>
  <c r="M54" i="19"/>
  <c r="M53" i="19" s="1"/>
  <c r="H54" i="19"/>
  <c r="O47" i="19"/>
  <c r="C47" i="19" s="1"/>
  <c r="O46" i="19"/>
  <c r="N45" i="19"/>
  <c r="M45" i="19"/>
  <c r="L44" i="19"/>
  <c r="L43" i="19" s="1"/>
  <c r="I44" i="19"/>
  <c r="I43" i="19" s="1"/>
  <c r="F44" i="19"/>
  <c r="K43" i="19"/>
  <c r="J43" i="19"/>
  <c r="H43" i="19"/>
  <c r="G43" i="19"/>
  <c r="E43" i="19"/>
  <c r="D43" i="19"/>
  <c r="F42" i="19"/>
  <c r="E41" i="19"/>
  <c r="D41" i="19"/>
  <c r="L40" i="19"/>
  <c r="C40" i="19" s="1"/>
  <c r="L39" i="19"/>
  <c r="C39" i="19" s="1"/>
  <c r="L38" i="19"/>
  <c r="C38" i="19" s="1"/>
  <c r="L37" i="19"/>
  <c r="K36" i="19"/>
  <c r="J36" i="19"/>
  <c r="L35" i="19"/>
  <c r="C35" i="19" s="1"/>
  <c r="L34" i="19"/>
  <c r="K33" i="19"/>
  <c r="J33" i="19"/>
  <c r="L32" i="19"/>
  <c r="C32" i="19" s="1"/>
  <c r="K31" i="19"/>
  <c r="J31" i="19"/>
  <c r="L30" i="19"/>
  <c r="C30" i="19" s="1"/>
  <c r="L29" i="19"/>
  <c r="C29" i="19" s="1"/>
  <c r="L28" i="19"/>
  <c r="K27" i="19"/>
  <c r="K26" i="19" s="1"/>
  <c r="J27" i="19"/>
  <c r="J26" i="19" s="1"/>
  <c r="F25" i="19"/>
  <c r="C25" i="19" s="1"/>
  <c r="I24" i="19"/>
  <c r="F24" i="19"/>
  <c r="O23" i="19"/>
  <c r="L23" i="19"/>
  <c r="I23" i="19"/>
  <c r="F23" i="19"/>
  <c r="O22" i="19"/>
  <c r="O21" i="19" s="1"/>
  <c r="L22" i="19"/>
  <c r="L21" i="19" s="1"/>
  <c r="I22" i="19"/>
  <c r="F22" i="19"/>
  <c r="N21" i="19"/>
  <c r="N292" i="19" s="1"/>
  <c r="N291" i="19" s="1"/>
  <c r="M21" i="19"/>
  <c r="M292" i="19" s="1"/>
  <c r="M291" i="19" s="1"/>
  <c r="K21" i="19"/>
  <c r="K292" i="19" s="1"/>
  <c r="K291" i="19" s="1"/>
  <c r="J21" i="19"/>
  <c r="J292" i="19" s="1"/>
  <c r="J291" i="19" s="1"/>
  <c r="I21" i="19"/>
  <c r="I20" i="19" s="1"/>
  <c r="H21" i="19"/>
  <c r="G21" i="19"/>
  <c r="G292" i="19" s="1"/>
  <c r="G291" i="19" s="1"/>
  <c r="F21" i="19"/>
  <c r="F292" i="19" s="1"/>
  <c r="E21" i="19"/>
  <c r="E292" i="19" s="1"/>
  <c r="E291" i="19" s="1"/>
  <c r="D21" i="19"/>
  <c r="N20" i="19"/>
  <c r="G20" i="19"/>
  <c r="C161" i="19" l="1"/>
  <c r="C237" i="19"/>
  <c r="C239" i="19"/>
  <c r="C274" i="19"/>
  <c r="C275" i="19"/>
  <c r="C298" i="19"/>
  <c r="C299" i="19"/>
  <c r="C300" i="19"/>
  <c r="C91" i="19"/>
  <c r="C119" i="19"/>
  <c r="C213" i="19"/>
  <c r="C214" i="19"/>
  <c r="C242" i="19"/>
  <c r="C79" i="19"/>
  <c r="C111" i="19"/>
  <c r="C133" i="19"/>
  <c r="C22" i="19"/>
  <c r="C24" i="19"/>
  <c r="C71" i="19"/>
  <c r="C164" i="19"/>
  <c r="C169" i="19"/>
  <c r="C185" i="19"/>
  <c r="D270" i="19"/>
  <c r="D269" i="19" s="1"/>
  <c r="C56" i="19"/>
  <c r="C278" i="19"/>
  <c r="C59" i="19"/>
  <c r="C93" i="19"/>
  <c r="L131" i="19"/>
  <c r="H76" i="19"/>
  <c r="N76" i="19"/>
  <c r="C149" i="19"/>
  <c r="C150" i="19"/>
  <c r="K83" i="19"/>
  <c r="C118" i="19"/>
  <c r="O151" i="19"/>
  <c r="C222" i="19"/>
  <c r="C224" i="19"/>
  <c r="C266" i="19"/>
  <c r="L31" i="19"/>
  <c r="C31" i="19" s="1"/>
  <c r="M83" i="19"/>
  <c r="C115" i="19"/>
  <c r="O131" i="19"/>
  <c r="C147" i="19"/>
  <c r="O179" i="19"/>
  <c r="E187" i="19"/>
  <c r="M231" i="19"/>
  <c r="K270" i="19"/>
  <c r="C282" i="19"/>
  <c r="C296" i="19"/>
  <c r="D54" i="19"/>
  <c r="D53" i="19" s="1"/>
  <c r="J54" i="19"/>
  <c r="J53" i="19" s="1"/>
  <c r="C68" i="19"/>
  <c r="O69" i="19"/>
  <c r="O67" i="19" s="1"/>
  <c r="C86" i="19"/>
  <c r="O84" i="19"/>
  <c r="O89" i="19"/>
  <c r="L144" i="19"/>
  <c r="C177" i="19"/>
  <c r="M187" i="19"/>
  <c r="C202" i="19"/>
  <c r="O264" i="19"/>
  <c r="C63" i="19"/>
  <c r="C99" i="19"/>
  <c r="C102" i="19"/>
  <c r="C123" i="19"/>
  <c r="C125" i="19"/>
  <c r="C127" i="19"/>
  <c r="I131" i="19"/>
  <c r="C138" i="19"/>
  <c r="C140" i="19"/>
  <c r="F160" i="19"/>
  <c r="C183" i="19"/>
  <c r="C208" i="19"/>
  <c r="C226" i="19"/>
  <c r="O238" i="19"/>
  <c r="O246" i="19"/>
  <c r="J259" i="19"/>
  <c r="N270" i="19"/>
  <c r="N269" i="19" s="1"/>
  <c r="C137" i="19"/>
  <c r="F136" i="19"/>
  <c r="L260" i="19"/>
  <c r="C109" i="19"/>
  <c r="C113" i="19"/>
  <c r="L166" i="19"/>
  <c r="L165" i="19" s="1"/>
  <c r="L188" i="19"/>
  <c r="L187" i="19" s="1"/>
  <c r="I205" i="19"/>
  <c r="C206" i="19"/>
  <c r="C218" i="19"/>
  <c r="C234" i="19"/>
  <c r="K269" i="19"/>
  <c r="I293" i="19"/>
  <c r="C294" i="19"/>
  <c r="C44" i="19"/>
  <c r="J130" i="19"/>
  <c r="I144" i="19"/>
  <c r="C145" i="19"/>
  <c r="C157" i="19"/>
  <c r="H187" i="19"/>
  <c r="N187" i="19"/>
  <c r="O252" i="19"/>
  <c r="O251" i="19" s="1"/>
  <c r="C262" i="19"/>
  <c r="L276" i="19"/>
  <c r="K20" i="19"/>
  <c r="E20" i="19"/>
  <c r="M20" i="19"/>
  <c r="J83" i="19"/>
  <c r="J75" i="19" s="1"/>
  <c r="C181" i="19"/>
  <c r="L231" i="19"/>
  <c r="G259" i="19"/>
  <c r="I264" i="19"/>
  <c r="C23" i="19"/>
  <c r="G54" i="19"/>
  <c r="G53" i="19" s="1"/>
  <c r="E53" i="19"/>
  <c r="C74" i="19"/>
  <c r="M76" i="19"/>
  <c r="L77" i="19"/>
  <c r="L76" i="19" s="1"/>
  <c r="C92" i="19"/>
  <c r="C101" i="19"/>
  <c r="F103" i="19"/>
  <c r="C107" i="19"/>
  <c r="C108" i="19"/>
  <c r="F112" i="19"/>
  <c r="O112" i="19"/>
  <c r="L122" i="19"/>
  <c r="G130" i="19"/>
  <c r="K130" i="19"/>
  <c r="K75" i="19" s="1"/>
  <c r="K52" i="19" s="1"/>
  <c r="C134" i="19"/>
  <c r="D130" i="19"/>
  <c r="C139" i="19"/>
  <c r="C156" i="19"/>
  <c r="C163" i="19"/>
  <c r="C168" i="19"/>
  <c r="E174" i="19"/>
  <c r="E173" i="19" s="1"/>
  <c r="O175" i="19"/>
  <c r="O174" i="19" s="1"/>
  <c r="O173" i="19" s="1"/>
  <c r="J187" i="19"/>
  <c r="O187" i="19"/>
  <c r="O196" i="19"/>
  <c r="H204" i="19"/>
  <c r="H195" i="19" s="1"/>
  <c r="L205" i="19"/>
  <c r="C212" i="19"/>
  <c r="C215" i="19"/>
  <c r="O216" i="19"/>
  <c r="F233" i="19"/>
  <c r="K231" i="19"/>
  <c r="K230" i="19" s="1"/>
  <c r="C243" i="19"/>
  <c r="C245" i="19"/>
  <c r="C255" i="19"/>
  <c r="C257" i="19"/>
  <c r="O260" i="19"/>
  <c r="L264" i="19"/>
  <c r="O276" i="19"/>
  <c r="C287" i="19"/>
  <c r="C288" i="19"/>
  <c r="L293" i="19"/>
  <c r="H53" i="19"/>
  <c r="C64" i="19"/>
  <c r="C66" i="19"/>
  <c r="C73" i="19"/>
  <c r="C82" i="19"/>
  <c r="E83" i="19"/>
  <c r="E75" i="19" s="1"/>
  <c r="C100" i="19"/>
  <c r="G83" i="19"/>
  <c r="G75" i="19" s="1"/>
  <c r="C110" i="19"/>
  <c r="C114" i="19"/>
  <c r="C121" i="19"/>
  <c r="C135" i="19"/>
  <c r="L151" i="19"/>
  <c r="C155" i="19"/>
  <c r="C158" i="19"/>
  <c r="H130" i="19"/>
  <c r="L160" i="19"/>
  <c r="C172" i="19"/>
  <c r="J173" i="19"/>
  <c r="G174" i="19"/>
  <c r="G173" i="19" s="1"/>
  <c r="C201" i="19"/>
  <c r="D204" i="19"/>
  <c r="D195" i="19" s="1"/>
  <c r="C221" i="19"/>
  <c r="O231" i="19"/>
  <c r="C244" i="19"/>
  <c r="C256" i="19"/>
  <c r="I286" i="19"/>
  <c r="I292" i="19" s="1"/>
  <c r="L58" i="19"/>
  <c r="L54" i="19" s="1"/>
  <c r="C65" i="19"/>
  <c r="C72" i="19"/>
  <c r="O77" i="19"/>
  <c r="O76" i="19" s="1"/>
  <c r="N83" i="19"/>
  <c r="N75" i="19" s="1"/>
  <c r="N52" i="19" s="1"/>
  <c r="C88" i="19"/>
  <c r="C94" i="19"/>
  <c r="F95" i="19"/>
  <c r="C98" i="19"/>
  <c r="O95" i="19"/>
  <c r="I112" i="19"/>
  <c r="O116" i="19"/>
  <c r="L116" i="19"/>
  <c r="D83" i="19"/>
  <c r="H83" i="19"/>
  <c r="C146" i="19"/>
  <c r="C159" i="19"/>
  <c r="C171" i="19"/>
  <c r="C182" i="19"/>
  <c r="L184" i="19"/>
  <c r="I187" i="19"/>
  <c r="K195" i="19"/>
  <c r="G195" i="19"/>
  <c r="C203" i="19"/>
  <c r="E195" i="19"/>
  <c r="M204" i="19"/>
  <c r="M195" i="19" s="1"/>
  <c r="C223" i="19"/>
  <c r="C225" i="19"/>
  <c r="C228" i="19"/>
  <c r="C229" i="19"/>
  <c r="D231" i="19"/>
  <c r="D230" i="19" s="1"/>
  <c r="H231" i="19"/>
  <c r="H230" i="19" s="1"/>
  <c r="L252" i="19"/>
  <c r="L251" i="19" s="1"/>
  <c r="M259" i="19"/>
  <c r="C267" i="19"/>
  <c r="L270" i="19"/>
  <c r="L269" i="19" s="1"/>
  <c r="C280" i="19"/>
  <c r="D292" i="19"/>
  <c r="D291" i="19" s="1"/>
  <c r="D20" i="19"/>
  <c r="H292" i="19"/>
  <c r="H291" i="19" s="1"/>
  <c r="H20" i="19"/>
  <c r="C28" i="19"/>
  <c r="L27" i="19"/>
  <c r="C96" i="19"/>
  <c r="L95" i="19"/>
  <c r="C34" i="19"/>
  <c r="L33" i="19"/>
  <c r="C33" i="19" s="1"/>
  <c r="C37" i="19"/>
  <c r="L36" i="19"/>
  <c r="C36" i="19" s="1"/>
  <c r="C46" i="19"/>
  <c r="O45" i="19"/>
  <c r="C57" i="19"/>
  <c r="I55" i="19"/>
  <c r="O58" i="19"/>
  <c r="O54" i="19" s="1"/>
  <c r="O53" i="19" s="1"/>
  <c r="L67" i="19"/>
  <c r="C78" i="19"/>
  <c r="F77" i="19"/>
  <c r="I80" i="19"/>
  <c r="I76" i="19" s="1"/>
  <c r="C81" i="19"/>
  <c r="L89" i="19"/>
  <c r="J20" i="19"/>
  <c r="C70" i="19"/>
  <c r="F69" i="19"/>
  <c r="C60" i="19"/>
  <c r="I84" i="19"/>
  <c r="C85" i="19"/>
  <c r="C105" i="19"/>
  <c r="I103" i="19"/>
  <c r="L292" i="19"/>
  <c r="L291" i="19" s="1"/>
  <c r="C21" i="19"/>
  <c r="F43" i="19"/>
  <c r="C43" i="19" s="1"/>
  <c r="C62" i="19"/>
  <c r="F58" i="19"/>
  <c r="O292" i="19"/>
  <c r="O291" i="19" s="1"/>
  <c r="O20" i="19"/>
  <c r="C42" i="19"/>
  <c r="F41" i="19"/>
  <c r="C61" i="19"/>
  <c r="I58" i="19"/>
  <c r="I69" i="19"/>
  <c r="I67" i="19" s="1"/>
  <c r="L84" i="19"/>
  <c r="C90" i="19"/>
  <c r="F89" i="19"/>
  <c r="C89" i="19" s="1"/>
  <c r="C97" i="19"/>
  <c r="I95" i="19"/>
  <c r="C95" i="19" s="1"/>
  <c r="C104" i="19"/>
  <c r="L103" i="19"/>
  <c r="C148" i="19"/>
  <c r="F144" i="19"/>
  <c r="C254" i="19"/>
  <c r="C301" i="19"/>
  <c r="M130" i="19"/>
  <c r="M75" i="19" s="1"/>
  <c r="I151" i="19"/>
  <c r="H173" i="19"/>
  <c r="C176" i="19"/>
  <c r="F175" i="19"/>
  <c r="C220" i="19"/>
  <c r="I216" i="19"/>
  <c r="I204" i="19" s="1"/>
  <c r="C200" i="19"/>
  <c r="I198" i="19"/>
  <c r="C253" i="19"/>
  <c r="F252" i="19"/>
  <c r="I116" i="19"/>
  <c r="C116" i="19" s="1"/>
  <c r="C120" i="19"/>
  <c r="C124" i="19"/>
  <c r="C128" i="19"/>
  <c r="C129" i="19"/>
  <c r="C152" i="19"/>
  <c r="F151" i="19"/>
  <c r="C151" i="19" s="1"/>
  <c r="C160" i="19"/>
  <c r="C178" i="19"/>
  <c r="I179" i="19"/>
  <c r="I174" i="19" s="1"/>
  <c r="I173" i="19" s="1"/>
  <c r="C184" i="19"/>
  <c r="F192" i="19"/>
  <c r="C193" i="19"/>
  <c r="C248" i="19"/>
  <c r="I246" i="19"/>
  <c r="C265" i="19"/>
  <c r="F264" i="19"/>
  <c r="C264" i="19" s="1"/>
  <c r="C117" i="19"/>
  <c r="C132" i="19"/>
  <c r="F131" i="19"/>
  <c r="C273" i="19"/>
  <c r="F272" i="19"/>
  <c r="C106" i="19"/>
  <c r="I122" i="19"/>
  <c r="C126" i="19"/>
  <c r="C136" i="19"/>
  <c r="C143" i="19"/>
  <c r="I141" i="19"/>
  <c r="C141" i="19" s="1"/>
  <c r="O144" i="19"/>
  <c r="O130" i="19" s="1"/>
  <c r="C154" i="19"/>
  <c r="C162" i="19"/>
  <c r="F166" i="19"/>
  <c r="I166" i="19"/>
  <c r="I165" i="19" s="1"/>
  <c r="C167" i="19"/>
  <c r="C170" i="19"/>
  <c r="D173" i="19"/>
  <c r="M174" i="19"/>
  <c r="M173" i="19" s="1"/>
  <c r="L175" i="19"/>
  <c r="L174" i="19" s="1"/>
  <c r="C180" i="19"/>
  <c r="F179" i="19"/>
  <c r="C179" i="19" s="1"/>
  <c r="C186" i="19"/>
  <c r="C190" i="19"/>
  <c r="C241" i="19"/>
  <c r="F238" i="19"/>
  <c r="C142" i="19"/>
  <c r="C197" i="19"/>
  <c r="F196" i="19"/>
  <c r="J204" i="19"/>
  <c r="J195" i="19" s="1"/>
  <c r="N204" i="19"/>
  <c r="N195" i="19" s="1"/>
  <c r="N194" i="19" s="1"/>
  <c r="L216" i="19"/>
  <c r="G231" i="19"/>
  <c r="G230" i="19" s="1"/>
  <c r="C240" i="19"/>
  <c r="I238" i="19"/>
  <c r="I259" i="19"/>
  <c r="C268" i="19"/>
  <c r="C281" i="19"/>
  <c r="C285" i="19"/>
  <c r="F284" i="19"/>
  <c r="C286" i="19"/>
  <c r="O205" i="19"/>
  <c r="O204" i="19" s="1"/>
  <c r="C217" i="19"/>
  <c r="F216" i="19"/>
  <c r="J230" i="19"/>
  <c r="C232" i="19"/>
  <c r="E259" i="19"/>
  <c r="E230" i="19" s="1"/>
  <c r="C261" i="19"/>
  <c r="F260" i="19"/>
  <c r="O259" i="19"/>
  <c r="C271" i="19"/>
  <c r="I270" i="19"/>
  <c r="I269" i="19" s="1"/>
  <c r="M270" i="19"/>
  <c r="M269" i="19" s="1"/>
  <c r="C277" i="19"/>
  <c r="F276" i="19"/>
  <c r="C276" i="19" s="1"/>
  <c r="L196" i="19"/>
  <c r="C207" i="19"/>
  <c r="C209" i="19"/>
  <c r="F205" i="19"/>
  <c r="C219" i="19"/>
  <c r="C227" i="19"/>
  <c r="C233" i="19"/>
  <c r="I235" i="19"/>
  <c r="C235" i="19" s="1"/>
  <c r="C236" i="19"/>
  <c r="C247" i="19"/>
  <c r="C249" i="19"/>
  <c r="F246" i="19"/>
  <c r="I252" i="19"/>
  <c r="I251" i="19" s="1"/>
  <c r="C263" i="19"/>
  <c r="E270" i="19"/>
  <c r="E269" i="19" s="1"/>
  <c r="O272" i="19"/>
  <c r="C279" i="19"/>
  <c r="C295" i="19"/>
  <c r="C297" i="19"/>
  <c r="F293" i="19"/>
  <c r="C293" i="19" s="1"/>
  <c r="C199" i="19"/>
  <c r="C292" i="19" l="1"/>
  <c r="I291" i="19"/>
  <c r="K289" i="19"/>
  <c r="G52" i="19"/>
  <c r="M230" i="19"/>
  <c r="D194" i="19"/>
  <c r="G194" i="19"/>
  <c r="H75" i="19"/>
  <c r="H52" i="19" s="1"/>
  <c r="J52" i="19"/>
  <c r="O230" i="19"/>
  <c r="O195" i="19"/>
  <c r="G289" i="19"/>
  <c r="F231" i="19"/>
  <c r="C122" i="19"/>
  <c r="C188" i="19"/>
  <c r="F291" i="19"/>
  <c r="D75" i="19"/>
  <c r="D52" i="19" s="1"/>
  <c r="D51" i="19" s="1"/>
  <c r="L130" i="19"/>
  <c r="L259" i="19"/>
  <c r="M289" i="19"/>
  <c r="O270" i="19"/>
  <c r="O269" i="19" s="1"/>
  <c r="C246" i="19"/>
  <c r="N289" i="19"/>
  <c r="J289" i="19"/>
  <c r="L204" i="19"/>
  <c r="L173" i="19"/>
  <c r="C80" i="19"/>
  <c r="H194" i="19"/>
  <c r="H51" i="19" s="1"/>
  <c r="C112" i="19"/>
  <c r="N51" i="19"/>
  <c r="N50" i="19" s="1"/>
  <c r="I130" i="19"/>
  <c r="M52" i="19"/>
  <c r="L53" i="19"/>
  <c r="G51" i="19"/>
  <c r="O83" i="19"/>
  <c r="O75" i="19" s="1"/>
  <c r="O52" i="19" s="1"/>
  <c r="E52" i="19"/>
  <c r="D289" i="19"/>
  <c r="C291" i="19"/>
  <c r="K194" i="19"/>
  <c r="K51" i="19" s="1"/>
  <c r="L230" i="19"/>
  <c r="E194" i="19"/>
  <c r="E51" i="19" s="1"/>
  <c r="E289" i="19"/>
  <c r="N290" i="19"/>
  <c r="C205" i="19"/>
  <c r="F204" i="19"/>
  <c r="C204" i="19" s="1"/>
  <c r="I196" i="19"/>
  <c r="I195" i="19" s="1"/>
  <c r="C198" i="19"/>
  <c r="G290" i="19"/>
  <c r="G50" i="19"/>
  <c r="I231" i="19"/>
  <c r="I230" i="19" s="1"/>
  <c r="F165" i="19"/>
  <c r="C165" i="19" s="1"/>
  <c r="C166" i="19"/>
  <c r="C45" i="19"/>
  <c r="C27" i="19"/>
  <c r="L26" i="19"/>
  <c r="F83" i="19"/>
  <c r="J194" i="19"/>
  <c r="J51" i="19" s="1"/>
  <c r="C252" i="19"/>
  <c r="F251" i="19"/>
  <c r="C251" i="19" s="1"/>
  <c r="L83" i="19"/>
  <c r="L75" i="19" s="1"/>
  <c r="L52" i="19" s="1"/>
  <c r="I83" i="19"/>
  <c r="F67" i="19"/>
  <c r="C67" i="19" s="1"/>
  <c r="C69" i="19"/>
  <c r="C77" i="19"/>
  <c r="F76" i="19"/>
  <c r="I54" i="19"/>
  <c r="I53" i="19" s="1"/>
  <c r="C55" i="19"/>
  <c r="C284" i="19"/>
  <c r="F283" i="19"/>
  <c r="C283" i="19" s="1"/>
  <c r="C175" i="19"/>
  <c r="F174" i="19"/>
  <c r="C144" i="19"/>
  <c r="O194" i="19"/>
  <c r="C192" i="19"/>
  <c r="F191" i="19"/>
  <c r="L195" i="19"/>
  <c r="C260" i="19"/>
  <c r="F259" i="19"/>
  <c r="C259" i="19" s="1"/>
  <c r="C216" i="19"/>
  <c r="C196" i="19"/>
  <c r="C238" i="19"/>
  <c r="F270" i="19"/>
  <c r="C272" i="19"/>
  <c r="C131" i="19"/>
  <c r="F130" i="19"/>
  <c r="C130" i="19" s="1"/>
  <c r="M194" i="19"/>
  <c r="M51" i="19" s="1"/>
  <c r="C41" i="19"/>
  <c r="F20" i="19"/>
  <c r="C58" i="19"/>
  <c r="F54" i="19"/>
  <c r="C103" i="19"/>
  <c r="C84" i="19"/>
  <c r="H289" i="19" l="1"/>
  <c r="D290" i="19"/>
  <c r="D50" i="19"/>
  <c r="K50" i="19"/>
  <c r="K290" i="19"/>
  <c r="H50" i="19"/>
  <c r="H290" i="19"/>
  <c r="F195" i="19"/>
  <c r="C195" i="19" s="1"/>
  <c r="I75" i="19"/>
  <c r="I289" i="19" s="1"/>
  <c r="O289" i="19"/>
  <c r="M50" i="19"/>
  <c r="M290" i="19"/>
  <c r="F269" i="19"/>
  <c r="C270" i="19"/>
  <c r="C191" i="19"/>
  <c r="F187" i="19"/>
  <c r="C187" i="19" s="1"/>
  <c r="F173" i="19"/>
  <c r="C173" i="19" s="1"/>
  <c r="C174" i="19"/>
  <c r="C26" i="19"/>
  <c r="L20" i="19"/>
  <c r="C20" i="19" s="1"/>
  <c r="C231" i="19"/>
  <c r="O51" i="19"/>
  <c r="F230" i="19"/>
  <c r="C230" i="19" s="1"/>
  <c r="C54" i="19"/>
  <c r="F53" i="19"/>
  <c r="F75" i="19"/>
  <c r="C76" i="19"/>
  <c r="J50" i="19"/>
  <c r="J290" i="19"/>
  <c r="L194" i="19"/>
  <c r="L51" i="19" s="1"/>
  <c r="L289" i="19"/>
  <c r="C83" i="19"/>
  <c r="I194" i="19"/>
  <c r="E290" i="19"/>
  <c r="E50" i="19"/>
  <c r="F194" i="19" l="1"/>
  <c r="I52" i="19"/>
  <c r="C75" i="19"/>
  <c r="L50" i="19"/>
  <c r="L290" i="19"/>
  <c r="O50" i="19"/>
  <c r="O290" i="19"/>
  <c r="C53" i="19"/>
  <c r="F52" i="19"/>
  <c r="I51" i="19"/>
  <c r="C194" i="19"/>
  <c r="C269" i="19"/>
  <c r="F289" i="19"/>
  <c r="C289" i="19" s="1"/>
  <c r="I290" i="19" l="1"/>
  <c r="I50" i="19"/>
  <c r="F51" i="19"/>
  <c r="C52" i="19"/>
  <c r="F290" i="19" l="1"/>
  <c r="C290" i="19" s="1"/>
  <c r="F50" i="19"/>
  <c r="C50" i="19" s="1"/>
  <c r="C51" i="19"/>
  <c r="O301" i="18" l="1"/>
  <c r="L301" i="18"/>
  <c r="I301" i="18"/>
  <c r="F301" i="18"/>
  <c r="O300" i="18"/>
  <c r="L300" i="18"/>
  <c r="I300" i="18"/>
  <c r="F300" i="18"/>
  <c r="O299" i="18"/>
  <c r="L299" i="18"/>
  <c r="I299" i="18"/>
  <c r="F299" i="18"/>
  <c r="O298" i="18"/>
  <c r="L298" i="18"/>
  <c r="I298" i="18"/>
  <c r="F298" i="18"/>
  <c r="O297" i="18"/>
  <c r="L297" i="18"/>
  <c r="I297" i="18"/>
  <c r="F297" i="18"/>
  <c r="O296" i="18"/>
  <c r="L296" i="18"/>
  <c r="I296" i="18"/>
  <c r="F296" i="18"/>
  <c r="O295" i="18"/>
  <c r="L295" i="18"/>
  <c r="I295" i="18"/>
  <c r="F295" i="18"/>
  <c r="O294" i="18"/>
  <c r="L294" i="18"/>
  <c r="I294" i="18"/>
  <c r="F294" i="18"/>
  <c r="N293" i="18"/>
  <c r="M293" i="18"/>
  <c r="K293" i="18"/>
  <c r="J293" i="18"/>
  <c r="H293" i="18"/>
  <c r="G293" i="18"/>
  <c r="E293" i="18"/>
  <c r="D293" i="18"/>
  <c r="O288" i="18"/>
  <c r="L288" i="18"/>
  <c r="I288" i="18"/>
  <c r="F288" i="18"/>
  <c r="O287" i="18"/>
  <c r="O286" i="18" s="1"/>
  <c r="L287" i="18"/>
  <c r="L286" i="18" s="1"/>
  <c r="I287" i="18"/>
  <c r="I286" i="18" s="1"/>
  <c r="F287" i="18"/>
  <c r="N286" i="18"/>
  <c r="M286" i="18"/>
  <c r="K286" i="18"/>
  <c r="J286" i="18"/>
  <c r="H286" i="18"/>
  <c r="G286" i="18"/>
  <c r="E286" i="18"/>
  <c r="D286" i="18"/>
  <c r="O285" i="18"/>
  <c r="L285" i="18"/>
  <c r="L284" i="18" s="1"/>
  <c r="L283" i="18" s="1"/>
  <c r="I285" i="18"/>
  <c r="I284" i="18" s="1"/>
  <c r="I283" i="18" s="1"/>
  <c r="F285" i="18"/>
  <c r="F284" i="18" s="1"/>
  <c r="O284" i="18"/>
  <c r="O283" i="18" s="1"/>
  <c r="N284" i="18"/>
  <c r="N283" i="18" s="1"/>
  <c r="M284" i="18"/>
  <c r="M283" i="18" s="1"/>
  <c r="K284" i="18"/>
  <c r="K283" i="18" s="1"/>
  <c r="J284" i="18"/>
  <c r="J283" i="18" s="1"/>
  <c r="H284" i="18"/>
  <c r="H283" i="18" s="1"/>
  <c r="G284" i="18"/>
  <c r="G283" i="18" s="1"/>
  <c r="E284" i="18"/>
  <c r="E283" i="18" s="1"/>
  <c r="D284" i="18"/>
  <c r="D283" i="18" s="1"/>
  <c r="O282" i="18"/>
  <c r="L282" i="18"/>
  <c r="L281" i="18" s="1"/>
  <c r="I282" i="18"/>
  <c r="I281" i="18" s="1"/>
  <c r="F282" i="18"/>
  <c r="O281" i="18"/>
  <c r="N281" i="18"/>
  <c r="M281" i="18"/>
  <c r="K281" i="18"/>
  <c r="J281" i="18"/>
  <c r="H281" i="18"/>
  <c r="G281" i="18"/>
  <c r="E281" i="18"/>
  <c r="D281" i="18"/>
  <c r="O280" i="18"/>
  <c r="L280" i="18"/>
  <c r="I280" i="18"/>
  <c r="F280" i="18"/>
  <c r="O279" i="18"/>
  <c r="L279" i="18"/>
  <c r="I279" i="18"/>
  <c r="F279" i="18"/>
  <c r="O278" i="18"/>
  <c r="L278" i="18"/>
  <c r="I278" i="18"/>
  <c r="F278" i="18"/>
  <c r="O277" i="18"/>
  <c r="L277" i="18"/>
  <c r="L276" i="18" s="1"/>
  <c r="I277" i="18"/>
  <c r="I276" i="18" s="1"/>
  <c r="F277" i="18"/>
  <c r="N276" i="18"/>
  <c r="M276" i="18"/>
  <c r="K276" i="18"/>
  <c r="J276" i="18"/>
  <c r="H276" i="18"/>
  <c r="G276" i="18"/>
  <c r="E276" i="18"/>
  <c r="D276" i="18"/>
  <c r="O275" i="18"/>
  <c r="L275" i="18"/>
  <c r="I275" i="18"/>
  <c r="F275" i="18"/>
  <c r="O274" i="18"/>
  <c r="L274" i="18"/>
  <c r="I274" i="18"/>
  <c r="F274" i="18"/>
  <c r="O273" i="18"/>
  <c r="L273" i="18"/>
  <c r="L272" i="18" s="1"/>
  <c r="I273" i="18"/>
  <c r="F273" i="18"/>
  <c r="F272" i="18" s="1"/>
  <c r="O272" i="18"/>
  <c r="N272" i="18"/>
  <c r="N270" i="18" s="1"/>
  <c r="N269" i="18" s="1"/>
  <c r="M272" i="18"/>
  <c r="K272" i="18"/>
  <c r="J272" i="18"/>
  <c r="J270" i="18" s="1"/>
  <c r="J269" i="18" s="1"/>
  <c r="H272" i="18"/>
  <c r="G272" i="18"/>
  <c r="G270" i="18" s="1"/>
  <c r="G269" i="18" s="1"/>
  <c r="E272" i="18"/>
  <c r="D272" i="18"/>
  <c r="D270" i="18" s="1"/>
  <c r="O271" i="18"/>
  <c r="L271" i="18"/>
  <c r="I271" i="18"/>
  <c r="F271" i="18"/>
  <c r="M270" i="18"/>
  <c r="M269" i="18" s="1"/>
  <c r="H270" i="18"/>
  <c r="H269" i="18" s="1"/>
  <c r="O268" i="18"/>
  <c r="L268" i="18"/>
  <c r="I268" i="18"/>
  <c r="F268" i="18"/>
  <c r="O267" i="18"/>
  <c r="L267" i="18"/>
  <c r="I267" i="18"/>
  <c r="F267" i="18"/>
  <c r="O266" i="18"/>
  <c r="L266" i="18"/>
  <c r="I266" i="18"/>
  <c r="F266" i="18"/>
  <c r="O265" i="18"/>
  <c r="L265" i="18"/>
  <c r="I265" i="18"/>
  <c r="F265" i="18"/>
  <c r="N264" i="18"/>
  <c r="M264" i="18"/>
  <c r="K264" i="18"/>
  <c r="J264" i="18"/>
  <c r="H264" i="18"/>
  <c r="G264" i="18"/>
  <c r="E264" i="18"/>
  <c r="D264" i="18"/>
  <c r="O263" i="18"/>
  <c r="L263" i="18"/>
  <c r="I263" i="18"/>
  <c r="F263" i="18"/>
  <c r="O262" i="18"/>
  <c r="L262" i="18"/>
  <c r="I262" i="18"/>
  <c r="F262" i="18"/>
  <c r="O261" i="18"/>
  <c r="L261" i="18"/>
  <c r="I261" i="18"/>
  <c r="F261" i="18"/>
  <c r="F260" i="18" s="1"/>
  <c r="N260" i="18"/>
  <c r="M260" i="18"/>
  <c r="K260" i="18"/>
  <c r="K259" i="18" s="1"/>
  <c r="J260" i="18"/>
  <c r="H260" i="18"/>
  <c r="H259" i="18" s="1"/>
  <c r="G260" i="18"/>
  <c r="G259" i="18" s="1"/>
  <c r="E260" i="18"/>
  <c r="E259" i="18" s="1"/>
  <c r="D260" i="18"/>
  <c r="O258" i="18"/>
  <c r="L258" i="18"/>
  <c r="I258" i="18"/>
  <c r="F258" i="18"/>
  <c r="O257" i="18"/>
  <c r="L257" i="18"/>
  <c r="I257" i="18"/>
  <c r="F257" i="18"/>
  <c r="O256" i="18"/>
  <c r="L256" i="18"/>
  <c r="I256" i="18"/>
  <c r="F256" i="18"/>
  <c r="O255" i="18"/>
  <c r="L255" i="18"/>
  <c r="I255" i="18"/>
  <c r="F255" i="18"/>
  <c r="O254" i="18"/>
  <c r="L254" i="18"/>
  <c r="I254" i="18"/>
  <c r="F254" i="18"/>
  <c r="O253" i="18"/>
  <c r="L253" i="18"/>
  <c r="I253" i="18"/>
  <c r="F253" i="18"/>
  <c r="N252" i="18"/>
  <c r="N251" i="18" s="1"/>
  <c r="M252" i="18"/>
  <c r="M251" i="18" s="1"/>
  <c r="K252" i="18"/>
  <c r="K251" i="18" s="1"/>
  <c r="J252" i="18"/>
  <c r="J251" i="18" s="1"/>
  <c r="H252" i="18"/>
  <c r="H251" i="18" s="1"/>
  <c r="G252" i="18"/>
  <c r="G251" i="18" s="1"/>
  <c r="E252" i="18"/>
  <c r="E251" i="18" s="1"/>
  <c r="D252" i="18"/>
  <c r="D251" i="18" s="1"/>
  <c r="O250" i="18"/>
  <c r="L250" i="18"/>
  <c r="I250" i="18"/>
  <c r="F250" i="18"/>
  <c r="O249" i="18"/>
  <c r="L249" i="18"/>
  <c r="I249" i="18"/>
  <c r="F249" i="18"/>
  <c r="O248" i="18"/>
  <c r="L248" i="18"/>
  <c r="I248" i="18"/>
  <c r="F248" i="18"/>
  <c r="O247" i="18"/>
  <c r="O246" i="18" s="1"/>
  <c r="L247" i="18"/>
  <c r="I247" i="18"/>
  <c r="F247" i="18"/>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O241" i="18"/>
  <c r="L241" i="18"/>
  <c r="I241" i="18"/>
  <c r="F241" i="18"/>
  <c r="O240" i="18"/>
  <c r="L240" i="18"/>
  <c r="I240" i="18"/>
  <c r="F240" i="18"/>
  <c r="O239" i="18"/>
  <c r="L239" i="18"/>
  <c r="L238" i="18" s="1"/>
  <c r="I239" i="18"/>
  <c r="F239" i="18"/>
  <c r="N238" i="18"/>
  <c r="M238" i="18"/>
  <c r="K238" i="18"/>
  <c r="J238" i="18"/>
  <c r="H238" i="18"/>
  <c r="G238" i="18"/>
  <c r="E238" i="18"/>
  <c r="D238" i="18"/>
  <c r="O237" i="18"/>
  <c r="L237" i="18"/>
  <c r="I237" i="18"/>
  <c r="F237" i="18"/>
  <c r="O236" i="18"/>
  <c r="L236" i="18"/>
  <c r="L235" i="18" s="1"/>
  <c r="I236" i="18"/>
  <c r="F236" i="18"/>
  <c r="O235" i="18"/>
  <c r="N235" i="18"/>
  <c r="M235" i="18"/>
  <c r="K235" i="18"/>
  <c r="J235" i="18"/>
  <c r="H235" i="18"/>
  <c r="G235" i="18"/>
  <c r="E235" i="18"/>
  <c r="D235" i="18"/>
  <c r="O234" i="18"/>
  <c r="L234" i="18"/>
  <c r="L233" i="18" s="1"/>
  <c r="I234" i="18"/>
  <c r="I233" i="18" s="1"/>
  <c r="F234" i="18"/>
  <c r="O233" i="18"/>
  <c r="N233" i="18"/>
  <c r="M233" i="18"/>
  <c r="M231" i="18" s="1"/>
  <c r="K233" i="18"/>
  <c r="J233" i="18"/>
  <c r="H233" i="18"/>
  <c r="G233" i="18"/>
  <c r="G231" i="18" s="1"/>
  <c r="E233" i="18"/>
  <c r="D233" i="18"/>
  <c r="O232" i="18"/>
  <c r="L232" i="18"/>
  <c r="I232" i="18"/>
  <c r="F232" i="18"/>
  <c r="O229" i="18"/>
  <c r="L229" i="18"/>
  <c r="I229" i="18"/>
  <c r="F229" i="18"/>
  <c r="O228" i="18"/>
  <c r="L228" i="18"/>
  <c r="L227" i="18" s="1"/>
  <c r="I228" i="18"/>
  <c r="F228" i="18"/>
  <c r="O227" i="18"/>
  <c r="N227" i="18"/>
  <c r="M227" i="18"/>
  <c r="K227" i="18"/>
  <c r="J227" i="18"/>
  <c r="I227" i="18"/>
  <c r="H227" i="18"/>
  <c r="G227" i="18"/>
  <c r="E227" i="18"/>
  <c r="D227" i="18"/>
  <c r="O226" i="18"/>
  <c r="L226" i="18"/>
  <c r="I226" i="18"/>
  <c r="F226" i="18"/>
  <c r="O225" i="18"/>
  <c r="L225" i="18"/>
  <c r="I225" i="18"/>
  <c r="F225" i="18"/>
  <c r="O224" i="18"/>
  <c r="L224" i="18"/>
  <c r="I224" i="18"/>
  <c r="F224" i="18"/>
  <c r="O223" i="18"/>
  <c r="L223" i="18"/>
  <c r="I223" i="18"/>
  <c r="F223" i="18"/>
  <c r="O222" i="18"/>
  <c r="L222" i="18"/>
  <c r="I222" i="18"/>
  <c r="F222" i="18"/>
  <c r="O221" i="18"/>
  <c r="L221" i="18"/>
  <c r="I221" i="18"/>
  <c r="F221" i="18"/>
  <c r="O220" i="18"/>
  <c r="L220" i="18"/>
  <c r="I220" i="18"/>
  <c r="F220" i="18"/>
  <c r="O219" i="18"/>
  <c r="L219" i="18"/>
  <c r="I219" i="18"/>
  <c r="F219" i="18"/>
  <c r="C219" i="18" s="1"/>
  <c r="O218" i="18"/>
  <c r="L218" i="18"/>
  <c r="I218" i="18"/>
  <c r="F218" i="18"/>
  <c r="O217" i="18"/>
  <c r="L217" i="18"/>
  <c r="I217" i="18"/>
  <c r="F217" i="18"/>
  <c r="N216" i="18"/>
  <c r="M216" i="18"/>
  <c r="K216" i="18"/>
  <c r="J216" i="18"/>
  <c r="H216" i="18"/>
  <c r="G216" i="18"/>
  <c r="E216" i="18"/>
  <c r="D216" i="18"/>
  <c r="O215" i="18"/>
  <c r="L215" i="18"/>
  <c r="I215" i="18"/>
  <c r="F215" i="18"/>
  <c r="O214" i="18"/>
  <c r="L214" i="18"/>
  <c r="I214" i="18"/>
  <c r="F214" i="18"/>
  <c r="O213" i="18"/>
  <c r="L213" i="18"/>
  <c r="I213" i="18"/>
  <c r="F213" i="18"/>
  <c r="O212" i="18"/>
  <c r="L212" i="18"/>
  <c r="I212" i="18"/>
  <c r="F212" i="18"/>
  <c r="O211" i="18"/>
  <c r="L211" i="18"/>
  <c r="I211" i="18"/>
  <c r="F211" i="18"/>
  <c r="O210" i="18"/>
  <c r="L210" i="18"/>
  <c r="I210" i="18"/>
  <c r="F210" i="18"/>
  <c r="O209" i="18"/>
  <c r="L209" i="18"/>
  <c r="I209" i="18"/>
  <c r="F209" i="18"/>
  <c r="O208" i="18"/>
  <c r="L208" i="18"/>
  <c r="I208" i="18"/>
  <c r="F208" i="18"/>
  <c r="O207" i="18"/>
  <c r="L207" i="18"/>
  <c r="I207" i="18"/>
  <c r="F207" i="18"/>
  <c r="O206" i="18"/>
  <c r="L206" i="18"/>
  <c r="I206" i="18"/>
  <c r="F206" i="18"/>
  <c r="N205" i="18"/>
  <c r="M205" i="18"/>
  <c r="M204" i="18" s="1"/>
  <c r="K205" i="18"/>
  <c r="J205" i="18"/>
  <c r="J204" i="18" s="1"/>
  <c r="H205" i="18"/>
  <c r="H204" i="18" s="1"/>
  <c r="G205" i="18"/>
  <c r="E205" i="18"/>
  <c r="D205" i="18"/>
  <c r="O203" i="18"/>
  <c r="L203" i="18"/>
  <c r="I203" i="18"/>
  <c r="F203" i="18"/>
  <c r="O202" i="18"/>
  <c r="L202" i="18"/>
  <c r="I202" i="18"/>
  <c r="F202" i="18"/>
  <c r="O201" i="18"/>
  <c r="L201" i="18"/>
  <c r="I201" i="18"/>
  <c r="F201" i="18"/>
  <c r="O200" i="18"/>
  <c r="L200" i="18"/>
  <c r="I200" i="18"/>
  <c r="F200" i="18"/>
  <c r="O199" i="18"/>
  <c r="O198" i="18" s="1"/>
  <c r="L199" i="18"/>
  <c r="L198" i="18" s="1"/>
  <c r="I199" i="18"/>
  <c r="F199" i="18"/>
  <c r="N198" i="18"/>
  <c r="N196" i="18" s="1"/>
  <c r="M198" i="18"/>
  <c r="M196" i="18" s="1"/>
  <c r="K198" i="18"/>
  <c r="K196" i="18" s="1"/>
  <c r="J198" i="18"/>
  <c r="J196" i="18" s="1"/>
  <c r="H198" i="18"/>
  <c r="H196" i="18" s="1"/>
  <c r="H195" i="18" s="1"/>
  <c r="G198" i="18"/>
  <c r="F198" i="18"/>
  <c r="E198" i="18"/>
  <c r="E196" i="18" s="1"/>
  <c r="D198" i="18"/>
  <c r="D196" i="18" s="1"/>
  <c r="O197" i="18"/>
  <c r="L197" i="18"/>
  <c r="I197" i="18"/>
  <c r="F197" i="18"/>
  <c r="G196" i="18"/>
  <c r="O193" i="18"/>
  <c r="O192" i="18" s="1"/>
  <c r="O191" i="18" s="1"/>
  <c r="L193" i="18"/>
  <c r="L192" i="18" s="1"/>
  <c r="L191" i="18" s="1"/>
  <c r="I193" i="18"/>
  <c r="F193" i="18"/>
  <c r="N192" i="18"/>
  <c r="N191" i="18" s="1"/>
  <c r="M192" i="18"/>
  <c r="K192" i="18"/>
  <c r="J192" i="18"/>
  <c r="J191" i="18" s="1"/>
  <c r="H192" i="18"/>
  <c r="H191" i="18" s="1"/>
  <c r="G192" i="18"/>
  <c r="G191" i="18" s="1"/>
  <c r="F192" i="18"/>
  <c r="E192" i="18"/>
  <c r="E191" i="18" s="1"/>
  <c r="D192" i="18"/>
  <c r="M191" i="18"/>
  <c r="K191" i="18"/>
  <c r="F191" i="18"/>
  <c r="D191" i="18"/>
  <c r="O190" i="18"/>
  <c r="L190" i="18"/>
  <c r="I190" i="18"/>
  <c r="F190" i="18"/>
  <c r="O189" i="18"/>
  <c r="L189" i="18"/>
  <c r="L188" i="18" s="1"/>
  <c r="I189" i="18"/>
  <c r="F189" i="18"/>
  <c r="N188" i="18"/>
  <c r="M188" i="18"/>
  <c r="K188" i="18"/>
  <c r="J188" i="18"/>
  <c r="H188" i="18"/>
  <c r="G188" i="18"/>
  <c r="E188" i="18"/>
  <c r="D188" i="18"/>
  <c r="D187" i="18"/>
  <c r="O186" i="18"/>
  <c r="L186" i="18"/>
  <c r="I186" i="18"/>
  <c r="F186" i="18"/>
  <c r="C186" i="18" s="1"/>
  <c r="O185" i="18"/>
  <c r="L185" i="18"/>
  <c r="L184" i="18" s="1"/>
  <c r="I185" i="18"/>
  <c r="I184" i="18" s="1"/>
  <c r="F185" i="18"/>
  <c r="N184" i="18"/>
  <c r="M184" i="18"/>
  <c r="K184" i="18"/>
  <c r="J184" i="18"/>
  <c r="H184" i="18"/>
  <c r="G184" i="18"/>
  <c r="E184" i="18"/>
  <c r="D184" i="18"/>
  <c r="O183" i="18"/>
  <c r="L183" i="18"/>
  <c r="I183" i="18"/>
  <c r="F183" i="18"/>
  <c r="O182" i="18"/>
  <c r="L182" i="18"/>
  <c r="I182" i="18"/>
  <c r="F182" i="18"/>
  <c r="O181" i="18"/>
  <c r="L181" i="18"/>
  <c r="I181" i="18"/>
  <c r="F181" i="18"/>
  <c r="O180" i="18"/>
  <c r="L180" i="18"/>
  <c r="I180" i="18"/>
  <c r="F180" i="18"/>
  <c r="N179" i="18"/>
  <c r="M179" i="18"/>
  <c r="K179" i="18"/>
  <c r="J179" i="18"/>
  <c r="H179" i="18"/>
  <c r="G179" i="18"/>
  <c r="E179" i="18"/>
  <c r="D179" i="18"/>
  <c r="O178" i="18"/>
  <c r="L178" i="18"/>
  <c r="I178" i="18"/>
  <c r="F178" i="18"/>
  <c r="O177" i="18"/>
  <c r="L177" i="18"/>
  <c r="I177" i="18"/>
  <c r="F177" i="18"/>
  <c r="O176" i="18"/>
  <c r="L176" i="18"/>
  <c r="L175" i="18" s="1"/>
  <c r="I176" i="18"/>
  <c r="F176" i="18"/>
  <c r="N175" i="18"/>
  <c r="M175" i="18"/>
  <c r="K175" i="18"/>
  <c r="J175" i="18"/>
  <c r="H175" i="18"/>
  <c r="H174" i="18" s="1"/>
  <c r="G175" i="18"/>
  <c r="E175" i="18"/>
  <c r="E174" i="18" s="1"/>
  <c r="D175" i="18"/>
  <c r="M174" i="18"/>
  <c r="K174" i="18"/>
  <c r="O172" i="18"/>
  <c r="L172" i="18"/>
  <c r="I172" i="18"/>
  <c r="F172" i="18"/>
  <c r="O171" i="18"/>
  <c r="L171" i="18"/>
  <c r="I171" i="18"/>
  <c r="F171" i="18"/>
  <c r="O170" i="18"/>
  <c r="L170" i="18"/>
  <c r="I170" i="18"/>
  <c r="F170" i="18"/>
  <c r="O169" i="18"/>
  <c r="L169" i="18"/>
  <c r="I169" i="18"/>
  <c r="F169" i="18"/>
  <c r="O168" i="18"/>
  <c r="L168" i="18"/>
  <c r="I168" i="18"/>
  <c r="F168" i="18"/>
  <c r="O167" i="18"/>
  <c r="L167" i="18"/>
  <c r="L166" i="18" s="1"/>
  <c r="L165" i="18" s="1"/>
  <c r="I167" i="18"/>
  <c r="F167" i="18"/>
  <c r="F166" i="18" s="1"/>
  <c r="F165" i="18" s="1"/>
  <c r="N166" i="18"/>
  <c r="M166" i="18"/>
  <c r="M165" i="18" s="1"/>
  <c r="K166" i="18"/>
  <c r="K165" i="18" s="1"/>
  <c r="J166" i="18"/>
  <c r="H166" i="18"/>
  <c r="G166" i="18"/>
  <c r="G165" i="18" s="1"/>
  <c r="E166" i="18"/>
  <c r="E165" i="18" s="1"/>
  <c r="D166" i="18"/>
  <c r="N165" i="18"/>
  <c r="J165" i="18"/>
  <c r="H165" i="18"/>
  <c r="D165" i="18"/>
  <c r="O164" i="18"/>
  <c r="L164" i="18"/>
  <c r="I164" i="18"/>
  <c r="F164" i="18"/>
  <c r="O163" i="18"/>
  <c r="L163" i="18"/>
  <c r="I163" i="18"/>
  <c r="F163" i="18"/>
  <c r="O162" i="18"/>
  <c r="L162" i="18"/>
  <c r="I162" i="18"/>
  <c r="F162" i="18"/>
  <c r="O161" i="18"/>
  <c r="L161" i="18"/>
  <c r="I161" i="18"/>
  <c r="I160" i="18" s="1"/>
  <c r="F161" i="18"/>
  <c r="N160" i="18"/>
  <c r="M160" i="18"/>
  <c r="K160" i="18"/>
  <c r="J160" i="18"/>
  <c r="H160" i="18"/>
  <c r="G160" i="18"/>
  <c r="E160" i="18"/>
  <c r="D160" i="18"/>
  <c r="O159" i="18"/>
  <c r="L159" i="18"/>
  <c r="I159" i="18"/>
  <c r="F159" i="18"/>
  <c r="O158" i="18"/>
  <c r="L158" i="18"/>
  <c r="I158" i="18"/>
  <c r="F158" i="18"/>
  <c r="O157" i="18"/>
  <c r="L157" i="18"/>
  <c r="I157" i="18"/>
  <c r="F157" i="18"/>
  <c r="O156" i="18"/>
  <c r="L156" i="18"/>
  <c r="I156" i="18"/>
  <c r="F156" i="18"/>
  <c r="O155" i="18"/>
  <c r="L155" i="18"/>
  <c r="I155" i="18"/>
  <c r="F155" i="18"/>
  <c r="O154" i="18"/>
  <c r="L154" i="18"/>
  <c r="I154" i="18"/>
  <c r="F154" i="18"/>
  <c r="O153" i="18"/>
  <c r="L153" i="18"/>
  <c r="I153" i="18"/>
  <c r="F153" i="18"/>
  <c r="O152" i="18"/>
  <c r="L152" i="18"/>
  <c r="I152" i="18"/>
  <c r="F152" i="18"/>
  <c r="F151" i="18" s="1"/>
  <c r="N151" i="18"/>
  <c r="M151" i="18"/>
  <c r="K151" i="18"/>
  <c r="J151" i="18"/>
  <c r="H151" i="18"/>
  <c r="G151" i="18"/>
  <c r="E151" i="18"/>
  <c r="D151" i="18"/>
  <c r="O150" i="18"/>
  <c r="L150" i="18"/>
  <c r="I150" i="18"/>
  <c r="F150" i="18"/>
  <c r="O149" i="18"/>
  <c r="L149" i="18"/>
  <c r="I149" i="18"/>
  <c r="F149" i="18"/>
  <c r="O148" i="18"/>
  <c r="L148" i="18"/>
  <c r="I148" i="18"/>
  <c r="F148" i="18"/>
  <c r="O147" i="18"/>
  <c r="L147" i="18"/>
  <c r="I147" i="18"/>
  <c r="F147" i="18"/>
  <c r="O146" i="18"/>
  <c r="L146" i="18"/>
  <c r="I146" i="18"/>
  <c r="F146" i="18"/>
  <c r="O145" i="18"/>
  <c r="L145" i="18"/>
  <c r="I145" i="18"/>
  <c r="F145" i="18"/>
  <c r="N144" i="18"/>
  <c r="M144" i="18"/>
  <c r="K144" i="18"/>
  <c r="J144" i="18"/>
  <c r="H144" i="18"/>
  <c r="G144" i="18"/>
  <c r="E144" i="18"/>
  <c r="D144" i="18"/>
  <c r="O143" i="18"/>
  <c r="L143" i="18"/>
  <c r="I143" i="18"/>
  <c r="F143" i="18"/>
  <c r="O142" i="18"/>
  <c r="O141" i="18" s="1"/>
  <c r="L142" i="18"/>
  <c r="L141" i="18" s="1"/>
  <c r="I142" i="18"/>
  <c r="F142" i="18"/>
  <c r="N141" i="18"/>
  <c r="M141" i="18"/>
  <c r="K141" i="18"/>
  <c r="J141" i="18"/>
  <c r="H141" i="18"/>
  <c r="G141" i="18"/>
  <c r="F141" i="18"/>
  <c r="E141" i="18"/>
  <c r="D141" i="18"/>
  <c r="O140" i="18"/>
  <c r="L140" i="18"/>
  <c r="I140" i="18"/>
  <c r="F140" i="18"/>
  <c r="O139" i="18"/>
  <c r="L139" i="18"/>
  <c r="I139" i="18"/>
  <c r="F139" i="18"/>
  <c r="O138" i="18"/>
  <c r="L138" i="18"/>
  <c r="I138" i="18"/>
  <c r="F138" i="18"/>
  <c r="O137" i="18"/>
  <c r="L137" i="18"/>
  <c r="L136" i="18" s="1"/>
  <c r="I137" i="18"/>
  <c r="F137" i="18"/>
  <c r="N136" i="18"/>
  <c r="M136" i="18"/>
  <c r="K136" i="18"/>
  <c r="J136" i="18"/>
  <c r="I136" i="18"/>
  <c r="H136" i="18"/>
  <c r="G136" i="18"/>
  <c r="E136" i="18"/>
  <c r="D136" i="18"/>
  <c r="O135" i="18"/>
  <c r="L135" i="18"/>
  <c r="I135" i="18"/>
  <c r="F135" i="18"/>
  <c r="O134" i="18"/>
  <c r="L134" i="18"/>
  <c r="I134" i="18"/>
  <c r="F134" i="18"/>
  <c r="O133" i="18"/>
  <c r="L133" i="18"/>
  <c r="I133" i="18"/>
  <c r="F133" i="18"/>
  <c r="O132" i="18"/>
  <c r="L132" i="18"/>
  <c r="I132" i="18"/>
  <c r="F132" i="18"/>
  <c r="N131" i="18"/>
  <c r="N130" i="18" s="1"/>
  <c r="M131" i="18"/>
  <c r="K131" i="18"/>
  <c r="K130" i="18" s="1"/>
  <c r="J131" i="18"/>
  <c r="H131" i="18"/>
  <c r="G131" i="18"/>
  <c r="E131" i="18"/>
  <c r="D131" i="18"/>
  <c r="O129" i="18"/>
  <c r="L129" i="18"/>
  <c r="L128" i="18" s="1"/>
  <c r="I129" i="18"/>
  <c r="I128" i="18" s="1"/>
  <c r="F129" i="18"/>
  <c r="O128" i="18"/>
  <c r="N128" i="18"/>
  <c r="M128" i="18"/>
  <c r="K128" i="18"/>
  <c r="J128" i="18"/>
  <c r="H128" i="18"/>
  <c r="G128" i="18"/>
  <c r="E128" i="18"/>
  <c r="D128" i="18"/>
  <c r="O127" i="18"/>
  <c r="L127" i="18"/>
  <c r="I127" i="18"/>
  <c r="F127" i="18"/>
  <c r="O126" i="18"/>
  <c r="L126" i="18"/>
  <c r="I126" i="18"/>
  <c r="F126" i="18"/>
  <c r="O125" i="18"/>
  <c r="L125" i="18"/>
  <c r="I125" i="18"/>
  <c r="F125" i="18"/>
  <c r="O124" i="18"/>
  <c r="L124" i="18"/>
  <c r="I124" i="18"/>
  <c r="F124" i="18"/>
  <c r="O123" i="18"/>
  <c r="L123" i="18"/>
  <c r="I123" i="18"/>
  <c r="F123" i="18"/>
  <c r="N122" i="18"/>
  <c r="M122" i="18"/>
  <c r="K122" i="18"/>
  <c r="J122" i="18"/>
  <c r="H122" i="18"/>
  <c r="G122" i="18"/>
  <c r="E122" i="18"/>
  <c r="D122" i="18"/>
  <c r="O121" i="18"/>
  <c r="L121" i="18"/>
  <c r="I121" i="18"/>
  <c r="F121" i="18"/>
  <c r="O120" i="18"/>
  <c r="L120" i="18"/>
  <c r="I120" i="18"/>
  <c r="F120" i="18"/>
  <c r="C120" i="18" s="1"/>
  <c r="O119" i="18"/>
  <c r="L119" i="18"/>
  <c r="I119" i="18"/>
  <c r="F119" i="18"/>
  <c r="O118" i="18"/>
  <c r="L118" i="18"/>
  <c r="I118" i="18"/>
  <c r="F118" i="18"/>
  <c r="O117" i="18"/>
  <c r="L117" i="18"/>
  <c r="I117" i="18"/>
  <c r="F117" i="18"/>
  <c r="N116" i="18"/>
  <c r="M116" i="18"/>
  <c r="K116" i="18"/>
  <c r="J116" i="18"/>
  <c r="H116" i="18"/>
  <c r="G116" i="18"/>
  <c r="E116" i="18"/>
  <c r="D116" i="18"/>
  <c r="O115" i="18"/>
  <c r="L115" i="18"/>
  <c r="I115" i="18"/>
  <c r="F115" i="18"/>
  <c r="O114" i="18"/>
  <c r="L114" i="18"/>
  <c r="I114" i="18"/>
  <c r="F114" i="18"/>
  <c r="O113" i="18"/>
  <c r="L113" i="18"/>
  <c r="L112" i="18" s="1"/>
  <c r="I113" i="18"/>
  <c r="F113" i="18"/>
  <c r="N112" i="18"/>
  <c r="M112" i="18"/>
  <c r="K112" i="18"/>
  <c r="J112" i="18"/>
  <c r="H112" i="18"/>
  <c r="G112" i="18"/>
  <c r="E112" i="18"/>
  <c r="D112" i="18"/>
  <c r="O111" i="18"/>
  <c r="L111" i="18"/>
  <c r="I111" i="18"/>
  <c r="F111" i="18"/>
  <c r="O110" i="18"/>
  <c r="L110" i="18"/>
  <c r="I110" i="18"/>
  <c r="F110" i="18"/>
  <c r="O109" i="18"/>
  <c r="L109" i="18"/>
  <c r="I109" i="18"/>
  <c r="F109" i="18"/>
  <c r="O108" i="18"/>
  <c r="L108" i="18"/>
  <c r="I108" i="18"/>
  <c r="F108" i="18"/>
  <c r="O107" i="18"/>
  <c r="L107" i="18"/>
  <c r="I107" i="18"/>
  <c r="F107" i="18"/>
  <c r="O106" i="18"/>
  <c r="L106" i="18"/>
  <c r="I106" i="18"/>
  <c r="F106" i="18"/>
  <c r="O105" i="18"/>
  <c r="L105" i="18"/>
  <c r="I105" i="18"/>
  <c r="F105" i="18"/>
  <c r="O104" i="18"/>
  <c r="L104" i="18"/>
  <c r="I104" i="18"/>
  <c r="F104" i="18"/>
  <c r="N103" i="18"/>
  <c r="M103" i="18"/>
  <c r="K103" i="18"/>
  <c r="J103" i="18"/>
  <c r="H103" i="18"/>
  <c r="G103" i="18"/>
  <c r="E103" i="18"/>
  <c r="D103" i="18"/>
  <c r="O102" i="18"/>
  <c r="L102" i="18"/>
  <c r="I102" i="18"/>
  <c r="F102" i="18"/>
  <c r="O101" i="18"/>
  <c r="L101" i="18"/>
  <c r="I101" i="18"/>
  <c r="F101" i="18"/>
  <c r="O100" i="18"/>
  <c r="L100" i="18"/>
  <c r="I100" i="18"/>
  <c r="F100" i="18"/>
  <c r="O99" i="18"/>
  <c r="L99" i="18"/>
  <c r="I99" i="18"/>
  <c r="F99" i="18"/>
  <c r="O98" i="18"/>
  <c r="L98" i="18"/>
  <c r="I98" i="18"/>
  <c r="F98" i="18"/>
  <c r="O97" i="18"/>
  <c r="L97" i="18"/>
  <c r="I97" i="18"/>
  <c r="F97" i="18"/>
  <c r="O96" i="18"/>
  <c r="L96" i="18"/>
  <c r="I96" i="18"/>
  <c r="F96" i="18"/>
  <c r="N95" i="18"/>
  <c r="M95" i="18"/>
  <c r="K95" i="18"/>
  <c r="J95" i="18"/>
  <c r="H95" i="18"/>
  <c r="G95" i="18"/>
  <c r="E95" i="18"/>
  <c r="D95" i="18"/>
  <c r="O94" i="18"/>
  <c r="L94" i="18"/>
  <c r="I94" i="18"/>
  <c r="F94" i="18"/>
  <c r="O93" i="18"/>
  <c r="L93" i="18"/>
  <c r="I93" i="18"/>
  <c r="F93" i="18"/>
  <c r="O92" i="18"/>
  <c r="L92" i="18"/>
  <c r="I92" i="18"/>
  <c r="F92" i="18"/>
  <c r="O91" i="18"/>
  <c r="L91" i="18"/>
  <c r="I91" i="18"/>
  <c r="F91" i="18"/>
  <c r="O90" i="18"/>
  <c r="L90" i="18"/>
  <c r="L89" i="18" s="1"/>
  <c r="I90" i="18"/>
  <c r="F90" i="18"/>
  <c r="N89" i="18"/>
  <c r="M89" i="18"/>
  <c r="K89" i="18"/>
  <c r="J89" i="18"/>
  <c r="H89" i="18"/>
  <c r="G89" i="18"/>
  <c r="E89" i="18"/>
  <c r="D89" i="18"/>
  <c r="O88" i="18"/>
  <c r="L88" i="18"/>
  <c r="I88" i="18"/>
  <c r="F88" i="18"/>
  <c r="O87" i="18"/>
  <c r="L87" i="18"/>
  <c r="I87" i="18"/>
  <c r="F87" i="18"/>
  <c r="O86" i="18"/>
  <c r="L86" i="18"/>
  <c r="I86" i="18"/>
  <c r="F86" i="18"/>
  <c r="O85" i="18"/>
  <c r="L85" i="18"/>
  <c r="I85" i="18"/>
  <c r="F85" i="18"/>
  <c r="N84" i="18"/>
  <c r="M84" i="18"/>
  <c r="K84" i="18"/>
  <c r="J84" i="18"/>
  <c r="H84" i="18"/>
  <c r="G84" i="18"/>
  <c r="E84" i="18"/>
  <c r="D84" i="18"/>
  <c r="O82" i="18"/>
  <c r="L82" i="18"/>
  <c r="I82" i="18"/>
  <c r="F82" i="18"/>
  <c r="O81" i="18"/>
  <c r="O80" i="18" s="1"/>
  <c r="L81" i="18"/>
  <c r="L80" i="18" s="1"/>
  <c r="I81" i="18"/>
  <c r="I80" i="18" s="1"/>
  <c r="F81" i="18"/>
  <c r="F80" i="18" s="1"/>
  <c r="N80" i="18"/>
  <c r="M80" i="18"/>
  <c r="K80" i="18"/>
  <c r="J80" i="18"/>
  <c r="H80" i="18"/>
  <c r="G80" i="18"/>
  <c r="E80" i="18"/>
  <c r="D80" i="18"/>
  <c r="O79" i="18"/>
  <c r="L79" i="18"/>
  <c r="I79" i="18"/>
  <c r="F79" i="18"/>
  <c r="O78" i="18"/>
  <c r="L78" i="18"/>
  <c r="I78" i="18"/>
  <c r="I77" i="18" s="1"/>
  <c r="F78" i="18"/>
  <c r="O77" i="18"/>
  <c r="O76" i="18" s="1"/>
  <c r="N77" i="18"/>
  <c r="M77" i="18"/>
  <c r="M76" i="18" s="1"/>
  <c r="K77" i="18"/>
  <c r="J77" i="18"/>
  <c r="J76" i="18" s="1"/>
  <c r="H77" i="18"/>
  <c r="G77" i="18"/>
  <c r="G76" i="18" s="1"/>
  <c r="E77" i="18"/>
  <c r="E76" i="18" s="1"/>
  <c r="D77" i="18"/>
  <c r="O74" i="18"/>
  <c r="L74" i="18"/>
  <c r="I74" i="18"/>
  <c r="F74" i="18"/>
  <c r="O73" i="18"/>
  <c r="L73" i="18"/>
  <c r="I73" i="18"/>
  <c r="F73" i="18"/>
  <c r="O72" i="18"/>
  <c r="L72" i="18"/>
  <c r="I72" i="18"/>
  <c r="F72" i="18"/>
  <c r="O71" i="18"/>
  <c r="L71" i="18"/>
  <c r="I71" i="18"/>
  <c r="F71" i="18"/>
  <c r="O70" i="18"/>
  <c r="L70" i="18"/>
  <c r="I70" i="18"/>
  <c r="F70" i="18"/>
  <c r="O69" i="18"/>
  <c r="N69" i="18"/>
  <c r="M69" i="18"/>
  <c r="M67" i="18" s="1"/>
  <c r="K69" i="18"/>
  <c r="K67" i="18" s="1"/>
  <c r="J69" i="18"/>
  <c r="J67" i="18" s="1"/>
  <c r="H69" i="18"/>
  <c r="H67" i="18" s="1"/>
  <c r="G69" i="18"/>
  <c r="E69" i="18"/>
  <c r="E67" i="18" s="1"/>
  <c r="D69" i="18"/>
  <c r="D67" i="18" s="1"/>
  <c r="O68" i="18"/>
  <c r="L68" i="18"/>
  <c r="I68" i="18"/>
  <c r="F68" i="18"/>
  <c r="N67" i="18"/>
  <c r="G67" i="18"/>
  <c r="O66" i="18"/>
  <c r="L66" i="18"/>
  <c r="I66" i="18"/>
  <c r="F66" i="18"/>
  <c r="O65" i="18"/>
  <c r="L65" i="18"/>
  <c r="I65" i="18"/>
  <c r="F65" i="18"/>
  <c r="O64" i="18"/>
  <c r="L64" i="18"/>
  <c r="I64" i="18"/>
  <c r="F64" i="18"/>
  <c r="O63" i="18"/>
  <c r="L63" i="18"/>
  <c r="I63" i="18"/>
  <c r="F63" i="18"/>
  <c r="O62" i="18"/>
  <c r="L62" i="18"/>
  <c r="I62" i="18"/>
  <c r="F62" i="18"/>
  <c r="O61" i="18"/>
  <c r="L61" i="18"/>
  <c r="I61" i="18"/>
  <c r="F61" i="18"/>
  <c r="O60" i="18"/>
  <c r="L60" i="18"/>
  <c r="I60" i="18"/>
  <c r="F60" i="18"/>
  <c r="O59" i="18"/>
  <c r="L59" i="18"/>
  <c r="I59" i="18"/>
  <c r="F59" i="18"/>
  <c r="N58" i="18"/>
  <c r="M58" i="18"/>
  <c r="K58" i="18"/>
  <c r="J58" i="18"/>
  <c r="H58" i="18"/>
  <c r="G58" i="18"/>
  <c r="E58" i="18"/>
  <c r="D58" i="18"/>
  <c r="O57" i="18"/>
  <c r="L57" i="18"/>
  <c r="I57" i="18"/>
  <c r="F57" i="18"/>
  <c r="O56" i="18"/>
  <c r="L56" i="18"/>
  <c r="L55" i="18" s="1"/>
  <c r="I56" i="18"/>
  <c r="I55" i="18" s="1"/>
  <c r="F56" i="18"/>
  <c r="N55" i="18"/>
  <c r="M55" i="18"/>
  <c r="M54" i="18" s="1"/>
  <c r="K55" i="18"/>
  <c r="K54" i="18" s="1"/>
  <c r="K53" i="18" s="1"/>
  <c r="J55" i="18"/>
  <c r="H55" i="18"/>
  <c r="G55" i="18"/>
  <c r="G54" i="18" s="1"/>
  <c r="G53" i="18" s="1"/>
  <c r="E55" i="18"/>
  <c r="D55" i="18"/>
  <c r="J54" i="18"/>
  <c r="H54" i="18"/>
  <c r="H53" i="18" s="1"/>
  <c r="O47" i="18"/>
  <c r="C47" i="18" s="1"/>
  <c r="O46" i="18"/>
  <c r="N45" i="18"/>
  <c r="M45" i="18"/>
  <c r="L44" i="18"/>
  <c r="L43" i="18" s="1"/>
  <c r="I44" i="18"/>
  <c r="F44" i="18"/>
  <c r="K43" i="18"/>
  <c r="J43" i="18"/>
  <c r="I43" i="18"/>
  <c r="H43" i="18"/>
  <c r="G43" i="18"/>
  <c r="E43" i="18"/>
  <c r="D43" i="18"/>
  <c r="F42" i="18"/>
  <c r="E41" i="18"/>
  <c r="D41" i="18"/>
  <c r="L40" i="18"/>
  <c r="C40" i="18" s="1"/>
  <c r="L39" i="18"/>
  <c r="C39" i="18" s="1"/>
  <c r="L38" i="18"/>
  <c r="C38" i="18" s="1"/>
  <c r="L37" i="18"/>
  <c r="C37" i="18" s="1"/>
  <c r="K36" i="18"/>
  <c r="J36" i="18"/>
  <c r="L35" i="18"/>
  <c r="C35" i="18" s="1"/>
  <c r="L34" i="18"/>
  <c r="C34" i="18" s="1"/>
  <c r="K33" i="18"/>
  <c r="J33" i="18"/>
  <c r="L32" i="18"/>
  <c r="C32" i="18" s="1"/>
  <c r="K31" i="18"/>
  <c r="J31" i="18"/>
  <c r="L30" i="18"/>
  <c r="C30" i="18" s="1"/>
  <c r="L29" i="18"/>
  <c r="C29" i="18" s="1"/>
  <c r="L28" i="18"/>
  <c r="C28" i="18" s="1"/>
  <c r="K27" i="18"/>
  <c r="J27" i="18"/>
  <c r="F25" i="18"/>
  <c r="C25" i="18" s="1"/>
  <c r="I24" i="18"/>
  <c r="F24" i="18"/>
  <c r="O23" i="18"/>
  <c r="L23" i="18"/>
  <c r="I23" i="18"/>
  <c r="F23" i="18"/>
  <c r="O22" i="18"/>
  <c r="L22" i="18"/>
  <c r="L21" i="18" s="1"/>
  <c r="I22" i="18"/>
  <c r="I21" i="18" s="1"/>
  <c r="F22" i="18"/>
  <c r="O21" i="18"/>
  <c r="N21" i="18"/>
  <c r="M21" i="18"/>
  <c r="K21" i="18"/>
  <c r="J21" i="18"/>
  <c r="H21" i="18"/>
  <c r="H292" i="18" s="1"/>
  <c r="H291" i="18" s="1"/>
  <c r="G21" i="18"/>
  <c r="E21" i="18"/>
  <c r="E292" i="18" s="1"/>
  <c r="E291" i="18" s="1"/>
  <c r="D21" i="18"/>
  <c r="D292" i="18" s="1"/>
  <c r="N20" i="18"/>
  <c r="D20" i="18"/>
  <c r="C132" i="18" l="1"/>
  <c r="C134" i="18"/>
  <c r="C139" i="18"/>
  <c r="H187" i="18"/>
  <c r="C263" i="18"/>
  <c r="C267" i="18"/>
  <c r="C275" i="18"/>
  <c r="I292" i="18"/>
  <c r="G230" i="18"/>
  <c r="I205" i="18"/>
  <c r="C215" i="18"/>
  <c r="D259" i="18"/>
  <c r="E270" i="18"/>
  <c r="K270" i="18"/>
  <c r="K269" i="18" s="1"/>
  <c r="C287" i="18"/>
  <c r="C299" i="18"/>
  <c r="C301" i="18"/>
  <c r="L270" i="18"/>
  <c r="L269" i="18" s="1"/>
  <c r="C182" i="18"/>
  <c r="C271" i="18"/>
  <c r="N76" i="18"/>
  <c r="G174" i="18"/>
  <c r="G173" i="18" s="1"/>
  <c r="N187" i="18"/>
  <c r="D204" i="18"/>
  <c r="C279" i="18"/>
  <c r="O89" i="18"/>
  <c r="O95" i="18"/>
  <c r="F286" i="18"/>
  <c r="C79" i="18"/>
  <c r="D76" i="18"/>
  <c r="C82" i="18"/>
  <c r="C108" i="18"/>
  <c r="C115" i="18"/>
  <c r="C119" i="18"/>
  <c r="C150" i="18"/>
  <c r="C154" i="18"/>
  <c r="O166" i="18"/>
  <c r="O165" i="18" s="1"/>
  <c r="O188" i="18"/>
  <c r="K231" i="18"/>
  <c r="K230" i="18" s="1"/>
  <c r="C239" i="18"/>
  <c r="C247" i="18"/>
  <c r="M259" i="18"/>
  <c r="M230" i="18" s="1"/>
  <c r="L260" i="18"/>
  <c r="C295" i="18"/>
  <c r="D291" i="18"/>
  <c r="J292" i="18"/>
  <c r="J291" i="18" s="1"/>
  <c r="L31" i="18"/>
  <c r="C31" i="18" s="1"/>
  <c r="L33" i="18"/>
  <c r="C33" i="18" s="1"/>
  <c r="C74" i="18"/>
  <c r="C91" i="18"/>
  <c r="C93" i="18"/>
  <c r="C99" i="18"/>
  <c r="C101" i="18"/>
  <c r="C124" i="18"/>
  <c r="C125" i="18"/>
  <c r="C146" i="18"/>
  <c r="C149" i="18"/>
  <c r="C153" i="18"/>
  <c r="C201" i="18"/>
  <c r="C207" i="18"/>
  <c r="G204" i="18"/>
  <c r="G195" i="18" s="1"/>
  <c r="K204" i="18"/>
  <c r="C228" i="18"/>
  <c r="C243" i="18"/>
  <c r="C245" i="18"/>
  <c r="C255" i="18"/>
  <c r="C256" i="18"/>
  <c r="C258" i="18"/>
  <c r="C274" i="18"/>
  <c r="C288" i="18"/>
  <c r="C57" i="18"/>
  <c r="C59" i="18"/>
  <c r="C61" i="18"/>
  <c r="C65" i="18"/>
  <c r="L84" i="18"/>
  <c r="G83" i="18"/>
  <c r="M83" i="18"/>
  <c r="L116" i="18"/>
  <c r="I122" i="18"/>
  <c r="C140" i="18"/>
  <c r="C170" i="18"/>
  <c r="C172" i="18"/>
  <c r="K173" i="18"/>
  <c r="O184" i="18"/>
  <c r="I188" i="18"/>
  <c r="C197" i="18"/>
  <c r="D195" i="18"/>
  <c r="M195" i="18"/>
  <c r="E204" i="18"/>
  <c r="E195" i="18" s="1"/>
  <c r="C211" i="18"/>
  <c r="F216" i="18"/>
  <c r="C218" i="18"/>
  <c r="N231" i="18"/>
  <c r="C240" i="18"/>
  <c r="C262" i="18"/>
  <c r="O260" i="18"/>
  <c r="C42" i="18"/>
  <c r="F41" i="18"/>
  <c r="C41" i="18" s="1"/>
  <c r="C190" i="18"/>
  <c r="O122" i="18"/>
  <c r="G130" i="18"/>
  <c r="C44" i="18"/>
  <c r="F43" i="18"/>
  <c r="C43" i="18" s="1"/>
  <c r="N83" i="18"/>
  <c r="N75" i="18" s="1"/>
  <c r="C126" i="18"/>
  <c r="O55" i="18"/>
  <c r="H76" i="18"/>
  <c r="C87" i="18"/>
  <c r="C158" i="18"/>
  <c r="M187" i="18"/>
  <c r="L187" i="18"/>
  <c r="C223" i="18"/>
  <c r="J231" i="18"/>
  <c r="C178" i="18"/>
  <c r="F175" i="18"/>
  <c r="I198" i="18"/>
  <c r="I196" i="18" s="1"/>
  <c r="C199" i="18"/>
  <c r="C46" i="18"/>
  <c r="O45" i="18"/>
  <c r="C45" i="18" s="1"/>
  <c r="H83" i="18"/>
  <c r="K83" i="18"/>
  <c r="E130" i="18"/>
  <c r="N54" i="18"/>
  <c r="N53" i="18" s="1"/>
  <c r="C23" i="18"/>
  <c r="C63" i="18"/>
  <c r="C64" i="18"/>
  <c r="C98" i="18"/>
  <c r="C156" i="18"/>
  <c r="C162" i="18"/>
  <c r="C163" i="18"/>
  <c r="C169" i="18"/>
  <c r="J187" i="18"/>
  <c r="K195" i="18"/>
  <c r="K194" i="18" s="1"/>
  <c r="C203" i="18"/>
  <c r="F252" i="18"/>
  <c r="F251" i="18" s="1"/>
  <c r="L264" i="18"/>
  <c r="L259" i="18" s="1"/>
  <c r="I293" i="18"/>
  <c r="J26" i="18"/>
  <c r="H20" i="18"/>
  <c r="J53" i="18"/>
  <c r="L58" i="18"/>
  <c r="L54" i="18" s="1"/>
  <c r="O67" i="18"/>
  <c r="G75" i="18"/>
  <c r="K76" i="18"/>
  <c r="D83" i="18"/>
  <c r="J83" i="18"/>
  <c r="C86" i="18"/>
  <c r="C102" i="18"/>
  <c r="F103" i="18"/>
  <c r="C106" i="18"/>
  <c r="C107" i="18"/>
  <c r="O103" i="18"/>
  <c r="O112" i="18"/>
  <c r="O116" i="18"/>
  <c r="J130" i="18"/>
  <c r="F131" i="18"/>
  <c r="C135" i="18"/>
  <c r="O136" i="18"/>
  <c r="C143" i="18"/>
  <c r="O144" i="18"/>
  <c r="C155" i="18"/>
  <c r="C157" i="18"/>
  <c r="L160" i="18"/>
  <c r="C164" i="18"/>
  <c r="C171" i="18"/>
  <c r="D174" i="18"/>
  <c r="D173" i="18" s="1"/>
  <c r="H173" i="18"/>
  <c r="J195" i="18"/>
  <c r="C208" i="18"/>
  <c r="C210" i="18"/>
  <c r="C220" i="18"/>
  <c r="C222" i="18"/>
  <c r="C229" i="18"/>
  <c r="O238" i="18"/>
  <c r="O231" i="18" s="1"/>
  <c r="C244" i="18"/>
  <c r="C257" i="18"/>
  <c r="O264" i="18"/>
  <c r="D269" i="18"/>
  <c r="E269" i="18"/>
  <c r="L252" i="18"/>
  <c r="L251" i="18" s="1"/>
  <c r="C285" i="18"/>
  <c r="C209" i="18"/>
  <c r="C214" i="18"/>
  <c r="C221" i="18"/>
  <c r="C226" i="18"/>
  <c r="E231" i="18"/>
  <c r="E230" i="18" s="1"/>
  <c r="N292" i="18"/>
  <c r="N291" i="18" s="1"/>
  <c r="L292" i="18"/>
  <c r="I20" i="18"/>
  <c r="K26" i="18"/>
  <c r="E54" i="18"/>
  <c r="E53" i="18" s="1"/>
  <c r="D54" i="18"/>
  <c r="D53" i="18" s="1"/>
  <c r="F58" i="18"/>
  <c r="C62" i="18"/>
  <c r="M53" i="18"/>
  <c r="C71" i="18"/>
  <c r="I69" i="18"/>
  <c r="I67" i="18" s="1"/>
  <c r="L77" i="18"/>
  <c r="L76" i="18" s="1"/>
  <c r="E83" i="18"/>
  <c r="C92" i="18"/>
  <c r="C94" i="18"/>
  <c r="L103" i="18"/>
  <c r="C110" i="18"/>
  <c r="C114" i="18"/>
  <c r="C118" i="18"/>
  <c r="C121" i="18"/>
  <c r="L131" i="18"/>
  <c r="C138" i="18"/>
  <c r="L144" i="18"/>
  <c r="C148" i="18"/>
  <c r="L151" i="18"/>
  <c r="O160" i="18"/>
  <c r="C177" i="18"/>
  <c r="L179" i="18"/>
  <c r="L174" i="18" s="1"/>
  <c r="L173" i="18" s="1"/>
  <c r="G187" i="18"/>
  <c r="K187" i="18"/>
  <c r="O196" i="18"/>
  <c r="L196" i="18"/>
  <c r="C200" i="18"/>
  <c r="C213" i="18"/>
  <c r="N204" i="18"/>
  <c r="L216" i="18"/>
  <c r="C225" i="18"/>
  <c r="H231" i="18"/>
  <c r="H230" i="18" s="1"/>
  <c r="H194" i="18" s="1"/>
  <c r="C254" i="18"/>
  <c r="O252" i="18"/>
  <c r="O251" i="18" s="1"/>
  <c r="F276" i="18"/>
  <c r="F270" i="18" s="1"/>
  <c r="C277" i="18"/>
  <c r="C278" i="18"/>
  <c r="O276" i="18"/>
  <c r="O270" i="18" s="1"/>
  <c r="O269" i="18" s="1"/>
  <c r="C298" i="18"/>
  <c r="J20" i="18"/>
  <c r="C145" i="18"/>
  <c r="F144" i="18"/>
  <c r="I151" i="18"/>
  <c r="C152" i="18"/>
  <c r="C266" i="18"/>
  <c r="F264" i="18"/>
  <c r="F259" i="18" s="1"/>
  <c r="G292" i="18"/>
  <c r="G291" i="18" s="1"/>
  <c r="G20" i="18"/>
  <c r="K292" i="18"/>
  <c r="K291" i="18" s="1"/>
  <c r="K20" i="18"/>
  <c r="C22" i="18"/>
  <c r="F21" i="18"/>
  <c r="L36" i="18"/>
  <c r="C36" i="18" s="1"/>
  <c r="O58" i="18"/>
  <c r="O54" i="18" s="1"/>
  <c r="O53" i="18" s="1"/>
  <c r="C66" i="18"/>
  <c r="C70" i="18"/>
  <c r="F69" i="18"/>
  <c r="J75" i="18"/>
  <c r="I76" i="18"/>
  <c r="F84" i="18"/>
  <c r="I84" i="18"/>
  <c r="C85" i="18"/>
  <c r="C88" i="18"/>
  <c r="I89" i="18"/>
  <c r="F95" i="18"/>
  <c r="C105" i="18"/>
  <c r="I103" i="18"/>
  <c r="C109" i="18"/>
  <c r="I112" i="18"/>
  <c r="C129" i="18"/>
  <c r="F128" i="18"/>
  <c r="C128" i="18" s="1"/>
  <c r="I141" i="18"/>
  <c r="C141" i="18" s="1"/>
  <c r="C142" i="18"/>
  <c r="C181" i="18"/>
  <c r="F179" i="18"/>
  <c r="C248" i="18"/>
  <c r="L246" i="18"/>
  <c r="O292" i="18"/>
  <c r="C24" i="18"/>
  <c r="L27" i="18"/>
  <c r="F55" i="18"/>
  <c r="C56" i="18"/>
  <c r="C60" i="18"/>
  <c r="C68" i="18"/>
  <c r="C72" i="18"/>
  <c r="C73" i="18"/>
  <c r="C80" i="18"/>
  <c r="C81" i="18"/>
  <c r="C90" i="18"/>
  <c r="F89" i="18"/>
  <c r="C89" i="18" s="1"/>
  <c r="C97" i="18"/>
  <c r="I95" i="18"/>
  <c r="C100" i="18"/>
  <c r="I116" i="18"/>
  <c r="C202" i="18"/>
  <c r="F196" i="18"/>
  <c r="M292" i="18"/>
  <c r="M291" i="18" s="1"/>
  <c r="M20" i="18"/>
  <c r="E20" i="18"/>
  <c r="I58" i="18"/>
  <c r="L69" i="18"/>
  <c r="L67" i="18" s="1"/>
  <c r="C78" i="18"/>
  <c r="F77" i="18"/>
  <c r="O84" i="18"/>
  <c r="L95" i="18"/>
  <c r="M130" i="18"/>
  <c r="M75" i="18" s="1"/>
  <c r="C96" i="18"/>
  <c r="C104" i="18"/>
  <c r="L122" i="18"/>
  <c r="C127" i="18"/>
  <c r="O131" i="18"/>
  <c r="C147" i="18"/>
  <c r="C159" i="18"/>
  <c r="J174" i="18"/>
  <c r="J173" i="18" s="1"/>
  <c r="N174" i="18"/>
  <c r="N173" i="18" s="1"/>
  <c r="O175" i="18"/>
  <c r="I179" i="18"/>
  <c r="C180" i="18"/>
  <c r="C183" i="18"/>
  <c r="E187" i="18"/>
  <c r="C189" i="18"/>
  <c r="F188" i="18"/>
  <c r="O187" i="18"/>
  <c r="I192" i="18"/>
  <c r="C193" i="18"/>
  <c r="G194" i="18"/>
  <c r="C241" i="18"/>
  <c r="I238" i="18"/>
  <c r="C113" i="18"/>
  <c r="F112" i="18"/>
  <c r="C112" i="18" s="1"/>
  <c r="C117" i="18"/>
  <c r="F116" i="18"/>
  <c r="C133" i="18"/>
  <c r="C137" i="18"/>
  <c r="F136" i="18"/>
  <c r="C136" i="18" s="1"/>
  <c r="O151" i="18"/>
  <c r="C161" i="18"/>
  <c r="F160" i="18"/>
  <c r="M173" i="18"/>
  <c r="C185" i="18"/>
  <c r="F184" i="18"/>
  <c r="C184" i="18" s="1"/>
  <c r="C217" i="18"/>
  <c r="I216" i="18"/>
  <c r="C253" i="18"/>
  <c r="I252" i="18"/>
  <c r="I251" i="18" s="1"/>
  <c r="F281" i="18"/>
  <c r="C281" i="18" s="1"/>
  <c r="C282" i="18"/>
  <c r="C286" i="18"/>
  <c r="C111" i="18"/>
  <c r="F122" i="18"/>
  <c r="C122" i="18" s="1"/>
  <c r="C123" i="18"/>
  <c r="D130" i="18"/>
  <c r="D75" i="18" s="1"/>
  <c r="H130" i="18"/>
  <c r="I131" i="18"/>
  <c r="I144" i="18"/>
  <c r="C168" i="18"/>
  <c r="I166" i="18"/>
  <c r="E173" i="18"/>
  <c r="I175" i="18"/>
  <c r="I174" i="18" s="1"/>
  <c r="I173" i="18" s="1"/>
  <c r="C176" i="18"/>
  <c r="O179" i="18"/>
  <c r="C167" i="18"/>
  <c r="L205" i="18"/>
  <c r="C212" i="18"/>
  <c r="C224" i="18"/>
  <c r="C232" i="18"/>
  <c r="C236" i="18"/>
  <c r="D231" i="18"/>
  <c r="D230" i="18" s="1"/>
  <c r="J259" i="18"/>
  <c r="N259" i="18"/>
  <c r="N230" i="18" s="1"/>
  <c r="C265" i="18"/>
  <c r="I264" i="18"/>
  <c r="C268" i="18"/>
  <c r="C280" i="18"/>
  <c r="C296" i="18"/>
  <c r="L293" i="18"/>
  <c r="I291" i="18"/>
  <c r="N195" i="18"/>
  <c r="I204" i="18"/>
  <c r="C237" i="18"/>
  <c r="I235" i="18"/>
  <c r="F246" i="18"/>
  <c r="C250" i="18"/>
  <c r="C273" i="18"/>
  <c r="I272" i="18"/>
  <c r="I270" i="18" s="1"/>
  <c r="I269" i="18" s="1"/>
  <c r="F293" i="18"/>
  <c r="C294" i="18"/>
  <c r="O293" i="18"/>
  <c r="C300" i="18"/>
  <c r="L291" i="18"/>
  <c r="F205" i="18"/>
  <c r="C206" i="18"/>
  <c r="O205" i="18"/>
  <c r="O216" i="18"/>
  <c r="L231" i="18"/>
  <c r="L230" i="18" s="1"/>
  <c r="F233" i="18"/>
  <c r="C234" i="18"/>
  <c r="F238" i="18"/>
  <c r="C242" i="18"/>
  <c r="C249" i="18"/>
  <c r="I246" i="18"/>
  <c r="C261" i="18"/>
  <c r="I260" i="18"/>
  <c r="I259" i="18" s="1"/>
  <c r="C284" i="18"/>
  <c r="F283" i="18"/>
  <c r="C283" i="18" s="1"/>
  <c r="C297" i="18"/>
  <c r="F227" i="18"/>
  <c r="C227" i="18" s="1"/>
  <c r="F235" i="18"/>
  <c r="O130" i="18" l="1"/>
  <c r="F174" i="18"/>
  <c r="M52" i="18"/>
  <c r="M194" i="18"/>
  <c r="M289" i="18"/>
  <c r="N289" i="18"/>
  <c r="H75" i="18"/>
  <c r="H289" i="18" s="1"/>
  <c r="C216" i="18"/>
  <c r="C69" i="18"/>
  <c r="C103" i="18"/>
  <c r="E194" i="18"/>
  <c r="J52" i="18"/>
  <c r="G52" i="18"/>
  <c r="C235" i="18"/>
  <c r="D52" i="18"/>
  <c r="O83" i="18"/>
  <c r="O75" i="18" s="1"/>
  <c r="C58" i="18"/>
  <c r="L130" i="18"/>
  <c r="O259" i="18"/>
  <c r="O230" i="18" s="1"/>
  <c r="C160" i="18"/>
  <c r="N52" i="18"/>
  <c r="O174" i="18"/>
  <c r="O173" i="18" s="1"/>
  <c r="O52" i="18" s="1"/>
  <c r="C198" i="18"/>
  <c r="L204" i="18"/>
  <c r="L195" i="18" s="1"/>
  <c r="L194" i="18" s="1"/>
  <c r="O204" i="18"/>
  <c r="O195" i="18" s="1"/>
  <c r="O20" i="18"/>
  <c r="L53" i="18"/>
  <c r="I195" i="18"/>
  <c r="G289" i="18"/>
  <c r="C293" i="18"/>
  <c r="I231" i="18"/>
  <c r="I230" i="18" s="1"/>
  <c r="J230" i="18"/>
  <c r="J194" i="18" s="1"/>
  <c r="J51" i="18" s="1"/>
  <c r="C116" i="18"/>
  <c r="L83" i="18"/>
  <c r="L75" i="18" s="1"/>
  <c r="F67" i="18"/>
  <c r="C67" i="18" s="1"/>
  <c r="C151" i="18"/>
  <c r="C276" i="18"/>
  <c r="E75" i="18"/>
  <c r="E289" i="18" s="1"/>
  <c r="K75" i="18"/>
  <c r="D289" i="18"/>
  <c r="C233" i="18"/>
  <c r="F231" i="18"/>
  <c r="C205" i="18"/>
  <c r="F204" i="18"/>
  <c r="C246" i="18"/>
  <c r="N194" i="18"/>
  <c r="N51" i="18" s="1"/>
  <c r="I130" i="18"/>
  <c r="C272" i="18"/>
  <c r="C251" i="18"/>
  <c r="D194" i="18"/>
  <c r="F173" i="18"/>
  <c r="F83" i="18"/>
  <c r="C84" i="18"/>
  <c r="F292" i="18"/>
  <c r="C21" i="18"/>
  <c r="F20" i="18"/>
  <c r="F130" i="18"/>
  <c r="G51" i="18"/>
  <c r="C238" i="18"/>
  <c r="C260" i="18"/>
  <c r="I165" i="18"/>
  <c r="C165" i="18" s="1"/>
  <c r="C166" i="18"/>
  <c r="F269" i="18"/>
  <c r="C270" i="18"/>
  <c r="C252" i="18"/>
  <c r="C188" i="18"/>
  <c r="F187" i="18"/>
  <c r="O291" i="18"/>
  <c r="C179" i="18"/>
  <c r="C144" i="18"/>
  <c r="C27" i="18"/>
  <c r="L26" i="18"/>
  <c r="C175" i="18"/>
  <c r="I191" i="18"/>
  <c r="C192" i="18"/>
  <c r="F76" i="18"/>
  <c r="C77" i="18"/>
  <c r="C196" i="18"/>
  <c r="C55" i="18"/>
  <c r="F54" i="18"/>
  <c r="C95" i="18"/>
  <c r="I83" i="18"/>
  <c r="I75" i="18" s="1"/>
  <c r="C264" i="18"/>
  <c r="C131" i="18"/>
  <c r="I54" i="18"/>
  <c r="I53" i="18" s="1"/>
  <c r="O289" i="18" l="1"/>
  <c r="M51" i="18"/>
  <c r="M290" i="18" s="1"/>
  <c r="C173" i="18"/>
  <c r="I194" i="18"/>
  <c r="H52" i="18"/>
  <c r="H51" i="18" s="1"/>
  <c r="H290" i="18" s="1"/>
  <c r="C174" i="18"/>
  <c r="C259" i="18"/>
  <c r="C204" i="18"/>
  <c r="D51" i="18"/>
  <c r="D290" i="18" s="1"/>
  <c r="O194" i="18"/>
  <c r="O51" i="18" s="1"/>
  <c r="L52" i="18"/>
  <c r="L51" i="18" s="1"/>
  <c r="L50" i="18" s="1"/>
  <c r="L289" i="18"/>
  <c r="J289" i="18"/>
  <c r="E52" i="18"/>
  <c r="E51" i="18" s="1"/>
  <c r="K52" i="18"/>
  <c r="K51" i="18" s="1"/>
  <c r="K289" i="18"/>
  <c r="N50" i="18"/>
  <c r="N290" i="18"/>
  <c r="C26" i="18"/>
  <c r="L20" i="18"/>
  <c r="C20" i="18" s="1"/>
  <c r="G290" i="18"/>
  <c r="G50" i="18"/>
  <c r="J50" i="18"/>
  <c r="J290" i="18"/>
  <c r="F195" i="18"/>
  <c r="I187" i="18"/>
  <c r="I289" i="18" s="1"/>
  <c r="C191" i="18"/>
  <c r="C83" i="18"/>
  <c r="F230" i="18"/>
  <c r="C230" i="18" s="1"/>
  <c r="C231" i="18"/>
  <c r="C292" i="18"/>
  <c r="F291" i="18"/>
  <c r="C291" i="18" s="1"/>
  <c r="C130" i="18"/>
  <c r="C54" i="18"/>
  <c r="F53" i="18"/>
  <c r="C269" i="18"/>
  <c r="H50" i="18"/>
  <c r="F75" i="18"/>
  <c r="C75" i="18" s="1"/>
  <c r="C76" i="18"/>
  <c r="M50" i="18" l="1"/>
  <c r="O50" i="18"/>
  <c r="O290" i="18"/>
  <c r="D50" i="18"/>
  <c r="L290" i="18"/>
  <c r="K50" i="18"/>
  <c r="K290" i="18"/>
  <c r="E290" i="18"/>
  <c r="E50" i="18"/>
  <c r="F194" i="18"/>
  <c r="C194" i="18" s="1"/>
  <c r="C195" i="18"/>
  <c r="C53" i="18"/>
  <c r="F52" i="18"/>
  <c r="I52" i="18"/>
  <c r="I51" i="18" s="1"/>
  <c r="F289" i="18"/>
  <c r="C289" i="18" s="1"/>
  <c r="C187" i="18"/>
  <c r="I290" i="18" l="1"/>
  <c r="I50" i="18"/>
  <c r="F51" i="18"/>
  <c r="C52" i="18"/>
  <c r="F290" i="18" l="1"/>
  <c r="C290" i="18" s="1"/>
  <c r="F50" i="18"/>
  <c r="C50" i="18" s="1"/>
  <c r="C51" i="18"/>
  <c r="F16" i="17" l="1"/>
  <c r="F17" i="17"/>
  <c r="F18" i="17"/>
  <c r="F19" i="17"/>
  <c r="F21" i="17"/>
  <c r="F22" i="17"/>
  <c r="F23" i="17"/>
  <c r="F24" i="17"/>
  <c r="F25" i="17"/>
  <c r="F26" i="17"/>
  <c r="F27" i="17"/>
  <c r="F28" i="17"/>
  <c r="F29" i="17"/>
  <c r="F31" i="17"/>
  <c r="F32" i="17"/>
  <c r="F33" i="17"/>
  <c r="F34" i="17"/>
  <c r="F35" i="17"/>
  <c r="F36" i="17"/>
  <c r="F37" i="17"/>
  <c r="F38" i="17"/>
  <c r="F39" i="17"/>
  <c r="F40" i="17"/>
  <c r="F41" i="17"/>
  <c r="F42" i="17"/>
  <c r="F43" i="17"/>
  <c r="F44" i="17"/>
  <c r="F45" i="17"/>
  <c r="F46" i="17"/>
  <c r="F47" i="17"/>
  <c r="F49" i="17"/>
  <c r="F50" i="17"/>
  <c r="F51" i="17"/>
  <c r="F54" i="17"/>
  <c r="F53" i="17" s="1"/>
  <c r="F56" i="17"/>
  <c r="F57" i="17"/>
  <c r="F58" i="17"/>
  <c r="F59" i="17"/>
  <c r="F60" i="17"/>
  <c r="F61" i="17"/>
  <c r="F65" i="17"/>
  <c r="F66" i="17"/>
  <c r="F67" i="17"/>
  <c r="F69" i="17"/>
  <c r="F70" i="17"/>
  <c r="F71" i="17"/>
  <c r="F72" i="17"/>
  <c r="F73" i="17"/>
  <c r="F75" i="17"/>
  <c r="F76" i="17"/>
  <c r="F77" i="17"/>
  <c r="F79" i="17"/>
  <c r="F80" i="17"/>
  <c r="F81" i="17"/>
  <c r="F84" i="17"/>
  <c r="F85" i="17"/>
  <c r="F87" i="17"/>
  <c r="F88" i="17"/>
  <c r="F89" i="17"/>
  <c r="F91" i="17"/>
  <c r="F90" i="17" s="1"/>
  <c r="F92" i="17"/>
  <c r="F95" i="17"/>
  <c r="F96" i="17"/>
  <c r="F97" i="17"/>
  <c r="F99" i="17"/>
  <c r="F100" i="17"/>
  <c r="F103" i="17"/>
  <c r="F104" i="17"/>
  <c r="F105" i="17"/>
  <c r="F106" i="17"/>
  <c r="F108" i="17"/>
  <c r="F109" i="17"/>
  <c r="F110" i="17"/>
  <c r="F111" i="17"/>
  <c r="F112" i="17"/>
  <c r="F113" i="17"/>
  <c r="F116" i="17"/>
  <c r="F117" i="17"/>
  <c r="F118" i="17"/>
  <c r="F120" i="17"/>
  <c r="F121" i="17"/>
  <c r="F122" i="17"/>
  <c r="F123" i="17"/>
  <c r="F126" i="17"/>
  <c r="F127" i="17"/>
  <c r="F128" i="17"/>
  <c r="F129" i="17"/>
  <c r="F131" i="17"/>
  <c r="F132" i="17"/>
  <c r="F133" i="17"/>
  <c r="F135" i="17"/>
  <c r="F134" i="17" s="1"/>
  <c r="F137" i="17"/>
  <c r="F138" i="17"/>
  <c r="F139" i="17"/>
  <c r="F140" i="17"/>
  <c r="F143" i="17"/>
  <c r="F144" i="17"/>
  <c r="F145" i="17"/>
  <c r="F147" i="17"/>
  <c r="F148" i="17"/>
  <c r="F149" i="17"/>
  <c r="F152" i="17"/>
  <c r="F151" i="17" s="1"/>
  <c r="F154" i="17"/>
  <c r="F155" i="17"/>
  <c r="F156" i="17"/>
  <c r="F157" i="17"/>
  <c r="F158" i="17"/>
  <c r="F161" i="17"/>
  <c r="F162" i="17"/>
  <c r="F163" i="17"/>
  <c r="F164" i="17"/>
  <c r="F166" i="17"/>
  <c r="F167" i="17"/>
  <c r="F168" i="17"/>
  <c r="F171" i="17"/>
  <c r="F172" i="17"/>
  <c r="F174" i="17"/>
  <c r="F175" i="17"/>
  <c r="F176" i="17"/>
  <c r="F177" i="17"/>
  <c r="F180" i="17"/>
  <c r="F181" i="17"/>
  <c r="F182" i="17"/>
  <c r="F183" i="17"/>
  <c r="F185" i="17"/>
  <c r="F186" i="17"/>
  <c r="F187" i="17"/>
  <c r="F190" i="17"/>
  <c r="F191" i="17"/>
  <c r="F192" i="17"/>
  <c r="F193" i="17"/>
  <c r="F194" i="17"/>
  <c r="F195" i="17"/>
  <c r="F197" i="17"/>
  <c r="F198" i="17"/>
  <c r="F199" i="17"/>
  <c r="F201" i="17"/>
  <c r="F202" i="17"/>
  <c r="F203" i="17"/>
  <c r="F205" i="17"/>
  <c r="F206" i="17"/>
  <c r="F207" i="17"/>
  <c r="F208" i="17"/>
  <c r="F211" i="17"/>
  <c r="F212" i="17"/>
  <c r="F213" i="17"/>
  <c r="F215" i="17"/>
  <c r="F216" i="17"/>
  <c r="F217" i="17"/>
  <c r="F220" i="17"/>
  <c r="F221" i="17"/>
  <c r="F222" i="17"/>
  <c r="F223" i="17"/>
  <c r="F226" i="17"/>
  <c r="F227" i="17"/>
  <c r="F228" i="17"/>
  <c r="F229" i="17"/>
  <c r="F231" i="17"/>
  <c r="F232" i="17"/>
  <c r="F233" i="17"/>
  <c r="F236" i="17"/>
  <c r="F235" i="17" s="1"/>
  <c r="F238" i="17"/>
  <c r="F239" i="17"/>
  <c r="F240" i="17"/>
  <c r="F241" i="17"/>
  <c r="F242" i="17"/>
  <c r="F244" i="17"/>
  <c r="F245" i="17"/>
  <c r="F246" i="17"/>
  <c r="F249" i="17"/>
  <c r="F250" i="17"/>
  <c r="F251" i="17"/>
  <c r="F252" i="17"/>
  <c r="F254" i="17"/>
  <c r="F255" i="17"/>
  <c r="F256" i="17"/>
  <c r="F259" i="17"/>
  <c r="F260" i="17"/>
  <c r="F261" i="17"/>
  <c r="F262" i="17"/>
  <c r="F264" i="17"/>
  <c r="F265" i="17"/>
  <c r="F266" i="17"/>
  <c r="F267" i="17"/>
  <c r="F268" i="17"/>
  <c r="F270" i="17"/>
  <c r="F271" i="17"/>
  <c r="F272" i="17"/>
  <c r="E269" i="17"/>
  <c r="D269" i="17"/>
  <c r="E263" i="17"/>
  <c r="D263" i="17"/>
  <c r="E258" i="17"/>
  <c r="D258" i="17"/>
  <c r="D257" i="17" s="1"/>
  <c r="E253" i="17"/>
  <c r="D253" i="17"/>
  <c r="E248" i="17"/>
  <c r="D248" i="17"/>
  <c r="E243" i="17"/>
  <c r="D243" i="17"/>
  <c r="E237" i="17"/>
  <c r="D237" i="17"/>
  <c r="E235" i="17"/>
  <c r="D235" i="17"/>
  <c r="E230" i="17"/>
  <c r="D230" i="17"/>
  <c r="E225" i="17"/>
  <c r="D225" i="17"/>
  <c r="E219" i="17"/>
  <c r="E218" i="17" s="1"/>
  <c r="D219" i="17"/>
  <c r="D218" i="17" s="1"/>
  <c r="E214" i="17"/>
  <c r="D214" i="17"/>
  <c r="E210" i="17"/>
  <c r="D210" i="17"/>
  <c r="E204" i="17"/>
  <c r="D204" i="17"/>
  <c r="E200" i="17"/>
  <c r="D200" i="17"/>
  <c r="E196" i="17"/>
  <c r="D196" i="17"/>
  <c r="E189" i="17"/>
  <c r="D189" i="17"/>
  <c r="E184" i="17"/>
  <c r="D184" i="17"/>
  <c r="E179" i="17"/>
  <c r="D179" i="17"/>
  <c r="E173" i="17"/>
  <c r="D173" i="17"/>
  <c r="E170" i="17"/>
  <c r="D170" i="17"/>
  <c r="E165" i="17"/>
  <c r="D165" i="17"/>
  <c r="E160" i="17"/>
  <c r="D160" i="17"/>
  <c r="E153" i="17"/>
  <c r="D153" i="17"/>
  <c r="E151" i="17"/>
  <c r="D151" i="17"/>
  <c r="E146" i="17"/>
  <c r="D146" i="17"/>
  <c r="E142" i="17"/>
  <c r="D142" i="17"/>
  <c r="D136" i="17"/>
  <c r="E134" i="17"/>
  <c r="D134" i="17"/>
  <c r="E130" i="17"/>
  <c r="D130" i="17"/>
  <c r="E125" i="17"/>
  <c r="D125" i="17"/>
  <c r="E119" i="17"/>
  <c r="D119" i="17"/>
  <c r="E115" i="17"/>
  <c r="D115" i="17"/>
  <c r="E107" i="17"/>
  <c r="D107" i="17"/>
  <c r="E102" i="17"/>
  <c r="D102" i="17"/>
  <c r="E98" i="17"/>
  <c r="D98" i="17"/>
  <c r="E94" i="17"/>
  <c r="D94" i="17"/>
  <c r="E90" i="17"/>
  <c r="D90" i="17"/>
  <c r="E86" i="17"/>
  <c r="D86" i="17"/>
  <c r="E83" i="17"/>
  <c r="D83" i="17"/>
  <c r="E78" i="17"/>
  <c r="D78" i="17"/>
  <c r="E74" i="17"/>
  <c r="D74" i="17"/>
  <c r="E68" i="17"/>
  <c r="D68" i="17"/>
  <c r="E64" i="17"/>
  <c r="D64" i="17"/>
  <c r="E55" i="17"/>
  <c r="D55" i="17"/>
  <c r="E53" i="17"/>
  <c r="D53" i="17"/>
  <c r="E48" i="17"/>
  <c r="D48" i="17"/>
  <c r="E30" i="17"/>
  <c r="D30" i="17"/>
  <c r="E20" i="17"/>
  <c r="D20" i="17"/>
  <c r="E15" i="17"/>
  <c r="D15" i="17"/>
  <c r="D93" i="17" l="1"/>
  <c r="F98" i="17"/>
  <c r="F184" i="17"/>
  <c r="E52" i="17"/>
  <c r="D150" i="17"/>
  <c r="D141" i="17" s="1"/>
  <c r="F214" i="17"/>
  <c r="F204" i="17"/>
  <c r="F189" i="17"/>
  <c r="F170" i="17"/>
  <c r="F165" i="17"/>
  <c r="F146" i="17"/>
  <c r="F130" i="17"/>
  <c r="E124" i="17"/>
  <c r="F248" i="17"/>
  <c r="F243" i="17"/>
  <c r="F230" i="17"/>
  <c r="F196" i="17"/>
  <c r="F153" i="17"/>
  <c r="F150" i="17" s="1"/>
  <c r="F115" i="17"/>
  <c r="F94" i="17"/>
  <c r="F64" i="17"/>
  <c r="F48" i="17"/>
  <c r="F30" i="17"/>
  <c r="F269" i="17"/>
  <c r="F263" i="17"/>
  <c r="F253" i="17"/>
  <c r="F237" i="17"/>
  <c r="F225" i="17"/>
  <c r="F219" i="17"/>
  <c r="F218" i="17" s="1"/>
  <c r="F200" i="17"/>
  <c r="F125" i="17"/>
  <c r="F119" i="17"/>
  <c r="F107" i="17"/>
  <c r="F86" i="17"/>
  <c r="F74" i="17"/>
  <c r="F20" i="17"/>
  <c r="D14" i="17"/>
  <c r="E114" i="17"/>
  <c r="E101" i="17" s="1"/>
  <c r="F258" i="17"/>
  <c r="F257" i="17" s="1"/>
  <c r="F210" i="17"/>
  <c r="F179" i="17"/>
  <c r="F173" i="17"/>
  <c r="F160" i="17"/>
  <c r="F142" i="17"/>
  <c r="F136" i="17"/>
  <c r="F102" i="17"/>
  <c r="F83" i="17"/>
  <c r="F78" i="17"/>
  <c r="F68" i="17"/>
  <c r="F55" i="17"/>
  <c r="F52" i="17" s="1"/>
  <c r="F15" i="17"/>
  <c r="F14" i="17" s="1"/>
  <c r="D52" i="17"/>
  <c r="D13" i="17" s="1"/>
  <c r="D169" i="17"/>
  <c r="D159" i="17" s="1"/>
  <c r="E188" i="17"/>
  <c r="E178" i="17" s="1"/>
  <c r="D63" i="17"/>
  <c r="E93" i="17"/>
  <c r="D124" i="17"/>
  <c r="E150" i="17"/>
  <c r="E141" i="17" s="1"/>
  <c r="E169" i="17"/>
  <c r="E159" i="17" s="1"/>
  <c r="E247" i="17"/>
  <c r="E14" i="17"/>
  <c r="E82" i="17"/>
  <c r="D82" i="17"/>
  <c r="E234" i="17"/>
  <c r="E224" i="17" s="1"/>
  <c r="D247" i="17"/>
  <c r="E62" i="17"/>
  <c r="D114" i="17"/>
  <c r="D101" i="17" s="1"/>
  <c r="E13" i="17"/>
  <c r="D188" i="17"/>
  <c r="D178" i="17" s="1"/>
  <c r="E209" i="17"/>
  <c r="D209" i="17"/>
  <c r="D234" i="17"/>
  <c r="D224" i="17" s="1"/>
  <c r="D62" i="17"/>
  <c r="F93" i="17" l="1"/>
  <c r="F82" i="17"/>
  <c r="F114" i="17"/>
  <c r="F188" i="17"/>
  <c r="F178" i="17" s="1"/>
  <c r="F247" i="17"/>
  <c r="F169" i="17"/>
  <c r="F159" i="17" s="1"/>
  <c r="F101" i="17"/>
  <c r="F141" i="17"/>
  <c r="F62" i="17"/>
  <c r="F13" i="17"/>
  <c r="F209" i="17"/>
  <c r="F63" i="17"/>
  <c r="F234" i="17"/>
  <c r="F224" i="17" s="1"/>
  <c r="F124" i="17"/>
  <c r="E12" i="17"/>
  <c r="D12" i="17"/>
  <c r="F12" i="17" l="1"/>
  <c r="O301" i="16" l="1"/>
  <c r="L301" i="16"/>
  <c r="I301" i="16"/>
  <c r="F301" i="16"/>
  <c r="O300" i="16"/>
  <c r="L300" i="16"/>
  <c r="I300" i="16"/>
  <c r="F300" i="16"/>
  <c r="O299" i="16"/>
  <c r="L299" i="16"/>
  <c r="I299" i="16"/>
  <c r="F299" i="16"/>
  <c r="O298" i="16"/>
  <c r="L298" i="16"/>
  <c r="I298" i="16"/>
  <c r="F298" i="16"/>
  <c r="O297" i="16"/>
  <c r="L297" i="16"/>
  <c r="I297" i="16"/>
  <c r="F297" i="16"/>
  <c r="O296" i="16"/>
  <c r="L296" i="16"/>
  <c r="I296" i="16"/>
  <c r="F296" i="16"/>
  <c r="O295" i="16"/>
  <c r="L295" i="16"/>
  <c r="I295" i="16"/>
  <c r="F295" i="16"/>
  <c r="O294" i="16"/>
  <c r="L294" i="16"/>
  <c r="I294" i="16"/>
  <c r="F294" i="16"/>
  <c r="N293" i="16"/>
  <c r="M293" i="16"/>
  <c r="K293" i="16"/>
  <c r="J293" i="16"/>
  <c r="H293" i="16"/>
  <c r="G293" i="16"/>
  <c r="E293" i="16"/>
  <c r="D293" i="16"/>
  <c r="O288" i="16"/>
  <c r="L288" i="16"/>
  <c r="I288" i="16"/>
  <c r="F288" i="16"/>
  <c r="O287" i="16"/>
  <c r="L287" i="16"/>
  <c r="L286" i="16" s="1"/>
  <c r="I287" i="16"/>
  <c r="F287" i="16"/>
  <c r="O286" i="16"/>
  <c r="N286" i="16"/>
  <c r="M286" i="16"/>
  <c r="K286" i="16"/>
  <c r="J286" i="16"/>
  <c r="H286" i="16"/>
  <c r="G286" i="16"/>
  <c r="F286" i="16"/>
  <c r="E286" i="16"/>
  <c r="D286" i="16"/>
  <c r="O285" i="16"/>
  <c r="O284" i="16" s="1"/>
  <c r="O283" i="16" s="1"/>
  <c r="L285" i="16"/>
  <c r="L284" i="16" s="1"/>
  <c r="L283" i="16" s="1"/>
  <c r="I285" i="16"/>
  <c r="I284" i="16" s="1"/>
  <c r="I283" i="16" s="1"/>
  <c r="F285" i="16"/>
  <c r="N284" i="16"/>
  <c r="M284" i="16"/>
  <c r="M283" i="16" s="1"/>
  <c r="K284" i="16"/>
  <c r="K283" i="16" s="1"/>
  <c r="J284" i="16"/>
  <c r="J283" i="16" s="1"/>
  <c r="H284" i="16"/>
  <c r="G284" i="16"/>
  <c r="G283" i="16" s="1"/>
  <c r="E284" i="16"/>
  <c r="E283" i="16" s="1"/>
  <c r="D284" i="16"/>
  <c r="D283" i="16" s="1"/>
  <c r="N283" i="16"/>
  <c r="H283" i="16"/>
  <c r="O282" i="16"/>
  <c r="O281" i="16" s="1"/>
  <c r="L282" i="16"/>
  <c r="L281" i="16" s="1"/>
  <c r="I282" i="16"/>
  <c r="I281" i="16" s="1"/>
  <c r="F282" i="16"/>
  <c r="F281" i="16" s="1"/>
  <c r="N281" i="16"/>
  <c r="M281" i="16"/>
  <c r="K281" i="16"/>
  <c r="J281" i="16"/>
  <c r="H281" i="16"/>
  <c r="G281" i="16"/>
  <c r="E281" i="16"/>
  <c r="D281" i="16"/>
  <c r="O280" i="16"/>
  <c r="L280" i="16"/>
  <c r="I280" i="16"/>
  <c r="F280" i="16"/>
  <c r="O279" i="16"/>
  <c r="L279" i="16"/>
  <c r="I279" i="16"/>
  <c r="F279" i="16"/>
  <c r="O278" i="16"/>
  <c r="L278" i="16"/>
  <c r="I278" i="16"/>
  <c r="F278" i="16"/>
  <c r="O277" i="16"/>
  <c r="L277" i="16"/>
  <c r="I277" i="16"/>
  <c r="F277" i="16"/>
  <c r="N276" i="16"/>
  <c r="N270" i="16" s="1"/>
  <c r="N269" i="16" s="1"/>
  <c r="M276" i="16"/>
  <c r="K276" i="16"/>
  <c r="J276" i="16"/>
  <c r="I276" i="16"/>
  <c r="H276" i="16"/>
  <c r="G276" i="16"/>
  <c r="E276" i="16"/>
  <c r="D276" i="16"/>
  <c r="O275" i="16"/>
  <c r="L275" i="16"/>
  <c r="I275" i="16"/>
  <c r="F275" i="16"/>
  <c r="O274" i="16"/>
  <c r="L274" i="16"/>
  <c r="I274" i="16"/>
  <c r="F274" i="16"/>
  <c r="C274" i="16" s="1"/>
  <c r="O273" i="16"/>
  <c r="L273" i="16"/>
  <c r="L272" i="16" s="1"/>
  <c r="I273" i="16"/>
  <c r="I272" i="16" s="1"/>
  <c r="F273" i="16"/>
  <c r="N272" i="16"/>
  <c r="M272" i="16"/>
  <c r="K272" i="16"/>
  <c r="K270" i="16" s="1"/>
  <c r="K269" i="16" s="1"/>
  <c r="J272" i="16"/>
  <c r="H272" i="16"/>
  <c r="H270" i="16" s="1"/>
  <c r="H269" i="16" s="1"/>
  <c r="G272" i="16"/>
  <c r="G270" i="16" s="1"/>
  <c r="E272" i="16"/>
  <c r="D272" i="16"/>
  <c r="O271" i="16"/>
  <c r="L271" i="16"/>
  <c r="I271" i="16"/>
  <c r="F271" i="16"/>
  <c r="J270" i="16"/>
  <c r="J269" i="16" s="1"/>
  <c r="O268" i="16"/>
  <c r="L268" i="16"/>
  <c r="I268" i="16"/>
  <c r="F268" i="16"/>
  <c r="O267" i="16"/>
  <c r="L267" i="16"/>
  <c r="I267" i="16"/>
  <c r="F267" i="16"/>
  <c r="O266" i="16"/>
  <c r="L266" i="16"/>
  <c r="I266" i="16"/>
  <c r="F266" i="16"/>
  <c r="O265" i="16"/>
  <c r="L265" i="16"/>
  <c r="I265" i="16"/>
  <c r="F265" i="16"/>
  <c r="N264" i="16"/>
  <c r="M264" i="16"/>
  <c r="K264" i="16"/>
  <c r="J264" i="16"/>
  <c r="H264" i="16"/>
  <c r="G264" i="16"/>
  <c r="E264" i="16"/>
  <c r="D264" i="16"/>
  <c r="O263" i="16"/>
  <c r="L263" i="16"/>
  <c r="I263" i="16"/>
  <c r="F263" i="16"/>
  <c r="O262" i="16"/>
  <c r="L262" i="16"/>
  <c r="I262" i="16"/>
  <c r="F262" i="16"/>
  <c r="O261" i="16"/>
  <c r="L261" i="16"/>
  <c r="I261" i="16"/>
  <c r="I260" i="16" s="1"/>
  <c r="F261" i="16"/>
  <c r="N260" i="16"/>
  <c r="M260" i="16"/>
  <c r="K260" i="16"/>
  <c r="J260" i="16"/>
  <c r="J259" i="16" s="1"/>
  <c r="H260" i="16"/>
  <c r="H259" i="16" s="1"/>
  <c r="G260" i="16"/>
  <c r="E260" i="16"/>
  <c r="D260" i="16"/>
  <c r="N259" i="16"/>
  <c r="G259" i="16"/>
  <c r="D259" i="16"/>
  <c r="O258" i="16"/>
  <c r="L258" i="16"/>
  <c r="I258" i="16"/>
  <c r="F258" i="16"/>
  <c r="O257" i="16"/>
  <c r="L257" i="16"/>
  <c r="I257" i="16"/>
  <c r="F257" i="16"/>
  <c r="O256" i="16"/>
  <c r="L256" i="16"/>
  <c r="I256" i="16"/>
  <c r="F256" i="16"/>
  <c r="O255" i="16"/>
  <c r="L255" i="16"/>
  <c r="I255" i="16"/>
  <c r="F255" i="16"/>
  <c r="O254" i="16"/>
  <c r="L254" i="16"/>
  <c r="I254" i="16"/>
  <c r="F254" i="16"/>
  <c r="O253" i="16"/>
  <c r="L253" i="16"/>
  <c r="I253" i="16"/>
  <c r="F253" i="16"/>
  <c r="N252" i="16"/>
  <c r="M252" i="16"/>
  <c r="M251" i="16" s="1"/>
  <c r="K252" i="16"/>
  <c r="K251" i="16" s="1"/>
  <c r="J252" i="16"/>
  <c r="J251" i="16" s="1"/>
  <c r="H252" i="16"/>
  <c r="H251" i="16" s="1"/>
  <c r="G252" i="16"/>
  <c r="E252" i="16"/>
  <c r="E251" i="16" s="1"/>
  <c r="D252" i="16"/>
  <c r="N251" i="16"/>
  <c r="G251" i="16"/>
  <c r="D251" i="16"/>
  <c r="O250" i="16"/>
  <c r="L250" i="16"/>
  <c r="I250" i="16"/>
  <c r="F250" i="16"/>
  <c r="O249" i="16"/>
  <c r="L249" i="16"/>
  <c r="I249" i="16"/>
  <c r="F249" i="16"/>
  <c r="O248" i="16"/>
  <c r="L248" i="16"/>
  <c r="I248" i="16"/>
  <c r="F248" i="16"/>
  <c r="O247" i="16"/>
  <c r="L247" i="16"/>
  <c r="L246" i="16" s="1"/>
  <c r="I247" i="16"/>
  <c r="F247" i="16"/>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C242" i="16" s="1"/>
  <c r="O241" i="16"/>
  <c r="L241" i="16"/>
  <c r="I241" i="16"/>
  <c r="F241" i="16"/>
  <c r="O240" i="16"/>
  <c r="L240" i="16"/>
  <c r="I240" i="16"/>
  <c r="F240" i="16"/>
  <c r="O239" i="16"/>
  <c r="L239" i="16"/>
  <c r="L238" i="16" s="1"/>
  <c r="I239" i="16"/>
  <c r="F239" i="16"/>
  <c r="N238" i="16"/>
  <c r="M238" i="16"/>
  <c r="K238" i="16"/>
  <c r="J238" i="16"/>
  <c r="J231" i="16" s="1"/>
  <c r="H238" i="16"/>
  <c r="G238" i="16"/>
  <c r="E238" i="16"/>
  <c r="D238" i="16"/>
  <c r="O237" i="16"/>
  <c r="L237" i="16"/>
  <c r="I237" i="16"/>
  <c r="F237" i="16"/>
  <c r="O236" i="16"/>
  <c r="L236" i="16"/>
  <c r="L235" i="16" s="1"/>
  <c r="I236" i="16"/>
  <c r="F236" i="16"/>
  <c r="O235" i="16"/>
  <c r="N235" i="16"/>
  <c r="M235" i="16"/>
  <c r="K235" i="16"/>
  <c r="J235" i="16"/>
  <c r="H235" i="16"/>
  <c r="G235" i="16"/>
  <c r="E235" i="16"/>
  <c r="D235" i="16"/>
  <c r="O234" i="16"/>
  <c r="O233" i="16" s="1"/>
  <c r="L234" i="16"/>
  <c r="L233" i="16" s="1"/>
  <c r="I234" i="16"/>
  <c r="I233" i="16" s="1"/>
  <c r="F234" i="16"/>
  <c r="N233" i="16"/>
  <c r="M233" i="16"/>
  <c r="M231" i="16" s="1"/>
  <c r="K233" i="16"/>
  <c r="J233" i="16"/>
  <c r="H233" i="16"/>
  <c r="G233" i="16"/>
  <c r="F233" i="16"/>
  <c r="E233" i="16"/>
  <c r="D233" i="16"/>
  <c r="O232" i="16"/>
  <c r="L232" i="16"/>
  <c r="I232" i="16"/>
  <c r="F232" i="16"/>
  <c r="N231" i="16"/>
  <c r="O229" i="16"/>
  <c r="L229" i="16"/>
  <c r="I229" i="16"/>
  <c r="F229" i="16"/>
  <c r="O228" i="16"/>
  <c r="L228" i="16"/>
  <c r="L227" i="16" s="1"/>
  <c r="I228" i="16"/>
  <c r="F228" i="16"/>
  <c r="O227" i="16"/>
  <c r="N227" i="16"/>
  <c r="M227" i="16"/>
  <c r="K227" i="16"/>
  <c r="J227" i="16"/>
  <c r="H227" i="16"/>
  <c r="G227" i="16"/>
  <c r="F227" i="16"/>
  <c r="E227" i="16"/>
  <c r="D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O220" i="16"/>
  <c r="L220" i="16"/>
  <c r="I220" i="16"/>
  <c r="F220" i="16"/>
  <c r="O219" i="16"/>
  <c r="L219" i="16"/>
  <c r="I219" i="16"/>
  <c r="F219" i="16"/>
  <c r="O218" i="16"/>
  <c r="L218" i="16"/>
  <c r="I218" i="16"/>
  <c r="F218" i="16"/>
  <c r="O217" i="16"/>
  <c r="L217" i="16"/>
  <c r="I217" i="16"/>
  <c r="F217" i="16"/>
  <c r="N216" i="16"/>
  <c r="M216" i="16"/>
  <c r="K216" i="16"/>
  <c r="J216" i="16"/>
  <c r="H216" i="16"/>
  <c r="G216" i="16"/>
  <c r="E216" i="16"/>
  <c r="D216" i="16"/>
  <c r="O215" i="16"/>
  <c r="L215" i="16"/>
  <c r="I215" i="16"/>
  <c r="F215" i="16"/>
  <c r="O214" i="16"/>
  <c r="L214" i="16"/>
  <c r="I214" i="16"/>
  <c r="C214" i="16" s="1"/>
  <c r="F214" i="16"/>
  <c r="O213" i="16"/>
  <c r="L213" i="16"/>
  <c r="I213" i="16"/>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I206" i="16"/>
  <c r="F206" i="16"/>
  <c r="N205" i="16"/>
  <c r="M205" i="16"/>
  <c r="K205" i="16"/>
  <c r="J205" i="16"/>
  <c r="H205" i="16"/>
  <c r="H204" i="16" s="1"/>
  <c r="G205" i="16"/>
  <c r="E205" i="16"/>
  <c r="D205" i="16"/>
  <c r="D204" i="16" s="1"/>
  <c r="G204" i="16"/>
  <c r="O203" i="16"/>
  <c r="L203" i="16"/>
  <c r="I203" i="16"/>
  <c r="F203" i="16"/>
  <c r="O202" i="16"/>
  <c r="L202" i="16"/>
  <c r="I202" i="16"/>
  <c r="F202" i="16"/>
  <c r="O201" i="16"/>
  <c r="L201" i="16"/>
  <c r="I201" i="16"/>
  <c r="F201" i="16"/>
  <c r="O200" i="16"/>
  <c r="L200" i="16"/>
  <c r="I200" i="16"/>
  <c r="F200" i="16"/>
  <c r="O199" i="16"/>
  <c r="L199" i="16"/>
  <c r="L198" i="16" s="1"/>
  <c r="I199" i="16"/>
  <c r="F199" i="16"/>
  <c r="F198" i="16" s="1"/>
  <c r="O198" i="16"/>
  <c r="N198" i="16"/>
  <c r="M198" i="16"/>
  <c r="K198" i="16"/>
  <c r="K196" i="16" s="1"/>
  <c r="J198" i="16"/>
  <c r="H198" i="16"/>
  <c r="G198" i="16"/>
  <c r="G196" i="16" s="1"/>
  <c r="E198" i="16"/>
  <c r="E196" i="16" s="1"/>
  <c r="D198" i="16"/>
  <c r="D196" i="16" s="1"/>
  <c r="O197" i="16"/>
  <c r="L197" i="16"/>
  <c r="I197" i="16"/>
  <c r="F197" i="16"/>
  <c r="N196" i="16"/>
  <c r="M196" i="16"/>
  <c r="J196" i="16"/>
  <c r="H196" i="16"/>
  <c r="O193" i="16"/>
  <c r="L193" i="16"/>
  <c r="L192" i="16" s="1"/>
  <c r="L191" i="16" s="1"/>
  <c r="I193" i="16"/>
  <c r="I192" i="16" s="1"/>
  <c r="I191" i="16" s="1"/>
  <c r="F193" i="16"/>
  <c r="O192" i="16"/>
  <c r="N192" i="16"/>
  <c r="M192" i="16"/>
  <c r="M191" i="16" s="1"/>
  <c r="K192" i="16"/>
  <c r="J192" i="16"/>
  <c r="H192" i="16"/>
  <c r="G192" i="16"/>
  <c r="G191" i="16" s="1"/>
  <c r="E192" i="16"/>
  <c r="E191" i="16" s="1"/>
  <c r="D192" i="16"/>
  <c r="O191" i="16"/>
  <c r="N191" i="16"/>
  <c r="K191" i="16"/>
  <c r="J191" i="16"/>
  <c r="H191" i="16"/>
  <c r="D191" i="16"/>
  <c r="O190" i="16"/>
  <c r="L190" i="16"/>
  <c r="I190" i="16"/>
  <c r="F190" i="16"/>
  <c r="O189" i="16"/>
  <c r="L189" i="16"/>
  <c r="I189" i="16"/>
  <c r="F189" i="16"/>
  <c r="O188" i="16"/>
  <c r="N188" i="16"/>
  <c r="N187" i="16" s="1"/>
  <c r="M188" i="16"/>
  <c r="L188" i="16"/>
  <c r="K188" i="16"/>
  <c r="J188" i="16"/>
  <c r="J187" i="16" s="1"/>
  <c r="I188" i="16"/>
  <c r="H188" i="16"/>
  <c r="G188" i="16"/>
  <c r="E188" i="16"/>
  <c r="D188" i="16"/>
  <c r="H187" i="16"/>
  <c r="O186" i="16"/>
  <c r="L186" i="16"/>
  <c r="I186" i="16"/>
  <c r="F186" i="16"/>
  <c r="O185" i="16"/>
  <c r="L185" i="16"/>
  <c r="L184" i="16" s="1"/>
  <c r="I185" i="16"/>
  <c r="F185" i="16"/>
  <c r="O184" i="16"/>
  <c r="N184" i="16"/>
  <c r="M184" i="16"/>
  <c r="K184" i="16"/>
  <c r="J184" i="16"/>
  <c r="H184" i="16"/>
  <c r="G184" i="16"/>
  <c r="F184" i="16"/>
  <c r="E184" i="16"/>
  <c r="D184" i="16"/>
  <c r="O183" i="16"/>
  <c r="L183" i="16"/>
  <c r="I183" i="16"/>
  <c r="F183" i="16"/>
  <c r="O182" i="16"/>
  <c r="L182" i="16"/>
  <c r="I182" i="16"/>
  <c r="F182" i="16"/>
  <c r="O181" i="16"/>
  <c r="L181" i="16"/>
  <c r="I181" i="16"/>
  <c r="F181" i="16"/>
  <c r="O180" i="16"/>
  <c r="O179" i="16" s="1"/>
  <c r="L180" i="16"/>
  <c r="I180" i="16"/>
  <c r="F180" i="16"/>
  <c r="C180" i="16" s="1"/>
  <c r="N179" i="16"/>
  <c r="M179" i="16"/>
  <c r="L179" i="16"/>
  <c r="K179" i="16"/>
  <c r="J179" i="16"/>
  <c r="H179" i="16"/>
  <c r="G179" i="16"/>
  <c r="E179" i="16"/>
  <c r="D179" i="16"/>
  <c r="O178" i="16"/>
  <c r="L178" i="16"/>
  <c r="I178" i="16"/>
  <c r="F178" i="16"/>
  <c r="O177" i="16"/>
  <c r="L177" i="16"/>
  <c r="I177" i="16"/>
  <c r="F177" i="16"/>
  <c r="O176" i="16"/>
  <c r="O175" i="16" s="1"/>
  <c r="L176" i="16"/>
  <c r="I176" i="16"/>
  <c r="C176" i="16" s="1"/>
  <c r="F176" i="16"/>
  <c r="F175" i="16" s="1"/>
  <c r="N175" i="16"/>
  <c r="M175" i="16"/>
  <c r="M174" i="16" s="1"/>
  <c r="M173" i="16" s="1"/>
  <c r="L175" i="16"/>
  <c r="K175" i="16"/>
  <c r="J175" i="16"/>
  <c r="J174" i="16" s="1"/>
  <c r="J173" i="16" s="1"/>
  <c r="H175" i="16"/>
  <c r="H174" i="16" s="1"/>
  <c r="H173" i="16" s="1"/>
  <c r="G175" i="16"/>
  <c r="G174" i="16" s="1"/>
  <c r="E175" i="16"/>
  <c r="D175" i="16"/>
  <c r="N174" i="16"/>
  <c r="N173" i="16" s="1"/>
  <c r="L174" i="16"/>
  <c r="L173" i="16" s="1"/>
  <c r="O172" i="16"/>
  <c r="L172" i="16"/>
  <c r="I172" i="16"/>
  <c r="F172" i="16"/>
  <c r="O171" i="16"/>
  <c r="L171" i="16"/>
  <c r="I171" i="16"/>
  <c r="F171" i="16"/>
  <c r="O170" i="16"/>
  <c r="L170" i="16"/>
  <c r="I170" i="16"/>
  <c r="F170" i="16"/>
  <c r="O169" i="16"/>
  <c r="L169" i="16"/>
  <c r="I169" i="16"/>
  <c r="F169" i="16"/>
  <c r="O168" i="16"/>
  <c r="L168" i="16"/>
  <c r="I168" i="16"/>
  <c r="F168" i="16"/>
  <c r="O167" i="16"/>
  <c r="L167" i="16"/>
  <c r="L166" i="16" s="1"/>
  <c r="L165" i="16" s="1"/>
  <c r="I167" i="16"/>
  <c r="F167" i="16"/>
  <c r="F166" i="16" s="1"/>
  <c r="N166" i="16"/>
  <c r="M166" i="16"/>
  <c r="M165" i="16" s="1"/>
  <c r="K166" i="16"/>
  <c r="J166" i="16"/>
  <c r="H166" i="16"/>
  <c r="H165" i="16" s="1"/>
  <c r="G166" i="16"/>
  <c r="G165" i="16" s="1"/>
  <c r="E166" i="16"/>
  <c r="E165" i="16" s="1"/>
  <c r="D166" i="16"/>
  <c r="D165" i="16" s="1"/>
  <c r="N165" i="16"/>
  <c r="K165" i="16"/>
  <c r="J165" i="16"/>
  <c r="F165" i="16"/>
  <c r="O164" i="16"/>
  <c r="L164" i="16"/>
  <c r="I164" i="16"/>
  <c r="F164" i="16"/>
  <c r="O163" i="16"/>
  <c r="L163" i="16"/>
  <c r="I163" i="16"/>
  <c r="F163" i="16"/>
  <c r="O162" i="16"/>
  <c r="L162" i="16"/>
  <c r="I162" i="16"/>
  <c r="F162" i="16"/>
  <c r="O161" i="16"/>
  <c r="L161" i="16"/>
  <c r="L160" i="16" s="1"/>
  <c r="I161" i="16"/>
  <c r="F161" i="16"/>
  <c r="O160" i="16"/>
  <c r="N160" i="16"/>
  <c r="M160" i="16"/>
  <c r="K160" i="16"/>
  <c r="J160" i="16"/>
  <c r="H160" i="16"/>
  <c r="G160" i="16"/>
  <c r="F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O151" i="16" s="1"/>
  <c r="L152" i="16"/>
  <c r="L151" i="16" s="1"/>
  <c r="I152" i="16"/>
  <c r="F152" i="16"/>
  <c r="N151" i="16"/>
  <c r="M151" i="16"/>
  <c r="K151" i="16"/>
  <c r="J151" i="16"/>
  <c r="H151" i="16"/>
  <c r="G151" i="16"/>
  <c r="E151" i="16"/>
  <c r="D151" i="16"/>
  <c r="O150" i="16"/>
  <c r="L150" i="16"/>
  <c r="I150" i="16"/>
  <c r="F150" i="16"/>
  <c r="O149" i="16"/>
  <c r="L149" i="16"/>
  <c r="I149" i="16"/>
  <c r="F149" i="16"/>
  <c r="O148" i="16"/>
  <c r="L148" i="16"/>
  <c r="I148" i="16"/>
  <c r="F148" i="16"/>
  <c r="C148" i="16"/>
  <c r="O147" i="16"/>
  <c r="L147" i="16"/>
  <c r="I147" i="16"/>
  <c r="F147" i="16"/>
  <c r="C147" i="16" s="1"/>
  <c r="O146" i="16"/>
  <c r="L146" i="16"/>
  <c r="I146" i="16"/>
  <c r="F146" i="16"/>
  <c r="O145" i="16"/>
  <c r="L145" i="16"/>
  <c r="I145" i="16"/>
  <c r="F145" i="16"/>
  <c r="N144" i="16"/>
  <c r="M144" i="16"/>
  <c r="K144" i="16"/>
  <c r="J144" i="16"/>
  <c r="H144" i="16"/>
  <c r="G144" i="16"/>
  <c r="E144" i="16"/>
  <c r="D144" i="16"/>
  <c r="O143" i="16"/>
  <c r="L143" i="16"/>
  <c r="I143" i="16"/>
  <c r="F143" i="16"/>
  <c r="O142" i="16"/>
  <c r="L142" i="16"/>
  <c r="L141" i="16" s="1"/>
  <c r="I142" i="16"/>
  <c r="I141" i="16" s="1"/>
  <c r="F142" i="16"/>
  <c r="N141" i="16"/>
  <c r="M141" i="16"/>
  <c r="K141" i="16"/>
  <c r="J141" i="16"/>
  <c r="H141" i="16"/>
  <c r="G141" i="16"/>
  <c r="E141" i="16"/>
  <c r="D141" i="16"/>
  <c r="O140" i="16"/>
  <c r="L140" i="16"/>
  <c r="I140" i="16"/>
  <c r="F140" i="16"/>
  <c r="O139" i="16"/>
  <c r="L139" i="16"/>
  <c r="I139" i="16"/>
  <c r="F139" i="16"/>
  <c r="O138" i="16"/>
  <c r="L138" i="16"/>
  <c r="I138" i="16"/>
  <c r="F138" i="16"/>
  <c r="O137" i="16"/>
  <c r="O136" i="16" s="1"/>
  <c r="L137" i="16"/>
  <c r="L136" i="16" s="1"/>
  <c r="I137" i="16"/>
  <c r="I136" i="16" s="1"/>
  <c r="F137" i="16"/>
  <c r="N136" i="16"/>
  <c r="M136" i="16"/>
  <c r="K136" i="16"/>
  <c r="J136" i="16"/>
  <c r="H136" i="16"/>
  <c r="H130" i="16" s="1"/>
  <c r="G136" i="16"/>
  <c r="E136" i="16"/>
  <c r="D136" i="16"/>
  <c r="O135" i="16"/>
  <c r="L135" i="16"/>
  <c r="I135" i="16"/>
  <c r="F135" i="16"/>
  <c r="O134" i="16"/>
  <c r="L134" i="16"/>
  <c r="I134" i="16"/>
  <c r="F134" i="16"/>
  <c r="O133" i="16"/>
  <c r="L133" i="16"/>
  <c r="I133" i="16"/>
  <c r="F133" i="16"/>
  <c r="O132" i="16"/>
  <c r="O131" i="16" s="1"/>
  <c r="L132" i="16"/>
  <c r="I132" i="16"/>
  <c r="I131" i="16" s="1"/>
  <c r="F132" i="16"/>
  <c r="N131" i="16"/>
  <c r="M131" i="16"/>
  <c r="L131" i="16"/>
  <c r="K131" i="16"/>
  <c r="J131" i="16"/>
  <c r="H131" i="16"/>
  <c r="G131" i="16"/>
  <c r="G130" i="16" s="1"/>
  <c r="E131" i="16"/>
  <c r="D131" i="16"/>
  <c r="O129" i="16"/>
  <c r="L129" i="16"/>
  <c r="L128" i="16" s="1"/>
  <c r="I129" i="16"/>
  <c r="I128" i="16" s="1"/>
  <c r="F129" i="16"/>
  <c r="O128" i="16"/>
  <c r="N128" i="16"/>
  <c r="M128" i="16"/>
  <c r="K128" i="16"/>
  <c r="J128" i="16"/>
  <c r="H128" i="16"/>
  <c r="G128" i="16"/>
  <c r="F128" i="16"/>
  <c r="E128" i="16"/>
  <c r="D128" i="16"/>
  <c r="O127" i="16"/>
  <c r="L127" i="16"/>
  <c r="I127" i="16"/>
  <c r="F127" i="16"/>
  <c r="O126" i="16"/>
  <c r="L126" i="16"/>
  <c r="I126" i="16"/>
  <c r="F126" i="16"/>
  <c r="O125" i="16"/>
  <c r="L125" i="16"/>
  <c r="I125" i="16"/>
  <c r="F125" i="16"/>
  <c r="O124" i="16"/>
  <c r="L124" i="16"/>
  <c r="I124" i="16"/>
  <c r="F124" i="16"/>
  <c r="O123" i="16"/>
  <c r="L123" i="16"/>
  <c r="L122" i="16" s="1"/>
  <c r="I123" i="16"/>
  <c r="F123" i="16"/>
  <c r="N122" i="16"/>
  <c r="M122" i="16"/>
  <c r="K122" i="16"/>
  <c r="J122" i="16"/>
  <c r="H122" i="16"/>
  <c r="G122" i="16"/>
  <c r="E122" i="16"/>
  <c r="D122" i="16"/>
  <c r="O121" i="16"/>
  <c r="L121" i="16"/>
  <c r="I121" i="16"/>
  <c r="F121" i="16"/>
  <c r="O120" i="16"/>
  <c r="L120" i="16"/>
  <c r="I120" i="16"/>
  <c r="F120" i="16"/>
  <c r="O119" i="16"/>
  <c r="L119" i="16"/>
  <c r="I119" i="16"/>
  <c r="F119" i="16"/>
  <c r="O118" i="16"/>
  <c r="L118" i="16"/>
  <c r="I118" i="16"/>
  <c r="F118" i="16"/>
  <c r="O117" i="16"/>
  <c r="O116" i="16" s="1"/>
  <c r="L117" i="16"/>
  <c r="I117" i="16"/>
  <c r="F117" i="16"/>
  <c r="N116" i="16"/>
  <c r="M116" i="16"/>
  <c r="K116" i="16"/>
  <c r="J116" i="16"/>
  <c r="H116" i="16"/>
  <c r="G116" i="16"/>
  <c r="E116" i="16"/>
  <c r="D116" i="16"/>
  <c r="O115" i="16"/>
  <c r="L115" i="16"/>
  <c r="I115" i="16"/>
  <c r="F115" i="16"/>
  <c r="O114" i="16"/>
  <c r="L114" i="16"/>
  <c r="I114" i="16"/>
  <c r="F114" i="16"/>
  <c r="O113" i="16"/>
  <c r="L113" i="16"/>
  <c r="L112" i="16" s="1"/>
  <c r="I113" i="16"/>
  <c r="I112" i="16" s="1"/>
  <c r="F113" i="16"/>
  <c r="O112"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O103" i="16" s="1"/>
  <c r="L104" i="16"/>
  <c r="L103" i="16" s="1"/>
  <c r="I104" i="16"/>
  <c r="I103" i="16" s="1"/>
  <c r="F104" i="16"/>
  <c r="N103" i="16"/>
  <c r="M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L96" i="16"/>
  <c r="L95" i="16" s="1"/>
  <c r="I96" i="16"/>
  <c r="F96" i="16"/>
  <c r="N95" i="16"/>
  <c r="M95" i="16"/>
  <c r="K95" i="16"/>
  <c r="J95" i="16"/>
  <c r="H95" i="16"/>
  <c r="G95" i="16"/>
  <c r="E95" i="16"/>
  <c r="D95" i="16"/>
  <c r="O94" i="16"/>
  <c r="L94" i="16"/>
  <c r="I94" i="16"/>
  <c r="F94" i="16"/>
  <c r="O93" i="16"/>
  <c r="L93" i="16"/>
  <c r="I93" i="16"/>
  <c r="F93" i="16"/>
  <c r="O92" i="16"/>
  <c r="L92" i="16"/>
  <c r="I92" i="16"/>
  <c r="F92" i="16"/>
  <c r="O91" i="16"/>
  <c r="L91" i="16"/>
  <c r="I91" i="16"/>
  <c r="F91" i="16"/>
  <c r="O90" i="16"/>
  <c r="O89" i="16" s="1"/>
  <c r="L90" i="16"/>
  <c r="I90" i="16"/>
  <c r="I89" i="16" s="1"/>
  <c r="F90" i="16"/>
  <c r="N89" i="16"/>
  <c r="M89" i="16"/>
  <c r="K89" i="16"/>
  <c r="J89" i="16"/>
  <c r="H89" i="16"/>
  <c r="G89" i="16"/>
  <c r="E89" i="16"/>
  <c r="D89" i="16"/>
  <c r="O88" i="16"/>
  <c r="L88" i="16"/>
  <c r="I88" i="16"/>
  <c r="F88" i="16"/>
  <c r="O87" i="16"/>
  <c r="L87" i="16"/>
  <c r="I87" i="16"/>
  <c r="F87" i="16"/>
  <c r="O86" i="16"/>
  <c r="L86" i="16"/>
  <c r="I86" i="16"/>
  <c r="F86" i="16"/>
  <c r="O85" i="16"/>
  <c r="L85" i="16"/>
  <c r="L84" i="16" s="1"/>
  <c r="I85" i="16"/>
  <c r="F85" i="16"/>
  <c r="N84" i="16"/>
  <c r="M84" i="16"/>
  <c r="K84" i="16"/>
  <c r="K83" i="16" s="1"/>
  <c r="J84" i="16"/>
  <c r="H84" i="16"/>
  <c r="G84" i="16"/>
  <c r="E84" i="16"/>
  <c r="D84" i="16"/>
  <c r="O82" i="16"/>
  <c r="L82" i="16"/>
  <c r="I82" i="16"/>
  <c r="F82" i="16"/>
  <c r="O81" i="16"/>
  <c r="L81" i="16"/>
  <c r="L80" i="16" s="1"/>
  <c r="I81" i="16"/>
  <c r="I80" i="16" s="1"/>
  <c r="F81" i="16"/>
  <c r="O80" i="16"/>
  <c r="N80" i="16"/>
  <c r="M80" i="16"/>
  <c r="K80" i="16"/>
  <c r="J80" i="16"/>
  <c r="H80" i="16"/>
  <c r="G80" i="16"/>
  <c r="F80" i="16"/>
  <c r="E80" i="16"/>
  <c r="D80" i="16"/>
  <c r="O79" i="16"/>
  <c r="L79" i="16"/>
  <c r="I79" i="16"/>
  <c r="F79" i="16"/>
  <c r="O78" i="16"/>
  <c r="O77" i="16" s="1"/>
  <c r="L78" i="16"/>
  <c r="L77" i="16" s="1"/>
  <c r="I78" i="16"/>
  <c r="I77" i="16" s="1"/>
  <c r="F78" i="16"/>
  <c r="N77" i="16"/>
  <c r="M77" i="16"/>
  <c r="K77" i="16"/>
  <c r="J77" i="16"/>
  <c r="H77" i="16"/>
  <c r="G77" i="16"/>
  <c r="F77" i="16"/>
  <c r="E77" i="16"/>
  <c r="D77" i="16"/>
  <c r="D76" i="16" s="1"/>
  <c r="O74" i="16"/>
  <c r="L74" i="16"/>
  <c r="I74" i="16"/>
  <c r="F74" i="16"/>
  <c r="O73" i="16"/>
  <c r="L73" i="16"/>
  <c r="I73" i="16"/>
  <c r="F73" i="16"/>
  <c r="O72" i="16"/>
  <c r="L72" i="16"/>
  <c r="I72" i="16"/>
  <c r="F72" i="16"/>
  <c r="O71" i="16"/>
  <c r="L71" i="16"/>
  <c r="I71" i="16"/>
  <c r="F71" i="16"/>
  <c r="O70" i="16"/>
  <c r="L70" i="16"/>
  <c r="L69" i="16" s="1"/>
  <c r="I70" i="16"/>
  <c r="I69" i="16" s="1"/>
  <c r="F70" i="16"/>
  <c r="N69" i="16"/>
  <c r="M69" i="16"/>
  <c r="M67" i="16" s="1"/>
  <c r="K69" i="16"/>
  <c r="J69" i="16"/>
  <c r="J67" i="16" s="1"/>
  <c r="H69" i="16"/>
  <c r="H67" i="16" s="1"/>
  <c r="G69" i="16"/>
  <c r="G67" i="16" s="1"/>
  <c r="E69" i="16"/>
  <c r="D69" i="16"/>
  <c r="D67" i="16" s="1"/>
  <c r="O68" i="16"/>
  <c r="L68" i="16"/>
  <c r="I68" i="16"/>
  <c r="F68" i="16"/>
  <c r="N67" i="16"/>
  <c r="K67" i="16"/>
  <c r="E67"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L58" i="16" s="1"/>
  <c r="I59" i="16"/>
  <c r="F59" i="16"/>
  <c r="N58" i="16"/>
  <c r="M58" i="16"/>
  <c r="K58" i="16"/>
  <c r="J58" i="16"/>
  <c r="H58" i="16"/>
  <c r="G58" i="16"/>
  <c r="E58" i="16"/>
  <c r="D58" i="16"/>
  <c r="O57" i="16"/>
  <c r="L57" i="16"/>
  <c r="I57" i="16"/>
  <c r="F57" i="16"/>
  <c r="O56" i="16"/>
  <c r="L56" i="16"/>
  <c r="I56" i="16"/>
  <c r="F56" i="16"/>
  <c r="N55" i="16"/>
  <c r="N54" i="16" s="1"/>
  <c r="N53" i="16" s="1"/>
  <c r="M55" i="16"/>
  <c r="M54" i="16" s="1"/>
  <c r="K55" i="16"/>
  <c r="K54" i="16" s="1"/>
  <c r="J55" i="16"/>
  <c r="I55" i="16"/>
  <c r="H55" i="16"/>
  <c r="G55" i="16"/>
  <c r="E55" i="16"/>
  <c r="E54" i="16" s="1"/>
  <c r="D55" i="16"/>
  <c r="J54" i="16"/>
  <c r="H54" i="16"/>
  <c r="K53" i="16"/>
  <c r="O47" i="16"/>
  <c r="C47" i="16" s="1"/>
  <c r="O46" i="16"/>
  <c r="C46" i="16" s="1"/>
  <c r="N45" i="16"/>
  <c r="M45" i="16"/>
  <c r="L44" i="16"/>
  <c r="L43" i="16" s="1"/>
  <c r="I44" i="16"/>
  <c r="F44" i="16"/>
  <c r="K43" i="16"/>
  <c r="J43" i="16"/>
  <c r="I43" i="16"/>
  <c r="H43" i="16"/>
  <c r="G43" i="16"/>
  <c r="F43" i="16"/>
  <c r="E43" i="16"/>
  <c r="D43" i="16"/>
  <c r="F42" i="16"/>
  <c r="F41" i="16" s="1"/>
  <c r="C41" i="16" s="1"/>
  <c r="E41" i="16"/>
  <c r="D41" i="16"/>
  <c r="L40" i="16"/>
  <c r="C40" i="16" s="1"/>
  <c r="L39" i="16"/>
  <c r="C39" i="16" s="1"/>
  <c r="L38" i="16"/>
  <c r="C38" i="16" s="1"/>
  <c r="L37" i="16"/>
  <c r="C37" i="16" s="1"/>
  <c r="K36" i="16"/>
  <c r="J36" i="16"/>
  <c r="L35" i="16"/>
  <c r="C35" i="16" s="1"/>
  <c r="L34" i="16"/>
  <c r="K33" i="16"/>
  <c r="J33" i="16"/>
  <c r="L32" i="16"/>
  <c r="L31" i="16" s="1"/>
  <c r="K31" i="16"/>
  <c r="J31" i="16"/>
  <c r="L30" i="16"/>
  <c r="C30" i="16" s="1"/>
  <c r="L29" i="16"/>
  <c r="C29" i="16" s="1"/>
  <c r="L28" i="16"/>
  <c r="C28" i="16" s="1"/>
  <c r="K27" i="16"/>
  <c r="K26" i="16" s="1"/>
  <c r="J27" i="16"/>
  <c r="F25" i="16"/>
  <c r="C25" i="16" s="1"/>
  <c r="I24" i="16"/>
  <c r="F24" i="16"/>
  <c r="O23" i="16"/>
  <c r="L23" i="16"/>
  <c r="I23" i="16"/>
  <c r="F23" i="16"/>
  <c r="O22" i="16"/>
  <c r="L22" i="16"/>
  <c r="I22" i="16"/>
  <c r="F22" i="16"/>
  <c r="N21" i="16"/>
  <c r="N292" i="16" s="1"/>
  <c r="N291" i="16" s="1"/>
  <c r="M21" i="16"/>
  <c r="K21" i="16"/>
  <c r="K292" i="16" s="1"/>
  <c r="J21" i="16"/>
  <c r="J292" i="16" s="1"/>
  <c r="J291" i="16" s="1"/>
  <c r="I21" i="16"/>
  <c r="H21" i="16"/>
  <c r="H292" i="16" s="1"/>
  <c r="H291" i="16" s="1"/>
  <c r="G21" i="16"/>
  <c r="E21" i="16"/>
  <c r="E292" i="16" s="1"/>
  <c r="D21" i="16"/>
  <c r="D292" i="16" s="1"/>
  <c r="D291" i="16" s="1"/>
  <c r="G20" i="16"/>
  <c r="C61" i="16" l="1"/>
  <c r="C62" i="16"/>
  <c r="C104" i="16"/>
  <c r="E231" i="16"/>
  <c r="C298" i="16"/>
  <c r="C124" i="16"/>
  <c r="C73" i="16"/>
  <c r="H76" i="16"/>
  <c r="N76" i="16"/>
  <c r="C96" i="16"/>
  <c r="C99" i="16"/>
  <c r="C100" i="16"/>
  <c r="C128" i="16"/>
  <c r="C250" i="16"/>
  <c r="C258" i="16"/>
  <c r="C262" i="16"/>
  <c r="G269" i="16"/>
  <c r="L33" i="16"/>
  <c r="C33" i="16" s="1"/>
  <c r="J53" i="16"/>
  <c r="C57" i="16"/>
  <c r="M76" i="16"/>
  <c r="C92" i="16"/>
  <c r="O144" i="16"/>
  <c r="C206" i="16"/>
  <c r="C218" i="16"/>
  <c r="O187" i="16"/>
  <c r="C190" i="16"/>
  <c r="C44" i="16"/>
  <c r="C74" i="16"/>
  <c r="J76" i="16"/>
  <c r="C80" i="16"/>
  <c r="C127" i="16"/>
  <c r="C152" i="16"/>
  <c r="C202" i="16"/>
  <c r="C24" i="16"/>
  <c r="C34" i="16"/>
  <c r="C120" i="16"/>
  <c r="D187" i="16"/>
  <c r="L187" i="16"/>
  <c r="C210" i="16"/>
  <c r="C221" i="16"/>
  <c r="C226" i="16"/>
  <c r="O238" i="16"/>
  <c r="O246" i="16"/>
  <c r="O260" i="16"/>
  <c r="K20" i="16"/>
  <c r="H20" i="16"/>
  <c r="C63" i="16"/>
  <c r="L89" i="16"/>
  <c r="C132" i="16"/>
  <c r="C135" i="16"/>
  <c r="C140" i="16"/>
  <c r="M130" i="16"/>
  <c r="E174" i="16"/>
  <c r="E173" i="16" s="1"/>
  <c r="I187" i="16"/>
  <c r="C201" i="16"/>
  <c r="E204" i="16"/>
  <c r="K204" i="16"/>
  <c r="C254" i="16"/>
  <c r="C266" i="16"/>
  <c r="C282" i="16"/>
  <c r="C23" i="16"/>
  <c r="O84" i="16"/>
  <c r="H83" i="16"/>
  <c r="E130" i="16"/>
  <c r="C164" i="16"/>
  <c r="C168" i="16"/>
  <c r="C172" i="16"/>
  <c r="C211" i="16"/>
  <c r="K259" i="16"/>
  <c r="D270" i="16"/>
  <c r="C42" i="16"/>
  <c r="I67" i="16"/>
  <c r="C71" i="16"/>
  <c r="C115" i="16"/>
  <c r="C156" i="16"/>
  <c r="C159" i="16"/>
  <c r="C222" i="16"/>
  <c r="L252" i="16"/>
  <c r="L251" i="16" s="1"/>
  <c r="I270" i="16"/>
  <c r="I269" i="16" s="1"/>
  <c r="C278" i="16"/>
  <c r="C294" i="16"/>
  <c r="H75" i="16"/>
  <c r="C88" i="16"/>
  <c r="M187" i="16"/>
  <c r="E291" i="16"/>
  <c r="C22" i="16"/>
  <c r="O21" i="16"/>
  <c r="J26" i="16"/>
  <c r="O55" i="16"/>
  <c r="E53" i="16"/>
  <c r="M53" i="16"/>
  <c r="E76" i="16"/>
  <c r="K76" i="16"/>
  <c r="M83" i="16"/>
  <c r="I84" i="16"/>
  <c r="C119" i="16"/>
  <c r="I122" i="16"/>
  <c r="C139" i="16"/>
  <c r="C157" i="16"/>
  <c r="C183" i="16"/>
  <c r="F188" i="16"/>
  <c r="C188" i="16" s="1"/>
  <c r="E187" i="16"/>
  <c r="G195" i="16"/>
  <c r="C203" i="16"/>
  <c r="C215" i="16"/>
  <c r="M204" i="16"/>
  <c r="I216" i="16"/>
  <c r="C223" i="16"/>
  <c r="C224" i="16"/>
  <c r="C225" i="16"/>
  <c r="C229" i="16"/>
  <c r="D231" i="16"/>
  <c r="D230" i="16" s="1"/>
  <c r="H231" i="16"/>
  <c r="H230" i="16" s="1"/>
  <c r="C245" i="16"/>
  <c r="O252" i="16"/>
  <c r="O251" i="16" s="1"/>
  <c r="L260" i="16"/>
  <c r="C271" i="16"/>
  <c r="M270" i="16"/>
  <c r="M269" i="16" s="1"/>
  <c r="O276" i="16"/>
  <c r="C299" i="16"/>
  <c r="K195" i="16"/>
  <c r="D195" i="16"/>
  <c r="O231" i="16"/>
  <c r="G292" i="16"/>
  <c r="G291" i="16" s="1"/>
  <c r="K291" i="16"/>
  <c r="L27" i="16"/>
  <c r="C27" i="16" s="1"/>
  <c r="C43" i="16"/>
  <c r="G54" i="16"/>
  <c r="G53" i="16" s="1"/>
  <c r="D54" i="16"/>
  <c r="D53" i="16" s="1"/>
  <c r="C65" i="16"/>
  <c r="C79" i="16"/>
  <c r="G76" i="16"/>
  <c r="E83" i="16"/>
  <c r="D83" i="16"/>
  <c r="C108" i="16"/>
  <c r="D130" i="16"/>
  <c r="O141" i="16"/>
  <c r="C149" i="16"/>
  <c r="C163" i="16"/>
  <c r="K174" i="16"/>
  <c r="K173" i="16" s="1"/>
  <c r="O174" i="16"/>
  <c r="O173" i="16" s="1"/>
  <c r="G187" i="16"/>
  <c r="K187" i="16"/>
  <c r="C212" i="16"/>
  <c r="C213" i="16"/>
  <c r="L216" i="16"/>
  <c r="C247" i="16"/>
  <c r="C257" i="16"/>
  <c r="E259" i="16"/>
  <c r="L264" i="16"/>
  <c r="C275" i="16"/>
  <c r="C279" i="16"/>
  <c r="C280" i="16"/>
  <c r="D269" i="16"/>
  <c r="L293" i="16"/>
  <c r="D20" i="16"/>
  <c r="C234" i="16"/>
  <c r="L276" i="16"/>
  <c r="N20" i="16"/>
  <c r="M292" i="16"/>
  <c r="M291" i="16" s="1"/>
  <c r="L21" i="16"/>
  <c r="L292" i="16" s="1"/>
  <c r="C32" i="16"/>
  <c r="L55" i="16"/>
  <c r="L54" i="16" s="1"/>
  <c r="C60" i="16"/>
  <c r="C72" i="16"/>
  <c r="O69" i="16"/>
  <c r="O67" i="16" s="1"/>
  <c r="L76" i="16"/>
  <c r="J83" i="16"/>
  <c r="O95" i="16"/>
  <c r="C107" i="16"/>
  <c r="C111" i="16"/>
  <c r="C123" i="16"/>
  <c r="C143" i="16"/>
  <c r="C155" i="16"/>
  <c r="C171" i="16"/>
  <c r="C189" i="16"/>
  <c r="O196" i="16"/>
  <c r="H195" i="16"/>
  <c r="L205" i="16"/>
  <c r="O216" i="16"/>
  <c r="J204" i="16"/>
  <c r="J195" i="16" s="1"/>
  <c r="N204" i="16"/>
  <c r="N195" i="16" s="1"/>
  <c r="C263" i="16"/>
  <c r="O264" i="16"/>
  <c r="O259" i="16" s="1"/>
  <c r="O230" i="16" s="1"/>
  <c r="O272" i="16"/>
  <c r="C287" i="16"/>
  <c r="O293" i="16"/>
  <c r="O292" i="16"/>
  <c r="J20" i="16"/>
  <c r="C31" i="16"/>
  <c r="C77" i="16"/>
  <c r="F76" i="16"/>
  <c r="F21" i="16"/>
  <c r="C87" i="16"/>
  <c r="F84" i="16"/>
  <c r="C181" i="16"/>
  <c r="I179" i="16"/>
  <c r="C296" i="16"/>
  <c r="I293" i="16"/>
  <c r="C301" i="16"/>
  <c r="O45" i="16"/>
  <c r="O20" i="16" s="1"/>
  <c r="C64" i="16"/>
  <c r="L67" i="16"/>
  <c r="G83" i="16"/>
  <c r="O130" i="16"/>
  <c r="C56" i="16"/>
  <c r="F55" i="16"/>
  <c r="C68" i="16"/>
  <c r="L36" i="16"/>
  <c r="C36" i="16" s="1"/>
  <c r="H53" i="16"/>
  <c r="I58" i="16"/>
  <c r="I54" i="16" s="1"/>
  <c r="I53" i="16" s="1"/>
  <c r="I76" i="16"/>
  <c r="C237" i="16"/>
  <c r="F235" i="16"/>
  <c r="C261" i="16"/>
  <c r="F260" i="16"/>
  <c r="E20" i="16"/>
  <c r="I20" i="16"/>
  <c r="M20" i="16"/>
  <c r="F58" i="16"/>
  <c r="C59" i="16"/>
  <c r="O58" i="16"/>
  <c r="O54" i="16" s="1"/>
  <c r="O53" i="16" s="1"/>
  <c r="C66" i="16"/>
  <c r="F69" i="16"/>
  <c r="C69" i="16" s="1"/>
  <c r="C70" i="16"/>
  <c r="O76" i="16"/>
  <c r="C91" i="16"/>
  <c r="F89" i="16"/>
  <c r="C89" i="16" s="1"/>
  <c r="I95" i="16"/>
  <c r="C153" i="16"/>
  <c r="I151" i="16"/>
  <c r="C169" i="16"/>
  <c r="I166" i="16"/>
  <c r="I165" i="16" s="1"/>
  <c r="C177" i="16"/>
  <c r="I175" i="16"/>
  <c r="C208" i="16"/>
  <c r="I205" i="16"/>
  <c r="D174" i="16"/>
  <c r="D173" i="16" s="1"/>
  <c r="I184" i="16"/>
  <c r="C184" i="16" s="1"/>
  <c r="C185" i="16"/>
  <c r="C277" i="16"/>
  <c r="F276" i="16"/>
  <c r="C276" i="16" s="1"/>
  <c r="C78" i="16"/>
  <c r="C81" i="16"/>
  <c r="C82" i="16"/>
  <c r="N83" i="16"/>
  <c r="C93" i="16"/>
  <c r="C94" i="16"/>
  <c r="C97" i="16"/>
  <c r="C98" i="16"/>
  <c r="F95" i="16"/>
  <c r="C109" i="16"/>
  <c r="C110" i="16"/>
  <c r="F112" i="16"/>
  <c r="C112" i="16" s="1"/>
  <c r="C113" i="16"/>
  <c r="C114" i="16"/>
  <c r="F116" i="16"/>
  <c r="C117" i="16"/>
  <c r="C118" i="16"/>
  <c r="O122" i="16"/>
  <c r="C133" i="16"/>
  <c r="C134" i="16"/>
  <c r="F131" i="16"/>
  <c r="F136" i="16"/>
  <c r="C136" i="16" s="1"/>
  <c r="C137" i="16"/>
  <c r="C138" i="16"/>
  <c r="F141" i="16"/>
  <c r="C141" i="16" s="1"/>
  <c r="C142" i="16"/>
  <c r="F144" i="16"/>
  <c r="C146" i="16"/>
  <c r="C158" i="16"/>
  <c r="C162" i="16"/>
  <c r="C167" i="16"/>
  <c r="O166" i="16"/>
  <c r="O165" i="16" s="1"/>
  <c r="H194" i="16"/>
  <c r="I227" i="16"/>
  <c r="C228" i="16"/>
  <c r="N230" i="16"/>
  <c r="C256" i="16"/>
  <c r="I252" i="16"/>
  <c r="I251" i="16" s="1"/>
  <c r="I116" i="16"/>
  <c r="F122" i="16"/>
  <c r="C122" i="16" s="1"/>
  <c r="J130" i="16"/>
  <c r="J75" i="16" s="1"/>
  <c r="N130" i="16"/>
  <c r="I144" i="16"/>
  <c r="C145" i="16"/>
  <c r="I160" i="16"/>
  <c r="C160" i="16" s="1"/>
  <c r="C161" i="16"/>
  <c r="G173" i="16"/>
  <c r="C200" i="16"/>
  <c r="I198" i="16"/>
  <c r="H289" i="16"/>
  <c r="O270" i="16"/>
  <c r="O269" i="16" s="1"/>
  <c r="E75" i="16"/>
  <c r="E52" i="16" s="1"/>
  <c r="M75" i="16"/>
  <c r="C85" i="16"/>
  <c r="C86" i="16"/>
  <c r="C90" i="16"/>
  <c r="C101" i="16"/>
  <c r="C102" i="16"/>
  <c r="C105" i="16"/>
  <c r="C106" i="16"/>
  <c r="F103" i="16"/>
  <c r="C103" i="16" s="1"/>
  <c r="L116" i="16"/>
  <c r="L83" i="16" s="1"/>
  <c r="C121" i="16"/>
  <c r="C125" i="16"/>
  <c r="C126" i="16"/>
  <c r="C129" i="16"/>
  <c r="K130" i="16"/>
  <c r="K75" i="16" s="1"/>
  <c r="L144" i="16"/>
  <c r="L130" i="16" s="1"/>
  <c r="C150" i="16"/>
  <c r="F151" i="16"/>
  <c r="C154" i="16"/>
  <c r="C170" i="16"/>
  <c r="C178" i="16"/>
  <c r="F179" i="16"/>
  <c r="C182" i="16"/>
  <c r="C186" i="16"/>
  <c r="N194" i="16"/>
  <c r="C197" i="16"/>
  <c r="F196" i="16"/>
  <c r="C268" i="16"/>
  <c r="I264" i="16"/>
  <c r="L231" i="16"/>
  <c r="I235" i="16"/>
  <c r="C236" i="16"/>
  <c r="C249" i="16"/>
  <c r="F246" i="16"/>
  <c r="E270" i="16"/>
  <c r="E269" i="16" s="1"/>
  <c r="C281" i="16"/>
  <c r="C285" i="16"/>
  <c r="F284" i="16"/>
  <c r="C288" i="16"/>
  <c r="I286" i="16"/>
  <c r="I292" i="16" s="1"/>
  <c r="I291" i="16" s="1"/>
  <c r="C300" i="16"/>
  <c r="O205" i="16"/>
  <c r="O204" i="16" s="1"/>
  <c r="O195" i="16" s="1"/>
  <c r="C217" i="16"/>
  <c r="F216" i="16"/>
  <c r="C216" i="16" s="1"/>
  <c r="J230" i="16"/>
  <c r="C232" i="16"/>
  <c r="K231" i="16"/>
  <c r="K230" i="16" s="1"/>
  <c r="K194" i="16" s="1"/>
  <c r="C239" i="16"/>
  <c r="C241" i="16"/>
  <c r="F238" i="16"/>
  <c r="C248" i="16"/>
  <c r="I246" i="16"/>
  <c r="E230" i="16"/>
  <c r="C253" i="16"/>
  <c r="F252" i="16"/>
  <c r="M259" i="16"/>
  <c r="M230" i="16" s="1"/>
  <c r="M289" i="16" s="1"/>
  <c r="C265" i="16"/>
  <c r="F264" i="16"/>
  <c r="C264" i="16" s="1"/>
  <c r="L270" i="16"/>
  <c r="L269" i="16" s="1"/>
  <c r="C273" i="16"/>
  <c r="F272" i="16"/>
  <c r="C193" i="16"/>
  <c r="F192" i="16"/>
  <c r="E195" i="16"/>
  <c r="E194" i="16" s="1"/>
  <c r="M195" i="16"/>
  <c r="L196" i="16"/>
  <c r="C207" i="16"/>
  <c r="C209" i="16"/>
  <c r="F205" i="16"/>
  <c r="C219" i="16"/>
  <c r="C220" i="16"/>
  <c r="C227" i="16"/>
  <c r="C233" i="16"/>
  <c r="G231" i="16"/>
  <c r="G230" i="16" s="1"/>
  <c r="G194" i="16" s="1"/>
  <c r="C240" i="16"/>
  <c r="I238" i="16"/>
  <c r="I231" i="16" s="1"/>
  <c r="I230" i="16" s="1"/>
  <c r="C243" i="16"/>
  <c r="C244" i="16"/>
  <c r="C255" i="16"/>
  <c r="I259" i="16"/>
  <c r="C267" i="16"/>
  <c r="C295" i="16"/>
  <c r="C297" i="16"/>
  <c r="F293" i="16"/>
  <c r="C199" i="16"/>
  <c r="L259" i="16" l="1"/>
  <c r="L204" i="16"/>
  <c r="L195" i="16" s="1"/>
  <c r="I130" i="16"/>
  <c r="O194" i="16"/>
  <c r="I83" i="16"/>
  <c r="J194" i="16"/>
  <c r="L291" i="16"/>
  <c r="K52" i="16"/>
  <c r="K51" i="16" s="1"/>
  <c r="K290" i="16" s="1"/>
  <c r="O83" i="16"/>
  <c r="C58" i="16"/>
  <c r="G75" i="16"/>
  <c r="G52" i="16" s="1"/>
  <c r="G51" i="16" s="1"/>
  <c r="G290" i="16" s="1"/>
  <c r="C246" i="16"/>
  <c r="L230" i="16"/>
  <c r="C179" i="16"/>
  <c r="L75" i="16"/>
  <c r="C95" i="16"/>
  <c r="L53" i="16"/>
  <c r="D75" i="16"/>
  <c r="D289" i="16" s="1"/>
  <c r="D194" i="16"/>
  <c r="E51" i="16"/>
  <c r="E50" i="16" s="1"/>
  <c r="C293" i="16"/>
  <c r="E289" i="16"/>
  <c r="M52" i="16"/>
  <c r="C165" i="16"/>
  <c r="N75" i="16"/>
  <c r="N52" i="16" s="1"/>
  <c r="N51" i="16" s="1"/>
  <c r="H52" i="16"/>
  <c r="O291" i="16"/>
  <c r="K50" i="16"/>
  <c r="J52" i="16"/>
  <c r="J51" i="16" s="1"/>
  <c r="J289" i="16"/>
  <c r="G50" i="16"/>
  <c r="L52" i="16"/>
  <c r="F270" i="16"/>
  <c r="C272" i="16"/>
  <c r="C284" i="16"/>
  <c r="F283" i="16"/>
  <c r="C283" i="16" s="1"/>
  <c r="L26" i="16"/>
  <c r="C192" i="16"/>
  <c r="F191" i="16"/>
  <c r="C151" i="16"/>
  <c r="C144" i="16"/>
  <c r="C116" i="16"/>
  <c r="I75" i="16"/>
  <c r="C55" i="16"/>
  <c r="F54" i="16"/>
  <c r="F292" i="16"/>
  <c r="C21" i="16"/>
  <c r="F20" i="16"/>
  <c r="C252" i="16"/>
  <c r="F251" i="16"/>
  <c r="C251" i="16" s="1"/>
  <c r="F174" i="16"/>
  <c r="K289" i="16"/>
  <c r="C198" i="16"/>
  <c r="I196" i="16"/>
  <c r="C166" i="16"/>
  <c r="I204" i="16"/>
  <c r="O75" i="16"/>
  <c r="O52" i="16" s="1"/>
  <c r="O51" i="16" s="1"/>
  <c r="C235" i="16"/>
  <c r="F231" i="16"/>
  <c r="F83" i="16"/>
  <c r="C83" i="16" s="1"/>
  <c r="C84" i="16"/>
  <c r="C76" i="16"/>
  <c r="C286" i="16"/>
  <c r="C175" i="16"/>
  <c r="I174" i="16"/>
  <c r="I173" i="16" s="1"/>
  <c r="C260" i="16"/>
  <c r="F259" i="16"/>
  <c r="C259" i="16" s="1"/>
  <c r="C205" i="16"/>
  <c r="F204" i="16"/>
  <c r="M194" i="16"/>
  <c r="C238" i="16"/>
  <c r="G289" i="16"/>
  <c r="F130" i="16"/>
  <c r="C130" i="16" s="1"/>
  <c r="C131" i="16"/>
  <c r="H51" i="16"/>
  <c r="F67" i="16"/>
  <c r="C67" i="16" s="1"/>
  <c r="C45" i="16"/>
  <c r="L194" i="16" l="1"/>
  <c r="C204" i="16"/>
  <c r="N289" i="16"/>
  <c r="L51" i="16"/>
  <c r="L50" i="16" s="1"/>
  <c r="E290" i="16"/>
  <c r="M51" i="16"/>
  <c r="I195" i="16"/>
  <c r="I194" i="16" s="1"/>
  <c r="F75" i="16"/>
  <c r="C75" i="16" s="1"/>
  <c r="I52" i="16"/>
  <c r="L289" i="16"/>
  <c r="D52" i="16"/>
  <c r="D51" i="16" s="1"/>
  <c r="O50" i="16"/>
  <c r="O290" i="16"/>
  <c r="M50" i="16"/>
  <c r="M290" i="16"/>
  <c r="C292" i="16"/>
  <c r="F291" i="16"/>
  <c r="C291" i="16" s="1"/>
  <c r="O289" i="16"/>
  <c r="J50" i="16"/>
  <c r="J290" i="16"/>
  <c r="N50" i="16"/>
  <c r="N290" i="16"/>
  <c r="F195" i="16"/>
  <c r="I289" i="16"/>
  <c r="F53" i="16"/>
  <c r="C54" i="16"/>
  <c r="L290" i="16"/>
  <c r="C26" i="16"/>
  <c r="L20" i="16"/>
  <c r="F269" i="16"/>
  <c r="C270" i="16"/>
  <c r="C191" i="16"/>
  <c r="F187" i="16"/>
  <c r="C187" i="16" s="1"/>
  <c r="H290" i="16"/>
  <c r="H50" i="16"/>
  <c r="C196" i="16"/>
  <c r="F230" i="16"/>
  <c r="C230" i="16" s="1"/>
  <c r="C231" i="16"/>
  <c r="C174" i="16"/>
  <c r="F173" i="16"/>
  <c r="C173" i="16" s="1"/>
  <c r="C20" i="16"/>
  <c r="I51" i="16" l="1"/>
  <c r="I290" i="16" s="1"/>
  <c r="I50" i="16"/>
  <c r="D290" i="16"/>
  <c r="D50" i="16"/>
  <c r="F52" i="16"/>
  <c r="C53" i="16"/>
  <c r="F194" i="16"/>
  <c r="C194" i="16" s="1"/>
  <c r="C195" i="16"/>
  <c r="C269" i="16"/>
  <c r="F289" i="16"/>
  <c r="C289" i="16" s="1"/>
  <c r="C52" i="16" l="1"/>
  <c r="F51" i="16"/>
  <c r="F290" i="16" l="1"/>
  <c r="C290" i="16" s="1"/>
  <c r="C51" i="16"/>
  <c r="F50" i="16"/>
  <c r="C50" i="16" s="1"/>
  <c r="O301" i="15" l="1"/>
  <c r="L301" i="15"/>
  <c r="I301" i="15"/>
  <c r="F301" i="15"/>
  <c r="O300" i="15"/>
  <c r="L300" i="15"/>
  <c r="I300" i="15"/>
  <c r="F300" i="15"/>
  <c r="O299" i="15"/>
  <c r="L299" i="15"/>
  <c r="I299" i="15"/>
  <c r="F299" i="15"/>
  <c r="O298" i="15"/>
  <c r="L298" i="15"/>
  <c r="I298" i="15"/>
  <c r="F298" i="15"/>
  <c r="O297" i="15"/>
  <c r="L297" i="15"/>
  <c r="I297" i="15"/>
  <c r="F297" i="15"/>
  <c r="O296" i="15"/>
  <c r="L296" i="15"/>
  <c r="I296" i="15"/>
  <c r="F296" i="15"/>
  <c r="O295" i="15"/>
  <c r="L295" i="15"/>
  <c r="I295" i="15"/>
  <c r="F295" i="15"/>
  <c r="O294" i="15"/>
  <c r="L294" i="15"/>
  <c r="I294" i="15"/>
  <c r="F294" i="15"/>
  <c r="N293" i="15"/>
  <c r="M293" i="15"/>
  <c r="K293" i="15"/>
  <c r="J293" i="15"/>
  <c r="H293" i="15"/>
  <c r="G293" i="15"/>
  <c r="E293" i="15"/>
  <c r="D293" i="15"/>
  <c r="O288" i="15"/>
  <c r="L288" i="15"/>
  <c r="I288" i="15"/>
  <c r="F288" i="15"/>
  <c r="O287" i="15"/>
  <c r="L287" i="15"/>
  <c r="L286" i="15" s="1"/>
  <c r="I287" i="15"/>
  <c r="F287" i="15"/>
  <c r="F286" i="15" s="1"/>
  <c r="O286" i="15"/>
  <c r="N286" i="15"/>
  <c r="M286" i="15"/>
  <c r="K286" i="15"/>
  <c r="J286" i="15"/>
  <c r="H286" i="15"/>
  <c r="G286" i="15"/>
  <c r="E286" i="15"/>
  <c r="D286" i="15"/>
  <c r="O285" i="15"/>
  <c r="L285" i="15"/>
  <c r="L284" i="15" s="1"/>
  <c r="L283" i="15" s="1"/>
  <c r="I285" i="15"/>
  <c r="I284" i="15" s="1"/>
  <c r="I283" i="15" s="1"/>
  <c r="F285" i="15"/>
  <c r="O284" i="15"/>
  <c r="O283" i="15" s="1"/>
  <c r="N284" i="15"/>
  <c r="M284" i="15"/>
  <c r="M283" i="15" s="1"/>
  <c r="K284" i="15"/>
  <c r="K283" i="15" s="1"/>
  <c r="J284" i="15"/>
  <c r="J283" i="15" s="1"/>
  <c r="H284" i="15"/>
  <c r="H283" i="15" s="1"/>
  <c r="G284" i="15"/>
  <c r="G283" i="15" s="1"/>
  <c r="E284" i="15"/>
  <c r="E283" i="15" s="1"/>
  <c r="D284" i="15"/>
  <c r="D283" i="15" s="1"/>
  <c r="N283" i="15"/>
  <c r="O282" i="15"/>
  <c r="O281" i="15" s="1"/>
  <c r="L282" i="15"/>
  <c r="L281" i="15" s="1"/>
  <c r="I282" i="15"/>
  <c r="I281" i="15" s="1"/>
  <c r="F282" i="15"/>
  <c r="N281" i="15"/>
  <c r="M281" i="15"/>
  <c r="K281" i="15"/>
  <c r="J281" i="15"/>
  <c r="H281" i="15"/>
  <c r="G281" i="15"/>
  <c r="F281" i="15"/>
  <c r="E281" i="15"/>
  <c r="D281" i="15"/>
  <c r="O280" i="15"/>
  <c r="L280" i="15"/>
  <c r="I280" i="15"/>
  <c r="F280" i="15"/>
  <c r="O279" i="15"/>
  <c r="L279" i="15"/>
  <c r="I279" i="15"/>
  <c r="F279" i="15"/>
  <c r="O278" i="15"/>
  <c r="L278" i="15"/>
  <c r="I278" i="15"/>
  <c r="F278" i="15"/>
  <c r="O277" i="15"/>
  <c r="L277" i="15"/>
  <c r="I277" i="15"/>
  <c r="I276" i="15" s="1"/>
  <c r="F277" i="15"/>
  <c r="N276" i="15"/>
  <c r="M276" i="15"/>
  <c r="K276" i="15"/>
  <c r="J276" i="15"/>
  <c r="H276" i="15"/>
  <c r="G276" i="15"/>
  <c r="E276" i="15"/>
  <c r="D276" i="15"/>
  <c r="O275" i="15"/>
  <c r="L275" i="15"/>
  <c r="I275" i="15"/>
  <c r="F275" i="15"/>
  <c r="O274" i="15"/>
  <c r="L274" i="15"/>
  <c r="I274" i="15"/>
  <c r="F274" i="15"/>
  <c r="O273" i="15"/>
  <c r="L273" i="15"/>
  <c r="L272" i="15" s="1"/>
  <c r="I273" i="15"/>
  <c r="I272" i="15" s="1"/>
  <c r="F273" i="15"/>
  <c r="N272" i="15"/>
  <c r="M272" i="15"/>
  <c r="M270" i="15" s="1"/>
  <c r="M269" i="15" s="1"/>
  <c r="K272" i="15"/>
  <c r="K270" i="15" s="1"/>
  <c r="J272" i="15"/>
  <c r="H272" i="15"/>
  <c r="G272" i="15"/>
  <c r="E272" i="15"/>
  <c r="D272" i="15"/>
  <c r="D270" i="15" s="1"/>
  <c r="O271" i="15"/>
  <c r="L271" i="15"/>
  <c r="I271" i="15"/>
  <c r="F271" i="15"/>
  <c r="H270" i="15"/>
  <c r="G270" i="15"/>
  <c r="G269" i="15" s="1"/>
  <c r="O268" i="15"/>
  <c r="L268" i="15"/>
  <c r="I268" i="15"/>
  <c r="F268" i="15"/>
  <c r="O267" i="15"/>
  <c r="L267" i="15"/>
  <c r="I267" i="15"/>
  <c r="F267" i="15"/>
  <c r="O266" i="15"/>
  <c r="L266" i="15"/>
  <c r="I266" i="15"/>
  <c r="F266" i="15"/>
  <c r="C266" i="15" s="1"/>
  <c r="O265" i="15"/>
  <c r="L265" i="15"/>
  <c r="L264" i="15" s="1"/>
  <c r="I265" i="15"/>
  <c r="F265" i="15"/>
  <c r="N264" i="15"/>
  <c r="M264" i="15"/>
  <c r="K264" i="15"/>
  <c r="J264" i="15"/>
  <c r="H264" i="15"/>
  <c r="G264" i="15"/>
  <c r="E264" i="15"/>
  <c r="D264" i="15"/>
  <c r="O263" i="15"/>
  <c r="L263" i="15"/>
  <c r="I263" i="15"/>
  <c r="F263" i="15"/>
  <c r="O262" i="15"/>
  <c r="L262" i="15"/>
  <c r="I262" i="15"/>
  <c r="F262" i="15"/>
  <c r="C262" i="15" s="1"/>
  <c r="O261" i="15"/>
  <c r="L261" i="15"/>
  <c r="I261" i="15"/>
  <c r="I260" i="15" s="1"/>
  <c r="F261" i="15"/>
  <c r="N260" i="15"/>
  <c r="M260" i="15"/>
  <c r="K260" i="15"/>
  <c r="K259" i="15" s="1"/>
  <c r="J260" i="15"/>
  <c r="J259" i="15" s="1"/>
  <c r="H260" i="15"/>
  <c r="H259" i="15" s="1"/>
  <c r="G260" i="15"/>
  <c r="G259" i="15" s="1"/>
  <c r="E260" i="15"/>
  <c r="D260" i="15"/>
  <c r="N259" i="15"/>
  <c r="O258" i="15"/>
  <c r="L258" i="15"/>
  <c r="I258" i="15"/>
  <c r="F258" i="15"/>
  <c r="O257" i="15"/>
  <c r="L257" i="15"/>
  <c r="I257" i="15"/>
  <c r="F257" i="15"/>
  <c r="O256" i="15"/>
  <c r="L256" i="15"/>
  <c r="I256" i="15"/>
  <c r="F256" i="15"/>
  <c r="O255" i="15"/>
  <c r="L255" i="15"/>
  <c r="I255" i="15"/>
  <c r="F255" i="15"/>
  <c r="O254" i="15"/>
  <c r="L254" i="15"/>
  <c r="I254" i="15"/>
  <c r="F254" i="15"/>
  <c r="O253" i="15"/>
  <c r="L253" i="15"/>
  <c r="I253" i="15"/>
  <c r="I252" i="15" s="1"/>
  <c r="I251" i="15" s="1"/>
  <c r="F253" i="15"/>
  <c r="N252" i="15"/>
  <c r="M252" i="15"/>
  <c r="M251" i="15" s="1"/>
  <c r="K252" i="15"/>
  <c r="K251" i="15" s="1"/>
  <c r="J252" i="15"/>
  <c r="J251" i="15" s="1"/>
  <c r="H252" i="15"/>
  <c r="G252" i="15"/>
  <c r="G251" i="15" s="1"/>
  <c r="E252" i="15"/>
  <c r="E251" i="15" s="1"/>
  <c r="D252" i="15"/>
  <c r="N251" i="15"/>
  <c r="H251" i="15"/>
  <c r="D251" i="15"/>
  <c r="O250" i="15"/>
  <c r="L250" i="15"/>
  <c r="I250" i="15"/>
  <c r="F250" i="15"/>
  <c r="O249" i="15"/>
  <c r="L249" i="15"/>
  <c r="I249" i="15"/>
  <c r="F249" i="15"/>
  <c r="O248" i="15"/>
  <c r="L248" i="15"/>
  <c r="I248" i="15"/>
  <c r="F248" i="15"/>
  <c r="O247" i="15"/>
  <c r="L247" i="15"/>
  <c r="L246" i="15" s="1"/>
  <c r="I247" i="15"/>
  <c r="F247" i="15"/>
  <c r="F246" i="15" s="1"/>
  <c r="O246" i="15"/>
  <c r="N246" i="15"/>
  <c r="M246" i="15"/>
  <c r="K246" i="15"/>
  <c r="J246" i="15"/>
  <c r="H246" i="15"/>
  <c r="G246" i="15"/>
  <c r="E246" i="15"/>
  <c r="D246" i="15"/>
  <c r="O245" i="15"/>
  <c r="L245" i="15"/>
  <c r="I245" i="15"/>
  <c r="F245" i="15"/>
  <c r="O244" i="15"/>
  <c r="L244" i="15"/>
  <c r="I244" i="15"/>
  <c r="F244" i="15"/>
  <c r="O243" i="15"/>
  <c r="L243" i="15"/>
  <c r="I243" i="15"/>
  <c r="F243" i="15"/>
  <c r="O242" i="15"/>
  <c r="L242" i="15"/>
  <c r="I242" i="15"/>
  <c r="F242" i="15"/>
  <c r="O241" i="15"/>
  <c r="L241" i="15"/>
  <c r="I241" i="15"/>
  <c r="F241" i="15"/>
  <c r="O240" i="15"/>
  <c r="L240" i="15"/>
  <c r="I240" i="15"/>
  <c r="F240" i="15"/>
  <c r="O239" i="15"/>
  <c r="L239" i="15"/>
  <c r="L238" i="15" s="1"/>
  <c r="I239" i="15"/>
  <c r="F239" i="15"/>
  <c r="F238" i="15" s="1"/>
  <c r="N238" i="15"/>
  <c r="M238" i="15"/>
  <c r="K238" i="15"/>
  <c r="J238" i="15"/>
  <c r="H238" i="15"/>
  <c r="G238" i="15"/>
  <c r="E238" i="15"/>
  <c r="D238" i="15"/>
  <c r="O237" i="15"/>
  <c r="L237" i="15"/>
  <c r="I237" i="15"/>
  <c r="F237" i="15"/>
  <c r="O236" i="15"/>
  <c r="O235" i="15" s="1"/>
  <c r="L236" i="15"/>
  <c r="L235" i="15" s="1"/>
  <c r="I236" i="15"/>
  <c r="F236" i="15"/>
  <c r="N235" i="15"/>
  <c r="M235" i="15"/>
  <c r="M231" i="15" s="1"/>
  <c r="K235" i="15"/>
  <c r="J235" i="15"/>
  <c r="H235" i="15"/>
  <c r="G235" i="15"/>
  <c r="F235" i="15"/>
  <c r="E235" i="15"/>
  <c r="D235" i="15"/>
  <c r="O234" i="15"/>
  <c r="O233" i="15" s="1"/>
  <c r="L234" i="15"/>
  <c r="L233" i="15" s="1"/>
  <c r="I234" i="15"/>
  <c r="I233" i="15" s="1"/>
  <c r="F234" i="15"/>
  <c r="N233" i="15"/>
  <c r="M233" i="15"/>
  <c r="K233" i="15"/>
  <c r="J233" i="15"/>
  <c r="J231" i="15" s="1"/>
  <c r="H233" i="15"/>
  <c r="G233" i="15"/>
  <c r="E233" i="15"/>
  <c r="D233" i="15"/>
  <c r="O232" i="15"/>
  <c r="L232" i="15"/>
  <c r="I232" i="15"/>
  <c r="F232" i="15"/>
  <c r="O229" i="15"/>
  <c r="L229" i="15"/>
  <c r="I229" i="15"/>
  <c r="F229" i="15"/>
  <c r="O228" i="15"/>
  <c r="O227" i="15" s="1"/>
  <c r="L228" i="15"/>
  <c r="L227" i="15" s="1"/>
  <c r="I228" i="15"/>
  <c r="F228" i="15"/>
  <c r="N227" i="15"/>
  <c r="M227" i="15"/>
  <c r="K227" i="15"/>
  <c r="J227" i="15"/>
  <c r="H227" i="15"/>
  <c r="G227" i="15"/>
  <c r="F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O219" i="15"/>
  <c r="L219" i="15"/>
  <c r="I219" i="15"/>
  <c r="F219" i="15"/>
  <c r="O218" i="15"/>
  <c r="L218" i="15"/>
  <c r="C218" i="15" s="1"/>
  <c r="I218" i="15"/>
  <c r="F218" i="15"/>
  <c r="O217" i="15"/>
  <c r="L217" i="15"/>
  <c r="I217" i="15"/>
  <c r="F217" i="15"/>
  <c r="N216" i="15"/>
  <c r="M216" i="15"/>
  <c r="K216" i="15"/>
  <c r="J216" i="15"/>
  <c r="H216" i="15"/>
  <c r="G216" i="15"/>
  <c r="E216" i="15"/>
  <c r="D216" i="15"/>
  <c r="O215" i="15"/>
  <c r="L215" i="15"/>
  <c r="I215" i="15"/>
  <c r="F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N205" i="15"/>
  <c r="M205" i="15"/>
  <c r="M204" i="15" s="1"/>
  <c r="K205" i="15"/>
  <c r="K204" i="15" s="1"/>
  <c r="J205" i="15"/>
  <c r="H205" i="15"/>
  <c r="H204" i="15" s="1"/>
  <c r="G205" i="15"/>
  <c r="G204" i="15" s="1"/>
  <c r="E205" i="15"/>
  <c r="D205" i="15"/>
  <c r="D204" i="15" s="1"/>
  <c r="E204" i="15"/>
  <c r="O203" i="15"/>
  <c r="L203" i="15"/>
  <c r="I203" i="15"/>
  <c r="F203" i="15"/>
  <c r="O202" i="15"/>
  <c r="L202" i="15"/>
  <c r="I202" i="15"/>
  <c r="F202" i="15"/>
  <c r="O201" i="15"/>
  <c r="L201" i="15"/>
  <c r="I201" i="15"/>
  <c r="F201" i="15"/>
  <c r="O200" i="15"/>
  <c r="L200" i="15"/>
  <c r="I200" i="15"/>
  <c r="F200" i="15"/>
  <c r="O199" i="15"/>
  <c r="L199" i="15"/>
  <c r="L198" i="15" s="1"/>
  <c r="I199" i="15"/>
  <c r="F199" i="15"/>
  <c r="F198" i="15" s="1"/>
  <c r="O198" i="15"/>
  <c r="N198" i="15"/>
  <c r="M198" i="15"/>
  <c r="K198" i="15"/>
  <c r="K196" i="15" s="1"/>
  <c r="K195" i="15" s="1"/>
  <c r="J198" i="15"/>
  <c r="H198" i="15"/>
  <c r="H196" i="15" s="1"/>
  <c r="G198" i="15"/>
  <c r="G196" i="15" s="1"/>
  <c r="E198" i="15"/>
  <c r="E196" i="15" s="1"/>
  <c r="D198" i="15"/>
  <c r="O197" i="15"/>
  <c r="L197" i="15"/>
  <c r="I197" i="15"/>
  <c r="F197" i="15"/>
  <c r="N196" i="15"/>
  <c r="M196" i="15"/>
  <c r="J196" i="15"/>
  <c r="D196" i="15"/>
  <c r="O193" i="15"/>
  <c r="L193" i="15"/>
  <c r="L192" i="15" s="1"/>
  <c r="L191" i="15" s="1"/>
  <c r="I193" i="15"/>
  <c r="I192" i="15" s="1"/>
  <c r="F193" i="15"/>
  <c r="O192" i="15"/>
  <c r="O191" i="15" s="1"/>
  <c r="N192" i="15"/>
  <c r="N191" i="15" s="1"/>
  <c r="M192" i="15"/>
  <c r="K192" i="15"/>
  <c r="K191" i="15" s="1"/>
  <c r="J192" i="15"/>
  <c r="J191" i="15" s="1"/>
  <c r="H192" i="15"/>
  <c r="H191" i="15" s="1"/>
  <c r="G192" i="15"/>
  <c r="G191" i="15" s="1"/>
  <c r="F192" i="15"/>
  <c r="F191" i="15" s="1"/>
  <c r="E192" i="15"/>
  <c r="E191" i="15" s="1"/>
  <c r="D192" i="15"/>
  <c r="D191" i="15" s="1"/>
  <c r="M191" i="15"/>
  <c r="O190" i="15"/>
  <c r="L190" i="15"/>
  <c r="I190" i="15"/>
  <c r="F190" i="15"/>
  <c r="O189" i="15"/>
  <c r="L189" i="15"/>
  <c r="L188" i="15" s="1"/>
  <c r="I189" i="15"/>
  <c r="I188" i="15" s="1"/>
  <c r="F189" i="15"/>
  <c r="O188" i="15"/>
  <c r="N188" i="15"/>
  <c r="M188" i="15"/>
  <c r="K188" i="15"/>
  <c r="J188" i="15"/>
  <c r="J187" i="15" s="1"/>
  <c r="H188" i="15"/>
  <c r="G188" i="15"/>
  <c r="F188" i="15"/>
  <c r="E188" i="15"/>
  <c r="E187" i="15" s="1"/>
  <c r="D188" i="15"/>
  <c r="O186" i="15"/>
  <c r="L186" i="15"/>
  <c r="I186" i="15"/>
  <c r="F186" i="15"/>
  <c r="O185" i="15"/>
  <c r="L185" i="15"/>
  <c r="L184" i="15" s="1"/>
  <c r="I185" i="15"/>
  <c r="I184" i="15" s="1"/>
  <c r="F185" i="15"/>
  <c r="O184" i="15"/>
  <c r="N184" i="15"/>
  <c r="M184" i="15"/>
  <c r="K184" i="15"/>
  <c r="J184" i="15"/>
  <c r="H184" i="15"/>
  <c r="G184" i="15"/>
  <c r="F184" i="15"/>
  <c r="E184" i="15"/>
  <c r="D184" i="15"/>
  <c r="O183" i="15"/>
  <c r="L183" i="15"/>
  <c r="I183" i="15"/>
  <c r="F183" i="15"/>
  <c r="O182" i="15"/>
  <c r="L182" i="15"/>
  <c r="I182" i="15"/>
  <c r="F182" i="15"/>
  <c r="O181" i="15"/>
  <c r="L181" i="15"/>
  <c r="I181" i="15"/>
  <c r="F181" i="15"/>
  <c r="O180" i="15"/>
  <c r="O179" i="15" s="1"/>
  <c r="L180" i="15"/>
  <c r="L179" i="15" s="1"/>
  <c r="I180" i="15"/>
  <c r="F180" i="15"/>
  <c r="N179" i="15"/>
  <c r="M179" i="15"/>
  <c r="K179" i="15"/>
  <c r="J179" i="15"/>
  <c r="H179" i="15"/>
  <c r="G179" i="15"/>
  <c r="E179" i="15"/>
  <c r="D179" i="15"/>
  <c r="O178" i="15"/>
  <c r="L178" i="15"/>
  <c r="I178" i="15"/>
  <c r="F178" i="15"/>
  <c r="O177" i="15"/>
  <c r="L177" i="15"/>
  <c r="I177" i="15"/>
  <c r="F177" i="15"/>
  <c r="O176" i="15"/>
  <c r="O175" i="15" s="1"/>
  <c r="O174" i="15" s="1"/>
  <c r="L176" i="15"/>
  <c r="I176" i="15"/>
  <c r="F176" i="15"/>
  <c r="N175" i="15"/>
  <c r="M175" i="15"/>
  <c r="K175" i="15"/>
  <c r="K174" i="15" s="1"/>
  <c r="K173" i="15" s="1"/>
  <c r="J175" i="15"/>
  <c r="J174" i="15" s="1"/>
  <c r="J173" i="15" s="1"/>
  <c r="H175" i="15"/>
  <c r="G175" i="15"/>
  <c r="G174" i="15" s="1"/>
  <c r="E175" i="15"/>
  <c r="E174" i="15" s="1"/>
  <c r="E173" i="15" s="1"/>
  <c r="D175" i="15"/>
  <c r="O172" i="15"/>
  <c r="L172" i="15"/>
  <c r="I172" i="15"/>
  <c r="F172" i="15"/>
  <c r="O171" i="15"/>
  <c r="L171" i="15"/>
  <c r="I171" i="15"/>
  <c r="F171" i="15"/>
  <c r="O170" i="15"/>
  <c r="L170" i="15"/>
  <c r="I170" i="15"/>
  <c r="F170" i="15"/>
  <c r="O169" i="15"/>
  <c r="L169" i="15"/>
  <c r="I169" i="15"/>
  <c r="F169" i="15"/>
  <c r="O168" i="15"/>
  <c r="L168" i="15"/>
  <c r="I168" i="15"/>
  <c r="F168" i="15"/>
  <c r="O167" i="15"/>
  <c r="L167" i="15"/>
  <c r="I167" i="15"/>
  <c r="I166" i="15" s="1"/>
  <c r="I165" i="15" s="1"/>
  <c r="F167" i="15"/>
  <c r="N166" i="15"/>
  <c r="M166" i="15"/>
  <c r="M165" i="15" s="1"/>
  <c r="K166" i="15"/>
  <c r="K165" i="15" s="1"/>
  <c r="J166" i="15"/>
  <c r="J165" i="15" s="1"/>
  <c r="H166" i="15"/>
  <c r="H165" i="15" s="1"/>
  <c r="G166" i="15"/>
  <c r="G165" i="15" s="1"/>
  <c r="E166" i="15"/>
  <c r="E165" i="15" s="1"/>
  <c r="D166" i="15"/>
  <c r="D165" i="15" s="1"/>
  <c r="N165" i="15"/>
  <c r="O164" i="15"/>
  <c r="L164" i="15"/>
  <c r="I164" i="15"/>
  <c r="F164" i="15"/>
  <c r="O163" i="15"/>
  <c r="L163" i="15"/>
  <c r="I163" i="15"/>
  <c r="F163" i="15"/>
  <c r="O162" i="15"/>
  <c r="L162" i="15"/>
  <c r="I162" i="15"/>
  <c r="F162" i="15"/>
  <c r="O161" i="15"/>
  <c r="L161" i="15"/>
  <c r="L160" i="15" s="1"/>
  <c r="I161" i="15"/>
  <c r="I160" i="15" s="1"/>
  <c r="F161" i="15"/>
  <c r="O160" i="15"/>
  <c r="N160" i="15"/>
  <c r="M160" i="15"/>
  <c r="K160" i="15"/>
  <c r="J160" i="15"/>
  <c r="H160" i="15"/>
  <c r="G160" i="15"/>
  <c r="F160" i="15"/>
  <c r="E160" i="15"/>
  <c r="D160"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L152" i="15"/>
  <c r="I152" i="15"/>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L145" i="15"/>
  <c r="I145" i="15"/>
  <c r="I144" i="15" s="1"/>
  <c r="F145" i="15"/>
  <c r="O144" i="15"/>
  <c r="N144" i="15"/>
  <c r="M144" i="15"/>
  <c r="K144" i="15"/>
  <c r="J144" i="15"/>
  <c r="H144" i="15"/>
  <c r="G144" i="15"/>
  <c r="E144" i="15"/>
  <c r="D144" i="15"/>
  <c r="O143" i="15"/>
  <c r="L143" i="15"/>
  <c r="I143" i="15"/>
  <c r="F143" i="15"/>
  <c r="O142" i="15"/>
  <c r="L142" i="15"/>
  <c r="I142" i="15"/>
  <c r="I141" i="15" s="1"/>
  <c r="F142" i="15"/>
  <c r="N141" i="15"/>
  <c r="M141" i="15"/>
  <c r="L141" i="15"/>
  <c r="K141" i="15"/>
  <c r="J141" i="15"/>
  <c r="H141" i="15"/>
  <c r="G141" i="15"/>
  <c r="F141" i="15"/>
  <c r="E141" i="15"/>
  <c r="D141" i="15"/>
  <c r="O140" i="15"/>
  <c r="L140" i="15"/>
  <c r="C140" i="15" s="1"/>
  <c r="I140" i="15"/>
  <c r="F140" i="15"/>
  <c r="O139" i="15"/>
  <c r="L139" i="15"/>
  <c r="I139" i="15"/>
  <c r="F139" i="15"/>
  <c r="O138" i="15"/>
  <c r="L138" i="15"/>
  <c r="I138" i="15"/>
  <c r="F138" i="15"/>
  <c r="O137" i="15"/>
  <c r="L137" i="15"/>
  <c r="L136" i="15" s="1"/>
  <c r="I137" i="15"/>
  <c r="I136" i="15" s="1"/>
  <c r="F137" i="15"/>
  <c r="O136" i="15"/>
  <c r="N136" i="15"/>
  <c r="M136" i="15"/>
  <c r="K136" i="15"/>
  <c r="J136" i="15"/>
  <c r="H136" i="15"/>
  <c r="G136" i="15"/>
  <c r="E136" i="15"/>
  <c r="D136" i="15"/>
  <c r="O135" i="15"/>
  <c r="L135" i="15"/>
  <c r="I135" i="15"/>
  <c r="F135" i="15"/>
  <c r="O134" i="15"/>
  <c r="L134" i="15"/>
  <c r="I134" i="15"/>
  <c r="F134" i="15"/>
  <c r="C134" i="15" s="1"/>
  <c r="O133" i="15"/>
  <c r="L133" i="15"/>
  <c r="I133" i="15"/>
  <c r="F133" i="15"/>
  <c r="O132" i="15"/>
  <c r="O131" i="15" s="1"/>
  <c r="L132" i="15"/>
  <c r="L131" i="15" s="1"/>
  <c r="I132" i="15"/>
  <c r="F132" i="15"/>
  <c r="C132" i="15" s="1"/>
  <c r="N131" i="15"/>
  <c r="M131" i="15"/>
  <c r="K131" i="15"/>
  <c r="J131" i="15"/>
  <c r="H131" i="15"/>
  <c r="G131" i="15"/>
  <c r="E131" i="15"/>
  <c r="D131" i="15"/>
  <c r="E130" i="15"/>
  <c r="O129" i="15"/>
  <c r="L129" i="15"/>
  <c r="L128" i="15" s="1"/>
  <c r="I129" i="15"/>
  <c r="I128" i="15" s="1"/>
  <c r="F129" i="15"/>
  <c r="C129" i="15" s="1"/>
  <c r="O128" i="15"/>
  <c r="N128" i="15"/>
  <c r="M128" i="15"/>
  <c r="K128" i="15"/>
  <c r="J128" i="15"/>
  <c r="H128" i="15"/>
  <c r="G128" i="15"/>
  <c r="F128" i="15"/>
  <c r="C128" i="15" s="1"/>
  <c r="E128" i="15"/>
  <c r="D128" i="15"/>
  <c r="O127" i="15"/>
  <c r="L127" i="15"/>
  <c r="I127" i="15"/>
  <c r="F127" i="15"/>
  <c r="O126" i="15"/>
  <c r="L126" i="15"/>
  <c r="I126" i="15"/>
  <c r="F126" i="15"/>
  <c r="O125" i="15"/>
  <c r="L125" i="15"/>
  <c r="I125" i="15"/>
  <c r="F125" i="15"/>
  <c r="O124" i="15"/>
  <c r="L124" i="15"/>
  <c r="I124" i="15"/>
  <c r="F124" i="15"/>
  <c r="O123" i="15"/>
  <c r="L123" i="15"/>
  <c r="I123" i="15"/>
  <c r="I122" i="15" s="1"/>
  <c r="F123" i="15"/>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O116" i="15" s="1"/>
  <c r="L117" i="15"/>
  <c r="I117" i="15"/>
  <c r="F117" i="15"/>
  <c r="N116" i="15"/>
  <c r="M116" i="15"/>
  <c r="K116" i="15"/>
  <c r="J116" i="15"/>
  <c r="H116" i="15"/>
  <c r="G116" i="15"/>
  <c r="E116" i="15"/>
  <c r="D116" i="15"/>
  <c r="O115" i="15"/>
  <c r="L115" i="15"/>
  <c r="I115" i="15"/>
  <c r="F115" i="15"/>
  <c r="O114" i="15"/>
  <c r="L114" i="15"/>
  <c r="I114" i="15"/>
  <c r="F114" i="15"/>
  <c r="O113" i="15"/>
  <c r="L113" i="15"/>
  <c r="L112" i="15" s="1"/>
  <c r="I113" i="15"/>
  <c r="I112" i="15" s="1"/>
  <c r="F113" i="15"/>
  <c r="O112" i="15"/>
  <c r="N112" i="15"/>
  <c r="M112" i="15"/>
  <c r="K112" i="15"/>
  <c r="J112" i="15"/>
  <c r="H112" i="15"/>
  <c r="G112" i="15"/>
  <c r="F112" i="15"/>
  <c r="E112" i="15"/>
  <c r="D112" i="15"/>
  <c r="O111" i="15"/>
  <c r="L111" i="15"/>
  <c r="I111" i="15"/>
  <c r="F111" i="15"/>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F105" i="15"/>
  <c r="O104" i="15"/>
  <c r="O103" i="15" s="1"/>
  <c r="L104" i="15"/>
  <c r="I104" i="15"/>
  <c r="F104" i="15"/>
  <c r="N103" i="15"/>
  <c r="M103" i="15"/>
  <c r="K103" i="15"/>
  <c r="J103" i="15"/>
  <c r="H103" i="15"/>
  <c r="G103" i="15"/>
  <c r="E103" i="15"/>
  <c r="D103" i="15"/>
  <c r="O102" i="15"/>
  <c r="L102" i="15"/>
  <c r="I102" i="15"/>
  <c r="F102" i="15"/>
  <c r="C102" i="15" s="1"/>
  <c r="O101" i="15"/>
  <c r="L101" i="15"/>
  <c r="I101" i="15"/>
  <c r="F101" i="15"/>
  <c r="O100" i="15"/>
  <c r="L100" i="15"/>
  <c r="I100" i="15"/>
  <c r="F100" i="15"/>
  <c r="O99" i="15"/>
  <c r="L99" i="15"/>
  <c r="I99" i="15"/>
  <c r="F99" i="15"/>
  <c r="O98" i="15"/>
  <c r="L98" i="15"/>
  <c r="I98" i="15"/>
  <c r="F98" i="15"/>
  <c r="O97" i="15"/>
  <c r="L97" i="15"/>
  <c r="I97" i="15"/>
  <c r="F97" i="15"/>
  <c r="O96" i="15"/>
  <c r="O95" i="15" s="1"/>
  <c r="L96" i="15"/>
  <c r="I96" i="15"/>
  <c r="F96" i="15"/>
  <c r="N95" i="15"/>
  <c r="M95" i="15"/>
  <c r="K95" i="15"/>
  <c r="J95" i="15"/>
  <c r="H95" i="15"/>
  <c r="G95" i="15"/>
  <c r="E95" i="15"/>
  <c r="D95" i="15"/>
  <c r="O94" i="15"/>
  <c r="L94" i="15"/>
  <c r="I94" i="15"/>
  <c r="F94" i="15"/>
  <c r="C94" i="15" s="1"/>
  <c r="O93" i="15"/>
  <c r="L93" i="15"/>
  <c r="I93" i="15"/>
  <c r="F93" i="15"/>
  <c r="O92" i="15"/>
  <c r="L92" i="15"/>
  <c r="I92" i="15"/>
  <c r="F92" i="15"/>
  <c r="O91" i="15"/>
  <c r="L91" i="15"/>
  <c r="I91" i="15"/>
  <c r="F91" i="15"/>
  <c r="O90" i="15"/>
  <c r="L90" i="15"/>
  <c r="I90" i="15"/>
  <c r="I89" i="15" s="1"/>
  <c r="F90" i="15"/>
  <c r="N89" i="15"/>
  <c r="M89" i="15"/>
  <c r="L89" i="15"/>
  <c r="K89" i="15"/>
  <c r="J89" i="15"/>
  <c r="H89" i="15"/>
  <c r="G89" i="15"/>
  <c r="E89" i="15"/>
  <c r="D89" i="15"/>
  <c r="O88" i="15"/>
  <c r="L88" i="15"/>
  <c r="I88" i="15"/>
  <c r="F88" i="15"/>
  <c r="O87" i="15"/>
  <c r="L87" i="15"/>
  <c r="I87" i="15"/>
  <c r="F87" i="15"/>
  <c r="O86" i="15"/>
  <c r="L86" i="15"/>
  <c r="I86" i="15"/>
  <c r="F86" i="15"/>
  <c r="O85" i="15"/>
  <c r="L85" i="15"/>
  <c r="I85" i="15"/>
  <c r="F85" i="15"/>
  <c r="N84" i="15"/>
  <c r="M84" i="15"/>
  <c r="M83" i="15" s="1"/>
  <c r="K84" i="15"/>
  <c r="J84" i="15"/>
  <c r="I84" i="15"/>
  <c r="H84" i="15"/>
  <c r="G84" i="15"/>
  <c r="E84" i="15"/>
  <c r="D84" i="15"/>
  <c r="J83" i="15"/>
  <c r="O82" i="15"/>
  <c r="L82" i="15"/>
  <c r="I82" i="15"/>
  <c r="F82" i="15"/>
  <c r="C82" i="15" s="1"/>
  <c r="O81" i="15"/>
  <c r="L81" i="15"/>
  <c r="L80" i="15" s="1"/>
  <c r="I81" i="15"/>
  <c r="I80" i="15" s="1"/>
  <c r="F81" i="15"/>
  <c r="N80" i="15"/>
  <c r="M80" i="15"/>
  <c r="K80" i="15"/>
  <c r="J80" i="15"/>
  <c r="H80" i="15"/>
  <c r="G80" i="15"/>
  <c r="E80" i="15"/>
  <c r="D80" i="15"/>
  <c r="O79" i="15"/>
  <c r="L79" i="15"/>
  <c r="I79" i="15"/>
  <c r="F79" i="15"/>
  <c r="O78" i="15"/>
  <c r="O77" i="15" s="1"/>
  <c r="L78" i="15"/>
  <c r="I78" i="15"/>
  <c r="I77" i="15" s="1"/>
  <c r="F78" i="15"/>
  <c r="C78" i="15" s="1"/>
  <c r="N77" i="15"/>
  <c r="N76" i="15" s="1"/>
  <c r="M77" i="15"/>
  <c r="K77" i="15"/>
  <c r="K76" i="15" s="1"/>
  <c r="J77" i="15"/>
  <c r="J76" i="15" s="1"/>
  <c r="H77" i="15"/>
  <c r="G77" i="15"/>
  <c r="E77" i="15"/>
  <c r="D77" i="15"/>
  <c r="G76" i="15"/>
  <c r="O74" i="15"/>
  <c r="L74" i="15"/>
  <c r="I74" i="15"/>
  <c r="F74" i="15"/>
  <c r="O73" i="15"/>
  <c r="L73" i="15"/>
  <c r="I73" i="15"/>
  <c r="F73" i="15"/>
  <c r="O72" i="15"/>
  <c r="L72" i="15"/>
  <c r="I72" i="15"/>
  <c r="F72" i="15"/>
  <c r="O71" i="15"/>
  <c r="L71" i="15"/>
  <c r="I71" i="15"/>
  <c r="F71" i="15"/>
  <c r="O70" i="15"/>
  <c r="L70" i="15"/>
  <c r="I70" i="15"/>
  <c r="F70" i="15"/>
  <c r="N69" i="15"/>
  <c r="M69" i="15"/>
  <c r="K69" i="15"/>
  <c r="K67" i="15" s="1"/>
  <c r="J69" i="15"/>
  <c r="J67" i="15" s="1"/>
  <c r="H69" i="15"/>
  <c r="G69" i="15"/>
  <c r="G67" i="15" s="1"/>
  <c r="E69" i="15"/>
  <c r="E67" i="15" s="1"/>
  <c r="D69" i="15"/>
  <c r="O68" i="15"/>
  <c r="L68" i="15"/>
  <c r="I68" i="15"/>
  <c r="F68" i="15"/>
  <c r="N67" i="15"/>
  <c r="M67" i="15"/>
  <c r="H67" i="15"/>
  <c r="D67" i="15"/>
  <c r="O66" i="15"/>
  <c r="L66" i="15"/>
  <c r="I66" i="15"/>
  <c r="F66" i="15"/>
  <c r="O65" i="15"/>
  <c r="L65" i="15"/>
  <c r="H65" i="15"/>
  <c r="F65" i="15"/>
  <c r="O64" i="15"/>
  <c r="L64" i="15"/>
  <c r="I64" i="15"/>
  <c r="F64" i="15"/>
  <c r="O63" i="15"/>
  <c r="L63" i="15"/>
  <c r="H63" i="15"/>
  <c r="I63" i="15" s="1"/>
  <c r="F63" i="15"/>
  <c r="O62" i="15"/>
  <c r="L62" i="15"/>
  <c r="I62" i="15"/>
  <c r="F62" i="15"/>
  <c r="O61" i="15"/>
  <c r="L61" i="15"/>
  <c r="I61" i="15"/>
  <c r="F61" i="15"/>
  <c r="O60" i="15"/>
  <c r="L60" i="15"/>
  <c r="I60" i="15"/>
  <c r="F60" i="15"/>
  <c r="O59" i="15"/>
  <c r="L59" i="15"/>
  <c r="I59" i="15"/>
  <c r="F59" i="15"/>
  <c r="N58" i="15"/>
  <c r="M58" i="15"/>
  <c r="K58" i="15"/>
  <c r="J58" i="15"/>
  <c r="G58" i="15"/>
  <c r="E58" i="15"/>
  <c r="D58" i="15"/>
  <c r="O57" i="15"/>
  <c r="O55" i="15" s="1"/>
  <c r="L57" i="15"/>
  <c r="F57" i="15"/>
  <c r="O56" i="15"/>
  <c r="L56" i="15"/>
  <c r="I56" i="15"/>
  <c r="F56" i="15"/>
  <c r="N55" i="15"/>
  <c r="M55" i="15"/>
  <c r="K55" i="15"/>
  <c r="J55" i="15"/>
  <c r="G55" i="15"/>
  <c r="E55" i="15"/>
  <c r="D55" i="15"/>
  <c r="J54" i="15"/>
  <c r="D54" i="15"/>
  <c r="D53" i="15" s="1"/>
  <c r="O47" i="15"/>
  <c r="C47" i="15" s="1"/>
  <c r="O46" i="15"/>
  <c r="C46" i="15" s="1"/>
  <c r="N45" i="15"/>
  <c r="M45" i="15"/>
  <c r="L44" i="15"/>
  <c r="L43" i="15" s="1"/>
  <c r="I44" i="15"/>
  <c r="I43" i="15" s="1"/>
  <c r="F44" i="15"/>
  <c r="K43" i="15"/>
  <c r="J43" i="15"/>
  <c r="H43" i="15"/>
  <c r="G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C32" i="15" s="1"/>
  <c r="K31" i="15"/>
  <c r="J31" i="15"/>
  <c r="L30" i="15"/>
  <c r="C30" i="15" s="1"/>
  <c r="L29" i="15"/>
  <c r="C29" i="15" s="1"/>
  <c r="L28" i="15"/>
  <c r="C28" i="15" s="1"/>
  <c r="K27" i="15"/>
  <c r="J27" i="15"/>
  <c r="F25" i="15"/>
  <c r="C25" i="15" s="1"/>
  <c r="I24" i="15"/>
  <c r="F24" i="15"/>
  <c r="O23" i="15"/>
  <c r="L23" i="15"/>
  <c r="I23" i="15"/>
  <c r="F23" i="15"/>
  <c r="O22" i="15"/>
  <c r="L22" i="15"/>
  <c r="I22" i="15"/>
  <c r="I21" i="15" s="1"/>
  <c r="F22" i="15"/>
  <c r="N21" i="15"/>
  <c r="M21" i="15"/>
  <c r="M20" i="15" s="1"/>
  <c r="K21" i="15"/>
  <c r="K292" i="15" s="1"/>
  <c r="K291" i="15" s="1"/>
  <c r="J21" i="15"/>
  <c r="J292" i="15" s="1"/>
  <c r="J291" i="15" s="1"/>
  <c r="H21" i="15"/>
  <c r="G21" i="15"/>
  <c r="E21" i="15"/>
  <c r="D21" i="15"/>
  <c r="K26" i="15" l="1"/>
  <c r="C74" i="15"/>
  <c r="D76" i="15"/>
  <c r="C90" i="15"/>
  <c r="C91" i="15"/>
  <c r="C254" i="15"/>
  <c r="C143" i="15"/>
  <c r="C242" i="15"/>
  <c r="K269" i="15"/>
  <c r="N54" i="15"/>
  <c r="F77" i="15"/>
  <c r="C135" i="15"/>
  <c r="J230" i="15"/>
  <c r="O45" i="15"/>
  <c r="C70" i="15"/>
  <c r="C73" i="15"/>
  <c r="C157" i="15"/>
  <c r="C172" i="15"/>
  <c r="G195" i="15"/>
  <c r="C234" i="15"/>
  <c r="C112" i="15"/>
  <c r="C168" i="15"/>
  <c r="C170" i="15"/>
  <c r="C171" i="15"/>
  <c r="C282" i="15"/>
  <c r="C214" i="15"/>
  <c r="C215" i="15"/>
  <c r="C241" i="15"/>
  <c r="C66" i="15"/>
  <c r="C148" i="15"/>
  <c r="D187" i="15"/>
  <c r="C202" i="15"/>
  <c r="C210" i="15"/>
  <c r="C212" i="15"/>
  <c r="C222" i="15"/>
  <c r="F233" i="15"/>
  <c r="L21" i="15"/>
  <c r="M130" i="15"/>
  <c r="L151" i="15"/>
  <c r="C180" i="15"/>
  <c r="C181" i="15"/>
  <c r="H195" i="15"/>
  <c r="C250" i="15"/>
  <c r="C274" i="15"/>
  <c r="N270" i="15"/>
  <c r="N269" i="15" s="1"/>
  <c r="I76" i="15"/>
  <c r="C124" i="15"/>
  <c r="C164" i="15"/>
  <c r="M174" i="15"/>
  <c r="M173" i="15" s="1"/>
  <c r="M187" i="15"/>
  <c r="C201" i="15"/>
  <c r="C226" i="15"/>
  <c r="O238" i="15"/>
  <c r="C258" i="15"/>
  <c r="D259" i="15"/>
  <c r="O264" i="15"/>
  <c r="I270" i="15"/>
  <c r="I269" i="15" s="1"/>
  <c r="J270" i="15"/>
  <c r="J269" i="15" s="1"/>
  <c r="C298" i="15"/>
  <c r="C64" i="15"/>
  <c r="M76" i="15"/>
  <c r="L103" i="15"/>
  <c r="C113" i="15"/>
  <c r="C115" i="15"/>
  <c r="N174" i="15"/>
  <c r="N173" i="15" s="1"/>
  <c r="O252" i="15"/>
  <c r="O251" i="15" s="1"/>
  <c r="K20" i="15"/>
  <c r="C60" i="15"/>
  <c r="N83" i="15"/>
  <c r="C176" i="15"/>
  <c r="C206" i="15"/>
  <c r="C278" i="15"/>
  <c r="C72" i="15"/>
  <c r="C108" i="15"/>
  <c r="C138" i="15"/>
  <c r="D195" i="15"/>
  <c r="I216" i="15"/>
  <c r="L216" i="15"/>
  <c r="C294" i="15"/>
  <c r="L293" i="15"/>
  <c r="E292" i="15"/>
  <c r="E291" i="15" s="1"/>
  <c r="E20" i="15"/>
  <c r="C22" i="15"/>
  <c r="C23" i="15"/>
  <c r="H76" i="15"/>
  <c r="L77" i="15"/>
  <c r="L76" i="15" s="1"/>
  <c r="M75" i="15"/>
  <c r="C98" i="15"/>
  <c r="C100" i="15"/>
  <c r="C120" i="15"/>
  <c r="C125" i="15"/>
  <c r="C126" i="15"/>
  <c r="C127" i="15"/>
  <c r="C156" i="15"/>
  <c r="C159" i="15"/>
  <c r="C160" i="15"/>
  <c r="C186" i="15"/>
  <c r="H187" i="15"/>
  <c r="C203" i="15"/>
  <c r="E231" i="15"/>
  <c r="N292" i="15"/>
  <c r="N291" i="15" s="1"/>
  <c r="N20" i="15"/>
  <c r="F69" i="15"/>
  <c r="C107" i="15"/>
  <c r="G292" i="15"/>
  <c r="G291" i="15" s="1"/>
  <c r="G20" i="15"/>
  <c r="F41" i="15"/>
  <c r="C41" i="15" s="1"/>
  <c r="C44" i="15"/>
  <c r="C86" i="15"/>
  <c r="C88" i="15"/>
  <c r="L95" i="15"/>
  <c r="C152" i="15"/>
  <c r="D174" i="15"/>
  <c r="D173" i="15" s="1"/>
  <c r="O173" i="15"/>
  <c r="N187" i="15"/>
  <c r="L205" i="15"/>
  <c r="L204" i="15" s="1"/>
  <c r="L31" i="15"/>
  <c r="C31" i="15" s="1"/>
  <c r="O58" i="15"/>
  <c r="L69" i="15"/>
  <c r="L67" i="15" s="1"/>
  <c r="E83" i="15"/>
  <c r="O84" i="15"/>
  <c r="H83" i="15"/>
  <c r="C92" i="15"/>
  <c r="C97" i="15"/>
  <c r="C111" i="15"/>
  <c r="C150" i="15"/>
  <c r="C162" i="15"/>
  <c r="C163" i="15"/>
  <c r="C177" i="15"/>
  <c r="F187" i="15"/>
  <c r="K187" i="15"/>
  <c r="C190" i="15"/>
  <c r="C221" i="15"/>
  <c r="C229" i="15"/>
  <c r="D231" i="15"/>
  <c r="D230" i="15" s="1"/>
  <c r="H231" i="15"/>
  <c r="H230" i="15" s="1"/>
  <c r="N231" i="15"/>
  <c r="N230" i="15" s="1"/>
  <c r="C244" i="15"/>
  <c r="C249" i="15"/>
  <c r="C256" i="15"/>
  <c r="C279" i="15"/>
  <c r="D269" i="15"/>
  <c r="H269" i="15"/>
  <c r="C295" i="15"/>
  <c r="C211" i="15"/>
  <c r="O216" i="15"/>
  <c r="J204" i="15"/>
  <c r="J195" i="15" s="1"/>
  <c r="J194" i="15" s="1"/>
  <c r="N204" i="15"/>
  <c r="N195" i="15" s="1"/>
  <c r="G231" i="15"/>
  <c r="G230" i="15" s="1"/>
  <c r="G194" i="15" s="1"/>
  <c r="C243" i="15"/>
  <c r="C245" i="15"/>
  <c r="C257" i="15"/>
  <c r="C267" i="15"/>
  <c r="O276" i="15"/>
  <c r="M292" i="15"/>
  <c r="M291" i="15" s="1"/>
  <c r="C24" i="15"/>
  <c r="J26" i="15"/>
  <c r="J20" i="15" s="1"/>
  <c r="C68" i="15"/>
  <c r="O69" i="15"/>
  <c r="E76" i="15"/>
  <c r="E75" i="15" s="1"/>
  <c r="O80" i="15"/>
  <c r="O76" i="15" s="1"/>
  <c r="G83" i="15"/>
  <c r="K83" i="15"/>
  <c r="D83" i="15"/>
  <c r="C101" i="15"/>
  <c r="I116" i="15"/>
  <c r="O122" i="15"/>
  <c r="L122" i="15"/>
  <c r="N130" i="15"/>
  <c r="O141" i="15"/>
  <c r="C141" i="15" s="1"/>
  <c r="C154" i="15"/>
  <c r="C155" i="15"/>
  <c r="O166" i="15"/>
  <c r="O165" i="15" s="1"/>
  <c r="L166" i="15"/>
  <c r="L165" i="15" s="1"/>
  <c r="L175" i="15"/>
  <c r="L174" i="15" s="1"/>
  <c r="L173" i="15" s="1"/>
  <c r="C183" i="15"/>
  <c r="C184" i="15"/>
  <c r="G187" i="15"/>
  <c r="O196" i="15"/>
  <c r="C213" i="15"/>
  <c r="C223" i="15"/>
  <c r="C225" i="15"/>
  <c r="C237" i="15"/>
  <c r="E259" i="15"/>
  <c r="O260" i="15"/>
  <c r="O259" i="15" s="1"/>
  <c r="O272" i="15"/>
  <c r="O270" i="15" s="1"/>
  <c r="O269" i="15" s="1"/>
  <c r="L276" i="15"/>
  <c r="C280" i="15"/>
  <c r="I293" i="15"/>
  <c r="C296" i="15"/>
  <c r="C299" i="15"/>
  <c r="N75" i="15"/>
  <c r="D292" i="15"/>
  <c r="D291" i="15" s="1"/>
  <c r="D20" i="15"/>
  <c r="L292" i="15"/>
  <c r="L291" i="15" s="1"/>
  <c r="J53" i="15"/>
  <c r="C59" i="15"/>
  <c r="F58" i="15"/>
  <c r="C104" i="15"/>
  <c r="E54" i="15"/>
  <c r="E53" i="15" s="1"/>
  <c r="K54" i="15"/>
  <c r="K53" i="15" s="1"/>
  <c r="C56" i="15"/>
  <c r="F55" i="15"/>
  <c r="C61" i="15"/>
  <c r="C62" i="15"/>
  <c r="H58" i="15"/>
  <c r="I65" i="15"/>
  <c r="C65" i="15" s="1"/>
  <c r="O67" i="15"/>
  <c r="C71" i="15"/>
  <c r="C77" i="15"/>
  <c r="C87" i="15"/>
  <c r="G130" i="15"/>
  <c r="G75" i="15" s="1"/>
  <c r="H292" i="15"/>
  <c r="H291" i="15" s="1"/>
  <c r="H20" i="15"/>
  <c r="C45" i="15"/>
  <c r="O54" i="15"/>
  <c r="O53" i="15" s="1"/>
  <c r="L33" i="15"/>
  <c r="C33" i="15" s="1"/>
  <c r="F43" i="15"/>
  <c r="C43" i="15" s="1"/>
  <c r="I20" i="15"/>
  <c r="F21" i="15"/>
  <c r="L36" i="15"/>
  <c r="C36" i="15" s="1"/>
  <c r="N53" i="15"/>
  <c r="G54" i="15"/>
  <c r="G53" i="15" s="1"/>
  <c r="M54" i="15"/>
  <c r="M53" i="15" s="1"/>
  <c r="M52" i="15" s="1"/>
  <c r="L58" i="15"/>
  <c r="C63" i="15"/>
  <c r="I69" i="15"/>
  <c r="I67" i="15" s="1"/>
  <c r="C79" i="15"/>
  <c r="L84" i="15"/>
  <c r="O89" i="15"/>
  <c r="F95" i="15"/>
  <c r="I95" i="15"/>
  <c r="I83" i="15" s="1"/>
  <c r="C96" i="15"/>
  <c r="C99" i="15"/>
  <c r="I191" i="15"/>
  <c r="I187" i="15" s="1"/>
  <c r="C192" i="15"/>
  <c r="C85" i="15"/>
  <c r="F84" i="15"/>
  <c r="O21" i="15"/>
  <c r="L27" i="15"/>
  <c r="L55" i="15"/>
  <c r="L54" i="15" s="1"/>
  <c r="L53" i="15" s="1"/>
  <c r="I57" i="15"/>
  <c r="H55" i="15"/>
  <c r="F67" i="15"/>
  <c r="C81" i="15"/>
  <c r="F80" i="15"/>
  <c r="C80" i="15" s="1"/>
  <c r="C93" i="15"/>
  <c r="F89" i="15"/>
  <c r="C188" i="15"/>
  <c r="L187" i="15"/>
  <c r="C232" i="15"/>
  <c r="F231" i="15"/>
  <c r="C268" i="15"/>
  <c r="I264" i="15"/>
  <c r="I259" i="15" s="1"/>
  <c r="C301" i="15"/>
  <c r="C105" i="15"/>
  <c r="C106" i="15"/>
  <c r="F103" i="15"/>
  <c r="C117" i="15"/>
  <c r="C118" i="15"/>
  <c r="C119" i="15"/>
  <c r="F116" i="15"/>
  <c r="H130" i="15"/>
  <c r="C133" i="15"/>
  <c r="J130" i="15"/>
  <c r="J75" i="15" s="1"/>
  <c r="C142" i="15"/>
  <c r="L144" i="15"/>
  <c r="L130" i="15" s="1"/>
  <c r="C149" i="15"/>
  <c r="O151" i="15"/>
  <c r="C167" i="15"/>
  <c r="F166" i="15"/>
  <c r="G173" i="15"/>
  <c r="C178" i="15"/>
  <c r="O187" i="15"/>
  <c r="D194" i="15"/>
  <c r="C261" i="15"/>
  <c r="F260" i="15"/>
  <c r="I103" i="15"/>
  <c r="C121" i="15"/>
  <c r="D130" i="15"/>
  <c r="C139" i="15"/>
  <c r="F136" i="15"/>
  <c r="C136" i="15" s="1"/>
  <c r="H174" i="15"/>
  <c r="H173" i="15" s="1"/>
  <c r="C197" i="15"/>
  <c r="F196" i="15"/>
  <c r="C253" i="15"/>
  <c r="F252" i="15"/>
  <c r="C109" i="15"/>
  <c r="C110" i="15"/>
  <c r="C114" i="15"/>
  <c r="L116" i="15"/>
  <c r="C123" i="15"/>
  <c r="F122" i="15"/>
  <c r="C122" i="15" s="1"/>
  <c r="K130" i="15"/>
  <c r="K75" i="15" s="1"/>
  <c r="C146" i="15"/>
  <c r="C147" i="15"/>
  <c r="F144" i="15"/>
  <c r="C153" i="15"/>
  <c r="C158" i="15"/>
  <c r="C169" i="15"/>
  <c r="C182" i="15"/>
  <c r="I131" i="15"/>
  <c r="C137" i="15"/>
  <c r="C145" i="15"/>
  <c r="I151" i="15"/>
  <c r="C161" i="15"/>
  <c r="I175" i="15"/>
  <c r="I179" i="15"/>
  <c r="C185" i="15"/>
  <c r="C189" i="15"/>
  <c r="C193" i="15"/>
  <c r="O205" i="15"/>
  <c r="O204" i="15" s="1"/>
  <c r="O195" i="15" s="1"/>
  <c r="C217" i="15"/>
  <c r="F216" i="15"/>
  <c r="C216" i="15" s="1"/>
  <c r="C233" i="15"/>
  <c r="I235" i="15"/>
  <c r="C235" i="15" s="1"/>
  <c r="C236" i="15"/>
  <c r="C255" i="15"/>
  <c r="C263" i="15"/>
  <c r="E270" i="15"/>
  <c r="E269" i="15" s="1"/>
  <c r="C273" i="15"/>
  <c r="F272" i="15"/>
  <c r="C288" i="15"/>
  <c r="I286" i="15"/>
  <c r="C286" i="15" s="1"/>
  <c r="C300" i="15"/>
  <c r="F131" i="15"/>
  <c r="F151" i="15"/>
  <c r="F175" i="15"/>
  <c r="F179" i="15"/>
  <c r="E195" i="15"/>
  <c r="M195" i="15"/>
  <c r="L196" i="15"/>
  <c r="L195" i="15" s="1"/>
  <c r="C207" i="15"/>
  <c r="C209" i="15"/>
  <c r="F205" i="15"/>
  <c r="C219" i="15"/>
  <c r="C220" i="15"/>
  <c r="O231" i="15"/>
  <c r="L231" i="15"/>
  <c r="K231" i="15"/>
  <c r="K230" i="15" s="1"/>
  <c r="K194" i="15" s="1"/>
  <c r="C248" i="15"/>
  <c r="I246" i="15"/>
  <c r="C246" i="15" s="1"/>
  <c r="M230" i="15"/>
  <c r="L252" i="15"/>
  <c r="L251" i="15" s="1"/>
  <c r="M259" i="15"/>
  <c r="L260" i="15"/>
  <c r="L259" i="15" s="1"/>
  <c r="C265" i="15"/>
  <c r="F264" i="15"/>
  <c r="C264" i="15" s="1"/>
  <c r="L270" i="15"/>
  <c r="L269" i="15" s="1"/>
  <c r="C275" i="15"/>
  <c r="C281" i="15"/>
  <c r="C285" i="15"/>
  <c r="F284" i="15"/>
  <c r="O293" i="15"/>
  <c r="C200" i="15"/>
  <c r="I198" i="15"/>
  <c r="C208" i="15"/>
  <c r="I205" i="15"/>
  <c r="C224" i="15"/>
  <c r="I227" i="15"/>
  <c r="C227" i="15" s="1"/>
  <c r="C228" i="15"/>
  <c r="C240" i="15"/>
  <c r="I238" i="15"/>
  <c r="C238" i="15" s="1"/>
  <c r="C277" i="15"/>
  <c r="F276" i="15"/>
  <c r="C276" i="15" s="1"/>
  <c r="C297" i="15"/>
  <c r="F293" i="15"/>
  <c r="C199" i="15"/>
  <c r="C239" i="15"/>
  <c r="C247" i="15"/>
  <c r="C271" i="15"/>
  <c r="C287" i="15"/>
  <c r="H194" i="15" l="1"/>
  <c r="E230" i="15"/>
  <c r="E289" i="15" s="1"/>
  <c r="C69" i="15"/>
  <c r="N289" i="15"/>
  <c r="H75" i="15"/>
  <c r="I204" i="15"/>
  <c r="C67" i="15"/>
  <c r="L230" i="15"/>
  <c r="J289" i="15"/>
  <c r="F76" i="15"/>
  <c r="C76" i="15" s="1"/>
  <c r="C187" i="15"/>
  <c r="C95" i="15"/>
  <c r="G289" i="15"/>
  <c r="I58" i="15"/>
  <c r="C58" i="15" s="1"/>
  <c r="N194" i="15"/>
  <c r="C293" i="15"/>
  <c r="O230" i="15"/>
  <c r="O194" i="15" s="1"/>
  <c r="C272" i="15"/>
  <c r="C191" i="15"/>
  <c r="D75" i="15"/>
  <c r="D52" i="15" s="1"/>
  <c r="D51" i="15" s="1"/>
  <c r="O130" i="15"/>
  <c r="C116" i="15"/>
  <c r="C103" i="15"/>
  <c r="O83" i="15"/>
  <c r="N52" i="15"/>
  <c r="N51" i="15" s="1"/>
  <c r="N50" i="15" s="1"/>
  <c r="K52" i="15"/>
  <c r="K51" i="15" s="1"/>
  <c r="M289" i="15"/>
  <c r="C179" i="15"/>
  <c r="E52" i="15"/>
  <c r="D289" i="15"/>
  <c r="C175" i="15"/>
  <c r="F174" i="15"/>
  <c r="M194" i="15"/>
  <c r="K289" i="15"/>
  <c r="C166" i="15"/>
  <c r="F165" i="15"/>
  <c r="C165" i="15" s="1"/>
  <c r="H54" i="15"/>
  <c r="H53" i="15" s="1"/>
  <c r="H52" i="15" s="1"/>
  <c r="H51" i="15" s="1"/>
  <c r="L83" i="15"/>
  <c r="L75" i="15" s="1"/>
  <c r="L289" i="15" s="1"/>
  <c r="L194" i="15"/>
  <c r="I231" i="15"/>
  <c r="I230" i="15" s="1"/>
  <c r="C27" i="15"/>
  <c r="L26" i="15"/>
  <c r="C205" i="15"/>
  <c r="F204" i="15"/>
  <c r="C204" i="15" s="1"/>
  <c r="C151" i="15"/>
  <c r="C198" i="15"/>
  <c r="I196" i="15"/>
  <c r="I195" i="15" s="1"/>
  <c r="I194" i="15" s="1"/>
  <c r="C284" i="15"/>
  <c r="F283" i="15"/>
  <c r="C283" i="15" s="1"/>
  <c r="E194" i="15"/>
  <c r="C131" i="15"/>
  <c r="F130" i="15"/>
  <c r="I174" i="15"/>
  <c r="I173" i="15" s="1"/>
  <c r="C144" i="15"/>
  <c r="F270" i="15"/>
  <c r="I55" i="15"/>
  <c r="I54" i="15" s="1"/>
  <c r="I53" i="15" s="1"/>
  <c r="C57" i="15"/>
  <c r="O292" i="15"/>
  <c r="O291" i="15" s="1"/>
  <c r="O20" i="15"/>
  <c r="M51" i="15"/>
  <c r="F54" i="15"/>
  <c r="J52" i="15"/>
  <c r="J51" i="15" s="1"/>
  <c r="I130" i="15"/>
  <c r="I75" i="15" s="1"/>
  <c r="C252" i="15"/>
  <c r="F251" i="15"/>
  <c r="C251" i="15" s="1"/>
  <c r="C260" i="15"/>
  <c r="F259" i="15"/>
  <c r="C259" i="15" s="1"/>
  <c r="C89" i="15"/>
  <c r="L52" i="15"/>
  <c r="L51" i="15" s="1"/>
  <c r="L50" i="15" s="1"/>
  <c r="C84" i="15"/>
  <c r="F83" i="15"/>
  <c r="C83" i="15" s="1"/>
  <c r="G52" i="15"/>
  <c r="G51" i="15" s="1"/>
  <c r="F292" i="15"/>
  <c r="C21" i="15"/>
  <c r="F20" i="15"/>
  <c r="I292" i="15"/>
  <c r="I291" i="15" s="1"/>
  <c r="E51" i="15" l="1"/>
  <c r="F75" i="15"/>
  <c r="F195" i="15"/>
  <c r="O75" i="15"/>
  <c r="O52" i="15" s="1"/>
  <c r="O51" i="15" s="1"/>
  <c r="N290" i="15"/>
  <c r="C55" i="15"/>
  <c r="I289" i="15"/>
  <c r="J50" i="15"/>
  <c r="J290" i="15"/>
  <c r="L290" i="15"/>
  <c r="C26" i="15"/>
  <c r="L20" i="15"/>
  <c r="C20" i="15" s="1"/>
  <c r="E290" i="15"/>
  <c r="E50" i="15"/>
  <c r="H290" i="15"/>
  <c r="H50" i="15"/>
  <c r="D290" i="15"/>
  <c r="D50" i="15"/>
  <c r="C292" i="15"/>
  <c r="F291" i="15"/>
  <c r="C291" i="15" s="1"/>
  <c r="F53" i="15"/>
  <c r="C54" i="15"/>
  <c r="C130" i="15"/>
  <c r="C231" i="15"/>
  <c r="G290" i="15"/>
  <c r="G50" i="15"/>
  <c r="F230" i="15"/>
  <c r="C230" i="15" s="1"/>
  <c r="C195" i="15"/>
  <c r="H289" i="15"/>
  <c r="F269" i="15"/>
  <c r="C270" i="15"/>
  <c r="M50" i="15"/>
  <c r="M290" i="15"/>
  <c r="I52" i="15"/>
  <c r="I51" i="15" s="1"/>
  <c r="K50" i="15"/>
  <c r="K290" i="15"/>
  <c r="C196" i="15"/>
  <c r="C174" i="15"/>
  <c r="F173" i="15"/>
  <c r="C173" i="15" s="1"/>
  <c r="C75" i="15" l="1"/>
  <c r="O50" i="15"/>
  <c r="O290" i="15"/>
  <c r="O289" i="15"/>
  <c r="C269" i="15"/>
  <c r="F289" i="15"/>
  <c r="C53" i="15"/>
  <c r="F52" i="15"/>
  <c r="I290" i="15"/>
  <c r="I50" i="15"/>
  <c r="F194" i="15"/>
  <c r="C194" i="15" s="1"/>
  <c r="C289" i="15" l="1"/>
  <c r="C52" i="15"/>
  <c r="F51" i="15"/>
  <c r="F290" i="15" l="1"/>
  <c r="C290" i="15" s="1"/>
  <c r="F50" i="15"/>
  <c r="C50" i="15" s="1"/>
  <c r="C51" i="15"/>
  <c r="O301" i="14" l="1"/>
  <c r="L301" i="14"/>
  <c r="I301" i="14"/>
  <c r="F301" i="14"/>
  <c r="O300" i="14"/>
  <c r="L300" i="14"/>
  <c r="I300" i="14"/>
  <c r="F300" i="14"/>
  <c r="O299" i="14"/>
  <c r="L299" i="14"/>
  <c r="I299" i="14"/>
  <c r="F299" i="14"/>
  <c r="O298" i="14"/>
  <c r="L298" i="14"/>
  <c r="I298" i="14"/>
  <c r="F298" i="14"/>
  <c r="O297" i="14"/>
  <c r="L297" i="14"/>
  <c r="I297" i="14"/>
  <c r="F297" i="14"/>
  <c r="O296" i="14"/>
  <c r="L296" i="14"/>
  <c r="I296" i="14"/>
  <c r="F296" i="14"/>
  <c r="O295" i="14"/>
  <c r="L295" i="14"/>
  <c r="I295" i="14"/>
  <c r="F295" i="14"/>
  <c r="O294" i="14"/>
  <c r="L294" i="14"/>
  <c r="I294" i="14"/>
  <c r="F294" i="14"/>
  <c r="N293" i="14"/>
  <c r="M293" i="14"/>
  <c r="K293" i="14"/>
  <c r="J293" i="14"/>
  <c r="H293" i="14"/>
  <c r="G293" i="14"/>
  <c r="E293" i="14"/>
  <c r="D293" i="14"/>
  <c r="O288" i="14"/>
  <c r="L288" i="14"/>
  <c r="I288" i="14"/>
  <c r="F288" i="14"/>
  <c r="O287" i="14"/>
  <c r="L287" i="14"/>
  <c r="L286" i="14" s="1"/>
  <c r="I287" i="14"/>
  <c r="I286" i="14" s="1"/>
  <c r="F287" i="14"/>
  <c r="N286" i="14"/>
  <c r="M286" i="14"/>
  <c r="K286" i="14"/>
  <c r="J286" i="14"/>
  <c r="H286" i="14"/>
  <c r="G286" i="14"/>
  <c r="F286" i="14"/>
  <c r="E286" i="14"/>
  <c r="D286" i="14"/>
  <c r="O285" i="14"/>
  <c r="O284" i="14" s="1"/>
  <c r="O283" i="14" s="1"/>
  <c r="L285" i="14"/>
  <c r="L284" i="14" s="1"/>
  <c r="I285" i="14"/>
  <c r="F285" i="14"/>
  <c r="F284" i="14" s="1"/>
  <c r="F283" i="14" s="1"/>
  <c r="N284" i="14"/>
  <c r="N283" i="14" s="1"/>
  <c r="M284" i="14"/>
  <c r="M283" i="14" s="1"/>
  <c r="K284" i="14"/>
  <c r="K283" i="14" s="1"/>
  <c r="J284" i="14"/>
  <c r="J283" i="14" s="1"/>
  <c r="I284" i="14"/>
  <c r="I283" i="14" s="1"/>
  <c r="H284" i="14"/>
  <c r="H283" i="14" s="1"/>
  <c r="G284" i="14"/>
  <c r="G283" i="14" s="1"/>
  <c r="E284" i="14"/>
  <c r="E283" i="14" s="1"/>
  <c r="D284" i="14"/>
  <c r="D283" i="14" s="1"/>
  <c r="O282" i="14"/>
  <c r="L282" i="14"/>
  <c r="L281" i="14" s="1"/>
  <c r="I282" i="14"/>
  <c r="I281" i="14" s="1"/>
  <c r="F282" i="14"/>
  <c r="O281" i="14"/>
  <c r="N281" i="14"/>
  <c r="M281" i="14"/>
  <c r="K281" i="14"/>
  <c r="J281" i="14"/>
  <c r="H281" i="14"/>
  <c r="G281" i="14"/>
  <c r="F281" i="14"/>
  <c r="E281" i="14"/>
  <c r="D281" i="14"/>
  <c r="O280" i="14"/>
  <c r="L280" i="14"/>
  <c r="I280" i="14"/>
  <c r="F280" i="14"/>
  <c r="O279" i="14"/>
  <c r="L279" i="14"/>
  <c r="I279" i="14"/>
  <c r="F279" i="14"/>
  <c r="C279" i="14" s="1"/>
  <c r="O278" i="14"/>
  <c r="L278" i="14"/>
  <c r="I278" i="14"/>
  <c r="F278" i="14"/>
  <c r="C278" i="14" s="1"/>
  <c r="O277" i="14"/>
  <c r="O276" i="14" s="1"/>
  <c r="L277" i="14"/>
  <c r="L276" i="14" s="1"/>
  <c r="I277" i="14"/>
  <c r="F277" i="14"/>
  <c r="C277" i="14" s="1"/>
  <c r="N276" i="14"/>
  <c r="M276" i="14"/>
  <c r="K276" i="14"/>
  <c r="J276" i="14"/>
  <c r="H276" i="14"/>
  <c r="G276" i="14"/>
  <c r="E276" i="14"/>
  <c r="E270" i="14" s="1"/>
  <c r="E269" i="14" s="1"/>
  <c r="D276" i="14"/>
  <c r="O275" i="14"/>
  <c r="L275" i="14"/>
  <c r="I275" i="14"/>
  <c r="F275" i="14"/>
  <c r="O274" i="14"/>
  <c r="L274" i="14"/>
  <c r="I274" i="14"/>
  <c r="F274" i="14"/>
  <c r="O273" i="14"/>
  <c r="L273" i="14"/>
  <c r="I273" i="14"/>
  <c r="F273" i="14"/>
  <c r="O272" i="14"/>
  <c r="N272" i="14"/>
  <c r="N270" i="14" s="1"/>
  <c r="M272" i="14"/>
  <c r="K272" i="14"/>
  <c r="J272" i="14"/>
  <c r="H272" i="14"/>
  <c r="H270" i="14" s="1"/>
  <c r="G272" i="14"/>
  <c r="F272" i="14"/>
  <c r="E272" i="14"/>
  <c r="D272" i="14"/>
  <c r="D270" i="14" s="1"/>
  <c r="O271" i="14"/>
  <c r="L271" i="14"/>
  <c r="I271" i="14"/>
  <c r="F271" i="14"/>
  <c r="M270" i="14"/>
  <c r="O268" i="14"/>
  <c r="L268" i="14"/>
  <c r="I268" i="14"/>
  <c r="F268" i="14"/>
  <c r="O267" i="14"/>
  <c r="L267" i="14"/>
  <c r="I267" i="14"/>
  <c r="F267" i="14"/>
  <c r="O266" i="14"/>
  <c r="L266" i="14"/>
  <c r="I266" i="14"/>
  <c r="F266" i="14"/>
  <c r="O265" i="14"/>
  <c r="O264" i="14" s="1"/>
  <c r="L265" i="14"/>
  <c r="L264" i="14" s="1"/>
  <c r="I265" i="14"/>
  <c r="F265" i="14"/>
  <c r="N264" i="14"/>
  <c r="M264" i="14"/>
  <c r="K264" i="14"/>
  <c r="J264" i="14"/>
  <c r="H264" i="14"/>
  <c r="G264" i="14"/>
  <c r="E264" i="14"/>
  <c r="D264" i="14"/>
  <c r="O263" i="14"/>
  <c r="L263" i="14"/>
  <c r="I263" i="14"/>
  <c r="F263" i="14"/>
  <c r="O262" i="14"/>
  <c r="L262" i="14"/>
  <c r="I262" i="14"/>
  <c r="F262" i="14"/>
  <c r="O261" i="14"/>
  <c r="O260" i="14" s="1"/>
  <c r="L261" i="14"/>
  <c r="L260" i="14" s="1"/>
  <c r="I261" i="14"/>
  <c r="I260" i="14" s="1"/>
  <c r="F261" i="14"/>
  <c r="N260" i="14"/>
  <c r="N259" i="14" s="1"/>
  <c r="M260" i="14"/>
  <c r="K260" i="14"/>
  <c r="K259" i="14" s="1"/>
  <c r="J260" i="14"/>
  <c r="J259" i="14" s="1"/>
  <c r="H260" i="14"/>
  <c r="G260" i="14"/>
  <c r="G259" i="14" s="1"/>
  <c r="E260" i="14"/>
  <c r="E259" i="14" s="1"/>
  <c r="D260" i="14"/>
  <c r="D259" i="14" s="1"/>
  <c r="H259" i="14"/>
  <c r="O258" i="14"/>
  <c r="L258" i="14"/>
  <c r="I258" i="14"/>
  <c r="F258" i="14"/>
  <c r="O257" i="14"/>
  <c r="L257" i="14"/>
  <c r="I257" i="14"/>
  <c r="F257" i="14"/>
  <c r="O256" i="14"/>
  <c r="L256" i="14"/>
  <c r="I256" i="14"/>
  <c r="F256" i="14"/>
  <c r="O255" i="14"/>
  <c r="L255" i="14"/>
  <c r="I255" i="14"/>
  <c r="F255" i="14"/>
  <c r="O254" i="14"/>
  <c r="L254" i="14"/>
  <c r="I254" i="14"/>
  <c r="F254" i="14"/>
  <c r="O253" i="14"/>
  <c r="O252" i="14" s="1"/>
  <c r="L253" i="14"/>
  <c r="L252" i="14" s="1"/>
  <c r="L251" i="14" s="1"/>
  <c r="I253" i="14"/>
  <c r="I252" i="14" s="1"/>
  <c r="F253" i="14"/>
  <c r="N252" i="14"/>
  <c r="N251" i="14" s="1"/>
  <c r="M252" i="14"/>
  <c r="M251" i="14" s="1"/>
  <c r="K252" i="14"/>
  <c r="K251" i="14" s="1"/>
  <c r="J252" i="14"/>
  <c r="J251" i="14" s="1"/>
  <c r="H252" i="14"/>
  <c r="G252" i="14"/>
  <c r="G251" i="14" s="1"/>
  <c r="E252" i="14"/>
  <c r="D252" i="14"/>
  <c r="D251" i="14" s="1"/>
  <c r="H251" i="14"/>
  <c r="E251" i="14"/>
  <c r="O250" i="14"/>
  <c r="L250" i="14"/>
  <c r="I250" i="14"/>
  <c r="F250" i="14"/>
  <c r="O249" i="14"/>
  <c r="L249" i="14"/>
  <c r="I249" i="14"/>
  <c r="C249" i="14" s="1"/>
  <c r="F249" i="14"/>
  <c r="O248" i="14"/>
  <c r="L248" i="14"/>
  <c r="I248" i="14"/>
  <c r="F248" i="14"/>
  <c r="O247" i="14"/>
  <c r="L247" i="14"/>
  <c r="I247" i="14"/>
  <c r="F247"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L239" i="14"/>
  <c r="I239" i="14"/>
  <c r="F239" i="14"/>
  <c r="N238" i="14"/>
  <c r="M238" i="14"/>
  <c r="K238" i="14"/>
  <c r="J238" i="14"/>
  <c r="H238" i="14"/>
  <c r="G238" i="14"/>
  <c r="E238" i="14"/>
  <c r="D238" i="14"/>
  <c r="O237" i="14"/>
  <c r="L237" i="14"/>
  <c r="I237" i="14"/>
  <c r="F237" i="14"/>
  <c r="O236" i="14"/>
  <c r="L236" i="14"/>
  <c r="I236" i="14"/>
  <c r="I235" i="14" s="1"/>
  <c r="F236" i="14"/>
  <c r="N235" i="14"/>
  <c r="M235" i="14"/>
  <c r="K235" i="14"/>
  <c r="J235" i="14"/>
  <c r="H235" i="14"/>
  <c r="G235" i="14"/>
  <c r="E235" i="14"/>
  <c r="D235" i="14"/>
  <c r="O234" i="14"/>
  <c r="L234" i="14"/>
  <c r="L233" i="14" s="1"/>
  <c r="I234" i="14"/>
  <c r="I233" i="14" s="1"/>
  <c r="F234" i="14"/>
  <c r="O233" i="14"/>
  <c r="N233" i="14"/>
  <c r="M233" i="14"/>
  <c r="M231" i="14" s="1"/>
  <c r="K233" i="14"/>
  <c r="K231" i="14" s="1"/>
  <c r="J233" i="14"/>
  <c r="H233" i="14"/>
  <c r="G233" i="14"/>
  <c r="G231" i="14" s="1"/>
  <c r="G230" i="14" s="1"/>
  <c r="F233" i="14"/>
  <c r="E233" i="14"/>
  <c r="D233" i="14"/>
  <c r="O232" i="14"/>
  <c r="L232" i="14"/>
  <c r="I232" i="14"/>
  <c r="F232" i="14"/>
  <c r="O229" i="14"/>
  <c r="L229" i="14"/>
  <c r="I229" i="14"/>
  <c r="F229" i="14"/>
  <c r="O228" i="14"/>
  <c r="O227" i="14" s="1"/>
  <c r="L228" i="14"/>
  <c r="L227" i="14" s="1"/>
  <c r="I228" i="14"/>
  <c r="F228" i="14"/>
  <c r="F227" i="14" s="1"/>
  <c r="N227" i="14"/>
  <c r="M227" i="14"/>
  <c r="K227" i="14"/>
  <c r="J227" i="14"/>
  <c r="I227" i="14"/>
  <c r="H227" i="14"/>
  <c r="G227" i="14"/>
  <c r="E227" i="14"/>
  <c r="D227" i="14"/>
  <c r="O226" i="14"/>
  <c r="L226" i="14"/>
  <c r="I226" i="14"/>
  <c r="F226" i="14"/>
  <c r="O225" i="14"/>
  <c r="L225" i="14"/>
  <c r="I225" i="14"/>
  <c r="F225" i="14"/>
  <c r="C225" i="14" s="1"/>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L216" i="14" s="1"/>
  <c r="I217" i="14"/>
  <c r="F217" i="14"/>
  <c r="C217" i="14" s="1"/>
  <c r="N216" i="14"/>
  <c r="M216" i="14"/>
  <c r="K216" i="14"/>
  <c r="J216" i="14"/>
  <c r="H216" i="14"/>
  <c r="G216" i="14"/>
  <c r="E216" i="14"/>
  <c r="D216" i="14"/>
  <c r="O215" i="14"/>
  <c r="L215" i="14"/>
  <c r="I215" i="14"/>
  <c r="F215" i="14"/>
  <c r="O214" i="14"/>
  <c r="L214" i="14"/>
  <c r="I214" i="14"/>
  <c r="F214" i="14"/>
  <c r="O213" i="14"/>
  <c r="L213" i="14"/>
  <c r="I213" i="14"/>
  <c r="F213" i="14"/>
  <c r="C213" i="14" s="1"/>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I206" i="14"/>
  <c r="F206" i="14"/>
  <c r="N205" i="14"/>
  <c r="M205" i="14"/>
  <c r="M204" i="14" s="1"/>
  <c r="K205" i="14"/>
  <c r="K204" i="14" s="1"/>
  <c r="J205" i="14"/>
  <c r="H205" i="14"/>
  <c r="G205" i="14"/>
  <c r="G204" i="14" s="1"/>
  <c r="E205" i="14"/>
  <c r="D205" i="14"/>
  <c r="H204" i="14"/>
  <c r="O203" i="14"/>
  <c r="L203" i="14"/>
  <c r="I203" i="14"/>
  <c r="F203" i="14"/>
  <c r="O202" i="14"/>
  <c r="L202" i="14"/>
  <c r="I202" i="14"/>
  <c r="F202" i="14"/>
  <c r="O201" i="14"/>
  <c r="L201" i="14"/>
  <c r="I201" i="14"/>
  <c r="F201" i="14"/>
  <c r="C201" i="14"/>
  <c r="O200" i="14"/>
  <c r="L200" i="14"/>
  <c r="I200" i="14"/>
  <c r="F200" i="14"/>
  <c r="C200" i="14" s="1"/>
  <c r="O199" i="14"/>
  <c r="O198" i="14" s="1"/>
  <c r="L199" i="14"/>
  <c r="I199" i="14"/>
  <c r="I198" i="14" s="1"/>
  <c r="F199" i="14"/>
  <c r="F198" i="14" s="1"/>
  <c r="N198" i="14"/>
  <c r="M198" i="14"/>
  <c r="M196" i="14" s="1"/>
  <c r="K198" i="14"/>
  <c r="J198" i="14"/>
  <c r="J196" i="14" s="1"/>
  <c r="H198" i="14"/>
  <c r="G198" i="14"/>
  <c r="G196" i="14" s="1"/>
  <c r="E198" i="14"/>
  <c r="E196" i="14" s="1"/>
  <c r="D198" i="14"/>
  <c r="D196" i="14" s="1"/>
  <c r="O197" i="14"/>
  <c r="L197" i="14"/>
  <c r="I197" i="14"/>
  <c r="F197" i="14"/>
  <c r="F196" i="14" s="1"/>
  <c r="N196" i="14"/>
  <c r="K196" i="14"/>
  <c r="K195" i="14" s="1"/>
  <c r="H196" i="14"/>
  <c r="O193" i="14"/>
  <c r="O192" i="14" s="1"/>
  <c r="L193" i="14"/>
  <c r="L192" i="14" s="1"/>
  <c r="L191" i="14" s="1"/>
  <c r="I193" i="14"/>
  <c r="I192" i="14" s="1"/>
  <c r="F193" i="14"/>
  <c r="N192" i="14"/>
  <c r="N191" i="14" s="1"/>
  <c r="M192" i="14"/>
  <c r="M191" i="14" s="1"/>
  <c r="K192" i="14"/>
  <c r="J192" i="14"/>
  <c r="J191" i="14" s="1"/>
  <c r="H192" i="14"/>
  <c r="H191" i="14" s="1"/>
  <c r="G192" i="14"/>
  <c r="G191" i="14" s="1"/>
  <c r="E192" i="14"/>
  <c r="E191" i="14" s="1"/>
  <c r="D192" i="14"/>
  <c r="D191" i="14" s="1"/>
  <c r="O191" i="14"/>
  <c r="K191" i="14"/>
  <c r="I191" i="14"/>
  <c r="O190" i="14"/>
  <c r="L190" i="14"/>
  <c r="I190" i="14"/>
  <c r="F190" i="14"/>
  <c r="O189" i="14"/>
  <c r="O188" i="14" s="1"/>
  <c r="L189" i="14"/>
  <c r="I189" i="14"/>
  <c r="I188" i="14" s="1"/>
  <c r="I187" i="14" s="1"/>
  <c r="F189" i="14"/>
  <c r="N188" i="14"/>
  <c r="M188" i="14"/>
  <c r="K188" i="14"/>
  <c r="J188" i="14"/>
  <c r="H188" i="14"/>
  <c r="H187" i="14" s="1"/>
  <c r="G188" i="14"/>
  <c r="E188" i="14"/>
  <c r="D188" i="14"/>
  <c r="O187" i="14"/>
  <c r="O186" i="14"/>
  <c r="L186" i="14"/>
  <c r="I186" i="14"/>
  <c r="F186" i="14"/>
  <c r="O185" i="14"/>
  <c r="O184" i="14" s="1"/>
  <c r="L185" i="14"/>
  <c r="I185" i="14"/>
  <c r="I184" i="14" s="1"/>
  <c r="F185" i="14"/>
  <c r="N184" i="14"/>
  <c r="M184" i="14"/>
  <c r="K184" i="14"/>
  <c r="J184" i="14"/>
  <c r="H184" i="14"/>
  <c r="G184" i="14"/>
  <c r="E184" i="14"/>
  <c r="D184" i="14"/>
  <c r="O183" i="14"/>
  <c r="L183" i="14"/>
  <c r="I183" i="14"/>
  <c r="F183" i="14"/>
  <c r="O182" i="14"/>
  <c r="L182" i="14"/>
  <c r="I182" i="14"/>
  <c r="F182" i="14"/>
  <c r="O181" i="14"/>
  <c r="L181" i="14"/>
  <c r="I181" i="14"/>
  <c r="F181" i="14"/>
  <c r="O180" i="14"/>
  <c r="L180" i="14"/>
  <c r="I180" i="14"/>
  <c r="F180" i="14"/>
  <c r="N179" i="14"/>
  <c r="M179" i="14"/>
  <c r="K179" i="14"/>
  <c r="J179" i="14"/>
  <c r="H179" i="14"/>
  <c r="G179" i="14"/>
  <c r="E179" i="14"/>
  <c r="D179" i="14"/>
  <c r="O178" i="14"/>
  <c r="L178" i="14"/>
  <c r="I178" i="14"/>
  <c r="F178" i="14"/>
  <c r="O177" i="14"/>
  <c r="L177" i="14"/>
  <c r="I177" i="14"/>
  <c r="F177" i="14"/>
  <c r="O176" i="14"/>
  <c r="L176" i="14"/>
  <c r="I176" i="14"/>
  <c r="F176" i="14"/>
  <c r="N175" i="14"/>
  <c r="N174" i="14" s="1"/>
  <c r="M175" i="14"/>
  <c r="M174" i="14" s="1"/>
  <c r="M173" i="14" s="1"/>
  <c r="K175" i="14"/>
  <c r="J175" i="14"/>
  <c r="I175" i="14"/>
  <c r="H175" i="14"/>
  <c r="H174" i="14" s="1"/>
  <c r="H173" i="14" s="1"/>
  <c r="G175" i="14"/>
  <c r="G174" i="14" s="1"/>
  <c r="G173" i="14" s="1"/>
  <c r="E175" i="14"/>
  <c r="D175" i="14"/>
  <c r="J174" i="14"/>
  <c r="D174" i="14"/>
  <c r="D173" i="14" s="1"/>
  <c r="O172" i="14"/>
  <c r="L172" i="14"/>
  <c r="I172" i="14"/>
  <c r="F172" i="14"/>
  <c r="O171" i="14"/>
  <c r="L171" i="14"/>
  <c r="I171" i="14"/>
  <c r="F171" i="14"/>
  <c r="O170" i="14"/>
  <c r="L170" i="14"/>
  <c r="I170" i="14"/>
  <c r="F170" i="14"/>
  <c r="O169" i="14"/>
  <c r="L169" i="14"/>
  <c r="I169" i="14"/>
  <c r="F169" i="14"/>
  <c r="O168" i="14"/>
  <c r="L168" i="14"/>
  <c r="I168" i="14"/>
  <c r="F168" i="14"/>
  <c r="O167" i="14"/>
  <c r="O166" i="14" s="1"/>
  <c r="L167" i="14"/>
  <c r="I167" i="14"/>
  <c r="I166" i="14" s="1"/>
  <c r="I165" i="14" s="1"/>
  <c r="F167" i="14"/>
  <c r="F166" i="14" s="1"/>
  <c r="N166" i="14"/>
  <c r="N165" i="14" s="1"/>
  <c r="M166" i="14"/>
  <c r="K166" i="14"/>
  <c r="K165" i="14" s="1"/>
  <c r="J166" i="14"/>
  <c r="J165" i="14" s="1"/>
  <c r="H166" i="14"/>
  <c r="H165" i="14" s="1"/>
  <c r="G166" i="14"/>
  <c r="G165" i="14" s="1"/>
  <c r="E166" i="14"/>
  <c r="E165" i="14" s="1"/>
  <c r="D166" i="14"/>
  <c r="D165" i="14" s="1"/>
  <c r="M165" i="14"/>
  <c r="O164" i="14"/>
  <c r="L164" i="14"/>
  <c r="I164" i="14"/>
  <c r="F164" i="14"/>
  <c r="O163" i="14"/>
  <c r="L163" i="14"/>
  <c r="I163" i="14"/>
  <c r="F163" i="14"/>
  <c r="O162" i="14"/>
  <c r="L162" i="14"/>
  <c r="I162" i="14"/>
  <c r="F162" i="14"/>
  <c r="O161" i="14"/>
  <c r="O160" i="14" s="1"/>
  <c r="L161" i="14"/>
  <c r="I161" i="14"/>
  <c r="I160" i="14" s="1"/>
  <c r="F161" i="14"/>
  <c r="N160" i="14"/>
  <c r="M160" i="14"/>
  <c r="K160" i="14"/>
  <c r="J160" i="14"/>
  <c r="H160" i="14"/>
  <c r="G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F151" i="14" s="1"/>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I145" i="14"/>
  <c r="F145" i="14"/>
  <c r="N144" i="14"/>
  <c r="M144" i="14"/>
  <c r="K144" i="14"/>
  <c r="J144" i="14"/>
  <c r="H144" i="14"/>
  <c r="G144" i="14"/>
  <c r="E144" i="14"/>
  <c r="D144" i="14"/>
  <c r="O143" i="14"/>
  <c r="L143" i="14"/>
  <c r="I143" i="14"/>
  <c r="F143" i="14"/>
  <c r="O142" i="14"/>
  <c r="O141" i="14" s="1"/>
  <c r="L142" i="14"/>
  <c r="L141" i="14" s="1"/>
  <c r="I142" i="14"/>
  <c r="I141" i="14" s="1"/>
  <c r="F142" i="14"/>
  <c r="N141" i="14"/>
  <c r="M141" i="14"/>
  <c r="K141" i="14"/>
  <c r="J141" i="14"/>
  <c r="H141" i="14"/>
  <c r="G141" i="14"/>
  <c r="E141" i="14"/>
  <c r="D141" i="14"/>
  <c r="O140" i="14"/>
  <c r="L140" i="14"/>
  <c r="I140" i="14"/>
  <c r="F140" i="14"/>
  <c r="O139" i="14"/>
  <c r="L139" i="14"/>
  <c r="I139" i="14"/>
  <c r="F139" i="14"/>
  <c r="O138" i="14"/>
  <c r="L138" i="14"/>
  <c r="I138" i="14"/>
  <c r="F138" i="14"/>
  <c r="C138" i="14" s="1"/>
  <c r="O137" i="14"/>
  <c r="L137" i="14"/>
  <c r="I137" i="14"/>
  <c r="I136" i="14" s="1"/>
  <c r="F137" i="14"/>
  <c r="N136" i="14"/>
  <c r="M136" i="14"/>
  <c r="K136" i="14"/>
  <c r="J136" i="14"/>
  <c r="H136" i="14"/>
  <c r="G136" i="14"/>
  <c r="E136" i="14"/>
  <c r="D136" i="14"/>
  <c r="O135" i="14"/>
  <c r="L135" i="14"/>
  <c r="I135" i="14"/>
  <c r="F135" i="14"/>
  <c r="O134" i="14"/>
  <c r="L134" i="14"/>
  <c r="I134" i="14"/>
  <c r="F134" i="14"/>
  <c r="O133" i="14"/>
  <c r="L133" i="14"/>
  <c r="I133" i="14"/>
  <c r="F133" i="14"/>
  <c r="O132" i="14"/>
  <c r="L132" i="14"/>
  <c r="L131" i="14" s="1"/>
  <c r="I132" i="14"/>
  <c r="F132" i="14"/>
  <c r="N131" i="14"/>
  <c r="M131" i="14"/>
  <c r="K131" i="14"/>
  <c r="J131" i="14"/>
  <c r="H131" i="14"/>
  <c r="G131" i="14"/>
  <c r="G130" i="14" s="1"/>
  <c r="E131" i="14"/>
  <c r="E130" i="14" s="1"/>
  <c r="D131" i="14"/>
  <c r="O129" i="14"/>
  <c r="L129" i="14"/>
  <c r="L128" i="14" s="1"/>
  <c r="I129" i="14"/>
  <c r="I128" i="14" s="1"/>
  <c r="F129" i="14"/>
  <c r="O128" i="14"/>
  <c r="N128" i="14"/>
  <c r="M128" i="14"/>
  <c r="K128" i="14"/>
  <c r="J128" i="14"/>
  <c r="H128" i="14"/>
  <c r="G128" i="14"/>
  <c r="E128" i="14"/>
  <c r="D128" i="14"/>
  <c r="O127" i="14"/>
  <c r="L127" i="14"/>
  <c r="I127" i="14"/>
  <c r="F127" i="14"/>
  <c r="O126" i="14"/>
  <c r="L126" i="14"/>
  <c r="I126" i="14"/>
  <c r="F126" i="14"/>
  <c r="O125" i="14"/>
  <c r="L125" i="14"/>
  <c r="I125" i="14"/>
  <c r="F125" i="14"/>
  <c r="O124" i="14"/>
  <c r="L124" i="14"/>
  <c r="I124" i="14"/>
  <c r="F124" i="14"/>
  <c r="O123" i="14"/>
  <c r="L123" i="14"/>
  <c r="I123" i="14"/>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I117" i="14"/>
  <c r="F117" i="14"/>
  <c r="N116" i="14"/>
  <c r="M116" i="14"/>
  <c r="K116" i="14"/>
  <c r="J116" i="14"/>
  <c r="H116" i="14"/>
  <c r="G116" i="14"/>
  <c r="E116" i="14"/>
  <c r="D116" i="14"/>
  <c r="O115" i="14"/>
  <c r="L115" i="14"/>
  <c r="I115" i="14"/>
  <c r="F115" i="14"/>
  <c r="O114" i="14"/>
  <c r="L114" i="14"/>
  <c r="I114" i="14"/>
  <c r="F114" i="14"/>
  <c r="O113" i="14"/>
  <c r="L113" i="14"/>
  <c r="I113" i="14"/>
  <c r="I112" i="14" s="1"/>
  <c r="F113" i="14"/>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F104" i="14"/>
  <c r="F103" i="14" s="1"/>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L95" i="14" s="1"/>
  <c r="I96" i="14"/>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F90" i="14"/>
  <c r="N89" i="14"/>
  <c r="M89" i="14"/>
  <c r="K89" i="14"/>
  <c r="J89" i="14"/>
  <c r="H89" i="14"/>
  <c r="G89" i="14"/>
  <c r="E89" i="14"/>
  <c r="D89" i="14"/>
  <c r="D83" i="14" s="1"/>
  <c r="O88" i="14"/>
  <c r="L88" i="14"/>
  <c r="I88" i="14"/>
  <c r="F88" i="14"/>
  <c r="O87" i="14"/>
  <c r="L87" i="14"/>
  <c r="I87" i="14"/>
  <c r="F87" i="14"/>
  <c r="O86" i="14"/>
  <c r="L86" i="14"/>
  <c r="I86" i="14"/>
  <c r="F86" i="14"/>
  <c r="O85" i="14"/>
  <c r="L85" i="14"/>
  <c r="I85" i="14"/>
  <c r="F85" i="14"/>
  <c r="O84" i="14"/>
  <c r="N84" i="14"/>
  <c r="M84" i="14"/>
  <c r="K84" i="14"/>
  <c r="J84" i="14"/>
  <c r="H84" i="14"/>
  <c r="G84" i="14"/>
  <c r="E84" i="14"/>
  <c r="D84" i="14"/>
  <c r="O82" i="14"/>
  <c r="L82" i="14"/>
  <c r="I82" i="14"/>
  <c r="F82" i="14"/>
  <c r="O81" i="14"/>
  <c r="L81" i="14"/>
  <c r="I81" i="14"/>
  <c r="I80" i="14" s="1"/>
  <c r="F81" i="14"/>
  <c r="N80" i="14"/>
  <c r="M80" i="14"/>
  <c r="K80" i="14"/>
  <c r="J80" i="14"/>
  <c r="H80" i="14"/>
  <c r="G80" i="14"/>
  <c r="E80" i="14"/>
  <c r="D80" i="14"/>
  <c r="O79" i="14"/>
  <c r="L79" i="14"/>
  <c r="I79" i="14"/>
  <c r="F79" i="14"/>
  <c r="O78" i="14"/>
  <c r="O77" i="14" s="1"/>
  <c r="L78" i="14"/>
  <c r="L77" i="14" s="1"/>
  <c r="I78" i="14"/>
  <c r="I77" i="14" s="1"/>
  <c r="F78" i="14"/>
  <c r="N77" i="14"/>
  <c r="N76" i="14" s="1"/>
  <c r="M77" i="14"/>
  <c r="K77" i="14"/>
  <c r="J77" i="14"/>
  <c r="J76" i="14" s="1"/>
  <c r="H77" i="14"/>
  <c r="H76" i="14" s="1"/>
  <c r="G77" i="14"/>
  <c r="E77" i="14"/>
  <c r="D77" i="14"/>
  <c r="D76" i="14" s="1"/>
  <c r="O74" i="14"/>
  <c r="L74" i="14"/>
  <c r="I74" i="14"/>
  <c r="F74" i="14"/>
  <c r="O73" i="14"/>
  <c r="L73" i="14"/>
  <c r="I73" i="14"/>
  <c r="F73" i="14"/>
  <c r="O72" i="14"/>
  <c r="L72" i="14"/>
  <c r="I72" i="14"/>
  <c r="F72" i="14"/>
  <c r="O71" i="14"/>
  <c r="L71" i="14"/>
  <c r="I71" i="14"/>
  <c r="F71" i="14"/>
  <c r="O70" i="14"/>
  <c r="L70" i="14"/>
  <c r="I70" i="14"/>
  <c r="F70" i="14"/>
  <c r="N69" i="14"/>
  <c r="N67" i="14" s="1"/>
  <c r="M69" i="14"/>
  <c r="M67" i="14" s="1"/>
  <c r="K69" i="14"/>
  <c r="K67" i="14" s="1"/>
  <c r="J69" i="14"/>
  <c r="J67" i="14" s="1"/>
  <c r="H69" i="14"/>
  <c r="H67" i="14" s="1"/>
  <c r="G69" i="14"/>
  <c r="G67" i="14" s="1"/>
  <c r="E69" i="14"/>
  <c r="E67" i="14" s="1"/>
  <c r="D69" i="14"/>
  <c r="D67" i="14" s="1"/>
  <c r="O68" i="14"/>
  <c r="L68" i="14"/>
  <c r="I68" i="14"/>
  <c r="F68"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N58" i="14"/>
  <c r="M58" i="14"/>
  <c r="K58" i="14"/>
  <c r="J58" i="14"/>
  <c r="H58" i="14"/>
  <c r="G58" i="14"/>
  <c r="E58" i="14"/>
  <c r="D58" i="14"/>
  <c r="O57" i="14"/>
  <c r="L57" i="14"/>
  <c r="I57" i="14"/>
  <c r="F57" i="14"/>
  <c r="O56" i="14"/>
  <c r="O55" i="14" s="1"/>
  <c r="L56" i="14"/>
  <c r="I56" i="14"/>
  <c r="F56" i="14"/>
  <c r="N55" i="14"/>
  <c r="N54" i="14" s="1"/>
  <c r="M55" i="14"/>
  <c r="L55" i="14"/>
  <c r="K55" i="14"/>
  <c r="J55" i="14"/>
  <c r="J54" i="14" s="1"/>
  <c r="H55" i="14"/>
  <c r="G55" i="14"/>
  <c r="G54" i="14" s="1"/>
  <c r="G53" i="14" s="1"/>
  <c r="E55" i="14"/>
  <c r="E54" i="14" s="1"/>
  <c r="D55" i="14"/>
  <c r="D54" i="14" s="1"/>
  <c r="D53" i="14" s="1"/>
  <c r="O47" i="14"/>
  <c r="C47" i="14" s="1"/>
  <c r="O46" i="14"/>
  <c r="C46" i="14" s="1"/>
  <c r="O45" i="14"/>
  <c r="C45" i="14" s="1"/>
  <c r="N45" i="14"/>
  <c r="M45" i="14"/>
  <c r="L44" i="14"/>
  <c r="L43" i="14" s="1"/>
  <c r="I44" i="14"/>
  <c r="I43" i="14" s="1"/>
  <c r="C43" i="14" s="1"/>
  <c r="F44" i="14"/>
  <c r="K43" i="14"/>
  <c r="J43" i="14"/>
  <c r="H43" i="14"/>
  <c r="G43" i="14"/>
  <c r="F43" i="14"/>
  <c r="E43" i="14"/>
  <c r="D43" i="14"/>
  <c r="F42" i="14"/>
  <c r="F41" i="14" s="1"/>
  <c r="C41" i="14" s="1"/>
  <c r="E41" i="14"/>
  <c r="D41" i="14"/>
  <c r="L40" i="14"/>
  <c r="C40" i="14" s="1"/>
  <c r="L39" i="14"/>
  <c r="C39" i="14" s="1"/>
  <c r="L38" i="14"/>
  <c r="C38" i="14" s="1"/>
  <c r="L37" i="14"/>
  <c r="C37" i="14" s="1"/>
  <c r="K36" i="14"/>
  <c r="J36" i="14"/>
  <c r="L35" i="14"/>
  <c r="C35" i="14" s="1"/>
  <c r="L34" i="14"/>
  <c r="C34" i="14" s="1"/>
  <c r="K33" i="14"/>
  <c r="J33" i="14"/>
  <c r="L32" i="14"/>
  <c r="K31" i="14"/>
  <c r="J31" i="14"/>
  <c r="L30" i="14"/>
  <c r="C30" i="14" s="1"/>
  <c r="L29" i="14"/>
  <c r="C29" i="14" s="1"/>
  <c r="L28" i="14"/>
  <c r="C28" i="14" s="1"/>
  <c r="K27" i="14"/>
  <c r="K26" i="14" s="1"/>
  <c r="J27" i="14"/>
  <c r="F25" i="14"/>
  <c r="C25" i="14" s="1"/>
  <c r="I24" i="14"/>
  <c r="F24" i="14"/>
  <c r="O23" i="14"/>
  <c r="L23" i="14"/>
  <c r="I23" i="14"/>
  <c r="F23" i="14"/>
  <c r="O22" i="14"/>
  <c r="O21" i="14" s="1"/>
  <c r="L22" i="14"/>
  <c r="I22" i="14"/>
  <c r="I21" i="14" s="1"/>
  <c r="F22" i="14"/>
  <c r="N21" i="14"/>
  <c r="N292" i="14" s="1"/>
  <c r="N291" i="14" s="1"/>
  <c r="M21" i="14"/>
  <c r="K21" i="14"/>
  <c r="K292" i="14" s="1"/>
  <c r="J21" i="14"/>
  <c r="J292" i="14" s="1"/>
  <c r="J291" i="14" s="1"/>
  <c r="H21" i="14"/>
  <c r="H292" i="14" s="1"/>
  <c r="H291" i="14" s="1"/>
  <c r="G21" i="14"/>
  <c r="E21" i="14"/>
  <c r="D21" i="14"/>
  <c r="D292" i="14" s="1"/>
  <c r="D291" i="14" s="1"/>
  <c r="N20" i="14"/>
  <c r="C142" i="14" l="1"/>
  <c r="C146" i="14"/>
  <c r="C245" i="14"/>
  <c r="C253" i="14"/>
  <c r="C281" i="14"/>
  <c r="C301" i="14"/>
  <c r="C64" i="14"/>
  <c r="C110" i="14"/>
  <c r="C118" i="14"/>
  <c r="C119" i="14"/>
  <c r="C124" i="14"/>
  <c r="C158" i="14"/>
  <c r="K270" i="14"/>
  <c r="K269" i="14" s="1"/>
  <c r="C82" i="14"/>
  <c r="D269" i="14"/>
  <c r="H269" i="14"/>
  <c r="N269" i="14"/>
  <c r="C62" i="14"/>
  <c r="C63" i="14"/>
  <c r="C98" i="14"/>
  <c r="C177" i="14"/>
  <c r="C241" i="14"/>
  <c r="C257" i="14"/>
  <c r="G187" i="14"/>
  <c r="C209" i="14"/>
  <c r="C221" i="14"/>
  <c r="C285" i="14"/>
  <c r="C23" i="14"/>
  <c r="C24" i="14"/>
  <c r="C157" i="14"/>
  <c r="C280" i="14"/>
  <c r="C72" i="14"/>
  <c r="C193" i="14"/>
  <c r="C70" i="14"/>
  <c r="E76" i="14"/>
  <c r="K76" i="14"/>
  <c r="I76" i="14"/>
  <c r="C134" i="14"/>
  <c r="C135" i="14"/>
  <c r="C181" i="14"/>
  <c r="C182" i="14"/>
  <c r="C185" i="14"/>
  <c r="K187" i="14"/>
  <c r="M187" i="14"/>
  <c r="L235" i="14"/>
  <c r="J270" i="14"/>
  <c r="J269" i="14" s="1"/>
  <c r="G76" i="14"/>
  <c r="J83" i="14"/>
  <c r="C97" i="14"/>
  <c r="C114" i="14"/>
  <c r="C229" i="14"/>
  <c r="H231" i="14"/>
  <c r="C265" i="14"/>
  <c r="C42" i="14"/>
  <c r="K54" i="14"/>
  <c r="K53" i="14" s="1"/>
  <c r="C60" i="14"/>
  <c r="C94" i="14"/>
  <c r="C100" i="14"/>
  <c r="C140" i="14"/>
  <c r="L184" i="14"/>
  <c r="O205" i="14"/>
  <c r="C237" i="14"/>
  <c r="M259" i="14"/>
  <c r="M230" i="14" s="1"/>
  <c r="K20" i="14"/>
  <c r="C44" i="14"/>
  <c r="C74" i="14"/>
  <c r="C78" i="14"/>
  <c r="L89" i="14"/>
  <c r="C104" i="14"/>
  <c r="C109" i="14"/>
  <c r="O112" i="14"/>
  <c r="C120" i="14"/>
  <c r="M130" i="14"/>
  <c r="I144" i="14"/>
  <c r="C150" i="14"/>
  <c r="O175" i="14"/>
  <c r="O179" i="14"/>
  <c r="E187" i="14"/>
  <c r="D204" i="14"/>
  <c r="C233" i="14"/>
  <c r="O270" i="14"/>
  <c r="C297" i="14"/>
  <c r="C298" i="14"/>
  <c r="O20" i="14"/>
  <c r="E53" i="14"/>
  <c r="C183" i="14"/>
  <c r="I238" i="14"/>
  <c r="C261" i="14"/>
  <c r="I264" i="14"/>
  <c r="I259" i="14" s="1"/>
  <c r="L21" i="14"/>
  <c r="L292" i="14" s="1"/>
  <c r="J26" i="14"/>
  <c r="H54" i="14"/>
  <c r="M54" i="14"/>
  <c r="M53" i="14" s="1"/>
  <c r="L58" i="14"/>
  <c r="L54" i="14" s="1"/>
  <c r="L69" i="14"/>
  <c r="L67" i="14" s="1"/>
  <c r="M76" i="14"/>
  <c r="L80" i="14"/>
  <c r="L76" i="14" s="1"/>
  <c r="N83" i="14"/>
  <c r="C99" i="14"/>
  <c r="C106" i="14"/>
  <c r="C108" i="14"/>
  <c r="C111" i="14"/>
  <c r="O122" i="14"/>
  <c r="H130" i="14"/>
  <c r="O136" i="14"/>
  <c r="C143" i="14"/>
  <c r="O144" i="14"/>
  <c r="C154" i="14"/>
  <c r="C156" i="14"/>
  <c r="C159" i="14"/>
  <c r="C164" i="14"/>
  <c r="E174" i="14"/>
  <c r="E173" i="14" s="1"/>
  <c r="D187" i="14"/>
  <c r="F192" i="14"/>
  <c r="F191" i="14" s="1"/>
  <c r="C191" i="14" s="1"/>
  <c r="C197" i="14"/>
  <c r="H195" i="14"/>
  <c r="N204" i="14"/>
  <c r="N195" i="14" s="1"/>
  <c r="F235" i="14"/>
  <c r="O238" i="14"/>
  <c r="L238" i="14"/>
  <c r="I246" i="14"/>
  <c r="O251" i="14"/>
  <c r="L259" i="14"/>
  <c r="O269" i="14"/>
  <c r="I276" i="14"/>
  <c r="L293" i="14"/>
  <c r="H20" i="14"/>
  <c r="L166" i="14"/>
  <c r="L165" i="14" s="1"/>
  <c r="L33" i="14"/>
  <c r="C33" i="14" s="1"/>
  <c r="C66" i="14"/>
  <c r="N53" i="14"/>
  <c r="E83" i="14"/>
  <c r="E75" i="14" s="1"/>
  <c r="F89" i="14"/>
  <c r="C93" i="14"/>
  <c r="L103" i="14"/>
  <c r="I116" i="14"/>
  <c r="D130" i="14"/>
  <c r="D75" i="14" s="1"/>
  <c r="D52" i="14" s="1"/>
  <c r="K130" i="14"/>
  <c r="C139" i="14"/>
  <c r="C147" i="14"/>
  <c r="C148" i="14"/>
  <c r="L151" i="14"/>
  <c r="C163" i="14"/>
  <c r="C172" i="14"/>
  <c r="K174" i="14"/>
  <c r="K173" i="14" s="1"/>
  <c r="I179" i="14"/>
  <c r="M195" i="14"/>
  <c r="L198" i="14"/>
  <c r="L196" i="14" s="1"/>
  <c r="J204" i="14"/>
  <c r="J195" i="14" s="1"/>
  <c r="C220" i="14"/>
  <c r="J231" i="14"/>
  <c r="H230" i="14"/>
  <c r="C240" i="14"/>
  <c r="C256" i="14"/>
  <c r="M269" i="14"/>
  <c r="C275" i="14"/>
  <c r="O286" i="14"/>
  <c r="O292" i="14" s="1"/>
  <c r="F21" i="14"/>
  <c r="D20" i="14"/>
  <c r="K291" i="14"/>
  <c r="C22" i="14"/>
  <c r="L27" i="14"/>
  <c r="C27" i="14" s="1"/>
  <c r="C57" i="14"/>
  <c r="C61" i="14"/>
  <c r="J53" i="14"/>
  <c r="F69" i="14"/>
  <c r="F67" i="14" s="1"/>
  <c r="C73" i="14"/>
  <c r="O80" i="14"/>
  <c r="O76" i="14" s="1"/>
  <c r="C86" i="14"/>
  <c r="C90" i="14"/>
  <c r="C92" i="14"/>
  <c r="C102" i="14"/>
  <c r="O103" i="14"/>
  <c r="C115" i="14"/>
  <c r="I122" i="14"/>
  <c r="C133" i="14"/>
  <c r="O151" i="14"/>
  <c r="L160" i="14"/>
  <c r="C169" i="14"/>
  <c r="C171" i="14"/>
  <c r="C178" i="14"/>
  <c r="L188" i="14"/>
  <c r="L187" i="14" s="1"/>
  <c r="I205" i="14"/>
  <c r="C212" i="14"/>
  <c r="I216" i="14"/>
  <c r="C224" i="14"/>
  <c r="K230" i="14"/>
  <c r="K194" i="14" s="1"/>
  <c r="D231" i="14"/>
  <c r="D230" i="14" s="1"/>
  <c r="C244" i="14"/>
  <c r="L246" i="14"/>
  <c r="I251" i="14"/>
  <c r="C268" i="14"/>
  <c r="G270" i="14"/>
  <c r="G269" i="14" s="1"/>
  <c r="I272" i="14"/>
  <c r="C282" i="14"/>
  <c r="C288" i="14"/>
  <c r="C295" i="14"/>
  <c r="O293" i="14"/>
  <c r="L31" i="14"/>
  <c r="C31" i="14" s="1"/>
  <c r="C32" i="14"/>
  <c r="C68" i="14"/>
  <c r="C79" i="14"/>
  <c r="F77" i="14"/>
  <c r="J20" i="14"/>
  <c r="G292" i="14"/>
  <c r="G291" i="14" s="1"/>
  <c r="G20" i="14"/>
  <c r="I58" i="14"/>
  <c r="O58" i="14"/>
  <c r="O54" i="14" s="1"/>
  <c r="H83" i="14"/>
  <c r="I95" i="14"/>
  <c r="C96" i="14"/>
  <c r="O116" i="14"/>
  <c r="I55" i="14"/>
  <c r="C56" i="14"/>
  <c r="L36" i="14"/>
  <c r="C36" i="14" s="1"/>
  <c r="H53" i="14"/>
  <c r="I84" i="14"/>
  <c r="C88" i="14"/>
  <c r="F122" i="14"/>
  <c r="C123" i="14"/>
  <c r="I131" i="14"/>
  <c r="C132" i="14"/>
  <c r="M292" i="14"/>
  <c r="M291" i="14" s="1"/>
  <c r="M20" i="14"/>
  <c r="C65" i="14"/>
  <c r="O69" i="14"/>
  <c r="O67" i="14" s="1"/>
  <c r="G83" i="14"/>
  <c r="G75" i="14" s="1"/>
  <c r="G52" i="14" s="1"/>
  <c r="K83" i="14"/>
  <c r="K75" i="14" s="1"/>
  <c r="C85" i="14"/>
  <c r="F84" i="14"/>
  <c r="O89" i="14"/>
  <c r="C101" i="14"/>
  <c r="C105" i="14"/>
  <c r="L112" i="14"/>
  <c r="L116" i="14"/>
  <c r="C121" i="14"/>
  <c r="C125" i="14"/>
  <c r="C126" i="14"/>
  <c r="C129" i="14"/>
  <c r="F128" i="14"/>
  <c r="C128" i="14" s="1"/>
  <c r="J130" i="14"/>
  <c r="J75" i="14" s="1"/>
  <c r="N130" i="14"/>
  <c r="N75" i="14" s="1"/>
  <c r="L136" i="14"/>
  <c r="L144" i="14"/>
  <c r="C149" i="14"/>
  <c r="C153" i="14"/>
  <c r="C167" i="14"/>
  <c r="O165" i="14"/>
  <c r="O196" i="14"/>
  <c r="C208" i="14"/>
  <c r="F205" i="14"/>
  <c r="C152" i="14"/>
  <c r="C190" i="14"/>
  <c r="F188" i="14"/>
  <c r="C248" i="14"/>
  <c r="F246" i="14"/>
  <c r="E292" i="14"/>
  <c r="E291" i="14" s="1"/>
  <c r="E20" i="14"/>
  <c r="I292" i="14"/>
  <c r="I20" i="14"/>
  <c r="L291" i="14"/>
  <c r="F55" i="14"/>
  <c r="F58" i="14"/>
  <c r="C58" i="14" s="1"/>
  <c r="C59" i="14"/>
  <c r="C71" i="14"/>
  <c r="M83" i="14"/>
  <c r="M75" i="14" s="1"/>
  <c r="C87" i="14"/>
  <c r="C91" i="14"/>
  <c r="F95" i="14"/>
  <c r="O95" i="14"/>
  <c r="I103" i="14"/>
  <c r="C107" i="14"/>
  <c r="L122" i="14"/>
  <c r="C127" i="14"/>
  <c r="F131" i="14"/>
  <c r="O131" i="14"/>
  <c r="I151" i="14"/>
  <c r="C151" i="14" s="1"/>
  <c r="C155" i="14"/>
  <c r="C162" i="14"/>
  <c r="F160" i="14"/>
  <c r="F165" i="14"/>
  <c r="C165" i="14" s="1"/>
  <c r="C166" i="14"/>
  <c r="C170" i="14"/>
  <c r="O174" i="14"/>
  <c r="O173" i="14" s="1"/>
  <c r="C186" i="14"/>
  <c r="F184" i="14"/>
  <c r="C184" i="14" s="1"/>
  <c r="C199" i="14"/>
  <c r="I69" i="14"/>
  <c r="C81" i="14"/>
  <c r="F80" i="14"/>
  <c r="C80" i="14" s="1"/>
  <c r="L84" i="14"/>
  <c r="I89" i="14"/>
  <c r="C113" i="14"/>
  <c r="F112" i="14"/>
  <c r="C117" i="14"/>
  <c r="F116" i="14"/>
  <c r="C137" i="14"/>
  <c r="F136" i="14"/>
  <c r="F141" i="14"/>
  <c r="C141" i="14" s="1"/>
  <c r="C145" i="14"/>
  <c r="F144" i="14"/>
  <c r="C144" i="14" s="1"/>
  <c r="J187" i="14"/>
  <c r="N187" i="14"/>
  <c r="I196" i="14"/>
  <c r="C161" i="14"/>
  <c r="C168" i="14"/>
  <c r="J173" i="14"/>
  <c r="I174" i="14"/>
  <c r="I173" i="14" s="1"/>
  <c r="L175" i="14"/>
  <c r="L179" i="14"/>
  <c r="C189" i="14"/>
  <c r="D195" i="14"/>
  <c r="O216" i="14"/>
  <c r="O204" i="14" s="1"/>
  <c r="J230" i="14"/>
  <c r="O259" i="14"/>
  <c r="N173" i="14"/>
  <c r="C176" i="14"/>
  <c r="F175" i="14"/>
  <c r="C180" i="14"/>
  <c r="F179" i="14"/>
  <c r="C192" i="14"/>
  <c r="G195" i="14"/>
  <c r="C198" i="14"/>
  <c r="C232" i="14"/>
  <c r="E231" i="14"/>
  <c r="E230" i="14" s="1"/>
  <c r="C273" i="14"/>
  <c r="L272" i="14"/>
  <c r="L270" i="14" s="1"/>
  <c r="L269" i="14" s="1"/>
  <c r="C202" i="14"/>
  <c r="C203" i="14"/>
  <c r="L205" i="14"/>
  <c r="L204" i="14" s="1"/>
  <c r="C210" i="14"/>
  <c r="C211" i="14"/>
  <c r="C222" i="14"/>
  <c r="C223" i="14"/>
  <c r="C228" i="14"/>
  <c r="N231" i="14"/>
  <c r="N230" i="14" s="1"/>
  <c r="C236" i="14"/>
  <c r="O235" i="14"/>
  <c r="F238" i="14"/>
  <c r="F231" i="14" s="1"/>
  <c r="C239" i="14"/>
  <c r="C250" i="14"/>
  <c r="C258" i="14"/>
  <c r="C271" i="14"/>
  <c r="C284" i="14"/>
  <c r="L283" i="14"/>
  <c r="C283" i="14" s="1"/>
  <c r="E204" i="14"/>
  <c r="E195" i="14" s="1"/>
  <c r="C227" i="14"/>
  <c r="O246" i="14"/>
  <c r="C274" i="14"/>
  <c r="C294" i="14"/>
  <c r="C296" i="14"/>
  <c r="F293" i="14"/>
  <c r="C206" i="14"/>
  <c r="C207" i="14"/>
  <c r="C214" i="14"/>
  <c r="C215" i="14"/>
  <c r="C218" i="14"/>
  <c r="C219" i="14"/>
  <c r="F216" i="14"/>
  <c r="C226" i="14"/>
  <c r="C234" i="14"/>
  <c r="C242" i="14"/>
  <c r="C243" i="14"/>
  <c r="C247" i="14"/>
  <c r="C254" i="14"/>
  <c r="C255" i="14"/>
  <c r="F252" i="14"/>
  <c r="C262" i="14"/>
  <c r="C263" i="14"/>
  <c r="F260" i="14"/>
  <c r="C266" i="14"/>
  <c r="C267" i="14"/>
  <c r="F264" i="14"/>
  <c r="C264" i="14" s="1"/>
  <c r="C286" i="14"/>
  <c r="C287" i="14"/>
  <c r="I293" i="14"/>
  <c r="C299" i="14"/>
  <c r="C300" i="14"/>
  <c r="F276" i="14"/>
  <c r="C116" i="14" l="1"/>
  <c r="C89" i="14"/>
  <c r="L53" i="14"/>
  <c r="E194" i="14"/>
  <c r="I270" i="14"/>
  <c r="I269" i="14" s="1"/>
  <c r="E52" i="14"/>
  <c r="L130" i="14"/>
  <c r="O291" i="14"/>
  <c r="K52" i="14"/>
  <c r="K289" i="14"/>
  <c r="D289" i="14"/>
  <c r="C235" i="14"/>
  <c r="J194" i="14"/>
  <c r="L195" i="14"/>
  <c r="L231" i="14"/>
  <c r="L230" i="14" s="1"/>
  <c r="O231" i="14"/>
  <c r="O230" i="14" s="1"/>
  <c r="L83" i="14"/>
  <c r="C69" i="14"/>
  <c r="I231" i="14"/>
  <c r="I230" i="14" s="1"/>
  <c r="E289" i="14"/>
  <c r="M194" i="14"/>
  <c r="C238" i="14"/>
  <c r="C136" i="14"/>
  <c r="C160" i="14"/>
  <c r="O130" i="14"/>
  <c r="C246" i="14"/>
  <c r="I54" i="14"/>
  <c r="H75" i="14"/>
  <c r="H289" i="14" s="1"/>
  <c r="I204" i="14"/>
  <c r="I195" i="14" s="1"/>
  <c r="D194" i="14"/>
  <c r="D51" i="14" s="1"/>
  <c r="D50" i="14" s="1"/>
  <c r="C103" i="14"/>
  <c r="O83" i="14"/>
  <c r="I130" i="14"/>
  <c r="I83" i="14"/>
  <c r="L26" i="14"/>
  <c r="L20" i="14" s="1"/>
  <c r="C21" i="14"/>
  <c r="H194" i="14"/>
  <c r="C216" i="14"/>
  <c r="C293" i="14"/>
  <c r="E51" i="14"/>
  <c r="E50" i="14" s="1"/>
  <c r="N52" i="14"/>
  <c r="K51" i="14"/>
  <c r="K50" i="14" s="1"/>
  <c r="F292" i="14"/>
  <c r="C292" i="14" s="1"/>
  <c r="F20" i="14"/>
  <c r="C20" i="14" s="1"/>
  <c r="D290" i="14"/>
  <c r="M289" i="14"/>
  <c r="M52" i="14"/>
  <c r="M51" i="14" s="1"/>
  <c r="N289" i="14"/>
  <c r="L75" i="14"/>
  <c r="J52" i="14"/>
  <c r="J51" i="14" s="1"/>
  <c r="J289" i="14"/>
  <c r="F259" i="14"/>
  <c r="C259" i="14" s="1"/>
  <c r="C260" i="14"/>
  <c r="I67" i="14"/>
  <c r="C67" i="14" s="1"/>
  <c r="L194" i="14"/>
  <c r="F54" i="14"/>
  <c r="C55" i="14"/>
  <c r="O195" i="14"/>
  <c r="O194" i="14" s="1"/>
  <c r="N194" i="14"/>
  <c r="C179" i="14"/>
  <c r="C188" i="14"/>
  <c r="F187" i="14"/>
  <c r="C187" i="14" s="1"/>
  <c r="C272" i="14"/>
  <c r="C122" i="14"/>
  <c r="K290" i="14"/>
  <c r="C231" i="14"/>
  <c r="F174" i="14"/>
  <c r="C175" i="14"/>
  <c r="C84" i="14"/>
  <c r="F83" i="14"/>
  <c r="O53" i="14"/>
  <c r="C276" i="14"/>
  <c r="F270" i="14"/>
  <c r="L174" i="14"/>
  <c r="L173" i="14" s="1"/>
  <c r="C196" i="14"/>
  <c r="C112" i="14"/>
  <c r="C95" i="14"/>
  <c r="I291" i="14"/>
  <c r="C77" i="14"/>
  <c r="F76" i="14"/>
  <c r="F251" i="14"/>
  <c r="C251" i="14" s="1"/>
  <c r="C252" i="14"/>
  <c r="G194" i="14"/>
  <c r="G51" i="14" s="1"/>
  <c r="G289" i="14"/>
  <c r="F130" i="14"/>
  <c r="C131" i="14"/>
  <c r="F204" i="14"/>
  <c r="C205" i="14"/>
  <c r="C26" i="14"/>
  <c r="I194" i="14" l="1"/>
  <c r="E290" i="14"/>
  <c r="O75" i="14"/>
  <c r="O52" i="14" s="1"/>
  <c r="O51" i="14" s="1"/>
  <c r="L52" i="14"/>
  <c r="L51" i="14" s="1"/>
  <c r="L290" i="14" s="1"/>
  <c r="C83" i="14"/>
  <c r="F230" i="14"/>
  <c r="C230" i="14" s="1"/>
  <c r="N51" i="14"/>
  <c r="N50" i="14" s="1"/>
  <c r="H52" i="14"/>
  <c r="H51" i="14" s="1"/>
  <c r="C130" i="14"/>
  <c r="F291" i="14"/>
  <c r="I75" i="14"/>
  <c r="L50" i="14"/>
  <c r="J50" i="14"/>
  <c r="J290" i="14"/>
  <c r="C270" i="14"/>
  <c r="F269" i="14"/>
  <c r="G290" i="14"/>
  <c r="G50" i="14"/>
  <c r="C76" i="14"/>
  <c r="F75" i="14"/>
  <c r="C291" i="14"/>
  <c r="L289" i="14"/>
  <c r="M50" i="14"/>
  <c r="M290" i="14"/>
  <c r="C204" i="14"/>
  <c r="F195" i="14"/>
  <c r="F173" i="14"/>
  <c r="C173" i="14" s="1"/>
  <c r="C174" i="14"/>
  <c r="C54" i="14"/>
  <c r="F53" i="14"/>
  <c r="I53" i="14"/>
  <c r="O289" i="14"/>
  <c r="C75" i="14" l="1"/>
  <c r="N290" i="14"/>
  <c r="H50" i="14"/>
  <c r="H290" i="14"/>
  <c r="C269" i="14"/>
  <c r="F289" i="14"/>
  <c r="O50" i="14"/>
  <c r="O290" i="14"/>
  <c r="F194" i="14"/>
  <c r="C194" i="14" s="1"/>
  <c r="C195" i="14"/>
  <c r="I52" i="14"/>
  <c r="I51" i="14" s="1"/>
  <c r="I289" i="14"/>
  <c r="C53" i="14"/>
  <c r="F52" i="14"/>
  <c r="I290" i="14" l="1"/>
  <c r="I50" i="14"/>
  <c r="C52" i="14"/>
  <c r="F51" i="14"/>
  <c r="C289" i="14"/>
  <c r="F290" i="14" l="1"/>
  <c r="C290" i="14" s="1"/>
  <c r="C51" i="14"/>
  <c r="F50" i="14"/>
  <c r="C50" i="14" s="1"/>
  <c r="O301" i="13" l="1"/>
  <c r="L301" i="13"/>
  <c r="I301" i="13"/>
  <c r="F301" i="13"/>
  <c r="O300" i="13"/>
  <c r="L300" i="13"/>
  <c r="I300" i="13"/>
  <c r="F300" i="13"/>
  <c r="O299" i="13"/>
  <c r="L299" i="13"/>
  <c r="I299" i="13"/>
  <c r="F299" i="13"/>
  <c r="O298" i="13"/>
  <c r="L298" i="13"/>
  <c r="I298" i="13"/>
  <c r="F298" i="13"/>
  <c r="O297" i="13"/>
  <c r="L297" i="13"/>
  <c r="I297" i="13"/>
  <c r="F297" i="13"/>
  <c r="O296" i="13"/>
  <c r="L296" i="13"/>
  <c r="I296" i="13"/>
  <c r="F296" i="13"/>
  <c r="O295" i="13"/>
  <c r="L295" i="13"/>
  <c r="I295" i="13"/>
  <c r="F295" i="13"/>
  <c r="O294" i="13"/>
  <c r="O293" i="13" s="1"/>
  <c r="L294" i="13"/>
  <c r="I294" i="13"/>
  <c r="F294" i="13"/>
  <c r="N293" i="13"/>
  <c r="M293" i="13"/>
  <c r="K293" i="13"/>
  <c r="J293" i="13"/>
  <c r="H293" i="13"/>
  <c r="G293" i="13"/>
  <c r="E293" i="13"/>
  <c r="D293" i="13"/>
  <c r="O288" i="13"/>
  <c r="L288" i="13"/>
  <c r="I288" i="13"/>
  <c r="F288" i="13"/>
  <c r="O287" i="13"/>
  <c r="L287" i="13"/>
  <c r="L286" i="13" s="1"/>
  <c r="I287" i="13"/>
  <c r="F287" i="13"/>
  <c r="F286" i="13" s="1"/>
  <c r="O286" i="13"/>
  <c r="N286" i="13"/>
  <c r="M286" i="13"/>
  <c r="K286" i="13"/>
  <c r="J286" i="13"/>
  <c r="H286" i="13"/>
  <c r="G286" i="13"/>
  <c r="E286" i="13"/>
  <c r="D286" i="13"/>
  <c r="O285" i="13"/>
  <c r="L285" i="13"/>
  <c r="L284" i="13" s="1"/>
  <c r="L283" i="13" s="1"/>
  <c r="I285" i="13"/>
  <c r="F285" i="13"/>
  <c r="F284" i="13" s="1"/>
  <c r="O284" i="13"/>
  <c r="O283" i="13" s="1"/>
  <c r="N284" i="13"/>
  <c r="N283" i="13" s="1"/>
  <c r="M284" i="13"/>
  <c r="M283" i="13" s="1"/>
  <c r="K284" i="13"/>
  <c r="J284" i="13"/>
  <c r="I284" i="13"/>
  <c r="I283" i="13" s="1"/>
  <c r="H284" i="13"/>
  <c r="H283" i="13" s="1"/>
  <c r="G284" i="13"/>
  <c r="G283" i="13" s="1"/>
  <c r="E284" i="13"/>
  <c r="E283" i="13" s="1"/>
  <c r="D284" i="13"/>
  <c r="K283" i="13"/>
  <c r="J283" i="13"/>
  <c r="D283" i="13"/>
  <c r="O282" i="13"/>
  <c r="O281" i="13" s="1"/>
  <c r="L282" i="13"/>
  <c r="L281" i="13" s="1"/>
  <c r="I282" i="13"/>
  <c r="I281" i="13" s="1"/>
  <c r="F282" i="13"/>
  <c r="F281" i="13" s="1"/>
  <c r="N281" i="13"/>
  <c r="M281" i="13"/>
  <c r="K281" i="13"/>
  <c r="J281" i="13"/>
  <c r="H281" i="13"/>
  <c r="G281" i="13"/>
  <c r="E281" i="13"/>
  <c r="D281" i="13"/>
  <c r="O280" i="13"/>
  <c r="L280" i="13"/>
  <c r="I280" i="13"/>
  <c r="F280" i="13"/>
  <c r="O279" i="13"/>
  <c r="L279" i="13"/>
  <c r="I279" i="13"/>
  <c r="F279" i="13"/>
  <c r="O278" i="13"/>
  <c r="L278" i="13"/>
  <c r="I278" i="13"/>
  <c r="F278" i="13"/>
  <c r="O277" i="13"/>
  <c r="L277" i="13"/>
  <c r="I277" i="13"/>
  <c r="I276" i="13" s="1"/>
  <c r="F277" i="13"/>
  <c r="N276" i="13"/>
  <c r="M276" i="13"/>
  <c r="K276" i="13"/>
  <c r="J276" i="13"/>
  <c r="H276" i="13"/>
  <c r="G276" i="13"/>
  <c r="E276" i="13"/>
  <c r="D276" i="13"/>
  <c r="O275" i="13"/>
  <c r="L275" i="13"/>
  <c r="I275" i="13"/>
  <c r="F275" i="13"/>
  <c r="O274" i="13"/>
  <c r="L274" i="13"/>
  <c r="I274" i="13"/>
  <c r="F274" i="13"/>
  <c r="O273" i="13"/>
  <c r="L273" i="13"/>
  <c r="L272" i="13" s="1"/>
  <c r="I273" i="13"/>
  <c r="F273" i="13"/>
  <c r="N272" i="13"/>
  <c r="M272" i="13"/>
  <c r="M270" i="13" s="1"/>
  <c r="M269" i="13" s="1"/>
  <c r="K272" i="13"/>
  <c r="J272" i="13"/>
  <c r="I272" i="13"/>
  <c r="H272" i="13"/>
  <c r="H270" i="13" s="1"/>
  <c r="H269" i="13" s="1"/>
  <c r="G272" i="13"/>
  <c r="E272" i="13"/>
  <c r="D272" i="13"/>
  <c r="D270" i="13" s="1"/>
  <c r="D269" i="13" s="1"/>
  <c r="O271" i="13"/>
  <c r="L271" i="13"/>
  <c r="I271" i="13"/>
  <c r="F271" i="13"/>
  <c r="C271" i="13" s="1"/>
  <c r="K270" i="13"/>
  <c r="G270" i="13"/>
  <c r="G269" i="13" s="1"/>
  <c r="O268" i="13"/>
  <c r="L268" i="13"/>
  <c r="I268" i="13"/>
  <c r="F268" i="13"/>
  <c r="O267" i="13"/>
  <c r="L267" i="13"/>
  <c r="I267" i="13"/>
  <c r="F267" i="13"/>
  <c r="O266" i="13"/>
  <c r="L266" i="13"/>
  <c r="I266" i="13"/>
  <c r="F266" i="13"/>
  <c r="O265" i="13"/>
  <c r="L265" i="13"/>
  <c r="I265" i="13"/>
  <c r="I264" i="13" s="1"/>
  <c r="F265" i="13"/>
  <c r="N264" i="13"/>
  <c r="M264" i="13"/>
  <c r="K264" i="13"/>
  <c r="J264" i="13"/>
  <c r="H264" i="13"/>
  <c r="G264" i="13"/>
  <c r="E264" i="13"/>
  <c r="D264" i="13"/>
  <c r="O263" i="13"/>
  <c r="L263" i="13"/>
  <c r="I263" i="13"/>
  <c r="F263" i="13"/>
  <c r="O262" i="13"/>
  <c r="L262" i="13"/>
  <c r="I262" i="13"/>
  <c r="F262" i="13"/>
  <c r="O261" i="13"/>
  <c r="L261" i="13"/>
  <c r="I261" i="13"/>
  <c r="I260" i="13" s="1"/>
  <c r="F261" i="13"/>
  <c r="N260" i="13"/>
  <c r="M260" i="13"/>
  <c r="M259" i="13" s="1"/>
  <c r="K260" i="13"/>
  <c r="K259" i="13" s="1"/>
  <c r="J260" i="13"/>
  <c r="J259" i="13" s="1"/>
  <c r="H260" i="13"/>
  <c r="G260" i="13"/>
  <c r="G259" i="13" s="1"/>
  <c r="E260" i="13"/>
  <c r="D260" i="13"/>
  <c r="D259" i="13" s="1"/>
  <c r="H259" i="13"/>
  <c r="O258" i="13"/>
  <c r="L258" i="13"/>
  <c r="I258" i="13"/>
  <c r="F258" i="13"/>
  <c r="O257" i="13"/>
  <c r="L257" i="13"/>
  <c r="I257" i="13"/>
  <c r="F257" i="13"/>
  <c r="O256" i="13"/>
  <c r="L256" i="13"/>
  <c r="I256" i="13"/>
  <c r="F256" i="13"/>
  <c r="O255" i="13"/>
  <c r="L255" i="13"/>
  <c r="I255" i="13"/>
  <c r="F255" i="13"/>
  <c r="O254" i="13"/>
  <c r="L254" i="13"/>
  <c r="I254" i="13"/>
  <c r="F254" i="13"/>
  <c r="O253" i="13"/>
  <c r="L253" i="13"/>
  <c r="I253" i="13"/>
  <c r="F253" i="13"/>
  <c r="N252" i="13"/>
  <c r="N251" i="13" s="1"/>
  <c r="M252" i="13"/>
  <c r="M251" i="13" s="1"/>
  <c r="K252" i="13"/>
  <c r="K251" i="13" s="1"/>
  <c r="J252" i="13"/>
  <c r="J251" i="13" s="1"/>
  <c r="H252" i="13"/>
  <c r="G252" i="13"/>
  <c r="G251" i="13" s="1"/>
  <c r="E252" i="13"/>
  <c r="E251" i="13" s="1"/>
  <c r="D252" i="13"/>
  <c r="D251" i="13" s="1"/>
  <c r="H251" i="13"/>
  <c r="O250" i="13"/>
  <c r="L250" i="13"/>
  <c r="I250" i="13"/>
  <c r="F250" i="13"/>
  <c r="O249" i="13"/>
  <c r="L249" i="13"/>
  <c r="I249" i="13"/>
  <c r="F249" i="13"/>
  <c r="O248" i="13"/>
  <c r="L248" i="13"/>
  <c r="I248" i="13"/>
  <c r="F248" i="13"/>
  <c r="O247" i="13"/>
  <c r="L247" i="13"/>
  <c r="I247" i="13"/>
  <c r="F247"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N238" i="13"/>
  <c r="M238" i="13"/>
  <c r="K238" i="13"/>
  <c r="J238" i="13"/>
  <c r="H238" i="13"/>
  <c r="G238" i="13"/>
  <c r="E238" i="13"/>
  <c r="D238" i="13"/>
  <c r="O237" i="13"/>
  <c r="L237" i="13"/>
  <c r="I237" i="13"/>
  <c r="F237" i="13"/>
  <c r="O236" i="13"/>
  <c r="L236" i="13"/>
  <c r="L235" i="13" s="1"/>
  <c r="I236" i="13"/>
  <c r="I235" i="13" s="1"/>
  <c r="F236" i="13"/>
  <c r="O235" i="13"/>
  <c r="N235" i="13"/>
  <c r="M235" i="13"/>
  <c r="K235" i="13"/>
  <c r="J235" i="13"/>
  <c r="H235" i="13"/>
  <c r="G235" i="13"/>
  <c r="F235" i="13"/>
  <c r="E235" i="13"/>
  <c r="D235" i="13"/>
  <c r="O234" i="13"/>
  <c r="O233" i="13" s="1"/>
  <c r="L234" i="13"/>
  <c r="L233" i="13" s="1"/>
  <c r="I234" i="13"/>
  <c r="I233" i="13" s="1"/>
  <c r="F234" i="13"/>
  <c r="N233" i="13"/>
  <c r="M233" i="13"/>
  <c r="M231" i="13" s="1"/>
  <c r="M230" i="13" s="1"/>
  <c r="K233" i="13"/>
  <c r="J233" i="13"/>
  <c r="H233" i="13"/>
  <c r="G233" i="13"/>
  <c r="E233" i="13"/>
  <c r="D233" i="13"/>
  <c r="O232" i="13"/>
  <c r="L232" i="13"/>
  <c r="I232" i="13"/>
  <c r="F232" i="13"/>
  <c r="O229" i="13"/>
  <c r="L229" i="13"/>
  <c r="I229" i="13"/>
  <c r="F229" i="13"/>
  <c r="O228" i="13"/>
  <c r="L228" i="13"/>
  <c r="L227" i="13" s="1"/>
  <c r="I228" i="13"/>
  <c r="F228" i="13"/>
  <c r="O227" i="13"/>
  <c r="N227" i="13"/>
  <c r="M227" i="13"/>
  <c r="K227" i="13"/>
  <c r="J227" i="13"/>
  <c r="H227" i="13"/>
  <c r="G227" i="13"/>
  <c r="F227" i="13"/>
  <c r="E227" i="13"/>
  <c r="D227" i="13"/>
  <c r="O226" i="13"/>
  <c r="L226" i="13"/>
  <c r="I226" i="13"/>
  <c r="F226" i="13"/>
  <c r="O225" i="13"/>
  <c r="L225" i="13"/>
  <c r="I225" i="13"/>
  <c r="F225" i="13"/>
  <c r="O224" i="13"/>
  <c r="L224" i="13"/>
  <c r="I224" i="13"/>
  <c r="F224" i="13"/>
  <c r="O223" i="13"/>
  <c r="L223" i="13"/>
  <c r="I223" i="13"/>
  <c r="F223" i="13"/>
  <c r="C223" i="13" s="1"/>
  <c r="O222" i="13"/>
  <c r="L222" i="13"/>
  <c r="I222" i="13"/>
  <c r="F222" i="13"/>
  <c r="O221" i="13"/>
  <c r="L221" i="13"/>
  <c r="I221" i="13"/>
  <c r="F221" i="13"/>
  <c r="O220" i="13"/>
  <c r="L220" i="13"/>
  <c r="I220" i="13"/>
  <c r="F220" i="13"/>
  <c r="O219" i="13"/>
  <c r="L219" i="13"/>
  <c r="I219" i="13"/>
  <c r="F219" i="13"/>
  <c r="C219" i="13" s="1"/>
  <c r="O218" i="13"/>
  <c r="L218" i="13"/>
  <c r="I218" i="13"/>
  <c r="F218" i="13"/>
  <c r="O217" i="13"/>
  <c r="L217" i="13"/>
  <c r="I217" i="13"/>
  <c r="F217" i="13"/>
  <c r="N216" i="13"/>
  <c r="M216" i="13"/>
  <c r="K216" i="13"/>
  <c r="J216" i="13"/>
  <c r="H216" i="13"/>
  <c r="G216" i="13"/>
  <c r="E216" i="13"/>
  <c r="D216" i="13"/>
  <c r="O215" i="13"/>
  <c r="L215" i="13"/>
  <c r="I215" i="13"/>
  <c r="F215" i="13"/>
  <c r="C215" i="13" s="1"/>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I205" i="13" s="1"/>
  <c r="F206" i="13"/>
  <c r="N205" i="13"/>
  <c r="N204" i="13" s="1"/>
  <c r="M205" i="13"/>
  <c r="K205" i="13"/>
  <c r="J205" i="13"/>
  <c r="H205" i="13"/>
  <c r="H204" i="13" s="1"/>
  <c r="G205" i="13"/>
  <c r="E205" i="13"/>
  <c r="E204" i="13" s="1"/>
  <c r="D205" i="13"/>
  <c r="O203" i="13"/>
  <c r="L203" i="13"/>
  <c r="I203" i="13"/>
  <c r="F203" i="13"/>
  <c r="O202" i="13"/>
  <c r="L202" i="13"/>
  <c r="I202" i="13"/>
  <c r="F202" i="13"/>
  <c r="O201" i="13"/>
  <c r="L201" i="13"/>
  <c r="I201" i="13"/>
  <c r="F201" i="13"/>
  <c r="O200" i="13"/>
  <c r="L200" i="13"/>
  <c r="I200" i="13"/>
  <c r="F200" i="13"/>
  <c r="O199" i="13"/>
  <c r="O198" i="13" s="1"/>
  <c r="L199" i="13"/>
  <c r="I199" i="13"/>
  <c r="F199" i="13"/>
  <c r="C199" i="13"/>
  <c r="N198" i="13"/>
  <c r="M198" i="13"/>
  <c r="L198" i="13"/>
  <c r="K198" i="13"/>
  <c r="K196" i="13" s="1"/>
  <c r="J198" i="13"/>
  <c r="H198" i="13"/>
  <c r="H196" i="13" s="1"/>
  <c r="H195" i="13" s="1"/>
  <c r="G198" i="13"/>
  <c r="G196" i="13" s="1"/>
  <c r="F198" i="13"/>
  <c r="E198" i="13"/>
  <c r="D198" i="13"/>
  <c r="D196" i="13" s="1"/>
  <c r="O197" i="13"/>
  <c r="L197" i="13"/>
  <c r="I197" i="13"/>
  <c r="F197" i="13"/>
  <c r="N196" i="13"/>
  <c r="M196" i="13"/>
  <c r="J196" i="13"/>
  <c r="E196" i="13"/>
  <c r="O193" i="13"/>
  <c r="L193" i="13"/>
  <c r="L192" i="13" s="1"/>
  <c r="L191" i="13" s="1"/>
  <c r="I193" i="13"/>
  <c r="F193" i="13"/>
  <c r="O192" i="13"/>
  <c r="O191" i="13" s="1"/>
  <c r="N192" i="13"/>
  <c r="N191" i="13" s="1"/>
  <c r="M192" i="13"/>
  <c r="M191" i="13" s="1"/>
  <c r="K192" i="13"/>
  <c r="K191" i="13" s="1"/>
  <c r="J192" i="13"/>
  <c r="J191" i="13" s="1"/>
  <c r="I192" i="13"/>
  <c r="I191" i="13" s="1"/>
  <c r="H192" i="13"/>
  <c r="G192" i="13"/>
  <c r="E192" i="13"/>
  <c r="E191" i="13" s="1"/>
  <c r="D192" i="13"/>
  <c r="D191" i="13" s="1"/>
  <c r="H191" i="13"/>
  <c r="G191" i="13"/>
  <c r="O190" i="13"/>
  <c r="L190" i="13"/>
  <c r="I190" i="13"/>
  <c r="F190" i="13"/>
  <c r="C190" i="13" s="1"/>
  <c r="O189" i="13"/>
  <c r="L189" i="13"/>
  <c r="I189" i="13"/>
  <c r="I188" i="13" s="1"/>
  <c r="I187" i="13" s="1"/>
  <c r="F189" i="13"/>
  <c r="N188" i="13"/>
  <c r="M188" i="13"/>
  <c r="K188" i="13"/>
  <c r="J188" i="13"/>
  <c r="H188" i="13"/>
  <c r="G188" i="13"/>
  <c r="E188" i="13"/>
  <c r="E187" i="13" s="1"/>
  <c r="D188" i="13"/>
  <c r="O186" i="13"/>
  <c r="L186" i="13"/>
  <c r="I186" i="13"/>
  <c r="F186" i="13"/>
  <c r="O185" i="13"/>
  <c r="O184" i="13" s="1"/>
  <c r="L185" i="13"/>
  <c r="L184" i="13" s="1"/>
  <c r="I185" i="13"/>
  <c r="I184" i="13" s="1"/>
  <c r="F185" i="13"/>
  <c r="N184" i="13"/>
  <c r="M184" i="13"/>
  <c r="K184" i="13"/>
  <c r="J184" i="13"/>
  <c r="H184" i="13"/>
  <c r="G184" i="13"/>
  <c r="F184" i="13"/>
  <c r="E184" i="13"/>
  <c r="D184" i="13"/>
  <c r="O183" i="13"/>
  <c r="L183" i="13"/>
  <c r="I183" i="13"/>
  <c r="F183" i="13"/>
  <c r="O182" i="13"/>
  <c r="L182" i="13"/>
  <c r="I182" i="13"/>
  <c r="F182" i="13"/>
  <c r="O181" i="13"/>
  <c r="L181" i="13"/>
  <c r="I181" i="13"/>
  <c r="F181" i="13"/>
  <c r="O180" i="13"/>
  <c r="L180" i="13"/>
  <c r="L179" i="13" s="1"/>
  <c r="I180" i="13"/>
  <c r="F180" i="13"/>
  <c r="N179" i="13"/>
  <c r="M179" i="13"/>
  <c r="K179" i="13"/>
  <c r="J179" i="13"/>
  <c r="H179" i="13"/>
  <c r="G179" i="13"/>
  <c r="E179" i="13"/>
  <c r="D179" i="13"/>
  <c r="O178" i="13"/>
  <c r="L178" i="13"/>
  <c r="I178" i="13"/>
  <c r="F178" i="13"/>
  <c r="O177" i="13"/>
  <c r="L177" i="13"/>
  <c r="I177" i="13"/>
  <c r="F177" i="13"/>
  <c r="O176" i="13"/>
  <c r="O175" i="13" s="1"/>
  <c r="L176" i="13"/>
  <c r="L175" i="13" s="1"/>
  <c r="I176" i="13"/>
  <c r="I175" i="13" s="1"/>
  <c r="F176" i="13"/>
  <c r="C176" i="13" s="1"/>
  <c r="N175" i="13"/>
  <c r="M175" i="13"/>
  <c r="K175" i="13"/>
  <c r="K174" i="13" s="1"/>
  <c r="K173" i="13" s="1"/>
  <c r="J175" i="13"/>
  <c r="H175" i="13"/>
  <c r="G175" i="13"/>
  <c r="E175" i="13"/>
  <c r="E174" i="13" s="1"/>
  <c r="E173" i="13" s="1"/>
  <c r="D175" i="13"/>
  <c r="D174" i="13" s="1"/>
  <c r="D173" i="13" s="1"/>
  <c r="H174" i="13"/>
  <c r="H173" i="13" s="1"/>
  <c r="O172" i="13"/>
  <c r="L172" i="13"/>
  <c r="I172" i="13"/>
  <c r="F172" i="13"/>
  <c r="O171" i="13"/>
  <c r="L171" i="13"/>
  <c r="I171" i="13"/>
  <c r="F171" i="13"/>
  <c r="O170" i="13"/>
  <c r="L170" i="13"/>
  <c r="I170" i="13"/>
  <c r="F170" i="13"/>
  <c r="O169" i="13"/>
  <c r="L169" i="13"/>
  <c r="I169" i="13"/>
  <c r="F169" i="13"/>
  <c r="O168" i="13"/>
  <c r="L168" i="13"/>
  <c r="I168" i="13"/>
  <c r="F168" i="13"/>
  <c r="O167" i="13"/>
  <c r="O166" i="13" s="1"/>
  <c r="O165" i="13" s="1"/>
  <c r="L167" i="13"/>
  <c r="I167" i="13"/>
  <c r="I166" i="13" s="1"/>
  <c r="I165" i="13" s="1"/>
  <c r="F167" i="13"/>
  <c r="F166" i="13" s="1"/>
  <c r="N166" i="13"/>
  <c r="N165" i="13" s="1"/>
  <c r="M166" i="13"/>
  <c r="K166" i="13"/>
  <c r="J166" i="13"/>
  <c r="J165" i="13" s="1"/>
  <c r="H166" i="13"/>
  <c r="H165" i="13" s="1"/>
  <c r="G166" i="13"/>
  <c r="G165" i="13" s="1"/>
  <c r="E166" i="13"/>
  <c r="E165" i="13" s="1"/>
  <c r="D166" i="13"/>
  <c r="D165" i="13" s="1"/>
  <c r="M165" i="13"/>
  <c r="K165" i="13"/>
  <c r="O164" i="13"/>
  <c r="L164" i="13"/>
  <c r="I164" i="13"/>
  <c r="F164" i="13"/>
  <c r="O163" i="13"/>
  <c r="L163" i="13"/>
  <c r="I163" i="13"/>
  <c r="F163" i="13"/>
  <c r="O162" i="13"/>
  <c r="L162" i="13"/>
  <c r="I162" i="13"/>
  <c r="F162" i="13"/>
  <c r="O161" i="13"/>
  <c r="O160" i="13" s="1"/>
  <c r="L161" i="13"/>
  <c r="L160" i="13" s="1"/>
  <c r="I161" i="13"/>
  <c r="F161" i="13"/>
  <c r="N160" i="13"/>
  <c r="M160" i="13"/>
  <c r="K160" i="13"/>
  <c r="J160" i="13"/>
  <c r="H160" i="13"/>
  <c r="G160" i="13"/>
  <c r="F160" i="13"/>
  <c r="E160" i="13"/>
  <c r="D160" i="13"/>
  <c r="O159" i="13"/>
  <c r="L159" i="13"/>
  <c r="I159" i="13"/>
  <c r="F159" i="13"/>
  <c r="O158" i="13"/>
  <c r="L158" i="13"/>
  <c r="I158" i="13"/>
  <c r="F158" i="13"/>
  <c r="O157" i="13"/>
  <c r="L157" i="13"/>
  <c r="I157" i="13"/>
  <c r="F157" i="13"/>
  <c r="O156" i="13"/>
  <c r="L156" i="13"/>
  <c r="I156" i="13"/>
  <c r="F156" i="13"/>
  <c r="O155" i="13"/>
  <c r="L155" i="13"/>
  <c r="I155" i="13"/>
  <c r="F155" i="13"/>
  <c r="C155" i="13" s="1"/>
  <c r="O154" i="13"/>
  <c r="L154" i="13"/>
  <c r="I154" i="13"/>
  <c r="F154" i="13"/>
  <c r="O153" i="13"/>
  <c r="L153" i="13"/>
  <c r="I153" i="13"/>
  <c r="F153" i="13"/>
  <c r="O152" i="13"/>
  <c r="L152" i="13"/>
  <c r="I152" i="13"/>
  <c r="F152" i="13"/>
  <c r="F151" i="13" s="1"/>
  <c r="N151" i="13"/>
  <c r="M151" i="13"/>
  <c r="K151" i="13"/>
  <c r="J151" i="13"/>
  <c r="H151" i="13"/>
  <c r="G151" i="13"/>
  <c r="E151" i="13"/>
  <c r="D151" i="13"/>
  <c r="O150" i="13"/>
  <c r="L150" i="13"/>
  <c r="I150" i="13"/>
  <c r="F150" i="13"/>
  <c r="C150" i="13" s="1"/>
  <c r="O149" i="13"/>
  <c r="L149" i="13"/>
  <c r="I149" i="13"/>
  <c r="F149" i="13"/>
  <c r="O148" i="13"/>
  <c r="L148" i="13"/>
  <c r="I148" i="13"/>
  <c r="F148" i="13"/>
  <c r="O147" i="13"/>
  <c r="L147" i="13"/>
  <c r="I147" i="13"/>
  <c r="F147" i="13"/>
  <c r="C147" i="13" s="1"/>
  <c r="O146" i="13"/>
  <c r="L146" i="13"/>
  <c r="I146" i="13"/>
  <c r="F146" i="13"/>
  <c r="O145" i="13"/>
  <c r="O144" i="13" s="1"/>
  <c r="L145" i="13"/>
  <c r="I145" i="13"/>
  <c r="F145" i="13"/>
  <c r="F144" i="13" s="1"/>
  <c r="N144" i="13"/>
  <c r="M144" i="13"/>
  <c r="K144" i="13"/>
  <c r="J144" i="13"/>
  <c r="H144" i="13"/>
  <c r="G144" i="13"/>
  <c r="E144" i="13"/>
  <c r="D144" i="13"/>
  <c r="O143" i="13"/>
  <c r="L143" i="13"/>
  <c r="I143" i="13"/>
  <c r="F143" i="13"/>
  <c r="O142" i="13"/>
  <c r="L142" i="13"/>
  <c r="I142" i="13"/>
  <c r="I141" i="13" s="1"/>
  <c r="F142" i="13"/>
  <c r="N141" i="13"/>
  <c r="M141" i="13"/>
  <c r="K141" i="13"/>
  <c r="J141" i="13"/>
  <c r="H141" i="13"/>
  <c r="G141" i="13"/>
  <c r="E141" i="13"/>
  <c r="D141" i="13"/>
  <c r="O140" i="13"/>
  <c r="L140" i="13"/>
  <c r="I140" i="13"/>
  <c r="F140" i="13"/>
  <c r="O139" i="13"/>
  <c r="L139" i="13"/>
  <c r="I139" i="13"/>
  <c r="F139" i="13"/>
  <c r="O138" i="13"/>
  <c r="L138" i="13"/>
  <c r="I138" i="13"/>
  <c r="F138" i="13"/>
  <c r="O137" i="13"/>
  <c r="O136" i="13" s="1"/>
  <c r="L137" i="13"/>
  <c r="L136" i="13" s="1"/>
  <c r="I137" i="13"/>
  <c r="F137" i="13"/>
  <c r="N136" i="13"/>
  <c r="M136" i="13"/>
  <c r="K136" i="13"/>
  <c r="J136" i="13"/>
  <c r="H136" i="13"/>
  <c r="G136" i="13"/>
  <c r="E136" i="13"/>
  <c r="D136" i="13"/>
  <c r="O135" i="13"/>
  <c r="L135" i="13"/>
  <c r="I135" i="13"/>
  <c r="F135" i="13"/>
  <c r="O134" i="13"/>
  <c r="L134" i="13"/>
  <c r="I134" i="13"/>
  <c r="F134" i="13"/>
  <c r="O133" i="13"/>
  <c r="L133" i="13"/>
  <c r="I133" i="13"/>
  <c r="F133" i="13"/>
  <c r="O132" i="13"/>
  <c r="L132" i="13"/>
  <c r="L131" i="13" s="1"/>
  <c r="I132" i="13"/>
  <c r="F132" i="13"/>
  <c r="F131" i="13" s="1"/>
  <c r="N131" i="13"/>
  <c r="M131" i="13"/>
  <c r="M130" i="13" s="1"/>
  <c r="K131" i="13"/>
  <c r="J131" i="13"/>
  <c r="H131" i="13"/>
  <c r="G131" i="13"/>
  <c r="E131" i="13"/>
  <c r="D131" i="13"/>
  <c r="D130" i="13" s="1"/>
  <c r="O129" i="13"/>
  <c r="O128" i="13" s="1"/>
  <c r="L129" i="13"/>
  <c r="L128" i="13" s="1"/>
  <c r="I129" i="13"/>
  <c r="F129" i="13"/>
  <c r="F128" i="13" s="1"/>
  <c r="N128" i="13"/>
  <c r="M128" i="13"/>
  <c r="K128" i="13"/>
  <c r="J128" i="13"/>
  <c r="H128" i="13"/>
  <c r="G128" i="13"/>
  <c r="E128" i="13"/>
  <c r="D128" i="13"/>
  <c r="O127" i="13"/>
  <c r="L127" i="13"/>
  <c r="I127" i="13"/>
  <c r="F127" i="13"/>
  <c r="C127" i="13" s="1"/>
  <c r="O126" i="13"/>
  <c r="L126" i="13"/>
  <c r="I126" i="13"/>
  <c r="F126" i="13"/>
  <c r="O125" i="13"/>
  <c r="L125" i="13"/>
  <c r="I125" i="13"/>
  <c r="F125" i="13"/>
  <c r="O124" i="13"/>
  <c r="L124" i="13"/>
  <c r="I124" i="13"/>
  <c r="F124" i="13"/>
  <c r="O123" i="13"/>
  <c r="L123" i="13"/>
  <c r="I123" i="13"/>
  <c r="I122" i="13" s="1"/>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O116" i="13" s="1"/>
  <c r="L117" i="13"/>
  <c r="I117" i="13"/>
  <c r="F117" i="13"/>
  <c r="F116" i="13" s="1"/>
  <c r="N116" i="13"/>
  <c r="M116" i="13"/>
  <c r="K116" i="13"/>
  <c r="J116" i="13"/>
  <c r="H116" i="13"/>
  <c r="G116" i="13"/>
  <c r="E116" i="13"/>
  <c r="D116" i="13"/>
  <c r="O115" i="13"/>
  <c r="L115" i="13"/>
  <c r="I115" i="13"/>
  <c r="F115" i="13"/>
  <c r="O114" i="13"/>
  <c r="L114" i="13"/>
  <c r="I114" i="13"/>
  <c r="F114" i="13"/>
  <c r="O113" i="13"/>
  <c r="O112" i="13" s="1"/>
  <c r="L113" i="13"/>
  <c r="L112" i="13" s="1"/>
  <c r="I113" i="13"/>
  <c r="F113" i="13"/>
  <c r="N112" i="13"/>
  <c r="M112" i="13"/>
  <c r="K112" i="13"/>
  <c r="J112" i="13"/>
  <c r="H112" i="13"/>
  <c r="G112" i="13"/>
  <c r="E112" i="13"/>
  <c r="D112" i="13"/>
  <c r="O111" i="13"/>
  <c r="L111" i="13"/>
  <c r="I111" i="13"/>
  <c r="F111" i="13"/>
  <c r="C111" i="13" s="1"/>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L95" i="13" s="1"/>
  <c r="I96" i="13"/>
  <c r="F96" i="13"/>
  <c r="F95" i="13" s="1"/>
  <c r="N95" i="13"/>
  <c r="M95" i="13"/>
  <c r="K95" i="13"/>
  <c r="J95" i="13"/>
  <c r="H95" i="13"/>
  <c r="G95" i="13"/>
  <c r="E95" i="13"/>
  <c r="D95" i="13"/>
  <c r="O94" i="13"/>
  <c r="L94" i="13"/>
  <c r="I94" i="13"/>
  <c r="F94" i="13"/>
  <c r="O93" i="13"/>
  <c r="L93" i="13"/>
  <c r="I93" i="13"/>
  <c r="F93" i="13"/>
  <c r="O92" i="13"/>
  <c r="L92" i="13"/>
  <c r="I92" i="13"/>
  <c r="F92" i="13"/>
  <c r="O91" i="13"/>
  <c r="L91" i="13"/>
  <c r="I91" i="13"/>
  <c r="F91" i="13"/>
  <c r="O90" i="13"/>
  <c r="L90" i="13"/>
  <c r="I90" i="13"/>
  <c r="I89" i="13" s="1"/>
  <c r="F90" i="13"/>
  <c r="N89" i="13"/>
  <c r="M89" i="13"/>
  <c r="K89" i="13"/>
  <c r="J89" i="13"/>
  <c r="H89" i="13"/>
  <c r="G89" i="13"/>
  <c r="E89" i="13"/>
  <c r="D89" i="13"/>
  <c r="O88" i="13"/>
  <c r="L88" i="13"/>
  <c r="I88" i="13"/>
  <c r="F88" i="13"/>
  <c r="O87" i="13"/>
  <c r="L87" i="13"/>
  <c r="I87" i="13"/>
  <c r="F87" i="13"/>
  <c r="O86" i="13"/>
  <c r="L86" i="13"/>
  <c r="I86" i="13"/>
  <c r="F86" i="13"/>
  <c r="O85" i="13"/>
  <c r="O84" i="13" s="1"/>
  <c r="L85" i="13"/>
  <c r="I85" i="13"/>
  <c r="F85" i="13"/>
  <c r="F84" i="13" s="1"/>
  <c r="N84" i="13"/>
  <c r="M84" i="13"/>
  <c r="K84" i="13"/>
  <c r="J84" i="13"/>
  <c r="H84" i="13"/>
  <c r="G84" i="13"/>
  <c r="E84" i="13"/>
  <c r="D84" i="13"/>
  <c r="O82" i="13"/>
  <c r="L82" i="13"/>
  <c r="I82" i="13"/>
  <c r="F82" i="13"/>
  <c r="O81" i="13"/>
  <c r="O80" i="13" s="1"/>
  <c r="L81" i="13"/>
  <c r="L80" i="13" s="1"/>
  <c r="I81" i="13"/>
  <c r="F81" i="13"/>
  <c r="N80" i="13"/>
  <c r="M80" i="13"/>
  <c r="K80" i="13"/>
  <c r="J80" i="13"/>
  <c r="H80" i="13"/>
  <c r="G80" i="13"/>
  <c r="F80" i="13"/>
  <c r="E80" i="13"/>
  <c r="D80" i="13"/>
  <c r="O79" i="13"/>
  <c r="L79" i="13"/>
  <c r="I79" i="13"/>
  <c r="F79" i="13"/>
  <c r="O78" i="13"/>
  <c r="L78" i="13"/>
  <c r="L77" i="13" s="1"/>
  <c r="I78" i="13"/>
  <c r="F78" i="13"/>
  <c r="N77" i="13"/>
  <c r="M77" i="13"/>
  <c r="M76" i="13" s="1"/>
  <c r="K77" i="13"/>
  <c r="J77" i="13"/>
  <c r="H77" i="13"/>
  <c r="H76" i="13" s="1"/>
  <c r="G77" i="13"/>
  <c r="E77" i="13"/>
  <c r="D77" i="13"/>
  <c r="N76" i="13"/>
  <c r="D76" i="13"/>
  <c r="O74" i="13"/>
  <c r="L74" i="13"/>
  <c r="I74" i="13"/>
  <c r="F74" i="13"/>
  <c r="O73" i="13"/>
  <c r="L73" i="13"/>
  <c r="I73" i="13"/>
  <c r="F73" i="13"/>
  <c r="O72" i="13"/>
  <c r="L72" i="13"/>
  <c r="I72" i="13"/>
  <c r="F72" i="13"/>
  <c r="O71" i="13"/>
  <c r="L71" i="13"/>
  <c r="I71" i="13"/>
  <c r="F71" i="13"/>
  <c r="C71" i="13" s="1"/>
  <c r="O70" i="13"/>
  <c r="L70" i="13"/>
  <c r="L69" i="13" s="1"/>
  <c r="I70" i="13"/>
  <c r="F70" i="13"/>
  <c r="N69" i="13"/>
  <c r="M69" i="13"/>
  <c r="M67" i="13" s="1"/>
  <c r="K69" i="13"/>
  <c r="K67" i="13" s="1"/>
  <c r="J69" i="13"/>
  <c r="H69" i="13"/>
  <c r="H67" i="13" s="1"/>
  <c r="G69" i="13"/>
  <c r="G67" i="13" s="1"/>
  <c r="E69" i="13"/>
  <c r="E67" i="13" s="1"/>
  <c r="D69" i="13"/>
  <c r="D67" i="13" s="1"/>
  <c r="O68" i="13"/>
  <c r="L68" i="13"/>
  <c r="I68" i="13"/>
  <c r="F68" i="13"/>
  <c r="N67" i="13"/>
  <c r="J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F59" i="13"/>
  <c r="C59" i="13" s="1"/>
  <c r="N58" i="13"/>
  <c r="M58" i="13"/>
  <c r="K58" i="13"/>
  <c r="J58" i="13"/>
  <c r="H58" i="13"/>
  <c r="G58" i="13"/>
  <c r="E58" i="13"/>
  <c r="D58" i="13"/>
  <c r="O57" i="13"/>
  <c r="L57" i="13"/>
  <c r="I57" i="13"/>
  <c r="F57" i="13"/>
  <c r="O56" i="13"/>
  <c r="L56" i="13"/>
  <c r="L55" i="13" s="1"/>
  <c r="I56" i="13"/>
  <c r="F56" i="13"/>
  <c r="F55" i="13" s="1"/>
  <c r="O55" i="13"/>
  <c r="N55" i="13"/>
  <c r="M55" i="13"/>
  <c r="M54" i="13" s="1"/>
  <c r="M53" i="13" s="1"/>
  <c r="K55" i="13"/>
  <c r="J55" i="13"/>
  <c r="J54" i="13" s="1"/>
  <c r="J53" i="13" s="1"/>
  <c r="H55" i="13"/>
  <c r="G55" i="13"/>
  <c r="G54" i="13" s="1"/>
  <c r="E55" i="13"/>
  <c r="D55" i="13"/>
  <c r="O47" i="13"/>
  <c r="C47" i="13" s="1"/>
  <c r="O46" i="13"/>
  <c r="C46" i="13" s="1"/>
  <c r="N45" i="13"/>
  <c r="M45" i="13"/>
  <c r="L44" i="13"/>
  <c r="L43" i="13" s="1"/>
  <c r="I44" i="13"/>
  <c r="F44" i="13"/>
  <c r="K43" i="13"/>
  <c r="J43" i="13"/>
  <c r="I43" i="13"/>
  <c r="H43" i="13"/>
  <c r="G43" i="13"/>
  <c r="E43" i="13"/>
  <c r="D43" i="13"/>
  <c r="F42" i="13"/>
  <c r="C42" i="13" s="1"/>
  <c r="E41" i="13"/>
  <c r="D41" i="13"/>
  <c r="L40" i="13"/>
  <c r="C40" i="13" s="1"/>
  <c r="L39" i="13"/>
  <c r="C39" i="13" s="1"/>
  <c r="L38" i="13"/>
  <c r="C38" i="13" s="1"/>
  <c r="L37" i="13"/>
  <c r="C37" i="13" s="1"/>
  <c r="K36" i="13"/>
  <c r="J36" i="13"/>
  <c r="L35" i="13"/>
  <c r="C35" i="13" s="1"/>
  <c r="L34" i="13"/>
  <c r="C34" i="13" s="1"/>
  <c r="K33" i="13"/>
  <c r="J33" i="13"/>
  <c r="L32" i="13"/>
  <c r="C32" i="13" s="1"/>
  <c r="K31" i="13"/>
  <c r="J31" i="13"/>
  <c r="L30" i="13"/>
  <c r="C30" i="13" s="1"/>
  <c r="L29" i="13"/>
  <c r="C29" i="13" s="1"/>
  <c r="L28" i="13"/>
  <c r="C28" i="13" s="1"/>
  <c r="K27" i="13"/>
  <c r="J27" i="13"/>
  <c r="F25" i="13"/>
  <c r="C25" i="13" s="1"/>
  <c r="I24" i="13"/>
  <c r="F24" i="13"/>
  <c r="O23" i="13"/>
  <c r="L23" i="13"/>
  <c r="I23" i="13"/>
  <c r="F23" i="13"/>
  <c r="O22" i="13"/>
  <c r="O21" i="13" s="1"/>
  <c r="O292" i="13" s="1"/>
  <c r="O291" i="13" s="1"/>
  <c r="L22" i="13"/>
  <c r="I22" i="13"/>
  <c r="I21" i="13" s="1"/>
  <c r="I20" i="13" s="1"/>
  <c r="F22" i="13"/>
  <c r="N21" i="13"/>
  <c r="M21" i="13"/>
  <c r="M292" i="13" s="1"/>
  <c r="M291" i="13" s="1"/>
  <c r="L21" i="13"/>
  <c r="K21" i="13"/>
  <c r="K292" i="13" s="1"/>
  <c r="K291" i="13" s="1"/>
  <c r="J21" i="13"/>
  <c r="H21" i="13"/>
  <c r="G21" i="13"/>
  <c r="F21" i="13"/>
  <c r="E21" i="13"/>
  <c r="E292" i="13" s="1"/>
  <c r="E291" i="13" s="1"/>
  <c r="D21" i="13"/>
  <c r="G20" i="13"/>
  <c r="O188" i="13" l="1"/>
  <c r="C288" i="13"/>
  <c r="H54" i="13"/>
  <c r="C243" i="13"/>
  <c r="C163" i="13"/>
  <c r="L188" i="13"/>
  <c r="C24" i="13"/>
  <c r="C115" i="13"/>
  <c r="C154" i="13"/>
  <c r="O151" i="13"/>
  <c r="C210" i="13"/>
  <c r="C244" i="13"/>
  <c r="I270" i="13"/>
  <c r="I269" i="13" s="1"/>
  <c r="C282" i="13"/>
  <c r="C63" i="13"/>
  <c r="C65" i="13"/>
  <c r="K83" i="13"/>
  <c r="C107" i="13"/>
  <c r="C110" i="13"/>
  <c r="C125" i="13"/>
  <c r="C139" i="13"/>
  <c r="L151" i="13"/>
  <c r="C162" i="13"/>
  <c r="G174" i="13"/>
  <c r="H187" i="13"/>
  <c r="J76" i="13"/>
  <c r="J231" i="13"/>
  <c r="J230" i="13" s="1"/>
  <c r="C235" i="13"/>
  <c r="E259" i="13"/>
  <c r="C274" i="13"/>
  <c r="C278" i="13"/>
  <c r="M20" i="13"/>
  <c r="L58" i="13"/>
  <c r="L54" i="13" s="1"/>
  <c r="C91" i="13"/>
  <c r="O103" i="13"/>
  <c r="C134" i="13"/>
  <c r="C159" i="13"/>
  <c r="K187" i="13"/>
  <c r="C203" i="13"/>
  <c r="C207" i="13"/>
  <c r="L246" i="13"/>
  <c r="O272" i="13"/>
  <c r="C299" i="13"/>
  <c r="C300" i="13"/>
  <c r="N54" i="13"/>
  <c r="N53" i="13" s="1"/>
  <c r="O69" i="13"/>
  <c r="O67" i="13" s="1"/>
  <c r="C79" i="13"/>
  <c r="C172" i="13"/>
  <c r="O238" i="13"/>
  <c r="C247" i="13"/>
  <c r="C263" i="13"/>
  <c r="C267" i="13"/>
  <c r="C294" i="13"/>
  <c r="L76" i="13"/>
  <c r="G83" i="13"/>
  <c r="C143" i="13"/>
  <c r="C170" i="13"/>
  <c r="C183" i="13"/>
  <c r="D187" i="13"/>
  <c r="N187" i="13"/>
  <c r="L205" i="13"/>
  <c r="C250" i="13"/>
  <c r="C255" i="13"/>
  <c r="C256" i="13"/>
  <c r="O77" i="13"/>
  <c r="C87" i="13"/>
  <c r="C119" i="13"/>
  <c r="O131" i="13"/>
  <c r="H130" i="13"/>
  <c r="M174" i="13"/>
  <c r="M173" i="13" s="1"/>
  <c r="N195" i="13"/>
  <c r="K204" i="13"/>
  <c r="K195" i="13" s="1"/>
  <c r="C232" i="13"/>
  <c r="L260" i="13"/>
  <c r="L264" i="13"/>
  <c r="C23" i="13"/>
  <c r="J26" i="13"/>
  <c r="C44" i="13"/>
  <c r="E54" i="13"/>
  <c r="E53" i="13" s="1"/>
  <c r="K54" i="13"/>
  <c r="K53" i="13" s="1"/>
  <c r="D54" i="13"/>
  <c r="D53" i="13" s="1"/>
  <c r="C72" i="13"/>
  <c r="C74" i="13"/>
  <c r="I77" i="13"/>
  <c r="C82" i="13"/>
  <c r="E83" i="13"/>
  <c r="O89" i="13"/>
  <c r="C99" i="13"/>
  <c r="C109" i="13"/>
  <c r="C118" i="13"/>
  <c r="L122" i="13"/>
  <c r="E130" i="13"/>
  <c r="O141" i="13"/>
  <c r="O130" i="13" s="1"/>
  <c r="C149" i="13"/>
  <c r="C158" i="13"/>
  <c r="L166" i="13"/>
  <c r="L165" i="13" s="1"/>
  <c r="G173" i="13"/>
  <c r="L174" i="13"/>
  <c r="L173" i="13" s="1"/>
  <c r="F175" i="13"/>
  <c r="O179" i="13"/>
  <c r="O174" i="13" s="1"/>
  <c r="O173" i="13" s="1"/>
  <c r="C184" i="13"/>
  <c r="C186" i="13"/>
  <c r="G187" i="13"/>
  <c r="L196" i="13"/>
  <c r="C202" i="13"/>
  <c r="C211" i="13"/>
  <c r="I216" i="13"/>
  <c r="C222" i="13"/>
  <c r="G204" i="13"/>
  <c r="G195" i="13" s="1"/>
  <c r="E231" i="13"/>
  <c r="E230" i="13" s="1"/>
  <c r="L252" i="13"/>
  <c r="L251" i="13" s="1"/>
  <c r="C262" i="13"/>
  <c r="C268" i="13"/>
  <c r="E270" i="13"/>
  <c r="E269" i="13" s="1"/>
  <c r="N270" i="13"/>
  <c r="N269" i="13" s="1"/>
  <c r="F276" i="13"/>
  <c r="C277" i="13"/>
  <c r="O276" i="13"/>
  <c r="I286" i="13"/>
  <c r="C286" i="13" s="1"/>
  <c r="I293" i="13"/>
  <c r="C295" i="13"/>
  <c r="C135" i="13"/>
  <c r="O187" i="13"/>
  <c r="G292" i="13"/>
  <c r="G291" i="13" s="1"/>
  <c r="E76" i="13"/>
  <c r="D83" i="13"/>
  <c r="H83" i="13"/>
  <c r="N83" i="13"/>
  <c r="L84" i="13"/>
  <c r="C92" i="13"/>
  <c r="C94" i="13"/>
  <c r="C98" i="13"/>
  <c r="C100" i="13"/>
  <c r="C102" i="13"/>
  <c r="C120" i="13"/>
  <c r="C123" i="13"/>
  <c r="G130" i="13"/>
  <c r="J130" i="13"/>
  <c r="N130" i="13"/>
  <c r="L144" i="13"/>
  <c r="C157" i="13"/>
  <c r="C167" i="13"/>
  <c r="F179" i="13"/>
  <c r="C182" i="13"/>
  <c r="M187" i="13"/>
  <c r="L187" i="13"/>
  <c r="E195" i="13"/>
  <c r="C208" i="13"/>
  <c r="C209" i="13"/>
  <c r="C220" i="13"/>
  <c r="C226" i="13"/>
  <c r="G231" i="13"/>
  <c r="G230" i="13" s="1"/>
  <c r="K231" i="13"/>
  <c r="K230" i="13" s="1"/>
  <c r="C242" i="13"/>
  <c r="K269" i="13"/>
  <c r="C287" i="13"/>
  <c r="L116" i="13"/>
  <c r="J187" i="13"/>
  <c r="I292" i="13"/>
  <c r="C73" i="13"/>
  <c r="E20" i="13"/>
  <c r="K26" i="13"/>
  <c r="K20" i="13" s="1"/>
  <c r="C61" i="13"/>
  <c r="C64" i="13"/>
  <c r="C66" i="13"/>
  <c r="G76" i="13"/>
  <c r="K76" i="13"/>
  <c r="C86" i="13"/>
  <c r="M83" i="13"/>
  <c r="M75" i="13" s="1"/>
  <c r="M52" i="13" s="1"/>
  <c r="C93" i="13"/>
  <c r="C101" i="13"/>
  <c r="C106" i="13"/>
  <c r="F112" i="13"/>
  <c r="C114" i="13"/>
  <c r="C121" i="13"/>
  <c r="F136" i="13"/>
  <c r="C138" i="13"/>
  <c r="L141" i="13"/>
  <c r="C146" i="13"/>
  <c r="C171" i="13"/>
  <c r="D204" i="13"/>
  <c r="D195" i="13" s="1"/>
  <c r="C214" i="13"/>
  <c r="C224" i="13"/>
  <c r="J204" i="13"/>
  <c r="J195" i="13" s="1"/>
  <c r="N231" i="13"/>
  <c r="I252" i="13"/>
  <c r="I251" i="13" s="1"/>
  <c r="C258" i="13"/>
  <c r="C266" i="13"/>
  <c r="C298" i="13"/>
  <c r="D292" i="13"/>
  <c r="D291" i="13" s="1"/>
  <c r="D20" i="13"/>
  <c r="H292" i="13"/>
  <c r="H291" i="13" s="1"/>
  <c r="H20" i="13"/>
  <c r="I116" i="13"/>
  <c r="C116" i="13" s="1"/>
  <c r="C117" i="13"/>
  <c r="C166" i="13"/>
  <c r="C193" i="13"/>
  <c r="F192" i="13"/>
  <c r="C239" i="13"/>
  <c r="L238" i="13"/>
  <c r="J292" i="13"/>
  <c r="J291" i="13" s="1"/>
  <c r="J20" i="13"/>
  <c r="N292" i="13"/>
  <c r="N291" i="13" s="1"/>
  <c r="N20" i="13"/>
  <c r="L31" i="13"/>
  <c r="C31" i="13" s="1"/>
  <c r="L33" i="13"/>
  <c r="C33" i="13" s="1"/>
  <c r="F41" i="13"/>
  <c r="C41" i="13" s="1"/>
  <c r="F43" i="13"/>
  <c r="C43" i="13" s="1"/>
  <c r="O45" i="13"/>
  <c r="G53" i="13"/>
  <c r="C57" i="13"/>
  <c r="I55" i="13"/>
  <c r="C55" i="13" s="1"/>
  <c r="O58" i="13"/>
  <c r="I69" i="13"/>
  <c r="I67" i="13" s="1"/>
  <c r="H75" i="13"/>
  <c r="C78" i="13"/>
  <c r="F77" i="13"/>
  <c r="O76" i="13"/>
  <c r="I80" i="13"/>
  <c r="C80" i="13" s="1"/>
  <c r="C81" i="13"/>
  <c r="J83" i="13"/>
  <c r="J75" i="13" s="1"/>
  <c r="L89" i="13"/>
  <c r="O95" i="13"/>
  <c r="F103" i="13"/>
  <c r="O122" i="13"/>
  <c r="C153" i="13"/>
  <c r="I151" i="13"/>
  <c r="C151" i="13" s="1"/>
  <c r="C156" i="13"/>
  <c r="I160" i="13"/>
  <c r="C160" i="13" s="1"/>
  <c r="C161" i="13"/>
  <c r="C164" i="13"/>
  <c r="C168" i="13"/>
  <c r="C189" i="13"/>
  <c r="F188" i="13"/>
  <c r="C88" i="13"/>
  <c r="C105" i="13"/>
  <c r="I103" i="13"/>
  <c r="C108" i="13"/>
  <c r="I112" i="13"/>
  <c r="C112" i="13" s="1"/>
  <c r="C113" i="13"/>
  <c r="C124" i="13"/>
  <c r="C126" i="13"/>
  <c r="F122" i="13"/>
  <c r="I128" i="13"/>
  <c r="C128" i="13" s="1"/>
  <c r="C129" i="13"/>
  <c r="K130" i="13"/>
  <c r="I136" i="13"/>
  <c r="C136" i="13" s="1"/>
  <c r="C137" i="13"/>
  <c r="C140" i="13"/>
  <c r="I144" i="13"/>
  <c r="C144" i="13" s="1"/>
  <c r="C145" i="13"/>
  <c r="C148" i="13"/>
  <c r="I179" i="13"/>
  <c r="I174" i="13" s="1"/>
  <c r="C180" i="13"/>
  <c r="F233" i="13"/>
  <c r="C234" i="13"/>
  <c r="C273" i="13"/>
  <c r="F272" i="13"/>
  <c r="I76" i="13"/>
  <c r="F292" i="13"/>
  <c r="C21" i="13"/>
  <c r="C22" i="13"/>
  <c r="L36" i="13"/>
  <c r="C36" i="13" s="1"/>
  <c r="H53" i="13"/>
  <c r="H52" i="13" s="1"/>
  <c r="C60" i="13"/>
  <c r="C62" i="13"/>
  <c r="F58" i="13"/>
  <c r="F54" i="13" s="1"/>
  <c r="C70" i="13"/>
  <c r="F69" i="13"/>
  <c r="I84" i="13"/>
  <c r="C85" i="13"/>
  <c r="L292" i="13"/>
  <c r="L27" i="13"/>
  <c r="O54" i="13"/>
  <c r="O53" i="13" s="1"/>
  <c r="I58" i="13"/>
  <c r="L67" i="13"/>
  <c r="L53" i="13" s="1"/>
  <c r="D75" i="13"/>
  <c r="D52" i="13" s="1"/>
  <c r="N75" i="13"/>
  <c r="C90" i="13"/>
  <c r="F89" i="13"/>
  <c r="C97" i="13"/>
  <c r="I95" i="13"/>
  <c r="L103" i="13"/>
  <c r="C133" i="13"/>
  <c r="I131" i="13"/>
  <c r="C142" i="13"/>
  <c r="F141" i="13"/>
  <c r="C141" i="13" s="1"/>
  <c r="C301" i="13"/>
  <c r="C56" i="13"/>
  <c r="C68" i="13"/>
  <c r="C96" i="13"/>
  <c r="C104" i="13"/>
  <c r="C132" i="13"/>
  <c r="C152" i="13"/>
  <c r="F165" i="13"/>
  <c r="C165" i="13" s="1"/>
  <c r="C177" i="13"/>
  <c r="C178" i="13"/>
  <c r="C185" i="13"/>
  <c r="C197" i="13"/>
  <c r="F196" i="13"/>
  <c r="C201" i="13"/>
  <c r="F205" i="13"/>
  <c r="C206" i="13"/>
  <c r="C212" i="13"/>
  <c r="I227" i="13"/>
  <c r="C228" i="13"/>
  <c r="H231" i="13"/>
  <c r="H230" i="13" s="1"/>
  <c r="H194" i="13" s="1"/>
  <c r="O246" i="13"/>
  <c r="O231" i="13" s="1"/>
  <c r="O270" i="13"/>
  <c r="O269" i="13" s="1"/>
  <c r="L293" i="13"/>
  <c r="C169" i="13"/>
  <c r="J174" i="13"/>
  <c r="J173" i="13" s="1"/>
  <c r="N174" i="13"/>
  <c r="N173" i="13" s="1"/>
  <c r="C200" i="13"/>
  <c r="I198" i="13"/>
  <c r="C198" i="13" s="1"/>
  <c r="C218" i="13"/>
  <c r="F216" i="13"/>
  <c r="D231" i="13"/>
  <c r="D230" i="13" s="1"/>
  <c r="C249" i="13"/>
  <c r="F246" i="13"/>
  <c r="I259" i="13"/>
  <c r="N259" i="13"/>
  <c r="N230" i="13" s="1"/>
  <c r="N194" i="13" s="1"/>
  <c r="L276" i="13"/>
  <c r="L270" i="13" s="1"/>
  <c r="L269" i="13" s="1"/>
  <c r="C279" i="13"/>
  <c r="C284" i="13"/>
  <c r="F283" i="13"/>
  <c r="C283" i="13" s="1"/>
  <c r="C181" i="13"/>
  <c r="M204" i="13"/>
  <c r="M195" i="13" s="1"/>
  <c r="M194" i="13" s="1"/>
  <c r="M51" i="13" s="1"/>
  <c r="C221" i="13"/>
  <c r="C240" i="13"/>
  <c r="I238" i="13"/>
  <c r="C245" i="13"/>
  <c r="C248" i="13"/>
  <c r="I246" i="13"/>
  <c r="C254" i="13"/>
  <c r="F252" i="13"/>
  <c r="C275" i="13"/>
  <c r="O196" i="13"/>
  <c r="O205" i="13"/>
  <c r="C213" i="13"/>
  <c r="C217" i="13"/>
  <c r="O216" i="13"/>
  <c r="L216" i="13"/>
  <c r="L204" i="13" s="1"/>
  <c r="L195" i="13" s="1"/>
  <c r="C225" i="13"/>
  <c r="C229" i="13"/>
  <c r="L231" i="13"/>
  <c r="C236" i="13"/>
  <c r="C237" i="13"/>
  <c r="C241" i="13"/>
  <c r="F238" i="13"/>
  <c r="C257" i="13"/>
  <c r="F260" i="13"/>
  <c r="C261" i="13"/>
  <c r="O260" i="13"/>
  <c r="F264" i="13"/>
  <c r="C265" i="13"/>
  <c r="O264" i="13"/>
  <c r="C281" i="13"/>
  <c r="F293" i="13"/>
  <c r="I291" i="13"/>
  <c r="C280" i="13"/>
  <c r="C296" i="13"/>
  <c r="C297" i="13"/>
  <c r="C253" i="13"/>
  <c r="O252" i="13"/>
  <c r="O251" i="13" s="1"/>
  <c r="J270" i="13"/>
  <c r="J269" i="13" s="1"/>
  <c r="J194" i="13" s="1"/>
  <c r="C285" i="13"/>
  <c r="E194" i="13" l="1"/>
  <c r="C69" i="13"/>
  <c r="C238" i="13"/>
  <c r="L291" i="13"/>
  <c r="L130" i="13"/>
  <c r="N52" i="13"/>
  <c r="G75" i="13"/>
  <c r="G289" i="13" s="1"/>
  <c r="E75" i="13"/>
  <c r="E52" i="13" s="1"/>
  <c r="E51" i="13" s="1"/>
  <c r="L259" i="13"/>
  <c r="L230" i="13" s="1"/>
  <c r="L194" i="13" s="1"/>
  <c r="D194" i="13"/>
  <c r="I231" i="13"/>
  <c r="I230" i="13" s="1"/>
  <c r="I196" i="13"/>
  <c r="J52" i="13"/>
  <c r="J51" i="13" s="1"/>
  <c r="F174" i="13"/>
  <c r="F173" i="13" s="1"/>
  <c r="G52" i="13"/>
  <c r="H289" i="13"/>
  <c r="C246" i="13"/>
  <c r="C89" i="13"/>
  <c r="F20" i="13"/>
  <c r="L83" i="13"/>
  <c r="L75" i="13" s="1"/>
  <c r="L52" i="13" s="1"/>
  <c r="C122" i="13"/>
  <c r="C175" i="13"/>
  <c r="O83" i="13"/>
  <c r="K194" i="13"/>
  <c r="C293" i="13"/>
  <c r="D289" i="13"/>
  <c r="F291" i="13"/>
  <c r="C291" i="13" s="1"/>
  <c r="K75" i="13"/>
  <c r="K52" i="13" s="1"/>
  <c r="K51" i="13" s="1"/>
  <c r="F83" i="13"/>
  <c r="G194" i="13"/>
  <c r="J289" i="13"/>
  <c r="E290" i="13"/>
  <c r="E50" i="13"/>
  <c r="I173" i="13"/>
  <c r="C173" i="13" s="1"/>
  <c r="C174" i="13"/>
  <c r="M50" i="13"/>
  <c r="M290" i="13"/>
  <c r="I130" i="13"/>
  <c r="C131" i="13"/>
  <c r="C45" i="13"/>
  <c r="C192" i="13"/>
  <c r="F191" i="13"/>
  <c r="C191" i="13" s="1"/>
  <c r="D51" i="13"/>
  <c r="N289" i="13"/>
  <c r="C260" i="13"/>
  <c r="F259" i="13"/>
  <c r="C276" i="13"/>
  <c r="C252" i="13"/>
  <c r="F251" i="13"/>
  <c r="C251" i="13" s="1"/>
  <c r="E289" i="13"/>
  <c r="C196" i="13"/>
  <c r="O20" i="13"/>
  <c r="M289" i="13"/>
  <c r="C179" i="13"/>
  <c r="O75" i="13"/>
  <c r="O52" i="13" s="1"/>
  <c r="I54" i="13"/>
  <c r="I53" i="13" s="1"/>
  <c r="N51" i="13"/>
  <c r="C264" i="13"/>
  <c r="O204" i="13"/>
  <c r="O195" i="13" s="1"/>
  <c r="C205" i="13"/>
  <c r="F204" i="13"/>
  <c r="C27" i="13"/>
  <c r="L26" i="13"/>
  <c r="C58" i="13"/>
  <c r="H51" i="13"/>
  <c r="F130" i="13"/>
  <c r="C130" i="13" s="1"/>
  <c r="C77" i="13"/>
  <c r="F76" i="13"/>
  <c r="O259" i="13"/>
  <c r="O230" i="13" s="1"/>
  <c r="C216" i="13"/>
  <c r="C227" i="13"/>
  <c r="I204" i="13"/>
  <c r="I195" i="13" s="1"/>
  <c r="C95" i="13"/>
  <c r="I83" i="13"/>
  <c r="I75" i="13" s="1"/>
  <c r="C292" i="13"/>
  <c r="F270" i="13"/>
  <c r="C272" i="13"/>
  <c r="C233" i="13"/>
  <c r="F231" i="13"/>
  <c r="C84" i="13"/>
  <c r="C188" i="13"/>
  <c r="C103" i="13"/>
  <c r="F67" i="13"/>
  <c r="C67" i="13" s="1"/>
  <c r="J50" i="13" l="1"/>
  <c r="J290" i="13"/>
  <c r="K289" i="13"/>
  <c r="C259" i="13"/>
  <c r="L51" i="13"/>
  <c r="L50" i="13" s="1"/>
  <c r="O289" i="13"/>
  <c r="L289" i="13"/>
  <c r="G51" i="13"/>
  <c r="C83" i="13"/>
  <c r="I194" i="13"/>
  <c r="I289" i="13"/>
  <c r="I52" i="13"/>
  <c r="F269" i="13"/>
  <c r="C270" i="13"/>
  <c r="H290" i="13"/>
  <c r="H50" i="13"/>
  <c r="C204" i="13"/>
  <c r="F53" i="13"/>
  <c r="F230" i="13"/>
  <c r="C230" i="13" s="1"/>
  <c r="C231" i="13"/>
  <c r="F75" i="13"/>
  <c r="C75" i="13" s="1"/>
  <c r="C76" i="13"/>
  <c r="N50" i="13"/>
  <c r="N290" i="13"/>
  <c r="F195" i="13"/>
  <c r="C54" i="13"/>
  <c r="O194" i="13"/>
  <c r="O51" i="13" s="1"/>
  <c r="F187" i="13"/>
  <c r="C187" i="13" s="1"/>
  <c r="L290" i="13"/>
  <c r="C26" i="13"/>
  <c r="L20" i="13"/>
  <c r="C20" i="13" s="1"/>
  <c r="D290" i="13"/>
  <c r="D50" i="13"/>
  <c r="K50" i="13"/>
  <c r="K290" i="13"/>
  <c r="G290" i="13" l="1"/>
  <c r="G50" i="13"/>
  <c r="C53" i="13"/>
  <c r="F52" i="13"/>
  <c r="F194" i="13"/>
  <c r="C194" i="13" s="1"/>
  <c r="C195" i="13"/>
  <c r="C269" i="13"/>
  <c r="F289" i="13"/>
  <c r="C289" i="13" s="1"/>
  <c r="O50" i="13"/>
  <c r="O290" i="13"/>
  <c r="I51" i="13"/>
  <c r="I290" i="13" l="1"/>
  <c r="I50" i="13"/>
  <c r="F51" i="13"/>
  <c r="C52" i="13"/>
  <c r="F290" i="13" l="1"/>
  <c r="C290" i="13" s="1"/>
  <c r="C51" i="13"/>
  <c r="F50" i="13"/>
  <c r="C50" i="13" s="1"/>
  <c r="O301" i="12" l="1"/>
  <c r="L301" i="12"/>
  <c r="I301" i="12"/>
  <c r="F301" i="12"/>
  <c r="O300" i="12"/>
  <c r="L300" i="12"/>
  <c r="I300" i="12"/>
  <c r="F300" i="12"/>
  <c r="O299" i="12"/>
  <c r="L299" i="12"/>
  <c r="I299" i="12"/>
  <c r="F299" i="12"/>
  <c r="O298" i="12"/>
  <c r="L298" i="12"/>
  <c r="I298" i="12"/>
  <c r="F298" i="12"/>
  <c r="O297" i="12"/>
  <c r="L297" i="12"/>
  <c r="I297" i="12"/>
  <c r="F297" i="12"/>
  <c r="O296" i="12"/>
  <c r="L296" i="12"/>
  <c r="I296" i="12"/>
  <c r="F296" i="12"/>
  <c r="O295" i="12"/>
  <c r="L295" i="12"/>
  <c r="I295" i="12"/>
  <c r="F295" i="12"/>
  <c r="O294" i="12"/>
  <c r="O293" i="12" s="1"/>
  <c r="L294" i="12"/>
  <c r="I294" i="12"/>
  <c r="F294" i="12"/>
  <c r="N293" i="12"/>
  <c r="M293" i="12"/>
  <c r="K293" i="12"/>
  <c r="J293" i="12"/>
  <c r="H293" i="12"/>
  <c r="G293" i="12"/>
  <c r="E293" i="12"/>
  <c r="D293" i="12"/>
  <c r="O288" i="12"/>
  <c r="L288" i="12"/>
  <c r="I288" i="12"/>
  <c r="F288" i="12"/>
  <c r="O287" i="12"/>
  <c r="L287" i="12"/>
  <c r="I287" i="12"/>
  <c r="F287" i="12"/>
  <c r="O286" i="12"/>
  <c r="N286" i="12"/>
  <c r="M286" i="12"/>
  <c r="K286" i="12"/>
  <c r="J286" i="12"/>
  <c r="H286" i="12"/>
  <c r="G286" i="12"/>
  <c r="F286" i="12"/>
  <c r="E286" i="12"/>
  <c r="D286" i="12"/>
  <c r="O285" i="12"/>
  <c r="L285" i="12"/>
  <c r="L284" i="12" s="1"/>
  <c r="L283" i="12" s="1"/>
  <c r="I285" i="12"/>
  <c r="F285" i="12"/>
  <c r="O284" i="12"/>
  <c r="O283" i="12" s="1"/>
  <c r="N284" i="12"/>
  <c r="N283" i="12" s="1"/>
  <c r="M284" i="12"/>
  <c r="M283" i="12" s="1"/>
  <c r="K284" i="12"/>
  <c r="K283" i="12" s="1"/>
  <c r="J284" i="12"/>
  <c r="J283" i="12" s="1"/>
  <c r="I284" i="12"/>
  <c r="I283" i="12" s="1"/>
  <c r="H284" i="12"/>
  <c r="G284" i="12"/>
  <c r="G283" i="12" s="1"/>
  <c r="E284" i="12"/>
  <c r="E283" i="12" s="1"/>
  <c r="D284" i="12"/>
  <c r="D283" i="12" s="1"/>
  <c r="H283" i="12"/>
  <c r="O282" i="12"/>
  <c r="O281" i="12" s="1"/>
  <c r="L282" i="12"/>
  <c r="I282" i="12"/>
  <c r="I281" i="12" s="1"/>
  <c r="F282" i="12"/>
  <c r="F281" i="12" s="1"/>
  <c r="N281" i="12"/>
  <c r="M281" i="12"/>
  <c r="L281" i="12"/>
  <c r="K281" i="12"/>
  <c r="J281" i="12"/>
  <c r="H281" i="12"/>
  <c r="G281" i="12"/>
  <c r="E281" i="12"/>
  <c r="D281" i="12"/>
  <c r="O280" i="12"/>
  <c r="L280" i="12"/>
  <c r="I280" i="12"/>
  <c r="F280" i="12"/>
  <c r="O279" i="12"/>
  <c r="L279" i="12"/>
  <c r="I279" i="12"/>
  <c r="F279" i="12"/>
  <c r="O278" i="12"/>
  <c r="L278" i="12"/>
  <c r="I278" i="12"/>
  <c r="F278" i="12"/>
  <c r="O277" i="12"/>
  <c r="L277" i="12"/>
  <c r="I277" i="12"/>
  <c r="I276" i="12" s="1"/>
  <c r="F277" i="12"/>
  <c r="N276" i="12"/>
  <c r="M276" i="12"/>
  <c r="K276" i="12"/>
  <c r="J276" i="12"/>
  <c r="H276" i="12"/>
  <c r="G276" i="12"/>
  <c r="E276" i="12"/>
  <c r="D276" i="12"/>
  <c r="O275" i="12"/>
  <c r="L275" i="12"/>
  <c r="I275" i="12"/>
  <c r="F275" i="12"/>
  <c r="O274" i="12"/>
  <c r="L274" i="12"/>
  <c r="I274" i="12"/>
  <c r="F274" i="12"/>
  <c r="O273" i="12"/>
  <c r="L273" i="12"/>
  <c r="L272" i="12" s="1"/>
  <c r="I273" i="12"/>
  <c r="F273" i="12"/>
  <c r="N272" i="12"/>
  <c r="N270" i="12" s="1"/>
  <c r="N269" i="12" s="1"/>
  <c r="M272" i="12"/>
  <c r="K272" i="12"/>
  <c r="J272" i="12"/>
  <c r="J270" i="12" s="1"/>
  <c r="J269" i="12" s="1"/>
  <c r="I272" i="12"/>
  <c r="H272" i="12"/>
  <c r="H270" i="12" s="1"/>
  <c r="G272" i="12"/>
  <c r="E272" i="12"/>
  <c r="E270" i="12" s="1"/>
  <c r="E269" i="12" s="1"/>
  <c r="D272" i="12"/>
  <c r="O271" i="12"/>
  <c r="L271" i="12"/>
  <c r="I271" i="12"/>
  <c r="F271" i="12"/>
  <c r="K270" i="12"/>
  <c r="D270" i="12"/>
  <c r="D269" i="12" s="1"/>
  <c r="O268" i="12"/>
  <c r="L268" i="12"/>
  <c r="I268" i="12"/>
  <c r="F268" i="12"/>
  <c r="O267" i="12"/>
  <c r="L267" i="12"/>
  <c r="I267" i="12"/>
  <c r="F267" i="12"/>
  <c r="O266" i="12"/>
  <c r="L266" i="12"/>
  <c r="I266" i="12"/>
  <c r="F266" i="12"/>
  <c r="C266" i="12" s="1"/>
  <c r="O265" i="12"/>
  <c r="L265" i="12"/>
  <c r="I265" i="12"/>
  <c r="I264" i="12" s="1"/>
  <c r="F265" i="12"/>
  <c r="N264" i="12"/>
  <c r="M264" i="12"/>
  <c r="K264" i="12"/>
  <c r="J264" i="12"/>
  <c r="H264" i="12"/>
  <c r="G264" i="12"/>
  <c r="E264" i="12"/>
  <c r="D264" i="12"/>
  <c r="O263" i="12"/>
  <c r="L263" i="12"/>
  <c r="I263" i="12"/>
  <c r="F263" i="12"/>
  <c r="O262" i="12"/>
  <c r="L262" i="12"/>
  <c r="I262" i="12"/>
  <c r="F262" i="12"/>
  <c r="O261" i="12"/>
  <c r="L261" i="12"/>
  <c r="L260" i="12" s="1"/>
  <c r="I261" i="12"/>
  <c r="F261" i="12"/>
  <c r="N260" i="12"/>
  <c r="N259" i="12" s="1"/>
  <c r="M260" i="12"/>
  <c r="M259" i="12" s="1"/>
  <c r="K260" i="12"/>
  <c r="J260" i="12"/>
  <c r="I260" i="12"/>
  <c r="I259" i="12" s="1"/>
  <c r="H260" i="12"/>
  <c r="H259" i="12" s="1"/>
  <c r="G260" i="12"/>
  <c r="E260" i="12"/>
  <c r="D260" i="12"/>
  <c r="O258" i="12"/>
  <c r="L258" i="12"/>
  <c r="I258" i="12"/>
  <c r="F258" i="12"/>
  <c r="O257" i="12"/>
  <c r="L257" i="12"/>
  <c r="I257" i="12"/>
  <c r="F257" i="12"/>
  <c r="O256" i="12"/>
  <c r="L256" i="12"/>
  <c r="I256" i="12"/>
  <c r="F256" i="12"/>
  <c r="O255" i="12"/>
  <c r="L255" i="12"/>
  <c r="I255" i="12"/>
  <c r="F255" i="12"/>
  <c r="O254" i="12"/>
  <c r="L254" i="12"/>
  <c r="I254" i="12"/>
  <c r="F254" i="12"/>
  <c r="O253" i="12"/>
  <c r="L253" i="12"/>
  <c r="I253" i="12"/>
  <c r="I252" i="12" s="1"/>
  <c r="I251" i="12" s="1"/>
  <c r="F253" i="12"/>
  <c r="N252" i="12"/>
  <c r="N251" i="12" s="1"/>
  <c r="M252" i="12"/>
  <c r="M251" i="12" s="1"/>
  <c r="K252" i="12"/>
  <c r="J252" i="12"/>
  <c r="J251" i="12" s="1"/>
  <c r="H252" i="12"/>
  <c r="H251" i="12" s="1"/>
  <c r="G252" i="12"/>
  <c r="E252" i="12"/>
  <c r="E251" i="12" s="1"/>
  <c r="D252" i="12"/>
  <c r="D251" i="12" s="1"/>
  <c r="K251" i="12"/>
  <c r="G251" i="12"/>
  <c r="O250" i="12"/>
  <c r="L250" i="12"/>
  <c r="I250" i="12"/>
  <c r="F250" i="12"/>
  <c r="O249" i="12"/>
  <c r="L249" i="12"/>
  <c r="I249" i="12"/>
  <c r="F249" i="12"/>
  <c r="O248" i="12"/>
  <c r="L248" i="12"/>
  <c r="I248" i="12"/>
  <c r="F248" i="12"/>
  <c r="O247" i="12"/>
  <c r="O246" i="12" s="1"/>
  <c r="L247" i="12"/>
  <c r="I247" i="12"/>
  <c r="F247" i="12"/>
  <c r="F246" i="12" s="1"/>
  <c r="N246" i="12"/>
  <c r="M246" i="12"/>
  <c r="K246" i="12"/>
  <c r="J246" i="12"/>
  <c r="H246" i="12"/>
  <c r="G246" i="12"/>
  <c r="E246" i="12"/>
  <c r="D246" i="12"/>
  <c r="O245" i="12"/>
  <c r="L245" i="12"/>
  <c r="I245" i="12"/>
  <c r="F245" i="12"/>
  <c r="O244" i="12"/>
  <c r="L244" i="12"/>
  <c r="I244" i="12"/>
  <c r="F244" i="12"/>
  <c r="O243" i="12"/>
  <c r="L243" i="12"/>
  <c r="I243" i="12"/>
  <c r="F243" i="12"/>
  <c r="O242" i="12"/>
  <c r="L242" i="12"/>
  <c r="I242" i="12"/>
  <c r="F242" i="12"/>
  <c r="O241" i="12"/>
  <c r="L241" i="12"/>
  <c r="I241" i="12"/>
  <c r="F241" i="12"/>
  <c r="O240" i="12"/>
  <c r="L240" i="12"/>
  <c r="I240" i="12"/>
  <c r="F240" i="12"/>
  <c r="O239" i="12"/>
  <c r="L239" i="12"/>
  <c r="L238" i="12" s="1"/>
  <c r="I239" i="12"/>
  <c r="F239" i="12"/>
  <c r="N238" i="12"/>
  <c r="M238" i="12"/>
  <c r="K238" i="12"/>
  <c r="J238" i="12"/>
  <c r="H238" i="12"/>
  <c r="G238" i="12"/>
  <c r="E238" i="12"/>
  <c r="D238" i="12"/>
  <c r="O237" i="12"/>
  <c r="L237" i="12"/>
  <c r="I237" i="12"/>
  <c r="F237" i="12"/>
  <c r="O236" i="12"/>
  <c r="L236" i="12"/>
  <c r="L235" i="12" s="1"/>
  <c r="I236" i="12"/>
  <c r="F236" i="12"/>
  <c r="O235" i="12"/>
  <c r="N235" i="12"/>
  <c r="M235" i="12"/>
  <c r="K235" i="12"/>
  <c r="J235" i="12"/>
  <c r="H235" i="12"/>
  <c r="G235" i="12"/>
  <c r="F235" i="12"/>
  <c r="E235" i="12"/>
  <c r="D235" i="12"/>
  <c r="O234" i="12"/>
  <c r="O233" i="12" s="1"/>
  <c r="L234" i="12"/>
  <c r="L233" i="12" s="1"/>
  <c r="I234" i="12"/>
  <c r="I233" i="12" s="1"/>
  <c r="F234" i="12"/>
  <c r="N233" i="12"/>
  <c r="M233" i="12"/>
  <c r="M231" i="12" s="1"/>
  <c r="K233" i="12"/>
  <c r="J233" i="12"/>
  <c r="H233" i="12"/>
  <c r="H231" i="12" s="1"/>
  <c r="G233" i="12"/>
  <c r="E233" i="12"/>
  <c r="D233" i="12"/>
  <c r="D231" i="12" s="1"/>
  <c r="O232" i="12"/>
  <c r="L232" i="12"/>
  <c r="I232" i="12"/>
  <c r="F232" i="12"/>
  <c r="E231" i="12"/>
  <c r="O229" i="12"/>
  <c r="L229" i="12"/>
  <c r="I229" i="12"/>
  <c r="F229" i="12"/>
  <c r="O228" i="12"/>
  <c r="L228" i="12"/>
  <c r="I228" i="12"/>
  <c r="F228" i="12"/>
  <c r="F227" i="12" s="1"/>
  <c r="O227" i="12"/>
  <c r="N227" i="12"/>
  <c r="M227" i="12"/>
  <c r="L227" i="12"/>
  <c r="K227" i="12"/>
  <c r="J227" i="12"/>
  <c r="H227" i="12"/>
  <c r="G227" i="12"/>
  <c r="E227" i="12"/>
  <c r="D227" i="12"/>
  <c r="O226" i="12"/>
  <c r="L226" i="12"/>
  <c r="C226" i="12" s="1"/>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O217" i="12"/>
  <c r="L217" i="12"/>
  <c r="I217" i="12"/>
  <c r="F217" i="12"/>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L205" i="12" s="1"/>
  <c r="I206" i="12"/>
  <c r="F206" i="12"/>
  <c r="N205" i="12"/>
  <c r="M205" i="12"/>
  <c r="M204" i="12" s="1"/>
  <c r="K205" i="12"/>
  <c r="K204" i="12" s="1"/>
  <c r="J205" i="12"/>
  <c r="H205" i="12"/>
  <c r="G205" i="12"/>
  <c r="G204" i="12" s="1"/>
  <c r="E205" i="12"/>
  <c r="D205" i="12"/>
  <c r="O203" i="12"/>
  <c r="L203" i="12"/>
  <c r="I203" i="12"/>
  <c r="F203" i="12"/>
  <c r="O202" i="12"/>
  <c r="L202" i="12"/>
  <c r="I202" i="12"/>
  <c r="F202" i="12"/>
  <c r="O201" i="12"/>
  <c r="L201" i="12"/>
  <c r="I201" i="12"/>
  <c r="F201" i="12"/>
  <c r="O200" i="12"/>
  <c r="L200" i="12"/>
  <c r="I200" i="12"/>
  <c r="F200" i="12"/>
  <c r="O199" i="12"/>
  <c r="L199" i="12"/>
  <c r="L198" i="12" s="1"/>
  <c r="I199" i="12"/>
  <c r="F199" i="12"/>
  <c r="F198" i="12" s="1"/>
  <c r="O198" i="12"/>
  <c r="N198" i="12"/>
  <c r="M198" i="12"/>
  <c r="K198" i="12"/>
  <c r="K196" i="12" s="1"/>
  <c r="J198" i="12"/>
  <c r="J196" i="12" s="1"/>
  <c r="H198" i="12"/>
  <c r="H196" i="12" s="1"/>
  <c r="G198" i="12"/>
  <c r="G196" i="12" s="1"/>
  <c r="E198" i="12"/>
  <c r="E196" i="12" s="1"/>
  <c r="D198" i="12"/>
  <c r="D196" i="12" s="1"/>
  <c r="O197" i="12"/>
  <c r="L197" i="12"/>
  <c r="I197" i="12"/>
  <c r="F197" i="12"/>
  <c r="N196" i="12"/>
  <c r="M196" i="12"/>
  <c r="O193" i="12"/>
  <c r="L193" i="12"/>
  <c r="L192" i="12" s="1"/>
  <c r="L191" i="12" s="1"/>
  <c r="I193" i="12"/>
  <c r="I192" i="12" s="1"/>
  <c r="I191" i="12" s="1"/>
  <c r="F193" i="12"/>
  <c r="O192" i="12"/>
  <c r="O191" i="12" s="1"/>
  <c r="N192" i="12"/>
  <c r="N191" i="12" s="1"/>
  <c r="M192" i="12"/>
  <c r="M191" i="12" s="1"/>
  <c r="K192" i="12"/>
  <c r="K191" i="12" s="1"/>
  <c r="J192" i="12"/>
  <c r="J191" i="12" s="1"/>
  <c r="H192" i="12"/>
  <c r="H191" i="12" s="1"/>
  <c r="G192" i="12"/>
  <c r="G191" i="12" s="1"/>
  <c r="E192" i="12"/>
  <c r="E191" i="12" s="1"/>
  <c r="D192" i="12"/>
  <c r="D191" i="12" s="1"/>
  <c r="O190" i="12"/>
  <c r="L190" i="12"/>
  <c r="I190" i="12"/>
  <c r="F190" i="12"/>
  <c r="O189" i="12"/>
  <c r="O188" i="12" s="1"/>
  <c r="L189" i="12"/>
  <c r="L188" i="12" s="1"/>
  <c r="I189" i="12"/>
  <c r="F189" i="12"/>
  <c r="N188" i="12"/>
  <c r="M188" i="12"/>
  <c r="K188" i="12"/>
  <c r="J188" i="12"/>
  <c r="H188" i="12"/>
  <c r="G188" i="12"/>
  <c r="E188" i="12"/>
  <c r="D188" i="12"/>
  <c r="O186" i="12"/>
  <c r="L186" i="12"/>
  <c r="I186" i="12"/>
  <c r="F186" i="12"/>
  <c r="O185" i="12"/>
  <c r="O184" i="12" s="1"/>
  <c r="L185" i="12"/>
  <c r="L184" i="12" s="1"/>
  <c r="I185" i="12"/>
  <c r="F185" i="12"/>
  <c r="F184" i="12" s="1"/>
  <c r="N184" i="12"/>
  <c r="M184" i="12"/>
  <c r="K184" i="12"/>
  <c r="J184" i="12"/>
  <c r="H184" i="12"/>
  <c r="G184" i="12"/>
  <c r="E184" i="12"/>
  <c r="D184" i="12"/>
  <c r="O183" i="12"/>
  <c r="L183" i="12"/>
  <c r="I183" i="12"/>
  <c r="F183" i="12"/>
  <c r="O182" i="12"/>
  <c r="L182" i="12"/>
  <c r="I182" i="12"/>
  <c r="F182" i="12"/>
  <c r="O181" i="12"/>
  <c r="L181" i="12"/>
  <c r="I181" i="12"/>
  <c r="F181" i="12"/>
  <c r="O180" i="12"/>
  <c r="L180" i="12"/>
  <c r="L179" i="12" s="1"/>
  <c r="I180" i="12"/>
  <c r="I179" i="12" s="1"/>
  <c r="F180" i="12"/>
  <c r="N179" i="12"/>
  <c r="M179" i="12"/>
  <c r="K179" i="12"/>
  <c r="J179" i="12"/>
  <c r="H179" i="12"/>
  <c r="G179" i="12"/>
  <c r="E179" i="12"/>
  <c r="D179" i="12"/>
  <c r="O178" i="12"/>
  <c r="L178" i="12"/>
  <c r="I178" i="12"/>
  <c r="F178" i="12"/>
  <c r="O177" i="12"/>
  <c r="L177" i="12"/>
  <c r="I177" i="12"/>
  <c r="F177" i="12"/>
  <c r="O176" i="12"/>
  <c r="L176" i="12"/>
  <c r="L175" i="12" s="1"/>
  <c r="I176" i="12"/>
  <c r="I175" i="12" s="1"/>
  <c r="F176" i="12"/>
  <c r="F175" i="12" s="1"/>
  <c r="N175" i="12"/>
  <c r="M175" i="12"/>
  <c r="K175" i="12"/>
  <c r="J175" i="12"/>
  <c r="H175" i="12"/>
  <c r="G175" i="12"/>
  <c r="G174" i="12" s="1"/>
  <c r="E175" i="12"/>
  <c r="D175" i="12"/>
  <c r="J174" i="12"/>
  <c r="E174" i="12"/>
  <c r="E173" i="12" s="1"/>
  <c r="O172" i="12"/>
  <c r="L172" i="12"/>
  <c r="I172" i="12"/>
  <c r="F172" i="12"/>
  <c r="O171" i="12"/>
  <c r="L171" i="12"/>
  <c r="I171" i="12"/>
  <c r="F171" i="12"/>
  <c r="O170" i="12"/>
  <c r="L170" i="12"/>
  <c r="I170" i="12"/>
  <c r="F170" i="12"/>
  <c r="O169" i="12"/>
  <c r="L169" i="12"/>
  <c r="I169" i="12"/>
  <c r="F169" i="12"/>
  <c r="O168" i="12"/>
  <c r="L168" i="12"/>
  <c r="I168" i="12"/>
  <c r="F168" i="12"/>
  <c r="O167" i="12"/>
  <c r="L167" i="12"/>
  <c r="I167" i="12"/>
  <c r="I166" i="12" s="1"/>
  <c r="I165" i="12" s="1"/>
  <c r="F167" i="12"/>
  <c r="N166" i="12"/>
  <c r="N165" i="12" s="1"/>
  <c r="M166" i="12"/>
  <c r="M165" i="12" s="1"/>
  <c r="K166" i="12"/>
  <c r="K165" i="12" s="1"/>
  <c r="J166" i="12"/>
  <c r="J165" i="12" s="1"/>
  <c r="H166" i="12"/>
  <c r="G166" i="12"/>
  <c r="E166" i="12"/>
  <c r="E165" i="12" s="1"/>
  <c r="D166" i="12"/>
  <c r="D165" i="12" s="1"/>
  <c r="H165" i="12"/>
  <c r="G165" i="12"/>
  <c r="O164" i="12"/>
  <c r="L164" i="12"/>
  <c r="I164" i="12"/>
  <c r="F164" i="12"/>
  <c r="O163" i="12"/>
  <c r="L163" i="12"/>
  <c r="I163" i="12"/>
  <c r="F163" i="12"/>
  <c r="O162" i="12"/>
  <c r="L162" i="12"/>
  <c r="I162" i="12"/>
  <c r="F162" i="12"/>
  <c r="O161" i="12"/>
  <c r="L161" i="12"/>
  <c r="L160" i="12" s="1"/>
  <c r="I161" i="12"/>
  <c r="F161" i="12"/>
  <c r="O160" i="12"/>
  <c r="N160" i="12"/>
  <c r="M160" i="12"/>
  <c r="K160" i="12"/>
  <c r="J160" i="12"/>
  <c r="H160" i="12"/>
  <c r="G160" i="12"/>
  <c r="F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F152"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O144" i="12" s="1"/>
  <c r="L145" i="12"/>
  <c r="L144" i="12" s="1"/>
  <c r="I145" i="12"/>
  <c r="F145" i="12"/>
  <c r="N144" i="12"/>
  <c r="M144" i="12"/>
  <c r="K144" i="12"/>
  <c r="J144" i="12"/>
  <c r="H144" i="12"/>
  <c r="G144" i="12"/>
  <c r="E144" i="12"/>
  <c r="D144" i="12"/>
  <c r="O143" i="12"/>
  <c r="L143" i="12"/>
  <c r="I143" i="12"/>
  <c r="F143" i="12"/>
  <c r="O142" i="12"/>
  <c r="L142" i="12"/>
  <c r="L141" i="12" s="1"/>
  <c r="I142" i="12"/>
  <c r="I141" i="12" s="1"/>
  <c r="F142" i="12"/>
  <c r="O141" i="12"/>
  <c r="N141" i="12"/>
  <c r="M141" i="12"/>
  <c r="K141" i="12"/>
  <c r="J141" i="12"/>
  <c r="H141" i="12"/>
  <c r="G141" i="12"/>
  <c r="F141" i="12"/>
  <c r="E141" i="12"/>
  <c r="D141" i="12"/>
  <c r="O140" i="12"/>
  <c r="L140" i="12"/>
  <c r="I140" i="12"/>
  <c r="F140" i="12"/>
  <c r="O139" i="12"/>
  <c r="L139" i="12"/>
  <c r="I139" i="12"/>
  <c r="F139" i="12"/>
  <c r="O138" i="12"/>
  <c r="L138" i="12"/>
  <c r="I138" i="12"/>
  <c r="F138" i="12"/>
  <c r="O137" i="12"/>
  <c r="O136" i="12" s="1"/>
  <c r="L137" i="12"/>
  <c r="L136" i="12" s="1"/>
  <c r="I137" i="12"/>
  <c r="F137" i="12"/>
  <c r="N136" i="12"/>
  <c r="M136" i="12"/>
  <c r="K136" i="12"/>
  <c r="J136" i="12"/>
  <c r="H136" i="12"/>
  <c r="G136" i="12"/>
  <c r="E136" i="12"/>
  <c r="D136" i="12"/>
  <c r="O135" i="12"/>
  <c r="L135" i="12"/>
  <c r="I135" i="12"/>
  <c r="F135" i="12"/>
  <c r="O134" i="12"/>
  <c r="L134" i="12"/>
  <c r="I134" i="12"/>
  <c r="F134" i="12"/>
  <c r="O133" i="12"/>
  <c r="L133" i="12"/>
  <c r="I133" i="12"/>
  <c r="F133" i="12"/>
  <c r="O132" i="12"/>
  <c r="L132" i="12"/>
  <c r="L131" i="12" s="1"/>
  <c r="I132" i="12"/>
  <c r="I131" i="12" s="1"/>
  <c r="F132" i="12"/>
  <c r="F131" i="12" s="1"/>
  <c r="N131" i="12"/>
  <c r="M131" i="12"/>
  <c r="K131" i="12"/>
  <c r="J131" i="12"/>
  <c r="H131" i="12"/>
  <c r="G131" i="12"/>
  <c r="E131" i="12"/>
  <c r="D131" i="12"/>
  <c r="D130" i="12" s="1"/>
  <c r="O129" i="12"/>
  <c r="O128" i="12" s="1"/>
  <c r="L129" i="12"/>
  <c r="I129" i="12"/>
  <c r="I128" i="12" s="1"/>
  <c r="F129" i="12"/>
  <c r="N128" i="12"/>
  <c r="M128" i="12"/>
  <c r="K128" i="12"/>
  <c r="J128" i="12"/>
  <c r="H128" i="12"/>
  <c r="G128" i="12"/>
  <c r="F128" i="12"/>
  <c r="E128" i="12"/>
  <c r="D128" i="12"/>
  <c r="O127" i="12"/>
  <c r="L127" i="12"/>
  <c r="I127" i="12"/>
  <c r="F127" i="12"/>
  <c r="O126" i="12"/>
  <c r="L126" i="12"/>
  <c r="I126" i="12"/>
  <c r="F126" i="12"/>
  <c r="O125" i="12"/>
  <c r="L125" i="12"/>
  <c r="I125" i="12"/>
  <c r="F125" i="12"/>
  <c r="O124" i="12"/>
  <c r="L124" i="12"/>
  <c r="I124" i="12"/>
  <c r="F124" i="12"/>
  <c r="O123" i="12"/>
  <c r="L123" i="12"/>
  <c r="I123" i="12"/>
  <c r="I122" i="12" s="1"/>
  <c r="F123" i="12"/>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L117" i="12"/>
  <c r="I117" i="12"/>
  <c r="F117" i="12"/>
  <c r="N116" i="12"/>
  <c r="M116" i="12"/>
  <c r="K116" i="12"/>
  <c r="J116" i="12"/>
  <c r="H116" i="12"/>
  <c r="G116" i="12"/>
  <c r="E116" i="12"/>
  <c r="D116" i="12"/>
  <c r="O115" i="12"/>
  <c r="L115" i="12"/>
  <c r="I115" i="12"/>
  <c r="F115" i="12"/>
  <c r="O114" i="12"/>
  <c r="L114" i="12"/>
  <c r="I114" i="12"/>
  <c r="F114" i="12"/>
  <c r="O113" i="12"/>
  <c r="L113" i="12"/>
  <c r="I113" i="12"/>
  <c r="F113" i="12"/>
  <c r="O112" i="12"/>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L103" i="12" s="1"/>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N95" i="12"/>
  <c r="M95" i="12"/>
  <c r="K95" i="12"/>
  <c r="J95" i="12"/>
  <c r="H95" i="12"/>
  <c r="G95" i="12"/>
  <c r="E95" i="12"/>
  <c r="D95" i="12"/>
  <c r="O94" i="12"/>
  <c r="L94" i="12"/>
  <c r="I94" i="12"/>
  <c r="F94" i="12"/>
  <c r="O93" i="12"/>
  <c r="L93" i="12"/>
  <c r="I93" i="12"/>
  <c r="F93" i="12"/>
  <c r="O92" i="12"/>
  <c r="L92" i="12"/>
  <c r="I92" i="12"/>
  <c r="F92" i="12"/>
  <c r="O91" i="12"/>
  <c r="L91" i="12"/>
  <c r="I91" i="12"/>
  <c r="F91" i="12"/>
  <c r="O90" i="12"/>
  <c r="L90" i="12"/>
  <c r="I90" i="12"/>
  <c r="F90" i="12"/>
  <c r="F89" i="12" s="1"/>
  <c r="N89" i="12"/>
  <c r="M89" i="12"/>
  <c r="K89" i="12"/>
  <c r="J89" i="12"/>
  <c r="H89" i="12"/>
  <c r="G89" i="12"/>
  <c r="E89" i="12"/>
  <c r="D89" i="12"/>
  <c r="O88" i="12"/>
  <c r="L88" i="12"/>
  <c r="I88" i="12"/>
  <c r="F88" i="12"/>
  <c r="O87" i="12"/>
  <c r="L87" i="12"/>
  <c r="I87" i="12"/>
  <c r="F87" i="12"/>
  <c r="O86" i="12"/>
  <c r="L86" i="12"/>
  <c r="I86" i="12"/>
  <c r="F86" i="12"/>
  <c r="O85" i="12"/>
  <c r="O84" i="12" s="1"/>
  <c r="L85" i="12"/>
  <c r="I85" i="12"/>
  <c r="F85" i="12"/>
  <c r="N84" i="12"/>
  <c r="M84" i="12"/>
  <c r="K84" i="12"/>
  <c r="J84" i="12"/>
  <c r="H84" i="12"/>
  <c r="G84" i="12"/>
  <c r="G83" i="12" s="1"/>
  <c r="E84" i="12"/>
  <c r="D84" i="12"/>
  <c r="O82" i="12"/>
  <c r="L82" i="12"/>
  <c r="I82" i="12"/>
  <c r="F82" i="12"/>
  <c r="O81" i="12"/>
  <c r="L81" i="12"/>
  <c r="I81" i="12"/>
  <c r="I80" i="12" s="1"/>
  <c r="F81" i="12"/>
  <c r="O80" i="12"/>
  <c r="N80" i="12"/>
  <c r="M80" i="12"/>
  <c r="K80" i="12"/>
  <c r="J80" i="12"/>
  <c r="H80" i="12"/>
  <c r="G80" i="12"/>
  <c r="F80" i="12"/>
  <c r="E80" i="12"/>
  <c r="D80" i="12"/>
  <c r="O79" i="12"/>
  <c r="L79" i="12"/>
  <c r="I79" i="12"/>
  <c r="F79" i="12"/>
  <c r="O78" i="12"/>
  <c r="L78" i="12"/>
  <c r="L77" i="12" s="1"/>
  <c r="I78" i="12"/>
  <c r="I77" i="12" s="1"/>
  <c r="I76" i="12" s="1"/>
  <c r="F78" i="12"/>
  <c r="O77" i="12"/>
  <c r="N77" i="12"/>
  <c r="M77" i="12"/>
  <c r="M76" i="12" s="1"/>
  <c r="K77" i="12"/>
  <c r="J77" i="12"/>
  <c r="H77" i="12"/>
  <c r="G77" i="12"/>
  <c r="G76" i="12" s="1"/>
  <c r="F77" i="12"/>
  <c r="E77" i="12"/>
  <c r="D77" i="12"/>
  <c r="O76" i="12"/>
  <c r="O74" i="12"/>
  <c r="L74" i="12"/>
  <c r="I74" i="12"/>
  <c r="F74" i="12"/>
  <c r="O73" i="12"/>
  <c r="L73" i="12"/>
  <c r="I73" i="12"/>
  <c r="F73" i="12"/>
  <c r="O72" i="12"/>
  <c r="L72" i="12"/>
  <c r="I72" i="12"/>
  <c r="F72" i="12"/>
  <c r="O71" i="12"/>
  <c r="L71" i="12"/>
  <c r="I71" i="12"/>
  <c r="F71" i="12"/>
  <c r="O70" i="12"/>
  <c r="L70" i="12"/>
  <c r="L69" i="12" s="1"/>
  <c r="I70" i="12"/>
  <c r="I69" i="12" s="1"/>
  <c r="F70" i="12"/>
  <c r="F69" i="12" s="1"/>
  <c r="N69" i="12"/>
  <c r="N67" i="12" s="1"/>
  <c r="M69" i="12"/>
  <c r="K69" i="12"/>
  <c r="K67" i="12" s="1"/>
  <c r="J69" i="12"/>
  <c r="J67" i="12" s="1"/>
  <c r="H69" i="12"/>
  <c r="H67" i="12" s="1"/>
  <c r="G69" i="12"/>
  <c r="G67" i="12" s="1"/>
  <c r="E69" i="12"/>
  <c r="D69" i="12"/>
  <c r="O68" i="12"/>
  <c r="L68" i="12"/>
  <c r="I68" i="12"/>
  <c r="F68" i="12"/>
  <c r="M67" i="12"/>
  <c r="E67" i="12"/>
  <c r="D67"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I59" i="12"/>
  <c r="F59" i="12"/>
  <c r="N58" i="12"/>
  <c r="M58" i="12"/>
  <c r="K58" i="12"/>
  <c r="J58" i="12"/>
  <c r="H58" i="12"/>
  <c r="G58" i="12"/>
  <c r="E58" i="12"/>
  <c r="D58" i="12"/>
  <c r="O57" i="12"/>
  <c r="L57" i="12"/>
  <c r="I57" i="12"/>
  <c r="F57" i="12"/>
  <c r="O56" i="12"/>
  <c r="O55" i="12" s="1"/>
  <c r="L56" i="12"/>
  <c r="L55" i="12" s="1"/>
  <c r="I56" i="12"/>
  <c r="I55" i="12" s="1"/>
  <c r="F56" i="12"/>
  <c r="F55" i="12" s="1"/>
  <c r="N55" i="12"/>
  <c r="N54" i="12" s="1"/>
  <c r="M55" i="12"/>
  <c r="M54" i="12" s="1"/>
  <c r="K55" i="12"/>
  <c r="J55" i="12"/>
  <c r="J54" i="12" s="1"/>
  <c r="H55" i="12"/>
  <c r="H54" i="12" s="1"/>
  <c r="G55" i="12"/>
  <c r="E55" i="12"/>
  <c r="E54" i="12" s="1"/>
  <c r="E53" i="12" s="1"/>
  <c r="D55" i="12"/>
  <c r="D54" i="12" s="1"/>
  <c r="O47" i="12"/>
  <c r="C47" i="12" s="1"/>
  <c r="O46" i="12"/>
  <c r="N45" i="12"/>
  <c r="M45" i="12"/>
  <c r="L44" i="12"/>
  <c r="L43" i="12" s="1"/>
  <c r="I44" i="12"/>
  <c r="I43" i="12" s="1"/>
  <c r="F44" i="12"/>
  <c r="K43" i="12"/>
  <c r="J43" i="12"/>
  <c r="H43" i="12"/>
  <c r="G43" i="12"/>
  <c r="E43" i="12"/>
  <c r="D43" i="12"/>
  <c r="F42" i="12"/>
  <c r="C42" i="12" s="1"/>
  <c r="E41" i="12"/>
  <c r="D41" i="12"/>
  <c r="L40" i="12"/>
  <c r="C40" i="12" s="1"/>
  <c r="L39" i="12"/>
  <c r="C39" i="12" s="1"/>
  <c r="L38" i="12"/>
  <c r="C38" i="12" s="1"/>
  <c r="L37" i="12"/>
  <c r="C37" i="12" s="1"/>
  <c r="K36" i="12"/>
  <c r="J36" i="12"/>
  <c r="L35" i="12"/>
  <c r="C35" i="12" s="1"/>
  <c r="L34" i="12"/>
  <c r="C34" i="12" s="1"/>
  <c r="K33" i="12"/>
  <c r="J33" i="12"/>
  <c r="L32" i="12"/>
  <c r="L31" i="12" s="1"/>
  <c r="K31" i="12"/>
  <c r="J31" i="12"/>
  <c r="L30" i="12"/>
  <c r="C30" i="12" s="1"/>
  <c r="L29" i="12"/>
  <c r="C29" i="12" s="1"/>
  <c r="L28" i="12"/>
  <c r="C28" i="12" s="1"/>
  <c r="K27" i="12"/>
  <c r="K26" i="12" s="1"/>
  <c r="J27" i="12"/>
  <c r="F25" i="12"/>
  <c r="C25" i="12" s="1"/>
  <c r="I24" i="12"/>
  <c r="O23" i="12"/>
  <c r="L23" i="12"/>
  <c r="I23" i="12"/>
  <c r="F23" i="12"/>
  <c r="O22" i="12"/>
  <c r="L22" i="12"/>
  <c r="L21" i="12" s="1"/>
  <c r="I22" i="12"/>
  <c r="I21" i="12" s="1"/>
  <c r="F22" i="12"/>
  <c r="O21" i="12"/>
  <c r="O292" i="12" s="1"/>
  <c r="O291" i="12" s="1"/>
  <c r="N21" i="12"/>
  <c r="N292" i="12" s="1"/>
  <c r="N291" i="12" s="1"/>
  <c r="M21" i="12"/>
  <c r="M292" i="12" s="1"/>
  <c r="M291" i="12" s="1"/>
  <c r="K21" i="12"/>
  <c r="K292" i="12" s="1"/>
  <c r="K291" i="12" s="1"/>
  <c r="J21" i="12"/>
  <c r="J292" i="12" s="1"/>
  <c r="J291" i="12" s="1"/>
  <c r="H21" i="12"/>
  <c r="H292" i="12" s="1"/>
  <c r="H291" i="12" s="1"/>
  <c r="G21" i="12"/>
  <c r="G292" i="12" s="1"/>
  <c r="G291" i="12" s="1"/>
  <c r="F21" i="12"/>
  <c r="F292" i="12" s="1"/>
  <c r="E21" i="12"/>
  <c r="E292" i="12" s="1"/>
  <c r="E291" i="12" s="1"/>
  <c r="D21" i="12"/>
  <c r="D292" i="12" s="1"/>
  <c r="D291" i="12" s="1"/>
  <c r="M20" i="12"/>
  <c r="K195" i="12" l="1"/>
  <c r="E83" i="12"/>
  <c r="L187" i="12"/>
  <c r="C278" i="12"/>
  <c r="G259" i="12"/>
  <c r="H53" i="12"/>
  <c r="C96" i="12"/>
  <c r="C121" i="12"/>
  <c r="D259" i="12"/>
  <c r="C59" i="12"/>
  <c r="C62" i="12"/>
  <c r="O276" i="12"/>
  <c r="C64" i="12"/>
  <c r="D76" i="12"/>
  <c r="H76" i="12"/>
  <c r="N76" i="12"/>
  <c r="N75" i="12" s="1"/>
  <c r="N52" i="12" s="1"/>
  <c r="C108" i="12"/>
  <c r="C137" i="12"/>
  <c r="C138" i="12"/>
  <c r="C140" i="12"/>
  <c r="N174" i="12"/>
  <c r="C214" i="12"/>
  <c r="C254" i="12"/>
  <c r="C242" i="12"/>
  <c r="C243" i="12"/>
  <c r="C245" i="12"/>
  <c r="C63" i="12"/>
  <c r="C222" i="12"/>
  <c r="C225" i="12"/>
  <c r="C68" i="12"/>
  <c r="C92" i="12"/>
  <c r="C105" i="12"/>
  <c r="C106" i="12"/>
  <c r="C107" i="12"/>
  <c r="N130" i="12"/>
  <c r="C157" i="12"/>
  <c r="C158" i="12"/>
  <c r="C159" i="12"/>
  <c r="K174" i="12"/>
  <c r="K173" i="12" s="1"/>
  <c r="C177" i="12"/>
  <c r="C202" i="12"/>
  <c r="C44" i="12"/>
  <c r="C32" i="12"/>
  <c r="L33" i="12"/>
  <c r="C33" i="12" s="1"/>
  <c r="M83" i="12"/>
  <c r="C113" i="12"/>
  <c r="C117" i="12"/>
  <c r="C172" i="12"/>
  <c r="G187" i="12"/>
  <c r="C212" i="12"/>
  <c r="C218" i="12"/>
  <c r="C220" i="12"/>
  <c r="K231" i="12"/>
  <c r="C298" i="12"/>
  <c r="C299" i="12"/>
  <c r="K76" i="12"/>
  <c r="O89" i="12"/>
  <c r="L166" i="12"/>
  <c r="L165" i="12" s="1"/>
  <c r="C181" i="12"/>
  <c r="C183" i="12"/>
  <c r="J187" i="12"/>
  <c r="O196" i="12"/>
  <c r="N231" i="12"/>
  <c r="C250" i="12"/>
  <c r="G270" i="12"/>
  <c r="C294" i="12"/>
  <c r="C124" i="12"/>
  <c r="C127" i="12"/>
  <c r="E130" i="12"/>
  <c r="J173" i="12"/>
  <c r="C185" i="12"/>
  <c r="M187" i="12"/>
  <c r="J231" i="12"/>
  <c r="C262" i="12"/>
  <c r="J259" i="12"/>
  <c r="O264" i="12"/>
  <c r="O259" i="12" s="1"/>
  <c r="C282" i="12"/>
  <c r="I67" i="12"/>
  <c r="C88" i="12"/>
  <c r="E187" i="12"/>
  <c r="N187" i="12"/>
  <c r="O252" i="12"/>
  <c r="O251" i="12" s="1"/>
  <c r="K259" i="12"/>
  <c r="C274" i="12"/>
  <c r="H269" i="12"/>
  <c r="C85" i="12"/>
  <c r="I151" i="12"/>
  <c r="H230" i="12"/>
  <c r="I58" i="12"/>
  <c r="I54" i="12" s="1"/>
  <c r="C66" i="12"/>
  <c r="C149" i="12"/>
  <c r="C182" i="12"/>
  <c r="H204" i="12"/>
  <c r="H195" i="12" s="1"/>
  <c r="C224" i="12"/>
  <c r="J26" i="12"/>
  <c r="L36" i="12"/>
  <c r="C36" i="12" s="1"/>
  <c r="C46" i="12"/>
  <c r="O45" i="12"/>
  <c r="C45" i="12" s="1"/>
  <c r="M53" i="12"/>
  <c r="C57" i="12"/>
  <c r="C82" i="12"/>
  <c r="C101" i="12"/>
  <c r="F103" i="12"/>
  <c r="C109" i="12"/>
  <c r="I112" i="12"/>
  <c r="I116" i="12"/>
  <c r="C129" i="12"/>
  <c r="C133" i="12"/>
  <c r="C141" i="12"/>
  <c r="C142" i="12"/>
  <c r="C143" i="12"/>
  <c r="C145" i="12"/>
  <c r="C168" i="12"/>
  <c r="C169" i="12"/>
  <c r="L174" i="12"/>
  <c r="I174" i="12"/>
  <c r="C178" i="12"/>
  <c r="D187" i="12"/>
  <c r="D204" i="12"/>
  <c r="D195" i="12" s="1"/>
  <c r="C206" i="12"/>
  <c r="C210" i="12"/>
  <c r="C213" i="12"/>
  <c r="C244" i="12"/>
  <c r="C249" i="12"/>
  <c r="C258" i="12"/>
  <c r="C267" i="12"/>
  <c r="C268" i="12"/>
  <c r="L293" i="12"/>
  <c r="L27" i="12"/>
  <c r="C27" i="12" s="1"/>
  <c r="L67" i="12"/>
  <c r="L84" i="12"/>
  <c r="C86" i="12"/>
  <c r="H187" i="12"/>
  <c r="D230" i="12"/>
  <c r="C281" i="12"/>
  <c r="H20" i="12"/>
  <c r="C23" i="12"/>
  <c r="F41" i="12"/>
  <c r="C41" i="12" s="1"/>
  <c r="F43" i="12"/>
  <c r="C43" i="12" s="1"/>
  <c r="D53" i="12"/>
  <c r="C72" i="12"/>
  <c r="C74" i="12"/>
  <c r="C90" i="12"/>
  <c r="C91" i="12"/>
  <c r="C97" i="12"/>
  <c r="M130" i="12"/>
  <c r="M75" i="12" s="1"/>
  <c r="G130" i="12"/>
  <c r="G75" i="12" s="1"/>
  <c r="C148" i="12"/>
  <c r="C152" i="12"/>
  <c r="C156" i="12"/>
  <c r="N173" i="12"/>
  <c r="H174" i="12"/>
  <c r="H173" i="12" s="1"/>
  <c r="C189" i="12"/>
  <c r="F188" i="12"/>
  <c r="I216" i="12"/>
  <c r="C229" i="12"/>
  <c r="C234" i="12"/>
  <c r="F233" i="12"/>
  <c r="C233" i="12" s="1"/>
  <c r="K269" i="12"/>
  <c r="G269" i="12"/>
  <c r="G54" i="12"/>
  <c r="K54" i="12"/>
  <c r="K53" i="12" s="1"/>
  <c r="C56" i="12"/>
  <c r="L58" i="12"/>
  <c r="L54" i="12" s="1"/>
  <c r="F67" i="12"/>
  <c r="N53" i="12"/>
  <c r="C73" i="12"/>
  <c r="E76" i="12"/>
  <c r="E75" i="12" s="1"/>
  <c r="E52" i="12" s="1"/>
  <c r="J76" i="12"/>
  <c r="I84" i="12"/>
  <c r="N83" i="12"/>
  <c r="C100" i="12"/>
  <c r="H83" i="12"/>
  <c r="L122" i="12"/>
  <c r="I136" i="12"/>
  <c r="C146" i="12"/>
  <c r="C153" i="12"/>
  <c r="C171" i="12"/>
  <c r="D174" i="12"/>
  <c r="D173" i="12" s="1"/>
  <c r="M174" i="12"/>
  <c r="M173" i="12" s="1"/>
  <c r="C201" i="12"/>
  <c r="E204" i="12"/>
  <c r="E195" i="12" s="1"/>
  <c r="J204" i="12"/>
  <c r="J195" i="12" s="1"/>
  <c r="N204" i="12"/>
  <c r="N195" i="12" s="1"/>
  <c r="C255" i="12"/>
  <c r="C257" i="12"/>
  <c r="O260" i="12"/>
  <c r="O272" i="12"/>
  <c r="O270" i="12" s="1"/>
  <c r="O269" i="12" s="1"/>
  <c r="C280" i="12"/>
  <c r="O58" i="12"/>
  <c r="O54" i="12" s="1"/>
  <c r="C60" i="12"/>
  <c r="C65" i="12"/>
  <c r="J53" i="12"/>
  <c r="C70" i="12"/>
  <c r="C71" i="12"/>
  <c r="O69" i="12"/>
  <c r="C69" i="12" s="1"/>
  <c r="F76" i="12"/>
  <c r="C78" i="12"/>
  <c r="C79" i="12"/>
  <c r="C81" i="12"/>
  <c r="J83" i="12"/>
  <c r="C93" i="12"/>
  <c r="I95" i="12"/>
  <c r="C102" i="12"/>
  <c r="D83" i="12"/>
  <c r="D75" i="12" s="1"/>
  <c r="C110" i="12"/>
  <c r="C120" i="12"/>
  <c r="O116" i="12"/>
  <c r="C125" i="12"/>
  <c r="H130" i="12"/>
  <c r="C134" i="12"/>
  <c r="C135" i="12"/>
  <c r="J130" i="12"/>
  <c r="C164" i="12"/>
  <c r="C170" i="12"/>
  <c r="C180" i="12"/>
  <c r="G173" i="12"/>
  <c r="K187" i="12"/>
  <c r="O187" i="12"/>
  <c r="M195" i="12"/>
  <c r="G195" i="12"/>
  <c r="C207" i="12"/>
  <c r="C219" i="12"/>
  <c r="C221" i="12"/>
  <c r="C237" i="12"/>
  <c r="F238" i="12"/>
  <c r="F231" i="12" s="1"/>
  <c r="C241" i="12"/>
  <c r="O238" i="12"/>
  <c r="O231" i="12" s="1"/>
  <c r="L246" i="12"/>
  <c r="L252" i="12"/>
  <c r="L251" i="12" s="1"/>
  <c r="C256" i="12"/>
  <c r="L264" i="12"/>
  <c r="L259" i="12" s="1"/>
  <c r="C275" i="12"/>
  <c r="C31" i="12"/>
  <c r="G53" i="12"/>
  <c r="C21" i="12"/>
  <c r="I20" i="12"/>
  <c r="C55" i="12"/>
  <c r="C265" i="12"/>
  <c r="F264" i="12"/>
  <c r="C285" i="12"/>
  <c r="F284" i="12"/>
  <c r="C288" i="12"/>
  <c r="I286" i="12"/>
  <c r="I292" i="12" s="1"/>
  <c r="C296" i="12"/>
  <c r="I293" i="12"/>
  <c r="C301" i="12"/>
  <c r="C22" i="12"/>
  <c r="F58" i="12"/>
  <c r="C77" i="12"/>
  <c r="L80" i="12"/>
  <c r="C80" i="12" s="1"/>
  <c r="O95" i="12"/>
  <c r="O151" i="12"/>
  <c r="C161" i="12"/>
  <c r="C248" i="12"/>
  <c r="I246" i="12"/>
  <c r="C253" i="12"/>
  <c r="F252" i="12"/>
  <c r="C300" i="12"/>
  <c r="J20" i="12"/>
  <c r="N20" i="12"/>
  <c r="I89" i="12"/>
  <c r="L95" i="12"/>
  <c r="F95" i="12"/>
  <c r="L112" i="12"/>
  <c r="L116" i="12"/>
  <c r="C126" i="12"/>
  <c r="L128" i="12"/>
  <c r="C128" i="12" s="1"/>
  <c r="I144" i="12"/>
  <c r="L151" i="12"/>
  <c r="L130" i="12" s="1"/>
  <c r="F151" i="12"/>
  <c r="C163" i="12"/>
  <c r="F166" i="12"/>
  <c r="C167" i="12"/>
  <c r="O166" i="12"/>
  <c r="O165" i="12" s="1"/>
  <c r="C176" i="12"/>
  <c r="O175" i="12"/>
  <c r="C175" i="12" s="1"/>
  <c r="O179" i="12"/>
  <c r="C186" i="12"/>
  <c r="I184" i="12"/>
  <c r="C184" i="12" s="1"/>
  <c r="L196" i="12"/>
  <c r="C240" i="12"/>
  <c r="I238" i="12"/>
  <c r="C209" i="12"/>
  <c r="F205" i="12"/>
  <c r="C61" i="12"/>
  <c r="C87" i="12"/>
  <c r="F84" i="12"/>
  <c r="I103" i="12"/>
  <c r="C139" i="12"/>
  <c r="F136" i="12"/>
  <c r="C147" i="12"/>
  <c r="F144" i="12"/>
  <c r="C144" i="12" s="1"/>
  <c r="C190" i="12"/>
  <c r="I188" i="12"/>
  <c r="G20" i="12"/>
  <c r="K20" i="12"/>
  <c r="O20" i="12"/>
  <c r="K83" i="12"/>
  <c r="L89" i="12"/>
  <c r="C94" i="12"/>
  <c r="C98" i="12"/>
  <c r="C99" i="12"/>
  <c r="C104" i="12"/>
  <c r="O103" i="12"/>
  <c r="C111" i="12"/>
  <c r="C114" i="12"/>
  <c r="C115" i="12"/>
  <c r="F112" i="12"/>
  <c r="C118" i="12"/>
  <c r="C119" i="12"/>
  <c r="F116" i="12"/>
  <c r="F122" i="12"/>
  <c r="C123" i="12"/>
  <c r="O122" i="12"/>
  <c r="C132" i="12"/>
  <c r="O131" i="12"/>
  <c r="K130" i="12"/>
  <c r="C150" i="12"/>
  <c r="C154" i="12"/>
  <c r="C155" i="12"/>
  <c r="C162" i="12"/>
  <c r="I160" i="12"/>
  <c r="C160" i="12" s="1"/>
  <c r="L173" i="12"/>
  <c r="F179" i="12"/>
  <c r="C193" i="12"/>
  <c r="F192" i="12"/>
  <c r="O205" i="12"/>
  <c r="C217" i="12"/>
  <c r="F216" i="12"/>
  <c r="O216" i="12"/>
  <c r="C232" i="12"/>
  <c r="N230" i="12"/>
  <c r="G231" i="12"/>
  <c r="G230" i="12" s="1"/>
  <c r="C273" i="12"/>
  <c r="F272" i="12"/>
  <c r="L276" i="12"/>
  <c r="L270" i="12" s="1"/>
  <c r="L269" i="12" s="1"/>
  <c r="C200" i="12"/>
  <c r="I198" i="12"/>
  <c r="I196" i="12" s="1"/>
  <c r="C203" i="12"/>
  <c r="C208" i="12"/>
  <c r="I205" i="12"/>
  <c r="C211" i="12"/>
  <c r="L216" i="12"/>
  <c r="L204" i="12" s="1"/>
  <c r="C223" i="12"/>
  <c r="M230" i="12"/>
  <c r="E259" i="12"/>
  <c r="E230" i="12" s="1"/>
  <c r="C261" i="12"/>
  <c r="F260" i="12"/>
  <c r="C271" i="12"/>
  <c r="I270" i="12"/>
  <c r="I269" i="12" s="1"/>
  <c r="M270" i="12"/>
  <c r="M269" i="12" s="1"/>
  <c r="C277" i="12"/>
  <c r="F276" i="12"/>
  <c r="C287" i="12"/>
  <c r="L286" i="12"/>
  <c r="L292" i="12" s="1"/>
  <c r="C197" i="12"/>
  <c r="F196" i="12"/>
  <c r="D194" i="12"/>
  <c r="C215" i="12"/>
  <c r="I227" i="12"/>
  <c r="C227" i="12" s="1"/>
  <c r="C228" i="12"/>
  <c r="L231" i="12"/>
  <c r="I235" i="12"/>
  <c r="C235" i="12" s="1"/>
  <c r="C236" i="12"/>
  <c r="C263" i="12"/>
  <c r="C279" i="12"/>
  <c r="C295" i="12"/>
  <c r="C297" i="12"/>
  <c r="F293" i="12"/>
  <c r="C199" i="12"/>
  <c r="C239" i="12"/>
  <c r="C247" i="12"/>
  <c r="L291" i="12" l="1"/>
  <c r="G194" i="12"/>
  <c r="I53" i="12"/>
  <c r="J230" i="12"/>
  <c r="J194" i="12" s="1"/>
  <c r="L53" i="12"/>
  <c r="K230" i="12"/>
  <c r="E289" i="12"/>
  <c r="M52" i="12"/>
  <c r="N194" i="12"/>
  <c r="K194" i="12"/>
  <c r="L230" i="12"/>
  <c r="K75" i="12"/>
  <c r="K52" i="12" s="1"/>
  <c r="K51" i="12" s="1"/>
  <c r="O67" i="12"/>
  <c r="C67" i="12" s="1"/>
  <c r="D289" i="12"/>
  <c r="C103" i="12"/>
  <c r="H194" i="12"/>
  <c r="L83" i="12"/>
  <c r="C95" i="12"/>
  <c r="C264" i="12"/>
  <c r="I173" i="12"/>
  <c r="G52" i="12"/>
  <c r="G51" i="12" s="1"/>
  <c r="G50" i="12" s="1"/>
  <c r="C58" i="12"/>
  <c r="I291" i="12"/>
  <c r="H75" i="12"/>
  <c r="H52" i="12" s="1"/>
  <c r="J75" i="12"/>
  <c r="I83" i="12"/>
  <c r="C276" i="12"/>
  <c r="L195" i="12"/>
  <c r="J52" i="12"/>
  <c r="D52" i="12"/>
  <c r="D51" i="12" s="1"/>
  <c r="D50" i="12" s="1"/>
  <c r="D24" i="12" s="1"/>
  <c r="M289" i="12"/>
  <c r="O230" i="12"/>
  <c r="I204" i="12"/>
  <c r="I195" i="12" s="1"/>
  <c r="O204" i="12"/>
  <c r="O195" i="12" s="1"/>
  <c r="C238" i="12"/>
  <c r="C246" i="12"/>
  <c r="O83" i="12"/>
  <c r="L76" i="12"/>
  <c r="C76" i="12" s="1"/>
  <c r="L26" i="12"/>
  <c r="L20" i="12" s="1"/>
  <c r="C260" i="12"/>
  <c r="F259" i="12"/>
  <c r="C259" i="12" s="1"/>
  <c r="F270" i="12"/>
  <c r="C272" i="12"/>
  <c r="C179" i="12"/>
  <c r="F174" i="12"/>
  <c r="C205" i="12"/>
  <c r="F204" i="12"/>
  <c r="L194" i="12"/>
  <c r="M194" i="12"/>
  <c r="O174" i="12"/>
  <c r="O173" i="12" s="1"/>
  <c r="C166" i="12"/>
  <c r="F165" i="12"/>
  <c r="C165" i="12" s="1"/>
  <c r="C89" i="12"/>
  <c r="C293" i="12"/>
  <c r="I231" i="12"/>
  <c r="I230" i="12" s="1"/>
  <c r="C216" i="12"/>
  <c r="C192" i="12"/>
  <c r="F191" i="12"/>
  <c r="O130" i="12"/>
  <c r="O75" i="12" s="1"/>
  <c r="C122" i="12"/>
  <c r="C112" i="12"/>
  <c r="C292" i="12"/>
  <c r="C198" i="12"/>
  <c r="F83" i="12"/>
  <c r="C84" i="12"/>
  <c r="G289" i="12"/>
  <c r="C252" i="12"/>
  <c r="F251" i="12"/>
  <c r="C251" i="12" s="1"/>
  <c r="C284" i="12"/>
  <c r="F283" i="12"/>
  <c r="C283" i="12" s="1"/>
  <c r="F54" i="12"/>
  <c r="N51" i="12"/>
  <c r="C196" i="12"/>
  <c r="N289" i="12"/>
  <c r="E194" i="12"/>
  <c r="E51" i="12" s="1"/>
  <c r="I130" i="12"/>
  <c r="C116" i="12"/>
  <c r="C188" i="12"/>
  <c r="I187" i="12"/>
  <c r="F130" i="12"/>
  <c r="C136" i="12"/>
  <c r="C131" i="12"/>
  <c r="C151" i="12"/>
  <c r="F291" i="12"/>
  <c r="C291" i="12" s="1"/>
  <c r="C286" i="12"/>
  <c r="M51" i="12" l="1"/>
  <c r="J51" i="12"/>
  <c r="J289" i="12"/>
  <c r="I75" i="12"/>
  <c r="I289" i="12" s="1"/>
  <c r="K289" i="12"/>
  <c r="O53" i="12"/>
  <c r="H51" i="12"/>
  <c r="L75" i="12"/>
  <c r="L52" i="12" s="1"/>
  <c r="I194" i="12"/>
  <c r="J290" i="12"/>
  <c r="J50" i="12"/>
  <c r="C130" i="12"/>
  <c r="G290" i="12"/>
  <c r="O194" i="12"/>
  <c r="H289" i="12"/>
  <c r="F230" i="12"/>
  <c r="C230" i="12" s="1"/>
  <c r="O52" i="12"/>
  <c r="O51" i="12" s="1"/>
  <c r="O290" i="12" s="1"/>
  <c r="C204" i="12"/>
  <c r="C26" i="12"/>
  <c r="M50" i="12"/>
  <c r="M290" i="12"/>
  <c r="E50" i="12"/>
  <c r="E24" i="12" s="1"/>
  <c r="E20" i="12" s="1"/>
  <c r="O289" i="12"/>
  <c r="C54" i="12"/>
  <c r="F53" i="12"/>
  <c r="F269" i="12"/>
  <c r="C270" i="12"/>
  <c r="D20" i="12"/>
  <c r="N50" i="12"/>
  <c r="N290" i="12"/>
  <c r="K50" i="12"/>
  <c r="K290" i="12"/>
  <c r="L51" i="12"/>
  <c r="C191" i="12"/>
  <c r="F187" i="12"/>
  <c r="C187" i="12" s="1"/>
  <c r="F195" i="12"/>
  <c r="C231" i="12"/>
  <c r="C83" i="12"/>
  <c r="F75" i="12"/>
  <c r="C174" i="12"/>
  <c r="F173" i="12"/>
  <c r="C173" i="12" s="1"/>
  <c r="D290" i="12"/>
  <c r="F24" i="12" l="1"/>
  <c r="E290" i="12"/>
  <c r="C75" i="12"/>
  <c r="I52" i="12"/>
  <c r="I51" i="12" s="1"/>
  <c r="H290" i="12"/>
  <c r="H50" i="12"/>
  <c r="L289" i="12"/>
  <c r="O50" i="12"/>
  <c r="F194" i="12"/>
  <c r="C194" i="12" s="1"/>
  <c r="C195" i="12"/>
  <c r="L50" i="12"/>
  <c r="L290" i="12"/>
  <c r="C269" i="12"/>
  <c r="F289" i="12"/>
  <c r="C24" i="12"/>
  <c r="F20" i="12"/>
  <c r="C20" i="12" s="1"/>
  <c r="F52" i="12"/>
  <c r="C53" i="12"/>
  <c r="I50" i="12" l="1"/>
  <c r="I290" i="12"/>
  <c r="C289" i="12"/>
  <c r="F51" i="12"/>
  <c r="C52" i="12"/>
  <c r="F290" i="12" l="1"/>
  <c r="C290" i="12" s="1"/>
  <c r="C51" i="12"/>
  <c r="F50" i="12"/>
  <c r="C50" i="12" s="1"/>
  <c r="O301" i="11" l="1"/>
  <c r="L301" i="11"/>
  <c r="I301" i="11"/>
  <c r="F301" i="11"/>
  <c r="O300" i="11"/>
  <c r="L300" i="11"/>
  <c r="I300" i="11"/>
  <c r="F300" i="11"/>
  <c r="O299" i="11"/>
  <c r="L299" i="11"/>
  <c r="I299" i="11"/>
  <c r="F299" i="11"/>
  <c r="O298" i="11"/>
  <c r="L298" i="11"/>
  <c r="I298" i="11"/>
  <c r="F298" i="11"/>
  <c r="O297" i="11"/>
  <c r="L297" i="11"/>
  <c r="I297" i="11"/>
  <c r="F297" i="11"/>
  <c r="O296" i="11"/>
  <c r="L296" i="11"/>
  <c r="I296" i="11"/>
  <c r="F296" i="11"/>
  <c r="O295" i="11"/>
  <c r="L295" i="11"/>
  <c r="I295" i="11"/>
  <c r="F295" i="11"/>
  <c r="O294" i="11"/>
  <c r="L294" i="11"/>
  <c r="L293" i="11" s="1"/>
  <c r="I294" i="11"/>
  <c r="F294" i="11"/>
  <c r="F293" i="11" s="1"/>
  <c r="O293" i="11"/>
  <c r="N293" i="11"/>
  <c r="M293" i="11"/>
  <c r="K293" i="11"/>
  <c r="J293" i="11"/>
  <c r="H293" i="11"/>
  <c r="G293" i="11"/>
  <c r="E293" i="11"/>
  <c r="D293" i="11"/>
  <c r="O288" i="11"/>
  <c r="L288" i="11"/>
  <c r="I288" i="11"/>
  <c r="F288" i="11"/>
  <c r="O287" i="11"/>
  <c r="O286" i="11" s="1"/>
  <c r="L287" i="11"/>
  <c r="I287" i="11"/>
  <c r="F287" i="11"/>
  <c r="N286" i="11"/>
  <c r="M286" i="11"/>
  <c r="L286" i="11"/>
  <c r="K286" i="11"/>
  <c r="J286" i="11"/>
  <c r="H286" i="11"/>
  <c r="G286" i="11"/>
  <c r="F286" i="11"/>
  <c r="E286" i="11"/>
  <c r="D286" i="11"/>
  <c r="O285" i="11"/>
  <c r="O284" i="11" s="1"/>
  <c r="O283" i="11" s="1"/>
  <c r="L285" i="11"/>
  <c r="L284" i="11" s="1"/>
  <c r="L283" i="11" s="1"/>
  <c r="I285" i="11"/>
  <c r="F285" i="11"/>
  <c r="F284" i="11" s="1"/>
  <c r="N284" i="11"/>
  <c r="N283" i="11" s="1"/>
  <c r="M284" i="11"/>
  <c r="M283" i="11" s="1"/>
  <c r="K284" i="11"/>
  <c r="K283" i="11" s="1"/>
  <c r="J284" i="11"/>
  <c r="J283" i="11" s="1"/>
  <c r="H284" i="11"/>
  <c r="H283" i="11" s="1"/>
  <c r="G284" i="11"/>
  <c r="E284" i="11"/>
  <c r="E283" i="11" s="1"/>
  <c r="D284" i="11"/>
  <c r="D283" i="11" s="1"/>
  <c r="G283" i="11"/>
  <c r="O282" i="11"/>
  <c r="L282" i="11"/>
  <c r="L281" i="11" s="1"/>
  <c r="I282" i="11"/>
  <c r="I281" i="11" s="1"/>
  <c r="F282" i="11"/>
  <c r="F281" i="11" s="1"/>
  <c r="O281" i="11"/>
  <c r="N281" i="11"/>
  <c r="M281" i="11"/>
  <c r="K281" i="11"/>
  <c r="J281" i="11"/>
  <c r="H281" i="11"/>
  <c r="G281" i="11"/>
  <c r="E281" i="11"/>
  <c r="D281" i="11"/>
  <c r="O280" i="11"/>
  <c r="L280" i="11"/>
  <c r="I280" i="11"/>
  <c r="F280" i="11"/>
  <c r="O279" i="11"/>
  <c r="L279" i="11"/>
  <c r="I279" i="11"/>
  <c r="F279" i="11"/>
  <c r="O278" i="11"/>
  <c r="L278" i="11"/>
  <c r="I278" i="11"/>
  <c r="F278" i="11"/>
  <c r="O277" i="11"/>
  <c r="O276" i="11" s="1"/>
  <c r="L277" i="11"/>
  <c r="I277" i="11"/>
  <c r="I276" i="11" s="1"/>
  <c r="F277" i="11"/>
  <c r="N276" i="11"/>
  <c r="M276" i="11"/>
  <c r="K276" i="11"/>
  <c r="J276" i="11"/>
  <c r="H276" i="11"/>
  <c r="G276" i="11"/>
  <c r="F276" i="11"/>
  <c r="E276" i="11"/>
  <c r="D276" i="11"/>
  <c r="O275" i="11"/>
  <c r="L275" i="11"/>
  <c r="I275" i="11"/>
  <c r="F275" i="11"/>
  <c r="O274" i="11"/>
  <c r="L274" i="11"/>
  <c r="I274" i="11"/>
  <c r="F274" i="11"/>
  <c r="O273" i="11"/>
  <c r="O272" i="11" s="1"/>
  <c r="L273" i="11"/>
  <c r="L272" i="11" s="1"/>
  <c r="I273" i="11"/>
  <c r="I272" i="11" s="1"/>
  <c r="F273" i="11"/>
  <c r="F272" i="11" s="1"/>
  <c r="N272" i="11"/>
  <c r="N270" i="11" s="1"/>
  <c r="N269" i="11" s="1"/>
  <c r="M272" i="11"/>
  <c r="K272" i="11"/>
  <c r="J272" i="11"/>
  <c r="J270" i="11" s="1"/>
  <c r="J269" i="11" s="1"/>
  <c r="H272" i="11"/>
  <c r="H270" i="11" s="1"/>
  <c r="G272" i="11"/>
  <c r="E272" i="11"/>
  <c r="D272" i="11"/>
  <c r="D270" i="11" s="1"/>
  <c r="D269" i="11" s="1"/>
  <c r="O271" i="11"/>
  <c r="L271" i="11"/>
  <c r="I271" i="11"/>
  <c r="F271" i="11"/>
  <c r="O268" i="11"/>
  <c r="L268" i="11"/>
  <c r="I268" i="11"/>
  <c r="F268" i="11"/>
  <c r="O267" i="11"/>
  <c r="L267" i="11"/>
  <c r="I267" i="11"/>
  <c r="F267" i="11"/>
  <c r="O266" i="11"/>
  <c r="L266" i="11"/>
  <c r="I266" i="11"/>
  <c r="F266" i="11"/>
  <c r="O265" i="11"/>
  <c r="O264" i="11" s="1"/>
  <c r="L265" i="11"/>
  <c r="L264" i="11" s="1"/>
  <c r="I265" i="11"/>
  <c r="I264" i="11" s="1"/>
  <c r="F265" i="11"/>
  <c r="N264" i="11"/>
  <c r="M264" i="11"/>
  <c r="K264" i="11"/>
  <c r="J264" i="11"/>
  <c r="H264" i="11"/>
  <c r="G264" i="11"/>
  <c r="E264" i="11"/>
  <c r="D264" i="11"/>
  <c r="O263" i="11"/>
  <c r="L263" i="11"/>
  <c r="I263" i="11"/>
  <c r="F263" i="11"/>
  <c r="O262" i="11"/>
  <c r="L262" i="11"/>
  <c r="I262" i="11"/>
  <c r="F262" i="11"/>
  <c r="O261" i="11"/>
  <c r="O260" i="11" s="1"/>
  <c r="L261" i="11"/>
  <c r="I261" i="11"/>
  <c r="F261" i="11"/>
  <c r="N260" i="11"/>
  <c r="N259" i="11" s="1"/>
  <c r="M260" i="11"/>
  <c r="K260" i="11"/>
  <c r="J260" i="11"/>
  <c r="J259" i="11" s="1"/>
  <c r="H260" i="11"/>
  <c r="G260" i="11"/>
  <c r="G259" i="11" s="1"/>
  <c r="F260" i="11"/>
  <c r="E260" i="11"/>
  <c r="D260" i="11"/>
  <c r="O258" i="11"/>
  <c r="L258" i="11"/>
  <c r="I258" i="11"/>
  <c r="F258" i="11"/>
  <c r="O257" i="11"/>
  <c r="L257" i="11"/>
  <c r="I257" i="11"/>
  <c r="F257" i="11"/>
  <c r="O256" i="11"/>
  <c r="L256" i="11"/>
  <c r="I256" i="11"/>
  <c r="F256" i="11"/>
  <c r="O255" i="11"/>
  <c r="L255" i="11"/>
  <c r="I255" i="11"/>
  <c r="F255" i="11"/>
  <c r="O254" i="11"/>
  <c r="L254" i="11"/>
  <c r="I254" i="11"/>
  <c r="F254" i="11"/>
  <c r="O253" i="11"/>
  <c r="O252" i="11" s="1"/>
  <c r="L253" i="11"/>
  <c r="L252" i="11" s="1"/>
  <c r="L251" i="11" s="1"/>
  <c r="I253" i="11"/>
  <c r="I252" i="11" s="1"/>
  <c r="F253" i="11"/>
  <c r="N252" i="11"/>
  <c r="N251" i="11" s="1"/>
  <c r="M252" i="11"/>
  <c r="M251" i="11" s="1"/>
  <c r="K252" i="11"/>
  <c r="J252" i="11"/>
  <c r="J251" i="11" s="1"/>
  <c r="H252" i="11"/>
  <c r="H251" i="11" s="1"/>
  <c r="G252" i="11"/>
  <c r="G251" i="11" s="1"/>
  <c r="E252" i="11"/>
  <c r="D252" i="11"/>
  <c r="D251" i="11" s="1"/>
  <c r="K251" i="11"/>
  <c r="E251" i="11"/>
  <c r="O250" i="11"/>
  <c r="L250" i="11"/>
  <c r="I250" i="11"/>
  <c r="F250" i="11"/>
  <c r="O249" i="11"/>
  <c r="L249" i="11"/>
  <c r="I249" i="11"/>
  <c r="F249" i="11"/>
  <c r="O248" i="11"/>
  <c r="L248" i="11"/>
  <c r="I248" i="11"/>
  <c r="F248" i="11"/>
  <c r="O247" i="11"/>
  <c r="L247" i="11"/>
  <c r="I247" i="11"/>
  <c r="F247" i="1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O241" i="11"/>
  <c r="L241" i="11"/>
  <c r="I241" i="11"/>
  <c r="F241" i="11"/>
  <c r="O240" i="11"/>
  <c r="L240" i="11"/>
  <c r="I240" i="11"/>
  <c r="F240" i="11"/>
  <c r="O239" i="11"/>
  <c r="O238" i="11" s="1"/>
  <c r="L239" i="11"/>
  <c r="I239" i="11"/>
  <c r="F239" i="11"/>
  <c r="N238" i="11"/>
  <c r="M238" i="11"/>
  <c r="K238" i="11"/>
  <c r="J238" i="11"/>
  <c r="H238" i="11"/>
  <c r="G238" i="11"/>
  <c r="E238" i="11"/>
  <c r="D238" i="11"/>
  <c r="O237" i="11"/>
  <c r="L237" i="11"/>
  <c r="I237" i="11"/>
  <c r="F237" i="11"/>
  <c r="O236" i="11"/>
  <c r="L236" i="11"/>
  <c r="I236" i="11"/>
  <c r="I235" i="11" s="1"/>
  <c r="F236" i="11"/>
  <c r="N235" i="11"/>
  <c r="M235" i="11"/>
  <c r="K235" i="11"/>
  <c r="J235" i="11"/>
  <c r="H235" i="11"/>
  <c r="G235" i="11"/>
  <c r="E235" i="11"/>
  <c r="D235" i="11"/>
  <c r="O234" i="11"/>
  <c r="L234" i="11"/>
  <c r="L233" i="11" s="1"/>
  <c r="I234" i="11"/>
  <c r="I233" i="11" s="1"/>
  <c r="F234" i="11"/>
  <c r="F233" i="11" s="1"/>
  <c r="O233" i="11"/>
  <c r="N233" i="11"/>
  <c r="M233" i="11"/>
  <c r="K233" i="11"/>
  <c r="J233" i="11"/>
  <c r="H233" i="11"/>
  <c r="G233" i="11"/>
  <c r="E233" i="11"/>
  <c r="D233" i="11"/>
  <c r="O232" i="11"/>
  <c r="L232" i="11"/>
  <c r="I232" i="11"/>
  <c r="F232" i="11"/>
  <c r="O229" i="11"/>
  <c r="L229" i="11"/>
  <c r="I229" i="11"/>
  <c r="F229" i="11"/>
  <c r="O228" i="11"/>
  <c r="L228" i="11"/>
  <c r="L227" i="11" s="1"/>
  <c r="I228" i="11"/>
  <c r="I227" i="11" s="1"/>
  <c r="F228" i="11"/>
  <c r="O227" i="11"/>
  <c r="N227" i="11"/>
  <c r="M227" i="11"/>
  <c r="K227" i="11"/>
  <c r="J227" i="11"/>
  <c r="H227" i="11"/>
  <c r="G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C221" i="11" s="1"/>
  <c r="O220" i="11"/>
  <c r="L220" i="11"/>
  <c r="I220" i="11"/>
  <c r="F220" i="11"/>
  <c r="O219" i="11"/>
  <c r="L219" i="11"/>
  <c r="I219" i="11"/>
  <c r="F219" i="11"/>
  <c r="O218" i="11"/>
  <c r="L218" i="11"/>
  <c r="I218" i="11"/>
  <c r="F218" i="11"/>
  <c r="O217" i="11"/>
  <c r="L217" i="11"/>
  <c r="I217" i="11"/>
  <c r="I216" i="11" s="1"/>
  <c r="F217" i="11"/>
  <c r="N216" i="11"/>
  <c r="M216" i="11"/>
  <c r="L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I206" i="11"/>
  <c r="F206" i="11"/>
  <c r="N205" i="11"/>
  <c r="M205" i="11"/>
  <c r="K205" i="11"/>
  <c r="K204" i="11" s="1"/>
  <c r="J205" i="11"/>
  <c r="H205" i="11"/>
  <c r="G205" i="11"/>
  <c r="E205" i="11"/>
  <c r="E204" i="11" s="1"/>
  <c r="D205" i="11"/>
  <c r="O203" i="11"/>
  <c r="L203" i="11"/>
  <c r="I203" i="11"/>
  <c r="F203" i="11"/>
  <c r="O202" i="11"/>
  <c r="L202" i="11"/>
  <c r="I202" i="11"/>
  <c r="F202" i="11"/>
  <c r="O201" i="11"/>
  <c r="L201" i="11"/>
  <c r="I201" i="11"/>
  <c r="F201" i="11"/>
  <c r="O200" i="11"/>
  <c r="L200" i="11"/>
  <c r="I200" i="11"/>
  <c r="F200" i="11"/>
  <c r="O199" i="11"/>
  <c r="O198" i="11" s="1"/>
  <c r="L199" i="11"/>
  <c r="L198" i="11" s="1"/>
  <c r="I199" i="11"/>
  <c r="I198" i="11" s="1"/>
  <c r="F199" i="11"/>
  <c r="N198" i="11"/>
  <c r="M198" i="11"/>
  <c r="M196" i="11" s="1"/>
  <c r="K198" i="11"/>
  <c r="K196" i="11" s="1"/>
  <c r="J198" i="11"/>
  <c r="H198" i="11"/>
  <c r="H196" i="11" s="1"/>
  <c r="G198" i="11"/>
  <c r="G196" i="11" s="1"/>
  <c r="E198" i="11"/>
  <c r="E196" i="11" s="1"/>
  <c r="D198" i="11"/>
  <c r="D196" i="11" s="1"/>
  <c r="O197" i="11"/>
  <c r="L197" i="11"/>
  <c r="I197" i="11"/>
  <c r="F197" i="11"/>
  <c r="N196" i="11"/>
  <c r="J196" i="11"/>
  <c r="O193" i="11"/>
  <c r="O192" i="11" s="1"/>
  <c r="O191" i="11" s="1"/>
  <c r="L193" i="11"/>
  <c r="I193" i="11"/>
  <c r="I192" i="11" s="1"/>
  <c r="I191" i="11" s="1"/>
  <c r="F193" i="11"/>
  <c r="F192" i="11" s="1"/>
  <c r="N192" i="11"/>
  <c r="N191" i="11" s="1"/>
  <c r="M192" i="11"/>
  <c r="L192" i="11"/>
  <c r="L191" i="11" s="1"/>
  <c r="K192" i="11"/>
  <c r="K191" i="11" s="1"/>
  <c r="J192" i="11"/>
  <c r="J191" i="11" s="1"/>
  <c r="H192" i="11"/>
  <c r="H191" i="11" s="1"/>
  <c r="G192" i="11"/>
  <c r="G191" i="11" s="1"/>
  <c r="E192" i="11"/>
  <c r="D192" i="11"/>
  <c r="D191" i="11" s="1"/>
  <c r="M191" i="11"/>
  <c r="E191" i="11"/>
  <c r="O190" i="11"/>
  <c r="L190" i="11"/>
  <c r="I190" i="11"/>
  <c r="F190" i="11"/>
  <c r="O189" i="11"/>
  <c r="O188" i="11" s="1"/>
  <c r="L189" i="11"/>
  <c r="I189" i="11"/>
  <c r="F189" i="11"/>
  <c r="F188" i="11" s="1"/>
  <c r="N188" i="11"/>
  <c r="M188" i="11"/>
  <c r="K188" i="11"/>
  <c r="J188" i="11"/>
  <c r="I188" i="11"/>
  <c r="H188" i="11"/>
  <c r="G188" i="11"/>
  <c r="E188" i="11"/>
  <c r="D188" i="11"/>
  <c r="O186" i="11"/>
  <c r="L186" i="11"/>
  <c r="I186" i="11"/>
  <c r="F186" i="11"/>
  <c r="O185" i="11"/>
  <c r="O184" i="11" s="1"/>
  <c r="L185" i="11"/>
  <c r="I185" i="11"/>
  <c r="I184" i="11" s="1"/>
  <c r="F185" i="11"/>
  <c r="F184" i="11" s="1"/>
  <c r="N184" i="11"/>
  <c r="M184" i="11"/>
  <c r="K184" i="11"/>
  <c r="J184" i="11"/>
  <c r="H184" i="11"/>
  <c r="G184" i="11"/>
  <c r="E184" i="11"/>
  <c r="D184" i="11"/>
  <c r="O183" i="11"/>
  <c r="L183" i="11"/>
  <c r="I183" i="11"/>
  <c r="F183" i="11"/>
  <c r="O182" i="11"/>
  <c r="L182" i="11"/>
  <c r="I182" i="11"/>
  <c r="F182" i="11"/>
  <c r="O181" i="11"/>
  <c r="L181" i="11"/>
  <c r="I181" i="11"/>
  <c r="F181" i="11"/>
  <c r="O180" i="11"/>
  <c r="L180" i="11"/>
  <c r="I180" i="11"/>
  <c r="F180" i="11"/>
  <c r="N179" i="11"/>
  <c r="M179" i="11"/>
  <c r="K179" i="11"/>
  <c r="J179" i="11"/>
  <c r="H179" i="11"/>
  <c r="G179" i="11"/>
  <c r="E179" i="11"/>
  <c r="D179" i="11"/>
  <c r="O178" i="11"/>
  <c r="L178" i="11"/>
  <c r="I178" i="11"/>
  <c r="F178" i="11"/>
  <c r="O177" i="11"/>
  <c r="L177" i="11"/>
  <c r="I177" i="11"/>
  <c r="F177" i="11"/>
  <c r="O176" i="11"/>
  <c r="L176" i="11"/>
  <c r="I176" i="11"/>
  <c r="I175" i="11" s="1"/>
  <c r="F176" i="11"/>
  <c r="N175" i="11"/>
  <c r="N174" i="11" s="1"/>
  <c r="N173" i="11" s="1"/>
  <c r="M175" i="11"/>
  <c r="K175" i="11"/>
  <c r="J175" i="11"/>
  <c r="H175" i="11"/>
  <c r="G175" i="11"/>
  <c r="E175" i="11"/>
  <c r="D175" i="11"/>
  <c r="D174" i="11" s="1"/>
  <c r="J174" i="11"/>
  <c r="O172" i="11"/>
  <c r="L172" i="11"/>
  <c r="I172" i="11"/>
  <c r="F172" i="11"/>
  <c r="O171" i="11"/>
  <c r="L171" i="11"/>
  <c r="I171" i="11"/>
  <c r="F171" i="11"/>
  <c r="O170" i="11"/>
  <c r="L170" i="11"/>
  <c r="I170" i="11"/>
  <c r="F170" i="11"/>
  <c r="O169" i="11"/>
  <c r="L169" i="11"/>
  <c r="I169" i="11"/>
  <c r="F169" i="11"/>
  <c r="O168" i="11"/>
  <c r="L168" i="11"/>
  <c r="I168" i="11"/>
  <c r="F168" i="11"/>
  <c r="O167" i="11"/>
  <c r="L167" i="11"/>
  <c r="I167" i="11"/>
  <c r="F167" i="11"/>
  <c r="N166" i="11"/>
  <c r="N165" i="11" s="1"/>
  <c r="M166" i="11"/>
  <c r="M165" i="11" s="1"/>
  <c r="K166" i="11"/>
  <c r="J166" i="11"/>
  <c r="J165" i="11" s="1"/>
  <c r="H166" i="11"/>
  <c r="H165" i="11" s="1"/>
  <c r="G166" i="11"/>
  <c r="G165" i="11" s="1"/>
  <c r="F166" i="11"/>
  <c r="E166" i="11"/>
  <c r="E165" i="11" s="1"/>
  <c r="D166" i="11"/>
  <c r="D165" i="11" s="1"/>
  <c r="K165" i="11"/>
  <c r="O164" i="11"/>
  <c r="L164" i="11"/>
  <c r="I164" i="11"/>
  <c r="F164" i="11"/>
  <c r="O163" i="11"/>
  <c r="L163" i="11"/>
  <c r="I163" i="11"/>
  <c r="F163" i="11"/>
  <c r="O162" i="11"/>
  <c r="L162" i="11"/>
  <c r="I162" i="11"/>
  <c r="F162" i="11"/>
  <c r="O161" i="11"/>
  <c r="O160" i="11" s="1"/>
  <c r="L161" i="11"/>
  <c r="I161" i="11"/>
  <c r="I160" i="11" s="1"/>
  <c r="F161" i="11"/>
  <c r="N160" i="11"/>
  <c r="M160" i="11"/>
  <c r="K160" i="11"/>
  <c r="J160" i="11"/>
  <c r="H160" i="11"/>
  <c r="G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F154" i="11"/>
  <c r="O153" i="11"/>
  <c r="L153" i="11"/>
  <c r="I153" i="11"/>
  <c r="F153" i="11"/>
  <c r="O152" i="11"/>
  <c r="L152" i="11"/>
  <c r="I152" i="11"/>
  <c r="F152" i="1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O146" i="11"/>
  <c r="L146" i="11"/>
  <c r="I146" i="11"/>
  <c r="F146" i="11"/>
  <c r="O145" i="11"/>
  <c r="O144" i="11" s="1"/>
  <c r="L145" i="11"/>
  <c r="I145" i="11"/>
  <c r="F145" i="11"/>
  <c r="F144" i="11" s="1"/>
  <c r="N144" i="11"/>
  <c r="M144" i="11"/>
  <c r="K144" i="11"/>
  <c r="J144" i="11"/>
  <c r="H144" i="11"/>
  <c r="G144" i="11"/>
  <c r="E144" i="11"/>
  <c r="D144" i="11"/>
  <c r="O143" i="11"/>
  <c r="L143" i="11"/>
  <c r="I143" i="11"/>
  <c r="F143" i="11"/>
  <c r="O142" i="11"/>
  <c r="O141" i="11" s="1"/>
  <c r="L142" i="11"/>
  <c r="I142" i="11"/>
  <c r="F142" i="11"/>
  <c r="N141" i="11"/>
  <c r="M141" i="11"/>
  <c r="K141" i="11"/>
  <c r="J141" i="11"/>
  <c r="H141" i="11"/>
  <c r="G141" i="11"/>
  <c r="F141" i="11"/>
  <c r="E141" i="11"/>
  <c r="D141" i="11"/>
  <c r="O140" i="11"/>
  <c r="L140" i="11"/>
  <c r="I140" i="11"/>
  <c r="F140" i="11"/>
  <c r="O139" i="11"/>
  <c r="L139" i="11"/>
  <c r="I139" i="11"/>
  <c r="F139" i="11"/>
  <c r="O138" i="11"/>
  <c r="L138" i="11"/>
  <c r="I138" i="11"/>
  <c r="F138" i="11"/>
  <c r="O137" i="11"/>
  <c r="O136" i="11" s="1"/>
  <c r="L137" i="11"/>
  <c r="I137" i="11"/>
  <c r="F137" i="11"/>
  <c r="F136" i="11" s="1"/>
  <c r="N136" i="11"/>
  <c r="M136" i="11"/>
  <c r="K136" i="11"/>
  <c r="J136" i="11"/>
  <c r="H136" i="11"/>
  <c r="G136" i="11"/>
  <c r="E136" i="11"/>
  <c r="D136" i="11"/>
  <c r="O135" i="11"/>
  <c r="L135" i="11"/>
  <c r="I135" i="11"/>
  <c r="F135" i="11"/>
  <c r="O134" i="11"/>
  <c r="L134" i="11"/>
  <c r="I134" i="11"/>
  <c r="F134" i="11"/>
  <c r="O133" i="11"/>
  <c r="L133" i="11"/>
  <c r="I133" i="11"/>
  <c r="F133" i="11"/>
  <c r="O132" i="11"/>
  <c r="L132" i="11"/>
  <c r="I132" i="11"/>
  <c r="F132" i="11"/>
  <c r="N131" i="11"/>
  <c r="M131" i="11"/>
  <c r="K131" i="11"/>
  <c r="J131" i="11"/>
  <c r="I131" i="11"/>
  <c r="H131" i="11"/>
  <c r="G131" i="11"/>
  <c r="E131" i="11"/>
  <c r="D131" i="11"/>
  <c r="O129" i="11"/>
  <c r="O128" i="11" s="1"/>
  <c r="L129" i="11"/>
  <c r="L128" i="11" s="1"/>
  <c r="I129" i="11"/>
  <c r="F129" i="11"/>
  <c r="F128" i="11" s="1"/>
  <c r="N128" i="11"/>
  <c r="M128" i="11"/>
  <c r="K128" i="11"/>
  <c r="J128" i="11"/>
  <c r="I128" i="11"/>
  <c r="H128" i="11"/>
  <c r="G128" i="11"/>
  <c r="E128" i="11"/>
  <c r="D128" i="11"/>
  <c r="O127" i="11"/>
  <c r="L127" i="11"/>
  <c r="I127" i="11"/>
  <c r="F127" i="11"/>
  <c r="O126" i="11"/>
  <c r="L126" i="11"/>
  <c r="I126" i="11"/>
  <c r="F126" i="11"/>
  <c r="O125" i="11"/>
  <c r="L125" i="11"/>
  <c r="I125" i="11"/>
  <c r="F125" i="11"/>
  <c r="O124" i="11"/>
  <c r="L124" i="11"/>
  <c r="I124" i="11"/>
  <c r="F124" i="11"/>
  <c r="O123" i="11"/>
  <c r="L123" i="11"/>
  <c r="I123" i="11"/>
  <c r="F123" i="11"/>
  <c r="F122" i="11" s="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L117" i="11"/>
  <c r="I117" i="11"/>
  <c r="F117" i="11"/>
  <c r="N116" i="11"/>
  <c r="M116" i="11"/>
  <c r="K116" i="11"/>
  <c r="J116" i="11"/>
  <c r="H116" i="11"/>
  <c r="G116" i="11"/>
  <c r="E116" i="11"/>
  <c r="D116" i="11"/>
  <c r="O115" i="11"/>
  <c r="L115" i="11"/>
  <c r="I115" i="11"/>
  <c r="F115" i="11"/>
  <c r="O114" i="11"/>
  <c r="L114" i="11"/>
  <c r="I114" i="11"/>
  <c r="F114" i="11"/>
  <c r="O113" i="11"/>
  <c r="O112" i="11" s="1"/>
  <c r="L113" i="11"/>
  <c r="L112" i="11" s="1"/>
  <c r="I113" i="11"/>
  <c r="F113" i="11"/>
  <c r="F112" i="11" s="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I103" i="11" s="1"/>
  <c r="F104"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L96" i="11"/>
  <c r="I96" i="11"/>
  <c r="F96" i="1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L90" i="11"/>
  <c r="I90" i="11"/>
  <c r="I89" i="11" s="1"/>
  <c r="F90" i="11"/>
  <c r="N89" i="11"/>
  <c r="M89" i="11"/>
  <c r="K89" i="11"/>
  <c r="J89" i="11"/>
  <c r="H89" i="11"/>
  <c r="G89" i="11"/>
  <c r="E89" i="11"/>
  <c r="D89" i="11"/>
  <c r="O88" i="11"/>
  <c r="L88" i="11"/>
  <c r="I88" i="11"/>
  <c r="F88" i="11"/>
  <c r="O87" i="11"/>
  <c r="L87" i="11"/>
  <c r="I87" i="11"/>
  <c r="F87" i="11"/>
  <c r="O86" i="11"/>
  <c r="L86" i="11"/>
  <c r="I86" i="11"/>
  <c r="F86" i="11"/>
  <c r="O85" i="11"/>
  <c r="L85" i="11"/>
  <c r="I85" i="11"/>
  <c r="F85" i="11"/>
  <c r="N84" i="11"/>
  <c r="N83" i="11" s="1"/>
  <c r="M84" i="11"/>
  <c r="K84" i="11"/>
  <c r="J84" i="11"/>
  <c r="H84" i="11"/>
  <c r="G84" i="11"/>
  <c r="E84" i="11"/>
  <c r="D84" i="11"/>
  <c r="O82" i="11"/>
  <c r="L82" i="11"/>
  <c r="I82" i="11"/>
  <c r="F82" i="11"/>
  <c r="O81" i="11"/>
  <c r="O80" i="11" s="1"/>
  <c r="L81" i="11"/>
  <c r="L80" i="11" s="1"/>
  <c r="I81" i="11"/>
  <c r="F81" i="11"/>
  <c r="N80" i="11"/>
  <c r="M80" i="11"/>
  <c r="K80" i="11"/>
  <c r="J80" i="11"/>
  <c r="H80" i="11"/>
  <c r="G80" i="11"/>
  <c r="F80" i="11"/>
  <c r="E80" i="11"/>
  <c r="D80" i="11"/>
  <c r="O79" i="11"/>
  <c r="L79" i="11"/>
  <c r="I79" i="11"/>
  <c r="F79" i="11"/>
  <c r="O78" i="11"/>
  <c r="L78" i="11"/>
  <c r="I78" i="11"/>
  <c r="F78" i="11"/>
  <c r="N77" i="11"/>
  <c r="N76" i="11" s="1"/>
  <c r="M77" i="11"/>
  <c r="K77" i="11"/>
  <c r="J77" i="11"/>
  <c r="I77" i="11"/>
  <c r="H77" i="11"/>
  <c r="G77" i="11"/>
  <c r="E77" i="11"/>
  <c r="E76" i="11" s="1"/>
  <c r="D77" i="11"/>
  <c r="O74" i="11"/>
  <c r="L74" i="11"/>
  <c r="I74" i="11"/>
  <c r="F74" i="11"/>
  <c r="O73" i="11"/>
  <c r="L73" i="11"/>
  <c r="I73" i="11"/>
  <c r="F73" i="11"/>
  <c r="O72" i="11"/>
  <c r="L72" i="11"/>
  <c r="I72" i="11"/>
  <c r="F72" i="11"/>
  <c r="O71" i="11"/>
  <c r="L71" i="11"/>
  <c r="I71" i="11"/>
  <c r="F71" i="11"/>
  <c r="O70" i="11"/>
  <c r="L70" i="11"/>
  <c r="I70" i="11"/>
  <c r="I69" i="11" s="1"/>
  <c r="F70" i="11"/>
  <c r="N69" i="11"/>
  <c r="M69" i="11"/>
  <c r="M67" i="11" s="1"/>
  <c r="K69" i="11"/>
  <c r="K67" i="11" s="1"/>
  <c r="J69" i="11"/>
  <c r="H69" i="11"/>
  <c r="H67" i="11" s="1"/>
  <c r="G69" i="11"/>
  <c r="G67" i="11" s="1"/>
  <c r="E69" i="11"/>
  <c r="E67" i="11" s="1"/>
  <c r="D69" i="11"/>
  <c r="D67" i="11" s="1"/>
  <c r="O68" i="11"/>
  <c r="L68" i="11"/>
  <c r="I68" i="11"/>
  <c r="F68" i="11"/>
  <c r="N67" i="11"/>
  <c r="J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O58" i="11" s="1"/>
  <c r="L59" i="11"/>
  <c r="I59" i="11"/>
  <c r="I58" i="11" s="1"/>
  <c r="F59" i="11"/>
  <c r="N58" i="11"/>
  <c r="M58" i="11"/>
  <c r="K58" i="11"/>
  <c r="J58" i="11"/>
  <c r="H58" i="11"/>
  <c r="G58" i="11"/>
  <c r="E58" i="11"/>
  <c r="D58" i="11"/>
  <c r="O57" i="11"/>
  <c r="L57" i="11"/>
  <c r="I57" i="11"/>
  <c r="F57" i="11"/>
  <c r="O56" i="11"/>
  <c r="L56" i="11"/>
  <c r="L55" i="11" s="1"/>
  <c r="I56" i="11"/>
  <c r="F56" i="11"/>
  <c r="F55" i="11" s="1"/>
  <c r="O55" i="11"/>
  <c r="N55" i="11"/>
  <c r="M55" i="11"/>
  <c r="K55" i="11"/>
  <c r="K54" i="11" s="1"/>
  <c r="J55" i="11"/>
  <c r="H55" i="11"/>
  <c r="G55" i="11"/>
  <c r="E55" i="11"/>
  <c r="E54" i="11" s="1"/>
  <c r="E53" i="11" s="1"/>
  <c r="D55" i="11"/>
  <c r="D54" i="11" s="1"/>
  <c r="D53" i="11" s="1"/>
  <c r="N54" i="11"/>
  <c r="O47" i="11"/>
  <c r="C47" i="11" s="1"/>
  <c r="O46" i="11"/>
  <c r="C46" i="11" s="1"/>
  <c r="N45" i="11"/>
  <c r="M45" i="11"/>
  <c r="L44" i="11"/>
  <c r="L43" i="11" s="1"/>
  <c r="I44" i="11"/>
  <c r="I43" i="11" s="1"/>
  <c r="F44" i="11"/>
  <c r="F43" i="11" s="1"/>
  <c r="C43" i="11" s="1"/>
  <c r="K43" i="11"/>
  <c r="J43" i="11"/>
  <c r="H43" i="11"/>
  <c r="G43" i="11"/>
  <c r="E43" i="11"/>
  <c r="D43" i="11"/>
  <c r="F42" i="11"/>
  <c r="C42" i="11" s="1"/>
  <c r="E41" i="11"/>
  <c r="D41" i="11"/>
  <c r="L40" i="11"/>
  <c r="C40" i="11" s="1"/>
  <c r="L39" i="11"/>
  <c r="C39" i="11" s="1"/>
  <c r="L38" i="11"/>
  <c r="C38" i="11" s="1"/>
  <c r="L37" i="11"/>
  <c r="C37" i="11" s="1"/>
  <c r="K36" i="11"/>
  <c r="J36" i="11"/>
  <c r="L35" i="11"/>
  <c r="C35" i="11" s="1"/>
  <c r="L34" i="11"/>
  <c r="C34" i="11" s="1"/>
  <c r="K33" i="11"/>
  <c r="J33" i="11"/>
  <c r="L32" i="11"/>
  <c r="C32" i="11" s="1"/>
  <c r="K31" i="11"/>
  <c r="J31" i="11"/>
  <c r="L30" i="11"/>
  <c r="C30" i="11" s="1"/>
  <c r="L29" i="11"/>
  <c r="C29" i="11" s="1"/>
  <c r="L28" i="11"/>
  <c r="C28" i="11" s="1"/>
  <c r="K27" i="11"/>
  <c r="J27" i="11"/>
  <c r="F25" i="11"/>
  <c r="C25" i="11" s="1"/>
  <c r="I24" i="11"/>
  <c r="F24" i="11"/>
  <c r="O23" i="11"/>
  <c r="L23" i="11"/>
  <c r="I23" i="11"/>
  <c r="F23" i="11"/>
  <c r="O22" i="11"/>
  <c r="O21" i="11" s="1"/>
  <c r="L22" i="11"/>
  <c r="I22" i="11"/>
  <c r="I21" i="11" s="1"/>
  <c r="F22" i="11"/>
  <c r="N21" i="11"/>
  <c r="M21" i="11"/>
  <c r="M292" i="11" s="1"/>
  <c r="M291" i="11" s="1"/>
  <c r="K21" i="11"/>
  <c r="J21" i="11"/>
  <c r="H21" i="11"/>
  <c r="H292" i="11" s="1"/>
  <c r="G21" i="11"/>
  <c r="G292" i="11" s="1"/>
  <c r="G291" i="11" s="1"/>
  <c r="E21" i="11"/>
  <c r="E292" i="11" s="1"/>
  <c r="D21" i="11"/>
  <c r="D292" i="11" s="1"/>
  <c r="C185" i="11" l="1"/>
  <c r="M187" i="11"/>
  <c r="C229" i="11"/>
  <c r="C249" i="11"/>
  <c r="M259" i="11"/>
  <c r="H76" i="11"/>
  <c r="D204" i="11"/>
  <c r="J204" i="11"/>
  <c r="J195" i="11" s="1"/>
  <c r="E231" i="11"/>
  <c r="K231" i="11"/>
  <c r="C257" i="11"/>
  <c r="E291" i="11"/>
  <c r="C153" i="11"/>
  <c r="C217" i="11"/>
  <c r="C218" i="11"/>
  <c r="N204" i="11"/>
  <c r="N195" i="11" s="1"/>
  <c r="G231" i="11"/>
  <c r="G230" i="11" s="1"/>
  <c r="C265" i="11"/>
  <c r="G270" i="11"/>
  <c r="G269" i="11" s="1"/>
  <c r="M270" i="11"/>
  <c r="C157" i="11"/>
  <c r="C158" i="11"/>
  <c r="F270" i="11"/>
  <c r="C59" i="11"/>
  <c r="C71" i="11"/>
  <c r="C72" i="11"/>
  <c r="M76" i="11"/>
  <c r="C105" i="11"/>
  <c r="C109" i="11"/>
  <c r="C121" i="11"/>
  <c r="D187" i="11"/>
  <c r="I187" i="11"/>
  <c r="E195" i="11"/>
  <c r="C201" i="11"/>
  <c r="C213" i="11"/>
  <c r="C253" i="11"/>
  <c r="C254" i="11"/>
  <c r="C263" i="11"/>
  <c r="E259" i="11"/>
  <c r="D20" i="11"/>
  <c r="F41" i="11"/>
  <c r="C41" i="11" s="1"/>
  <c r="G54" i="11"/>
  <c r="M54" i="11"/>
  <c r="D76" i="11"/>
  <c r="C93" i="11"/>
  <c r="C125" i="11"/>
  <c r="C127" i="11"/>
  <c r="C129" i="11"/>
  <c r="C133" i="11"/>
  <c r="I151" i="11"/>
  <c r="C163" i="11"/>
  <c r="C164" i="11"/>
  <c r="H174" i="11"/>
  <c r="H173" i="11" s="1"/>
  <c r="E187" i="11"/>
  <c r="J187" i="11"/>
  <c r="C189" i="11"/>
  <c r="O187" i="11"/>
  <c r="C209" i="11"/>
  <c r="C237" i="11"/>
  <c r="I251" i="11"/>
  <c r="K270" i="11"/>
  <c r="C275" i="11"/>
  <c r="C63" i="11"/>
  <c r="O69" i="11"/>
  <c r="O95" i="11"/>
  <c r="C114" i="11"/>
  <c r="K130" i="11"/>
  <c r="C181" i="11"/>
  <c r="N187" i="11"/>
  <c r="E270" i="11"/>
  <c r="E269" i="11" s="1"/>
  <c r="C277" i="11"/>
  <c r="C301" i="11"/>
  <c r="K26" i="11"/>
  <c r="J54" i="11"/>
  <c r="J53" i="11" s="1"/>
  <c r="C74" i="11"/>
  <c r="C79" i="11"/>
  <c r="C82" i="11"/>
  <c r="C98" i="11"/>
  <c r="C145" i="11"/>
  <c r="C146" i="11"/>
  <c r="C150" i="11"/>
  <c r="K174" i="11"/>
  <c r="K173" i="11" s="1"/>
  <c r="H204" i="11"/>
  <c r="H195" i="11" s="1"/>
  <c r="C245" i="11"/>
  <c r="C297" i="11"/>
  <c r="C299" i="11"/>
  <c r="L21" i="11"/>
  <c r="L31" i="11"/>
  <c r="C31" i="11" s="1"/>
  <c r="L33" i="11"/>
  <c r="C33" i="11" s="1"/>
  <c r="I67" i="11"/>
  <c r="K83" i="11"/>
  <c r="C120" i="11"/>
  <c r="G174" i="11"/>
  <c r="G173" i="11" s="1"/>
  <c r="C210" i="11"/>
  <c r="C212" i="11"/>
  <c r="C225" i="11"/>
  <c r="C241" i="11"/>
  <c r="C243" i="11"/>
  <c r="K259" i="11"/>
  <c r="O45" i="11"/>
  <c r="C87" i="11"/>
  <c r="C137" i="11"/>
  <c r="I136" i="11"/>
  <c r="C136" i="11" s="1"/>
  <c r="C193" i="11"/>
  <c r="E20" i="11"/>
  <c r="L58" i="11"/>
  <c r="L84" i="11"/>
  <c r="M83" i="11"/>
  <c r="C126" i="11"/>
  <c r="N130" i="11"/>
  <c r="N75" i="11" s="1"/>
  <c r="C169" i="11"/>
  <c r="D173" i="11"/>
  <c r="G187" i="11"/>
  <c r="K187" i="11"/>
  <c r="L196" i="11"/>
  <c r="C202" i="11"/>
  <c r="I260" i="11"/>
  <c r="C261" i="11"/>
  <c r="M269" i="11"/>
  <c r="K292" i="11"/>
  <c r="K291" i="11" s="1"/>
  <c r="K20" i="11"/>
  <c r="K195" i="11"/>
  <c r="G20" i="11"/>
  <c r="G53" i="11"/>
  <c r="O77" i="11"/>
  <c r="C86" i="11"/>
  <c r="C107" i="11"/>
  <c r="F116" i="11"/>
  <c r="C117" i="11"/>
  <c r="E130" i="11"/>
  <c r="J130" i="11"/>
  <c r="O131" i="11"/>
  <c r="C149" i="11"/>
  <c r="C177" i="11"/>
  <c r="H269" i="11"/>
  <c r="I284" i="11"/>
  <c r="I283" i="11" s="1"/>
  <c r="C285" i="11"/>
  <c r="I20" i="11"/>
  <c r="C99" i="11"/>
  <c r="F160" i="11"/>
  <c r="C161" i="11"/>
  <c r="M53" i="11"/>
  <c r="C60" i="11"/>
  <c r="J83" i="11"/>
  <c r="C73" i="11"/>
  <c r="C91" i="11"/>
  <c r="C94" i="11"/>
  <c r="C113" i="11"/>
  <c r="C155" i="11"/>
  <c r="C156" i="11"/>
  <c r="C170" i="11"/>
  <c r="I179" i="11"/>
  <c r="C197" i="11"/>
  <c r="F205" i="11"/>
  <c r="C208" i="11"/>
  <c r="O205" i="11"/>
  <c r="C219" i="11"/>
  <c r="C222" i="11"/>
  <c r="K230" i="11"/>
  <c r="C273" i="11"/>
  <c r="E230" i="11"/>
  <c r="E194" i="11" s="1"/>
  <c r="N231" i="11"/>
  <c r="N230" i="11" s="1"/>
  <c r="L238" i="11"/>
  <c r="C280" i="11"/>
  <c r="H291" i="11"/>
  <c r="O292" i="11"/>
  <c r="J26" i="11"/>
  <c r="J20" i="11" s="1"/>
  <c r="M20" i="11"/>
  <c r="N53" i="11"/>
  <c r="L54" i="11"/>
  <c r="C61" i="11"/>
  <c r="C64" i="11"/>
  <c r="C66" i="11"/>
  <c r="G76" i="11"/>
  <c r="K76" i="11"/>
  <c r="K75" i="11" s="1"/>
  <c r="C88" i="11"/>
  <c r="G83" i="11"/>
  <c r="C100" i="11"/>
  <c r="C102" i="11"/>
  <c r="C111" i="11"/>
  <c r="C118" i="11"/>
  <c r="C124" i="11"/>
  <c r="O122" i="11"/>
  <c r="D130" i="11"/>
  <c r="G130" i="11"/>
  <c r="I141" i="11"/>
  <c r="C148" i="11"/>
  <c r="C168" i="11"/>
  <c r="O166" i="11"/>
  <c r="O165" i="11" s="1"/>
  <c r="J173" i="11"/>
  <c r="E174" i="11"/>
  <c r="E173" i="11" s="1"/>
  <c r="H187" i="11"/>
  <c r="C203" i="11"/>
  <c r="G204" i="11"/>
  <c r="G195" i="11" s="1"/>
  <c r="M204" i="11"/>
  <c r="M195" i="11" s="1"/>
  <c r="C211" i="11"/>
  <c r="C223" i="11"/>
  <c r="C233" i="11"/>
  <c r="D231" i="11"/>
  <c r="C240" i="11"/>
  <c r="O259" i="11"/>
  <c r="I259" i="11"/>
  <c r="C267" i="11"/>
  <c r="C279" i="11"/>
  <c r="C284" i="11"/>
  <c r="C296" i="11"/>
  <c r="C224" i="11"/>
  <c r="O235" i="11"/>
  <c r="H231" i="11"/>
  <c r="C255" i="11"/>
  <c r="L260" i="11"/>
  <c r="L259" i="11" s="1"/>
  <c r="C266" i="11"/>
  <c r="C288" i="11"/>
  <c r="D291" i="11"/>
  <c r="F21" i="11"/>
  <c r="F292" i="11" s="1"/>
  <c r="F291" i="11" s="1"/>
  <c r="C44" i="11"/>
  <c r="O54" i="11"/>
  <c r="H54" i="11"/>
  <c r="H53" i="11" s="1"/>
  <c r="C65" i="11"/>
  <c r="O67" i="11"/>
  <c r="L77" i="11"/>
  <c r="L76" i="11" s="1"/>
  <c r="J76" i="11"/>
  <c r="E83" i="11"/>
  <c r="E75" i="11" s="1"/>
  <c r="O89" i="11"/>
  <c r="C101" i="11"/>
  <c r="C104" i="11"/>
  <c r="C110" i="11"/>
  <c r="O116" i="11"/>
  <c r="I122" i="11"/>
  <c r="C135" i="11"/>
  <c r="C139" i="11"/>
  <c r="C140" i="11"/>
  <c r="I144" i="11"/>
  <c r="O151" i="11"/>
  <c r="I166" i="11"/>
  <c r="I165" i="11" s="1"/>
  <c r="C171" i="11"/>
  <c r="C172" i="11"/>
  <c r="D195" i="11"/>
  <c r="C215" i="11"/>
  <c r="M231" i="11"/>
  <c r="M230" i="11" s="1"/>
  <c r="L235" i="11"/>
  <c r="C244" i="11"/>
  <c r="L246" i="11"/>
  <c r="O270" i="11"/>
  <c r="O269" i="11" s="1"/>
  <c r="C274" i="11"/>
  <c r="L276" i="11"/>
  <c r="K269" i="11"/>
  <c r="C298" i="11"/>
  <c r="L292" i="11"/>
  <c r="L291" i="11" s="1"/>
  <c r="J292" i="11"/>
  <c r="J291" i="11" s="1"/>
  <c r="C45" i="11"/>
  <c r="C90" i="11"/>
  <c r="F89" i="11"/>
  <c r="C97" i="11"/>
  <c r="I95" i="11"/>
  <c r="C138" i="11"/>
  <c r="L136" i="11"/>
  <c r="H20" i="11"/>
  <c r="C22" i="11"/>
  <c r="L36" i="11"/>
  <c r="C36" i="11" s="1"/>
  <c r="K53" i="11"/>
  <c r="L69" i="11"/>
  <c r="L67" i="11" s="1"/>
  <c r="L53" i="11" s="1"/>
  <c r="D83" i="11"/>
  <c r="H83" i="11"/>
  <c r="O84" i="11"/>
  <c r="C92" i="11"/>
  <c r="L95" i="11"/>
  <c r="C162" i="11"/>
  <c r="L160" i="11"/>
  <c r="C160" i="11" s="1"/>
  <c r="C176" i="11"/>
  <c r="F175" i="11"/>
  <c r="O20" i="11"/>
  <c r="C23" i="11"/>
  <c r="C24" i="11"/>
  <c r="L27" i="11"/>
  <c r="C57" i="11"/>
  <c r="I55" i="11"/>
  <c r="C78" i="11"/>
  <c r="F77" i="11"/>
  <c r="O76" i="11"/>
  <c r="I80" i="11"/>
  <c r="I76" i="11" s="1"/>
  <c r="C81" i="11"/>
  <c r="L89" i="11"/>
  <c r="L151" i="11"/>
  <c r="C154" i="11"/>
  <c r="C190" i="11"/>
  <c r="L188" i="11"/>
  <c r="L187" i="11" s="1"/>
  <c r="N292" i="11"/>
  <c r="N291" i="11" s="1"/>
  <c r="N20" i="11"/>
  <c r="C62" i="11"/>
  <c r="F58" i="11"/>
  <c r="C58" i="11" s="1"/>
  <c r="C70" i="11"/>
  <c r="F69" i="11"/>
  <c r="F84" i="11"/>
  <c r="I84" i="11"/>
  <c r="C85" i="11"/>
  <c r="F95" i="11"/>
  <c r="C108" i="11"/>
  <c r="F103" i="11"/>
  <c r="C115" i="11"/>
  <c r="I112" i="11"/>
  <c r="C186" i="11"/>
  <c r="L184" i="11"/>
  <c r="C220" i="11"/>
  <c r="F216" i="11"/>
  <c r="C228" i="11"/>
  <c r="F227" i="11"/>
  <c r="C227" i="11" s="1"/>
  <c r="C248" i="11"/>
  <c r="F246" i="11"/>
  <c r="C256" i="11"/>
  <c r="F252" i="11"/>
  <c r="C56" i="11"/>
  <c r="C68" i="11"/>
  <c r="C96" i="11"/>
  <c r="L116" i="11"/>
  <c r="L122" i="11"/>
  <c r="C122" i="11" s="1"/>
  <c r="M130" i="11"/>
  <c r="M75" i="11" s="1"/>
  <c r="C143" i="11"/>
  <c r="C152" i="11"/>
  <c r="F151" i="11"/>
  <c r="C167" i="11"/>
  <c r="O179" i="11"/>
  <c r="L179" i="11"/>
  <c r="C182" i="11"/>
  <c r="O196" i="11"/>
  <c r="L103" i="11"/>
  <c r="C106" i="11"/>
  <c r="C119" i="11"/>
  <c r="I116" i="11"/>
  <c r="L131" i="11"/>
  <c r="C134" i="11"/>
  <c r="F165" i="11"/>
  <c r="M174" i="11"/>
  <c r="M173" i="11" s="1"/>
  <c r="C180" i="11"/>
  <c r="F179" i="11"/>
  <c r="C184" i="11"/>
  <c r="C188" i="11"/>
  <c r="C192" i="11"/>
  <c r="F191" i="11"/>
  <c r="C191" i="11" s="1"/>
  <c r="I286" i="11"/>
  <c r="C287" i="11"/>
  <c r="O103" i="11"/>
  <c r="C112" i="11"/>
  <c r="C123" i="11"/>
  <c r="C128" i="11"/>
  <c r="C132" i="11"/>
  <c r="F131" i="11"/>
  <c r="O130" i="11"/>
  <c r="H130" i="11"/>
  <c r="C142" i="11"/>
  <c r="L141" i="11"/>
  <c r="C141" i="11" s="1"/>
  <c r="L144" i="11"/>
  <c r="C147" i="11"/>
  <c r="C159" i="11"/>
  <c r="L166" i="11"/>
  <c r="L165" i="11" s="1"/>
  <c r="I174" i="11"/>
  <c r="I173" i="11" s="1"/>
  <c r="O175" i="11"/>
  <c r="L175" i="11"/>
  <c r="C178" i="11"/>
  <c r="C183" i="11"/>
  <c r="C200" i="11"/>
  <c r="F198" i="11"/>
  <c r="C281" i="11"/>
  <c r="C207" i="11"/>
  <c r="I205" i="11"/>
  <c r="I204" i="11" s="1"/>
  <c r="J231" i="11"/>
  <c r="J230" i="11" s="1"/>
  <c r="I246" i="11"/>
  <c r="C247" i="11"/>
  <c r="C250" i="11"/>
  <c r="C258" i="11"/>
  <c r="C262" i="11"/>
  <c r="I270" i="11"/>
  <c r="I269" i="11" s="1"/>
  <c r="C271" i="11"/>
  <c r="C276" i="11"/>
  <c r="I196" i="11"/>
  <c r="L205" i="11"/>
  <c r="L204" i="11" s="1"/>
  <c r="C214" i="11"/>
  <c r="C226" i="11"/>
  <c r="F238" i="11"/>
  <c r="I238" i="11"/>
  <c r="C239" i="11"/>
  <c r="C242" i="11"/>
  <c r="D259" i="11"/>
  <c r="H259" i="11"/>
  <c r="F269" i="11"/>
  <c r="C272" i="11"/>
  <c r="C278" i="11"/>
  <c r="C199" i="11"/>
  <c r="O216" i="11"/>
  <c r="O204" i="11" s="1"/>
  <c r="C232" i="11"/>
  <c r="C236" i="11"/>
  <c r="F235" i="11"/>
  <c r="O246" i="11"/>
  <c r="O231" i="11" s="1"/>
  <c r="O251" i="11"/>
  <c r="C268" i="11"/>
  <c r="F264" i="11"/>
  <c r="C264" i="11" s="1"/>
  <c r="L270" i="11"/>
  <c r="L269" i="11" s="1"/>
  <c r="C286" i="11"/>
  <c r="C295" i="11"/>
  <c r="I293" i="11"/>
  <c r="C293" i="11" s="1"/>
  <c r="C300" i="11"/>
  <c r="O291" i="11"/>
  <c r="C206" i="11"/>
  <c r="C234" i="11"/>
  <c r="C282" i="11"/>
  <c r="F283" i="11"/>
  <c r="C283" i="11" s="1"/>
  <c r="C294" i="11"/>
  <c r="C235" i="11" l="1"/>
  <c r="H230" i="11"/>
  <c r="L195" i="11"/>
  <c r="H75" i="11"/>
  <c r="H52" i="11" s="1"/>
  <c r="D75" i="11"/>
  <c r="N194" i="11"/>
  <c r="C144" i="11"/>
  <c r="I130" i="11"/>
  <c r="K194" i="11"/>
  <c r="E52" i="11"/>
  <c r="E51" i="11" s="1"/>
  <c r="M52" i="11"/>
  <c r="K52" i="11"/>
  <c r="K51" i="11" s="1"/>
  <c r="F20" i="11"/>
  <c r="O195" i="11"/>
  <c r="L231" i="11"/>
  <c r="L230" i="11" s="1"/>
  <c r="M194" i="11"/>
  <c r="M51" i="11" s="1"/>
  <c r="O230" i="11"/>
  <c r="L174" i="11"/>
  <c r="L173" i="11" s="1"/>
  <c r="C151" i="11"/>
  <c r="C95" i="11"/>
  <c r="C69" i="11"/>
  <c r="C238" i="11"/>
  <c r="I195" i="11"/>
  <c r="C165" i="11"/>
  <c r="O53" i="11"/>
  <c r="M289" i="11"/>
  <c r="N52" i="11"/>
  <c r="N51" i="11" s="1"/>
  <c r="N289" i="11"/>
  <c r="G194" i="11"/>
  <c r="F259" i="11"/>
  <c r="C259" i="11" s="1"/>
  <c r="J194" i="11"/>
  <c r="O174" i="11"/>
  <c r="O173" i="11" s="1"/>
  <c r="C179" i="11"/>
  <c r="C205" i="11"/>
  <c r="D52" i="11"/>
  <c r="C21" i="11"/>
  <c r="J75" i="11"/>
  <c r="J52" i="11" s="1"/>
  <c r="I231" i="11"/>
  <c r="I230" i="11" s="1"/>
  <c r="K289" i="11"/>
  <c r="F187" i="11"/>
  <c r="C187" i="11" s="1"/>
  <c r="C116" i="11"/>
  <c r="E289" i="11"/>
  <c r="C216" i="11"/>
  <c r="L83" i="11"/>
  <c r="C89" i="11"/>
  <c r="D230" i="11"/>
  <c r="D194" i="11" s="1"/>
  <c r="C260" i="11"/>
  <c r="G75" i="11"/>
  <c r="G52" i="11" s="1"/>
  <c r="H194" i="11"/>
  <c r="C269" i="11"/>
  <c r="O194" i="11"/>
  <c r="C246" i="11"/>
  <c r="F204" i="11"/>
  <c r="C204" i="11" s="1"/>
  <c r="C175" i="11"/>
  <c r="F174" i="11"/>
  <c r="C166" i="11"/>
  <c r="C103" i="11"/>
  <c r="I83" i="11"/>
  <c r="I75" i="11" s="1"/>
  <c r="I289" i="11" s="1"/>
  <c r="I292" i="11"/>
  <c r="I291" i="11" s="1"/>
  <c r="C291" i="11" s="1"/>
  <c r="C77" i="11"/>
  <c r="F76" i="11"/>
  <c r="F67" i="11"/>
  <c r="C67" i="11" s="1"/>
  <c r="F54" i="11"/>
  <c r="C198" i="11"/>
  <c r="F196" i="11"/>
  <c r="C131" i="11"/>
  <c r="F130" i="11"/>
  <c r="L130" i="11"/>
  <c r="C252" i="11"/>
  <c r="F251" i="11"/>
  <c r="C251" i="11" s="1"/>
  <c r="F83" i="11"/>
  <c r="C84" i="11"/>
  <c r="I54" i="11"/>
  <c r="I53" i="11" s="1"/>
  <c r="C55" i="11"/>
  <c r="C80" i="11"/>
  <c r="L194" i="11"/>
  <c r="C292" i="11"/>
  <c r="F231" i="11"/>
  <c r="C270" i="11"/>
  <c r="E290" i="11"/>
  <c r="E50" i="11"/>
  <c r="C27" i="11"/>
  <c r="L26" i="11"/>
  <c r="O83" i="11"/>
  <c r="O75" i="11" s="1"/>
  <c r="O289" i="11" l="1"/>
  <c r="H289" i="11"/>
  <c r="H51" i="11"/>
  <c r="H50" i="11" s="1"/>
  <c r="D51" i="11"/>
  <c r="D50" i="11" s="1"/>
  <c r="I194" i="11"/>
  <c r="D289" i="11"/>
  <c r="J51" i="11"/>
  <c r="J50" i="11" s="1"/>
  <c r="M50" i="11"/>
  <c r="M290" i="11"/>
  <c r="G51" i="11"/>
  <c r="L75" i="11"/>
  <c r="L289" i="11" s="1"/>
  <c r="G289" i="11"/>
  <c r="J289" i="11"/>
  <c r="N50" i="11"/>
  <c r="N290" i="11"/>
  <c r="H290" i="11"/>
  <c r="C26" i="11"/>
  <c r="L20" i="11"/>
  <c r="C20" i="11" s="1"/>
  <c r="K50" i="11"/>
  <c r="K290" i="11"/>
  <c r="F75" i="11"/>
  <c r="C76" i="11"/>
  <c r="C231" i="11"/>
  <c r="F230" i="11"/>
  <c r="C83" i="11"/>
  <c r="C130" i="11"/>
  <c r="O52" i="11"/>
  <c r="O51" i="11" s="1"/>
  <c r="C54" i="11"/>
  <c r="F53" i="11"/>
  <c r="F173" i="11"/>
  <c r="C173" i="11" s="1"/>
  <c r="C174" i="11"/>
  <c r="I52" i="11"/>
  <c r="I51" i="11" s="1"/>
  <c r="C196" i="11"/>
  <c r="F195" i="11"/>
  <c r="D290" i="11" l="1"/>
  <c r="J290" i="11"/>
  <c r="L52" i="11"/>
  <c r="L51" i="11" s="1"/>
  <c r="L50" i="11" s="1"/>
  <c r="G290" i="11"/>
  <c r="G50" i="11"/>
  <c r="C75" i="11"/>
  <c r="C195" i="11"/>
  <c r="F194" i="11"/>
  <c r="C194" i="11" s="1"/>
  <c r="C230" i="11"/>
  <c r="F289" i="11"/>
  <c r="C289" i="11" s="1"/>
  <c r="C53" i="11"/>
  <c r="F52" i="11"/>
  <c r="O50" i="11"/>
  <c r="O290" i="11"/>
  <c r="I290" i="11"/>
  <c r="I50" i="11"/>
  <c r="L290" i="11" l="1"/>
  <c r="F51" i="11"/>
  <c r="C52" i="11"/>
  <c r="F290" i="11" l="1"/>
  <c r="C290" i="11" s="1"/>
  <c r="F50" i="11"/>
  <c r="C50" i="11" s="1"/>
  <c r="C51" i="11"/>
  <c r="F94" i="10" l="1"/>
  <c r="F93" i="10"/>
  <c r="F92" i="10" s="1"/>
  <c r="E92" i="10"/>
  <c r="D92" i="10"/>
  <c r="F86" i="10"/>
  <c r="F85" i="10"/>
  <c r="D84" i="10"/>
  <c r="D83" i="10"/>
  <c r="F83" i="10" s="1"/>
  <c r="F82" i="10"/>
  <c r="D81" i="10"/>
  <c r="F81" i="10" s="1"/>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E50"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E11" i="10"/>
  <c r="D11" i="10"/>
  <c r="O301" i="9"/>
  <c r="L301" i="9"/>
  <c r="I301" i="9"/>
  <c r="F301" i="9"/>
  <c r="O300" i="9"/>
  <c r="L300" i="9"/>
  <c r="I300" i="9"/>
  <c r="F300" i="9"/>
  <c r="O299" i="9"/>
  <c r="L299" i="9"/>
  <c r="I299" i="9"/>
  <c r="F299" i="9"/>
  <c r="O298" i="9"/>
  <c r="L298" i="9"/>
  <c r="I298" i="9"/>
  <c r="F298" i="9"/>
  <c r="O297" i="9"/>
  <c r="L297" i="9"/>
  <c r="I297" i="9"/>
  <c r="F297" i="9"/>
  <c r="O296" i="9"/>
  <c r="L296" i="9"/>
  <c r="I296" i="9"/>
  <c r="F296" i="9"/>
  <c r="O295" i="9"/>
  <c r="L295" i="9"/>
  <c r="I295" i="9"/>
  <c r="F295" i="9"/>
  <c r="O294" i="9"/>
  <c r="L294" i="9"/>
  <c r="L293" i="9" s="1"/>
  <c r="I294" i="9"/>
  <c r="F294" i="9"/>
  <c r="N293" i="9"/>
  <c r="M293" i="9"/>
  <c r="K293" i="9"/>
  <c r="J293" i="9"/>
  <c r="H293" i="9"/>
  <c r="G293" i="9"/>
  <c r="E293" i="9"/>
  <c r="D293" i="9"/>
  <c r="O288" i="9"/>
  <c r="L288" i="9"/>
  <c r="I288" i="9"/>
  <c r="F288" i="9"/>
  <c r="O287" i="9"/>
  <c r="O286" i="9" s="1"/>
  <c r="L287" i="9"/>
  <c r="L286" i="9" s="1"/>
  <c r="I287" i="9"/>
  <c r="F287" i="9"/>
  <c r="N286" i="9"/>
  <c r="M286" i="9"/>
  <c r="K286" i="9"/>
  <c r="J286" i="9"/>
  <c r="H286" i="9"/>
  <c r="G286" i="9"/>
  <c r="F286" i="9"/>
  <c r="E286" i="9"/>
  <c r="D286" i="9"/>
  <c r="O285" i="9"/>
  <c r="L285" i="9"/>
  <c r="L284" i="9" s="1"/>
  <c r="L283" i="9" s="1"/>
  <c r="I285" i="9"/>
  <c r="F285" i="9"/>
  <c r="O284" i="9"/>
  <c r="N284" i="9"/>
  <c r="N283" i="9" s="1"/>
  <c r="M284" i="9"/>
  <c r="M283" i="9" s="1"/>
  <c r="K284" i="9"/>
  <c r="K283" i="9" s="1"/>
  <c r="J284" i="9"/>
  <c r="J283" i="9" s="1"/>
  <c r="I284" i="9"/>
  <c r="I283" i="9" s="1"/>
  <c r="H284" i="9"/>
  <c r="H283" i="9" s="1"/>
  <c r="G284" i="9"/>
  <c r="E284" i="9"/>
  <c r="E283" i="9" s="1"/>
  <c r="D284" i="9"/>
  <c r="D283" i="9" s="1"/>
  <c r="O283" i="9"/>
  <c r="G283" i="9"/>
  <c r="O282" i="9"/>
  <c r="O281" i="9" s="1"/>
  <c r="L282" i="9"/>
  <c r="L281" i="9" s="1"/>
  <c r="I282" i="9"/>
  <c r="I281" i="9" s="1"/>
  <c r="F282" i="9"/>
  <c r="N281" i="9"/>
  <c r="M281" i="9"/>
  <c r="K281" i="9"/>
  <c r="J281" i="9"/>
  <c r="H281" i="9"/>
  <c r="G281" i="9"/>
  <c r="E281" i="9"/>
  <c r="D281" i="9"/>
  <c r="O280" i="9"/>
  <c r="L280" i="9"/>
  <c r="I280" i="9"/>
  <c r="F280" i="9"/>
  <c r="O279" i="9"/>
  <c r="L279" i="9"/>
  <c r="I279" i="9"/>
  <c r="F279" i="9"/>
  <c r="O278" i="9"/>
  <c r="L278" i="9"/>
  <c r="I278" i="9"/>
  <c r="F278" i="9"/>
  <c r="C278" i="9" s="1"/>
  <c r="O277" i="9"/>
  <c r="L277" i="9"/>
  <c r="I277" i="9"/>
  <c r="F277" i="9"/>
  <c r="N276" i="9"/>
  <c r="M276" i="9"/>
  <c r="K276" i="9"/>
  <c r="J276" i="9"/>
  <c r="H276" i="9"/>
  <c r="G276" i="9"/>
  <c r="E276" i="9"/>
  <c r="D276" i="9"/>
  <c r="O275" i="9"/>
  <c r="L275" i="9"/>
  <c r="I275" i="9"/>
  <c r="F275" i="9"/>
  <c r="O274" i="9"/>
  <c r="L274" i="9"/>
  <c r="I274" i="9"/>
  <c r="F274" i="9"/>
  <c r="O273" i="9"/>
  <c r="L273" i="9"/>
  <c r="L272" i="9" s="1"/>
  <c r="I273" i="9"/>
  <c r="I272" i="9" s="1"/>
  <c r="F273" i="9"/>
  <c r="N272" i="9"/>
  <c r="M272" i="9"/>
  <c r="M270" i="9" s="1"/>
  <c r="K272" i="9"/>
  <c r="J272" i="9"/>
  <c r="H272" i="9"/>
  <c r="H270" i="9" s="1"/>
  <c r="H269" i="9" s="1"/>
  <c r="G272" i="9"/>
  <c r="G270" i="9" s="1"/>
  <c r="E272" i="9"/>
  <c r="D272" i="9"/>
  <c r="O271" i="9"/>
  <c r="L271" i="9"/>
  <c r="I271" i="9"/>
  <c r="F271" i="9"/>
  <c r="N270" i="9"/>
  <c r="N269" i="9" s="1"/>
  <c r="K270" i="9"/>
  <c r="O268" i="9"/>
  <c r="L268" i="9"/>
  <c r="I268" i="9"/>
  <c r="F268" i="9"/>
  <c r="O267" i="9"/>
  <c r="L267" i="9"/>
  <c r="I267" i="9"/>
  <c r="F267" i="9"/>
  <c r="O266" i="9"/>
  <c r="L266" i="9"/>
  <c r="I266" i="9"/>
  <c r="F266" i="9"/>
  <c r="O265" i="9"/>
  <c r="L265" i="9"/>
  <c r="I265" i="9"/>
  <c r="F265" i="9"/>
  <c r="N264" i="9"/>
  <c r="M264" i="9"/>
  <c r="K264" i="9"/>
  <c r="J264" i="9"/>
  <c r="H264" i="9"/>
  <c r="G264" i="9"/>
  <c r="E264" i="9"/>
  <c r="D264" i="9"/>
  <c r="O263" i="9"/>
  <c r="L263" i="9"/>
  <c r="I263" i="9"/>
  <c r="F263" i="9"/>
  <c r="O262" i="9"/>
  <c r="L262" i="9"/>
  <c r="I262" i="9"/>
  <c r="F262" i="9"/>
  <c r="O261" i="9"/>
  <c r="L261" i="9"/>
  <c r="I261" i="9"/>
  <c r="F261" i="9"/>
  <c r="N260" i="9"/>
  <c r="M260" i="9"/>
  <c r="K260" i="9"/>
  <c r="J260" i="9"/>
  <c r="J259" i="9" s="1"/>
  <c r="H260" i="9"/>
  <c r="H259" i="9" s="1"/>
  <c r="G260" i="9"/>
  <c r="G259" i="9" s="1"/>
  <c r="E260" i="9"/>
  <c r="E259" i="9" s="1"/>
  <c r="D260" i="9"/>
  <c r="O258" i="9"/>
  <c r="L258" i="9"/>
  <c r="I258" i="9"/>
  <c r="F258" i="9"/>
  <c r="O257" i="9"/>
  <c r="L257" i="9"/>
  <c r="I257" i="9"/>
  <c r="F257" i="9"/>
  <c r="O256" i="9"/>
  <c r="L256" i="9"/>
  <c r="I256" i="9"/>
  <c r="F256" i="9"/>
  <c r="O255" i="9"/>
  <c r="L255" i="9"/>
  <c r="I255" i="9"/>
  <c r="F255" i="9"/>
  <c r="O254" i="9"/>
  <c r="L254" i="9"/>
  <c r="I254" i="9"/>
  <c r="F254" i="9"/>
  <c r="O253" i="9"/>
  <c r="L253" i="9"/>
  <c r="I253" i="9"/>
  <c r="F253" i="9"/>
  <c r="N252" i="9"/>
  <c r="M252" i="9"/>
  <c r="M251" i="9" s="1"/>
  <c r="K252" i="9"/>
  <c r="K251" i="9" s="1"/>
  <c r="J252" i="9"/>
  <c r="J251" i="9" s="1"/>
  <c r="H252" i="9"/>
  <c r="H251" i="9" s="1"/>
  <c r="G252" i="9"/>
  <c r="E252" i="9"/>
  <c r="E251" i="9" s="1"/>
  <c r="D252" i="9"/>
  <c r="N251" i="9"/>
  <c r="G251" i="9"/>
  <c r="D251" i="9"/>
  <c r="O250" i="9"/>
  <c r="L250" i="9"/>
  <c r="I250" i="9"/>
  <c r="F250" i="9"/>
  <c r="O249" i="9"/>
  <c r="L249" i="9"/>
  <c r="I249" i="9"/>
  <c r="F249" i="9"/>
  <c r="O248" i="9"/>
  <c r="L248" i="9"/>
  <c r="I248" i="9"/>
  <c r="F248" i="9"/>
  <c r="O247" i="9"/>
  <c r="L247" i="9"/>
  <c r="L246" i="9" s="1"/>
  <c r="I247" i="9"/>
  <c r="F247"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L239" i="9"/>
  <c r="L238" i="9" s="1"/>
  <c r="I239" i="9"/>
  <c r="F239" i="9"/>
  <c r="N238" i="9"/>
  <c r="M238" i="9"/>
  <c r="K238" i="9"/>
  <c r="J238" i="9"/>
  <c r="H238" i="9"/>
  <c r="G238" i="9"/>
  <c r="E238" i="9"/>
  <c r="D238" i="9"/>
  <c r="O237" i="9"/>
  <c r="L237" i="9"/>
  <c r="I237" i="9"/>
  <c r="F237" i="9"/>
  <c r="O236" i="9"/>
  <c r="L236" i="9"/>
  <c r="L235" i="9" s="1"/>
  <c r="I236" i="9"/>
  <c r="F236" i="9"/>
  <c r="O235" i="9"/>
  <c r="N235" i="9"/>
  <c r="M235" i="9"/>
  <c r="K235" i="9"/>
  <c r="J235" i="9"/>
  <c r="H235" i="9"/>
  <c r="G235" i="9"/>
  <c r="E235" i="9"/>
  <c r="D235" i="9"/>
  <c r="O234" i="9"/>
  <c r="O233" i="9" s="1"/>
  <c r="L234" i="9"/>
  <c r="I234" i="9"/>
  <c r="F234" i="9"/>
  <c r="N233" i="9"/>
  <c r="M233" i="9"/>
  <c r="L233" i="9"/>
  <c r="K233" i="9"/>
  <c r="J233" i="9"/>
  <c r="J231" i="9" s="1"/>
  <c r="I233" i="9"/>
  <c r="H233" i="9"/>
  <c r="G233" i="9"/>
  <c r="F233" i="9"/>
  <c r="E233" i="9"/>
  <c r="D233" i="9"/>
  <c r="O232" i="9"/>
  <c r="L232" i="9"/>
  <c r="I232" i="9"/>
  <c r="F232" i="9"/>
  <c r="O229" i="9"/>
  <c r="L229" i="9"/>
  <c r="I229" i="9"/>
  <c r="F229" i="9"/>
  <c r="O228" i="9"/>
  <c r="O227" i="9" s="1"/>
  <c r="L228" i="9"/>
  <c r="L227" i="9" s="1"/>
  <c r="I228" i="9"/>
  <c r="I227" i="9" s="1"/>
  <c r="F228" i="9"/>
  <c r="F227" i="9" s="1"/>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O219" i="9"/>
  <c r="L219" i="9"/>
  <c r="I219" i="9"/>
  <c r="F219" i="9"/>
  <c r="O218" i="9"/>
  <c r="L218" i="9"/>
  <c r="I218" i="9"/>
  <c r="F218" i="9"/>
  <c r="O217" i="9"/>
  <c r="L217" i="9"/>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I206" i="9"/>
  <c r="F206" i="9"/>
  <c r="N205" i="9"/>
  <c r="M205" i="9"/>
  <c r="M204" i="9" s="1"/>
  <c r="K205" i="9"/>
  <c r="K204" i="9" s="1"/>
  <c r="J205" i="9"/>
  <c r="H205" i="9"/>
  <c r="G205" i="9"/>
  <c r="G204" i="9" s="1"/>
  <c r="E205" i="9"/>
  <c r="D205" i="9"/>
  <c r="O203" i="9"/>
  <c r="L203" i="9"/>
  <c r="I203" i="9"/>
  <c r="F203" i="9"/>
  <c r="O202" i="9"/>
  <c r="L202" i="9"/>
  <c r="I202" i="9"/>
  <c r="F202" i="9"/>
  <c r="O201" i="9"/>
  <c r="L201" i="9"/>
  <c r="I201" i="9"/>
  <c r="F201" i="9"/>
  <c r="O200" i="9"/>
  <c r="L200" i="9"/>
  <c r="I200" i="9"/>
  <c r="F200" i="9"/>
  <c r="O199" i="9"/>
  <c r="O198" i="9" s="1"/>
  <c r="L199" i="9"/>
  <c r="L198" i="9" s="1"/>
  <c r="I199" i="9"/>
  <c r="F199" i="9"/>
  <c r="F198" i="9" s="1"/>
  <c r="N198" i="9"/>
  <c r="M198" i="9"/>
  <c r="K198" i="9"/>
  <c r="K196" i="9" s="1"/>
  <c r="J198" i="9"/>
  <c r="J196" i="9" s="1"/>
  <c r="H198" i="9"/>
  <c r="G198" i="9"/>
  <c r="G196" i="9" s="1"/>
  <c r="E198" i="9"/>
  <c r="E196" i="9" s="1"/>
  <c r="D198" i="9"/>
  <c r="D196" i="9" s="1"/>
  <c r="O197" i="9"/>
  <c r="L197" i="9"/>
  <c r="I197" i="9"/>
  <c r="F197" i="9"/>
  <c r="N196" i="9"/>
  <c r="M196" i="9"/>
  <c r="H196" i="9"/>
  <c r="O193" i="9"/>
  <c r="L193" i="9"/>
  <c r="L192" i="9" s="1"/>
  <c r="L191" i="9" s="1"/>
  <c r="I193" i="9"/>
  <c r="I192" i="9" s="1"/>
  <c r="I191" i="9" s="1"/>
  <c r="F193" i="9"/>
  <c r="O192" i="9"/>
  <c r="N192" i="9"/>
  <c r="N191" i="9" s="1"/>
  <c r="M192" i="9"/>
  <c r="M191" i="9" s="1"/>
  <c r="K192" i="9"/>
  <c r="K191" i="9" s="1"/>
  <c r="J192" i="9"/>
  <c r="H192" i="9"/>
  <c r="H191" i="9" s="1"/>
  <c r="G192" i="9"/>
  <c r="G191" i="9" s="1"/>
  <c r="E192" i="9"/>
  <c r="E191" i="9" s="1"/>
  <c r="D192" i="9"/>
  <c r="D191" i="9" s="1"/>
  <c r="O191" i="9"/>
  <c r="J191" i="9"/>
  <c r="O190" i="9"/>
  <c r="L190" i="9"/>
  <c r="I190" i="9"/>
  <c r="F190" i="9"/>
  <c r="O189" i="9"/>
  <c r="L189" i="9"/>
  <c r="I189" i="9"/>
  <c r="I188" i="9" s="1"/>
  <c r="F189" i="9"/>
  <c r="N188" i="9"/>
  <c r="M188" i="9"/>
  <c r="K188" i="9"/>
  <c r="J188" i="9"/>
  <c r="J187" i="9" s="1"/>
  <c r="H188" i="9"/>
  <c r="G188" i="9"/>
  <c r="E188" i="9"/>
  <c r="E187" i="9" s="1"/>
  <c r="D188" i="9"/>
  <c r="O186" i="9"/>
  <c r="L186" i="9"/>
  <c r="I186" i="9"/>
  <c r="F186" i="9"/>
  <c r="O185" i="9"/>
  <c r="L185" i="9"/>
  <c r="L184" i="9" s="1"/>
  <c r="I185" i="9"/>
  <c r="I184" i="9" s="1"/>
  <c r="F185" i="9"/>
  <c r="N184" i="9"/>
  <c r="M184" i="9"/>
  <c r="K184" i="9"/>
  <c r="J184" i="9"/>
  <c r="H184" i="9"/>
  <c r="G184" i="9"/>
  <c r="E184" i="9"/>
  <c r="D184" i="9"/>
  <c r="O183" i="9"/>
  <c r="L183" i="9"/>
  <c r="I183" i="9"/>
  <c r="F183" i="9"/>
  <c r="O182" i="9"/>
  <c r="L182" i="9"/>
  <c r="I182" i="9"/>
  <c r="F182" i="9"/>
  <c r="O181" i="9"/>
  <c r="L181" i="9"/>
  <c r="I181" i="9"/>
  <c r="F181" i="9"/>
  <c r="O180" i="9"/>
  <c r="L180" i="9"/>
  <c r="I180" i="9"/>
  <c r="I179" i="9" s="1"/>
  <c r="F180" i="9"/>
  <c r="N179" i="9"/>
  <c r="M179" i="9"/>
  <c r="K179" i="9"/>
  <c r="J179" i="9"/>
  <c r="H179" i="9"/>
  <c r="G179" i="9"/>
  <c r="F179" i="9"/>
  <c r="E179" i="9"/>
  <c r="D179" i="9"/>
  <c r="O178" i="9"/>
  <c r="L178" i="9"/>
  <c r="I178" i="9"/>
  <c r="F178" i="9"/>
  <c r="O177" i="9"/>
  <c r="L177" i="9"/>
  <c r="I177" i="9"/>
  <c r="F177" i="9"/>
  <c r="O176" i="9"/>
  <c r="L176" i="9"/>
  <c r="I176" i="9"/>
  <c r="I175" i="9" s="1"/>
  <c r="F176" i="9"/>
  <c r="N175" i="9"/>
  <c r="N174" i="9" s="1"/>
  <c r="N173" i="9" s="1"/>
  <c r="M175" i="9"/>
  <c r="K175" i="9"/>
  <c r="J175" i="9"/>
  <c r="H175" i="9"/>
  <c r="H174" i="9" s="1"/>
  <c r="H173" i="9" s="1"/>
  <c r="G175" i="9"/>
  <c r="E175" i="9"/>
  <c r="E174" i="9" s="1"/>
  <c r="D175" i="9"/>
  <c r="K174" i="9"/>
  <c r="K173" i="9" s="1"/>
  <c r="O172" i="9"/>
  <c r="L172" i="9"/>
  <c r="I172" i="9"/>
  <c r="F172" i="9"/>
  <c r="O171" i="9"/>
  <c r="L171" i="9"/>
  <c r="I171" i="9"/>
  <c r="F171" i="9"/>
  <c r="O170" i="9"/>
  <c r="L170" i="9"/>
  <c r="I170" i="9"/>
  <c r="F170" i="9"/>
  <c r="O169" i="9"/>
  <c r="L169" i="9"/>
  <c r="I169" i="9"/>
  <c r="F169" i="9"/>
  <c r="O168" i="9"/>
  <c r="L168" i="9"/>
  <c r="I168" i="9"/>
  <c r="F168" i="9"/>
  <c r="O167" i="9"/>
  <c r="L167" i="9"/>
  <c r="L166" i="9" s="1"/>
  <c r="L165" i="9" s="1"/>
  <c r="I167" i="9"/>
  <c r="F167" i="9"/>
  <c r="N166" i="9"/>
  <c r="N165" i="9" s="1"/>
  <c r="M166" i="9"/>
  <c r="M165" i="9" s="1"/>
  <c r="K166" i="9"/>
  <c r="K165" i="9" s="1"/>
  <c r="J166" i="9"/>
  <c r="J165" i="9" s="1"/>
  <c r="H166" i="9"/>
  <c r="H165" i="9" s="1"/>
  <c r="G166" i="9"/>
  <c r="G165" i="9" s="1"/>
  <c r="E166" i="9"/>
  <c r="E165" i="9" s="1"/>
  <c r="D166" i="9"/>
  <c r="D165" i="9" s="1"/>
  <c r="O164" i="9"/>
  <c r="L164" i="9"/>
  <c r="I164" i="9"/>
  <c r="F164" i="9"/>
  <c r="O163" i="9"/>
  <c r="L163" i="9"/>
  <c r="I163" i="9"/>
  <c r="F163" i="9"/>
  <c r="O162" i="9"/>
  <c r="L162" i="9"/>
  <c r="I162" i="9"/>
  <c r="F162" i="9"/>
  <c r="O161" i="9"/>
  <c r="L161" i="9"/>
  <c r="L160" i="9" s="1"/>
  <c r="I161" i="9"/>
  <c r="I160" i="9" s="1"/>
  <c r="F161" i="9"/>
  <c r="N160" i="9"/>
  <c r="M160" i="9"/>
  <c r="K160" i="9"/>
  <c r="J160" i="9"/>
  <c r="H160" i="9"/>
  <c r="G160" i="9"/>
  <c r="E160" i="9"/>
  <c r="D160" i="9"/>
  <c r="O159" i="9"/>
  <c r="L159" i="9"/>
  <c r="I159" i="9"/>
  <c r="F159" i="9"/>
  <c r="O158" i="9"/>
  <c r="L158" i="9"/>
  <c r="I158" i="9"/>
  <c r="F158" i="9"/>
  <c r="O157" i="9"/>
  <c r="L157" i="9"/>
  <c r="I157" i="9"/>
  <c r="F157" i="9"/>
  <c r="O156" i="9"/>
  <c r="L156" i="9"/>
  <c r="I156" i="9"/>
  <c r="F156" i="9"/>
  <c r="O155" i="9"/>
  <c r="L155" i="9"/>
  <c r="I155" i="9"/>
  <c r="F155" i="9"/>
  <c r="O154" i="9"/>
  <c r="L154" i="9"/>
  <c r="I154" i="9"/>
  <c r="F154" i="9"/>
  <c r="O153" i="9"/>
  <c r="L153" i="9"/>
  <c r="I153" i="9"/>
  <c r="F153" i="9"/>
  <c r="O152" i="9"/>
  <c r="L152" i="9"/>
  <c r="I152" i="9"/>
  <c r="D152" i="9"/>
  <c r="F152" i="9" s="1"/>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F145" i="9"/>
  <c r="F144" i="9" s="1"/>
  <c r="N144" i="9"/>
  <c r="M144" i="9"/>
  <c r="K144" i="9"/>
  <c r="J144" i="9"/>
  <c r="H144" i="9"/>
  <c r="G144" i="9"/>
  <c r="E144" i="9"/>
  <c r="D144" i="9"/>
  <c r="O143" i="9"/>
  <c r="L143" i="9"/>
  <c r="I143" i="9"/>
  <c r="F143" i="9"/>
  <c r="C143" i="9" s="1"/>
  <c r="O142" i="9"/>
  <c r="L142" i="9"/>
  <c r="L141" i="9" s="1"/>
  <c r="I142" i="9"/>
  <c r="I141" i="9" s="1"/>
  <c r="F142" i="9"/>
  <c r="N141" i="9"/>
  <c r="M141" i="9"/>
  <c r="K141" i="9"/>
  <c r="J141" i="9"/>
  <c r="H141" i="9"/>
  <c r="G141" i="9"/>
  <c r="E141" i="9"/>
  <c r="D141" i="9"/>
  <c r="O140" i="9"/>
  <c r="L140" i="9"/>
  <c r="I140" i="9"/>
  <c r="F140" i="9"/>
  <c r="O139" i="9"/>
  <c r="L139" i="9"/>
  <c r="I139" i="9"/>
  <c r="F139" i="9"/>
  <c r="O138" i="9"/>
  <c r="L138" i="9"/>
  <c r="I138" i="9"/>
  <c r="F138" i="9"/>
  <c r="O137" i="9"/>
  <c r="L137" i="9"/>
  <c r="L136" i="9" s="1"/>
  <c r="I137" i="9"/>
  <c r="F137" i="9"/>
  <c r="N136" i="9"/>
  <c r="M136" i="9"/>
  <c r="K136" i="9"/>
  <c r="J136" i="9"/>
  <c r="H136" i="9"/>
  <c r="G136" i="9"/>
  <c r="E136" i="9"/>
  <c r="D136" i="9"/>
  <c r="O135" i="9"/>
  <c r="L135" i="9"/>
  <c r="I135" i="9"/>
  <c r="F135" i="9"/>
  <c r="O134" i="9"/>
  <c r="L134" i="9"/>
  <c r="I134" i="9"/>
  <c r="F134" i="9"/>
  <c r="O133" i="9"/>
  <c r="L133" i="9"/>
  <c r="I133" i="9"/>
  <c r="F133" i="9"/>
  <c r="O132" i="9"/>
  <c r="L132" i="9"/>
  <c r="I132" i="9"/>
  <c r="I131" i="9" s="1"/>
  <c r="F132" i="9"/>
  <c r="N131" i="9"/>
  <c r="M131" i="9"/>
  <c r="K131" i="9"/>
  <c r="J131" i="9"/>
  <c r="H131" i="9"/>
  <c r="G131" i="9"/>
  <c r="E131" i="9"/>
  <c r="D131" i="9"/>
  <c r="O129" i="9"/>
  <c r="L129" i="9"/>
  <c r="L128" i="9" s="1"/>
  <c r="I129" i="9"/>
  <c r="I128" i="9" s="1"/>
  <c r="F129" i="9"/>
  <c r="O128" i="9"/>
  <c r="N128" i="9"/>
  <c r="M128" i="9"/>
  <c r="K128" i="9"/>
  <c r="J128" i="9"/>
  <c r="H128" i="9"/>
  <c r="G128" i="9"/>
  <c r="F128" i="9"/>
  <c r="E128" i="9"/>
  <c r="D128" i="9"/>
  <c r="O127" i="9"/>
  <c r="L127" i="9"/>
  <c r="I127" i="9"/>
  <c r="D127" i="9"/>
  <c r="O126" i="9"/>
  <c r="L126" i="9"/>
  <c r="I126" i="9"/>
  <c r="F126" i="9"/>
  <c r="O125" i="9"/>
  <c r="L125" i="9"/>
  <c r="I125" i="9"/>
  <c r="F125" i="9"/>
  <c r="O124" i="9"/>
  <c r="L124" i="9"/>
  <c r="I124" i="9"/>
  <c r="F124" i="9"/>
  <c r="O123" i="9"/>
  <c r="L123" i="9"/>
  <c r="I123" i="9"/>
  <c r="F123" i="9"/>
  <c r="N122" i="9"/>
  <c r="M122" i="9"/>
  <c r="K122" i="9"/>
  <c r="J122" i="9"/>
  <c r="H122" i="9"/>
  <c r="G122" i="9"/>
  <c r="E122" i="9"/>
  <c r="O121" i="9"/>
  <c r="L121" i="9"/>
  <c r="I121" i="9"/>
  <c r="F121" i="9"/>
  <c r="O120" i="9"/>
  <c r="L120" i="9"/>
  <c r="I120" i="9"/>
  <c r="F120" i="9"/>
  <c r="O119" i="9"/>
  <c r="L119" i="9"/>
  <c r="I119" i="9"/>
  <c r="F119" i="9"/>
  <c r="O118" i="9"/>
  <c r="L118" i="9"/>
  <c r="I118" i="9"/>
  <c r="F118" i="9"/>
  <c r="O117" i="9"/>
  <c r="L117" i="9"/>
  <c r="I117" i="9"/>
  <c r="I116" i="9" s="1"/>
  <c r="F117" i="9"/>
  <c r="O116" i="9"/>
  <c r="N116" i="9"/>
  <c r="M116" i="9"/>
  <c r="K116" i="9"/>
  <c r="J116" i="9"/>
  <c r="H116" i="9"/>
  <c r="G116" i="9"/>
  <c r="E116" i="9"/>
  <c r="D116" i="9"/>
  <c r="O115" i="9"/>
  <c r="L115" i="9"/>
  <c r="I115" i="9"/>
  <c r="F115" i="9"/>
  <c r="O114" i="9"/>
  <c r="L114" i="9"/>
  <c r="I114" i="9"/>
  <c r="F114" i="9"/>
  <c r="O113" i="9"/>
  <c r="L113" i="9"/>
  <c r="L112" i="9" s="1"/>
  <c r="I113" i="9"/>
  <c r="I112" i="9" s="1"/>
  <c r="F113" i="9"/>
  <c r="O112" i="9"/>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E103" i="9"/>
  <c r="D103" i="9"/>
  <c r="O102" i="9"/>
  <c r="L102" i="9"/>
  <c r="I102" i="9"/>
  <c r="F102" i="9"/>
  <c r="O101" i="9"/>
  <c r="L101" i="9"/>
  <c r="I101" i="9"/>
  <c r="F101" i="9"/>
  <c r="O100" i="9"/>
  <c r="L100" i="9"/>
  <c r="I100" i="9"/>
  <c r="F100" i="9"/>
  <c r="O99" i="9"/>
  <c r="L99" i="9"/>
  <c r="I99" i="9"/>
  <c r="F99" i="9"/>
  <c r="O98" i="9"/>
  <c r="L98" i="9"/>
  <c r="I98" i="9"/>
  <c r="F98" i="9"/>
  <c r="O97" i="9"/>
  <c r="L97" i="9"/>
  <c r="I97" i="9"/>
  <c r="F97" i="9"/>
  <c r="O96" i="9"/>
  <c r="L96" i="9"/>
  <c r="I96" i="9"/>
  <c r="F96" i="9"/>
  <c r="N95" i="9"/>
  <c r="M95" i="9"/>
  <c r="K95" i="9"/>
  <c r="J95" i="9"/>
  <c r="H95" i="9"/>
  <c r="G95" i="9"/>
  <c r="E95" i="9"/>
  <c r="D95" i="9"/>
  <c r="O94" i="9"/>
  <c r="L94" i="9"/>
  <c r="I94" i="9"/>
  <c r="F94" i="9"/>
  <c r="O93" i="9"/>
  <c r="L93" i="9"/>
  <c r="I93" i="9"/>
  <c r="F93" i="9"/>
  <c r="O92" i="9"/>
  <c r="L92" i="9"/>
  <c r="I92" i="9"/>
  <c r="F92" i="9"/>
  <c r="O91" i="9"/>
  <c r="L91" i="9"/>
  <c r="I91" i="9"/>
  <c r="F91" i="9"/>
  <c r="O90" i="9"/>
  <c r="L90" i="9"/>
  <c r="I90" i="9"/>
  <c r="F90" i="9"/>
  <c r="F89" i="9" s="1"/>
  <c r="N89" i="9"/>
  <c r="M89" i="9"/>
  <c r="K89" i="9"/>
  <c r="J89" i="9"/>
  <c r="H89" i="9"/>
  <c r="G89" i="9"/>
  <c r="E89" i="9"/>
  <c r="D89" i="9"/>
  <c r="O88" i="9"/>
  <c r="L88" i="9"/>
  <c r="I88" i="9"/>
  <c r="F88" i="9"/>
  <c r="O87" i="9"/>
  <c r="L87" i="9"/>
  <c r="I87" i="9"/>
  <c r="F87" i="9"/>
  <c r="C87" i="9" s="1"/>
  <c r="O86" i="9"/>
  <c r="L86" i="9"/>
  <c r="I86" i="9"/>
  <c r="F86" i="9"/>
  <c r="C86" i="9" s="1"/>
  <c r="O85" i="9"/>
  <c r="L85" i="9"/>
  <c r="I85" i="9"/>
  <c r="F85" i="9"/>
  <c r="F84" i="9" s="1"/>
  <c r="N84" i="9"/>
  <c r="M84" i="9"/>
  <c r="K84" i="9"/>
  <c r="J84" i="9"/>
  <c r="H84" i="9"/>
  <c r="G84" i="9"/>
  <c r="E84" i="9"/>
  <c r="D84" i="9"/>
  <c r="O82" i="9"/>
  <c r="L82" i="9"/>
  <c r="I82" i="9"/>
  <c r="F82" i="9"/>
  <c r="O81" i="9"/>
  <c r="L81" i="9"/>
  <c r="L80" i="9" s="1"/>
  <c r="I81" i="9"/>
  <c r="I80" i="9" s="1"/>
  <c r="F81" i="9"/>
  <c r="O80" i="9"/>
  <c r="N80" i="9"/>
  <c r="M80" i="9"/>
  <c r="K80" i="9"/>
  <c r="J80" i="9"/>
  <c r="H80" i="9"/>
  <c r="G80" i="9"/>
  <c r="F80" i="9"/>
  <c r="E80" i="9"/>
  <c r="D80" i="9"/>
  <c r="O79" i="9"/>
  <c r="L79" i="9"/>
  <c r="I79" i="9"/>
  <c r="F79" i="9"/>
  <c r="O78" i="9"/>
  <c r="O77" i="9" s="1"/>
  <c r="O76" i="9" s="1"/>
  <c r="L78" i="9"/>
  <c r="L77" i="9" s="1"/>
  <c r="L76" i="9" s="1"/>
  <c r="I78" i="9"/>
  <c r="I77" i="9" s="1"/>
  <c r="F78" i="9"/>
  <c r="N77" i="9"/>
  <c r="M77" i="9"/>
  <c r="K77" i="9"/>
  <c r="J77" i="9"/>
  <c r="J76" i="9" s="1"/>
  <c r="H77" i="9"/>
  <c r="G77" i="9"/>
  <c r="E77" i="9"/>
  <c r="E76" i="9" s="1"/>
  <c r="D77" i="9"/>
  <c r="O74" i="9"/>
  <c r="L74" i="9"/>
  <c r="I74" i="9"/>
  <c r="F74" i="9"/>
  <c r="O73" i="9"/>
  <c r="L73" i="9"/>
  <c r="I73" i="9"/>
  <c r="F73" i="9"/>
  <c r="O72" i="9"/>
  <c r="L72" i="9"/>
  <c r="I72" i="9"/>
  <c r="F72" i="9"/>
  <c r="O71" i="9"/>
  <c r="L71" i="9"/>
  <c r="C71" i="9" s="1"/>
  <c r="I71" i="9"/>
  <c r="F71" i="9"/>
  <c r="O70" i="9"/>
  <c r="L70" i="9"/>
  <c r="I70" i="9"/>
  <c r="F70" i="9"/>
  <c r="N69" i="9"/>
  <c r="M69" i="9"/>
  <c r="M67" i="9" s="1"/>
  <c r="K69" i="9"/>
  <c r="J69" i="9"/>
  <c r="J67" i="9" s="1"/>
  <c r="H69" i="9"/>
  <c r="H67" i="9" s="1"/>
  <c r="G69" i="9"/>
  <c r="G67" i="9" s="1"/>
  <c r="E69" i="9"/>
  <c r="E67" i="9" s="1"/>
  <c r="D69" i="9"/>
  <c r="D67" i="9" s="1"/>
  <c r="O68" i="9"/>
  <c r="L68" i="9"/>
  <c r="I68" i="9"/>
  <c r="F68" i="9"/>
  <c r="N67" i="9"/>
  <c r="K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O58" i="9" s="1"/>
  <c r="L59" i="9"/>
  <c r="L58" i="9" s="1"/>
  <c r="I59" i="9"/>
  <c r="F59" i="9"/>
  <c r="F58" i="9" s="1"/>
  <c r="N58" i="9"/>
  <c r="M58" i="9"/>
  <c r="K58" i="9"/>
  <c r="J58" i="9"/>
  <c r="H58" i="9"/>
  <c r="G58" i="9"/>
  <c r="E58" i="9"/>
  <c r="D58" i="9"/>
  <c r="O57" i="9"/>
  <c r="L57" i="9"/>
  <c r="I57" i="9"/>
  <c r="F57" i="9"/>
  <c r="O56" i="9"/>
  <c r="O55" i="9" s="1"/>
  <c r="L56" i="9"/>
  <c r="L55" i="9" s="1"/>
  <c r="I56" i="9"/>
  <c r="I55" i="9" s="1"/>
  <c r="F56" i="9"/>
  <c r="N55" i="9"/>
  <c r="M55" i="9"/>
  <c r="K55" i="9"/>
  <c r="J55" i="9"/>
  <c r="H55" i="9"/>
  <c r="G55" i="9"/>
  <c r="G54" i="9" s="1"/>
  <c r="F55" i="9"/>
  <c r="F54" i="9" s="1"/>
  <c r="E55" i="9"/>
  <c r="D55" i="9"/>
  <c r="E54" i="9"/>
  <c r="D54" i="9"/>
  <c r="O47" i="9"/>
  <c r="C47" i="9" s="1"/>
  <c r="O46" i="9"/>
  <c r="C46" i="9" s="1"/>
  <c r="N45" i="9"/>
  <c r="M45" i="9"/>
  <c r="L44" i="9"/>
  <c r="L43" i="9" s="1"/>
  <c r="I44" i="9"/>
  <c r="I43" i="9" s="1"/>
  <c r="F44" i="9"/>
  <c r="F43" i="9" s="1"/>
  <c r="K43" i="9"/>
  <c r="J43" i="9"/>
  <c r="H43" i="9"/>
  <c r="G43" i="9"/>
  <c r="E43" i="9"/>
  <c r="D43" i="9"/>
  <c r="F42" i="9"/>
  <c r="C42" i="9" s="1"/>
  <c r="E41" i="9"/>
  <c r="D41" i="9"/>
  <c r="L40" i="9"/>
  <c r="C40" i="9" s="1"/>
  <c r="L39" i="9"/>
  <c r="C39" i="9" s="1"/>
  <c r="L38" i="9"/>
  <c r="C38" i="9" s="1"/>
  <c r="L37" i="9"/>
  <c r="C37" i="9" s="1"/>
  <c r="K36" i="9"/>
  <c r="J36" i="9"/>
  <c r="L35" i="9"/>
  <c r="C35" i="9" s="1"/>
  <c r="L34" i="9"/>
  <c r="C34" i="9" s="1"/>
  <c r="K33" i="9"/>
  <c r="J33" i="9"/>
  <c r="L32" i="9"/>
  <c r="C32" i="9" s="1"/>
  <c r="K31" i="9"/>
  <c r="J31" i="9"/>
  <c r="L30" i="9"/>
  <c r="C30" i="9" s="1"/>
  <c r="L29" i="9"/>
  <c r="C29" i="9" s="1"/>
  <c r="L28" i="9"/>
  <c r="C28" i="9" s="1"/>
  <c r="K27" i="9"/>
  <c r="J27" i="9"/>
  <c r="J26" i="9" s="1"/>
  <c r="F25" i="9"/>
  <c r="C25" i="9"/>
  <c r="I24" i="9"/>
  <c r="F24" i="9"/>
  <c r="O23" i="9"/>
  <c r="L23" i="9"/>
  <c r="I23" i="9"/>
  <c r="F23" i="9"/>
  <c r="O22" i="9"/>
  <c r="O21" i="9" s="1"/>
  <c r="L22" i="9"/>
  <c r="L21" i="9" s="1"/>
  <c r="L292" i="9" s="1"/>
  <c r="I22" i="9"/>
  <c r="F22" i="9"/>
  <c r="N21" i="9"/>
  <c r="N292" i="9" s="1"/>
  <c r="M21" i="9"/>
  <c r="M292" i="9" s="1"/>
  <c r="M291" i="9" s="1"/>
  <c r="K21" i="9"/>
  <c r="J21" i="9"/>
  <c r="H21" i="9"/>
  <c r="G21" i="9"/>
  <c r="G292" i="9" s="1"/>
  <c r="G291" i="9" s="1"/>
  <c r="E21" i="9"/>
  <c r="E292" i="9" s="1"/>
  <c r="D21" i="9"/>
  <c r="O301" i="8"/>
  <c r="L301" i="8"/>
  <c r="I301" i="8"/>
  <c r="F301" i="8"/>
  <c r="O300" i="8"/>
  <c r="L300" i="8"/>
  <c r="I300" i="8"/>
  <c r="F300" i="8"/>
  <c r="O299" i="8"/>
  <c r="L299" i="8"/>
  <c r="I299" i="8"/>
  <c r="F299" i="8"/>
  <c r="O298" i="8"/>
  <c r="L298" i="8"/>
  <c r="I298" i="8"/>
  <c r="F298" i="8"/>
  <c r="O297" i="8"/>
  <c r="L297" i="8"/>
  <c r="I297" i="8"/>
  <c r="F297" i="8"/>
  <c r="O296" i="8"/>
  <c r="L296" i="8"/>
  <c r="I296" i="8"/>
  <c r="F296" i="8"/>
  <c r="O295" i="8"/>
  <c r="L295" i="8"/>
  <c r="I295" i="8"/>
  <c r="F295" i="8"/>
  <c r="O294" i="8"/>
  <c r="O293" i="8" s="1"/>
  <c r="L294" i="8"/>
  <c r="I294" i="8"/>
  <c r="F294" i="8"/>
  <c r="N293" i="8"/>
  <c r="M293" i="8"/>
  <c r="K293" i="8"/>
  <c r="J293" i="8"/>
  <c r="H293" i="8"/>
  <c r="G293" i="8"/>
  <c r="E293" i="8"/>
  <c r="D293" i="8"/>
  <c r="O288" i="8"/>
  <c r="L288" i="8"/>
  <c r="I288" i="8"/>
  <c r="F288" i="8"/>
  <c r="O287" i="8"/>
  <c r="L287" i="8"/>
  <c r="L286" i="8" s="1"/>
  <c r="I287" i="8"/>
  <c r="F287" i="8"/>
  <c r="O286" i="8"/>
  <c r="N286" i="8"/>
  <c r="M286" i="8"/>
  <c r="K286" i="8"/>
  <c r="J286" i="8"/>
  <c r="H286" i="8"/>
  <c r="G286" i="8"/>
  <c r="F286" i="8"/>
  <c r="E286" i="8"/>
  <c r="D286" i="8"/>
  <c r="O285" i="8"/>
  <c r="L285" i="8"/>
  <c r="L284" i="8" s="1"/>
  <c r="L283" i="8" s="1"/>
  <c r="I285" i="8"/>
  <c r="F285" i="8"/>
  <c r="O284" i="8"/>
  <c r="N284" i="8"/>
  <c r="N283" i="8" s="1"/>
  <c r="M284" i="8"/>
  <c r="M283" i="8" s="1"/>
  <c r="K284" i="8"/>
  <c r="K283" i="8" s="1"/>
  <c r="J284" i="8"/>
  <c r="J283" i="8" s="1"/>
  <c r="I284" i="8"/>
  <c r="I283" i="8" s="1"/>
  <c r="H284" i="8"/>
  <c r="H283" i="8" s="1"/>
  <c r="G284" i="8"/>
  <c r="E284" i="8"/>
  <c r="E283" i="8" s="1"/>
  <c r="D284" i="8"/>
  <c r="D283" i="8" s="1"/>
  <c r="O283" i="8"/>
  <c r="G283" i="8"/>
  <c r="O282" i="8"/>
  <c r="O281" i="8" s="1"/>
  <c r="L282" i="8"/>
  <c r="L281" i="8" s="1"/>
  <c r="I282" i="8"/>
  <c r="I281" i="8" s="1"/>
  <c r="F282" i="8"/>
  <c r="F281" i="8" s="1"/>
  <c r="N281" i="8"/>
  <c r="M281" i="8"/>
  <c r="K281" i="8"/>
  <c r="J281" i="8"/>
  <c r="H281" i="8"/>
  <c r="G281" i="8"/>
  <c r="E281" i="8"/>
  <c r="D281" i="8"/>
  <c r="O280" i="8"/>
  <c r="L280" i="8"/>
  <c r="I280" i="8"/>
  <c r="F280" i="8"/>
  <c r="O279" i="8"/>
  <c r="L279" i="8"/>
  <c r="I279" i="8"/>
  <c r="F279" i="8"/>
  <c r="O278" i="8"/>
  <c r="L278" i="8"/>
  <c r="I278" i="8"/>
  <c r="F278" i="8"/>
  <c r="O277" i="8"/>
  <c r="L277" i="8"/>
  <c r="I277" i="8"/>
  <c r="F277" i="8"/>
  <c r="N276" i="8"/>
  <c r="M276" i="8"/>
  <c r="K276" i="8"/>
  <c r="J276" i="8"/>
  <c r="H276" i="8"/>
  <c r="G276" i="8"/>
  <c r="E276" i="8"/>
  <c r="D276" i="8"/>
  <c r="O275" i="8"/>
  <c r="L275" i="8"/>
  <c r="I275" i="8"/>
  <c r="F275" i="8"/>
  <c r="O274" i="8"/>
  <c r="L274" i="8"/>
  <c r="I274" i="8"/>
  <c r="F274" i="8"/>
  <c r="O273" i="8"/>
  <c r="L273" i="8"/>
  <c r="L272" i="8" s="1"/>
  <c r="I273" i="8"/>
  <c r="F273" i="8"/>
  <c r="N272" i="8"/>
  <c r="N270" i="8" s="1"/>
  <c r="N269" i="8" s="1"/>
  <c r="M272" i="8"/>
  <c r="M270" i="8" s="1"/>
  <c r="K272" i="8"/>
  <c r="K270" i="8" s="1"/>
  <c r="J272" i="8"/>
  <c r="I272" i="8"/>
  <c r="H272" i="8"/>
  <c r="G272" i="8"/>
  <c r="G270" i="8" s="1"/>
  <c r="E272" i="8"/>
  <c r="D272" i="8"/>
  <c r="D270" i="8" s="1"/>
  <c r="D269" i="8" s="1"/>
  <c r="O271" i="8"/>
  <c r="L271" i="8"/>
  <c r="I271" i="8"/>
  <c r="F271" i="8"/>
  <c r="O268" i="8"/>
  <c r="L268" i="8"/>
  <c r="I268" i="8"/>
  <c r="F268" i="8"/>
  <c r="O267" i="8"/>
  <c r="L267" i="8"/>
  <c r="I267" i="8"/>
  <c r="F267" i="8"/>
  <c r="O266" i="8"/>
  <c r="L266" i="8"/>
  <c r="I266" i="8"/>
  <c r="F266" i="8"/>
  <c r="O265" i="8"/>
  <c r="L265" i="8"/>
  <c r="I265" i="8"/>
  <c r="F265" i="8"/>
  <c r="N264" i="8"/>
  <c r="M264" i="8"/>
  <c r="K264" i="8"/>
  <c r="J264" i="8"/>
  <c r="H264" i="8"/>
  <c r="G264" i="8"/>
  <c r="E264" i="8"/>
  <c r="D264" i="8"/>
  <c r="O263" i="8"/>
  <c r="L263" i="8"/>
  <c r="I263" i="8"/>
  <c r="F263" i="8"/>
  <c r="O262" i="8"/>
  <c r="L262" i="8"/>
  <c r="I262" i="8"/>
  <c r="F262" i="8"/>
  <c r="O261" i="8"/>
  <c r="L261" i="8"/>
  <c r="I261" i="8"/>
  <c r="F261" i="8"/>
  <c r="N260" i="8"/>
  <c r="M260" i="8"/>
  <c r="K260" i="8"/>
  <c r="J260" i="8"/>
  <c r="H260" i="8"/>
  <c r="H259" i="8" s="1"/>
  <c r="G260" i="8"/>
  <c r="E260" i="8"/>
  <c r="E259" i="8" s="1"/>
  <c r="D260" i="8"/>
  <c r="G259" i="8"/>
  <c r="O258" i="8"/>
  <c r="L258" i="8"/>
  <c r="I258" i="8"/>
  <c r="F258" i="8"/>
  <c r="O257" i="8"/>
  <c r="L257" i="8"/>
  <c r="I257" i="8"/>
  <c r="F257" i="8"/>
  <c r="O256" i="8"/>
  <c r="L256" i="8"/>
  <c r="I256" i="8"/>
  <c r="F256" i="8"/>
  <c r="O255" i="8"/>
  <c r="L255" i="8"/>
  <c r="I255" i="8"/>
  <c r="F255" i="8"/>
  <c r="O254" i="8"/>
  <c r="L254" i="8"/>
  <c r="I254" i="8"/>
  <c r="F254" i="8"/>
  <c r="O253" i="8"/>
  <c r="L253" i="8"/>
  <c r="I253" i="8"/>
  <c r="F253" i="8"/>
  <c r="N252" i="8"/>
  <c r="M252" i="8"/>
  <c r="M251" i="8" s="1"/>
  <c r="K252" i="8"/>
  <c r="K251" i="8" s="1"/>
  <c r="J252" i="8"/>
  <c r="H252" i="8"/>
  <c r="H251" i="8" s="1"/>
  <c r="G252" i="8"/>
  <c r="G251" i="8" s="1"/>
  <c r="E252" i="8"/>
  <c r="E251" i="8" s="1"/>
  <c r="D252" i="8"/>
  <c r="N251" i="8"/>
  <c r="J251" i="8"/>
  <c r="D251" i="8"/>
  <c r="O250" i="8"/>
  <c r="L250" i="8"/>
  <c r="I250" i="8"/>
  <c r="F250" i="8"/>
  <c r="O249" i="8"/>
  <c r="L249" i="8"/>
  <c r="I249" i="8"/>
  <c r="F249" i="8"/>
  <c r="O248" i="8"/>
  <c r="L248" i="8"/>
  <c r="I248" i="8"/>
  <c r="F248" i="8"/>
  <c r="O247" i="8"/>
  <c r="L247" i="8"/>
  <c r="L246" i="8" s="1"/>
  <c r="I247" i="8"/>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L239" i="8"/>
  <c r="L238" i="8" s="1"/>
  <c r="I239" i="8"/>
  <c r="F239" i="8"/>
  <c r="N238" i="8"/>
  <c r="M238" i="8"/>
  <c r="K238" i="8"/>
  <c r="J238" i="8"/>
  <c r="H238" i="8"/>
  <c r="G238" i="8"/>
  <c r="E238" i="8"/>
  <c r="D238" i="8"/>
  <c r="O237" i="8"/>
  <c r="L237" i="8"/>
  <c r="I237" i="8"/>
  <c r="F237" i="8"/>
  <c r="O236" i="8"/>
  <c r="L236" i="8"/>
  <c r="L235" i="8" s="1"/>
  <c r="I236" i="8"/>
  <c r="I235" i="8" s="1"/>
  <c r="F236" i="8"/>
  <c r="O235" i="8"/>
  <c r="N235" i="8"/>
  <c r="M235" i="8"/>
  <c r="K235" i="8"/>
  <c r="J235" i="8"/>
  <c r="H235" i="8"/>
  <c r="G235" i="8"/>
  <c r="E235" i="8"/>
  <c r="D235" i="8"/>
  <c r="O234" i="8"/>
  <c r="O233" i="8" s="1"/>
  <c r="L234" i="8"/>
  <c r="L233" i="8" s="1"/>
  <c r="I234" i="8"/>
  <c r="F234" i="8"/>
  <c r="N233" i="8"/>
  <c r="N231" i="8" s="1"/>
  <c r="M233" i="8"/>
  <c r="K233" i="8"/>
  <c r="J233" i="8"/>
  <c r="I233" i="8"/>
  <c r="H233" i="8"/>
  <c r="G233" i="8"/>
  <c r="E233" i="8"/>
  <c r="D233" i="8"/>
  <c r="O232" i="8"/>
  <c r="L232" i="8"/>
  <c r="I232" i="8"/>
  <c r="F232" i="8"/>
  <c r="O229" i="8"/>
  <c r="L229" i="8"/>
  <c r="I229" i="8"/>
  <c r="F229" i="8"/>
  <c r="O228" i="8"/>
  <c r="O227" i="8" s="1"/>
  <c r="L228" i="8"/>
  <c r="L227" i="8" s="1"/>
  <c r="I228" i="8"/>
  <c r="I227" i="8" s="1"/>
  <c r="F228" i="8"/>
  <c r="F227" i="8" s="1"/>
  <c r="N227" i="8"/>
  <c r="M227" i="8"/>
  <c r="K227" i="8"/>
  <c r="J227" i="8"/>
  <c r="H227" i="8"/>
  <c r="G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I206" i="8"/>
  <c r="F206" i="8"/>
  <c r="N205" i="8"/>
  <c r="M205" i="8"/>
  <c r="K205" i="8"/>
  <c r="J205" i="8"/>
  <c r="H205" i="8"/>
  <c r="G205" i="8"/>
  <c r="E205" i="8"/>
  <c r="D205" i="8"/>
  <c r="O203" i="8"/>
  <c r="L203" i="8"/>
  <c r="I203" i="8"/>
  <c r="F203" i="8"/>
  <c r="O202" i="8"/>
  <c r="L202" i="8"/>
  <c r="I202" i="8"/>
  <c r="F202" i="8"/>
  <c r="O201" i="8"/>
  <c r="L201" i="8"/>
  <c r="I201" i="8"/>
  <c r="F201" i="8"/>
  <c r="O200" i="8"/>
  <c r="L200" i="8"/>
  <c r="I200" i="8"/>
  <c r="F200" i="8"/>
  <c r="O199" i="8"/>
  <c r="O198" i="8" s="1"/>
  <c r="L199" i="8"/>
  <c r="L198" i="8" s="1"/>
  <c r="I199" i="8"/>
  <c r="F199" i="8"/>
  <c r="F198" i="8" s="1"/>
  <c r="N198" i="8"/>
  <c r="M198" i="8"/>
  <c r="K198" i="8"/>
  <c r="K196" i="8" s="1"/>
  <c r="J198" i="8"/>
  <c r="J196" i="8" s="1"/>
  <c r="H198" i="8"/>
  <c r="H196" i="8" s="1"/>
  <c r="G198" i="8"/>
  <c r="G196" i="8" s="1"/>
  <c r="E198" i="8"/>
  <c r="D198" i="8"/>
  <c r="D196" i="8" s="1"/>
  <c r="O197" i="8"/>
  <c r="L197" i="8"/>
  <c r="I197" i="8"/>
  <c r="F197" i="8"/>
  <c r="N196" i="8"/>
  <c r="M196" i="8"/>
  <c r="E196" i="8"/>
  <c r="O193" i="8"/>
  <c r="L193" i="8"/>
  <c r="L192" i="8" s="1"/>
  <c r="L191" i="8" s="1"/>
  <c r="I193" i="8"/>
  <c r="F193" i="8"/>
  <c r="O192" i="8"/>
  <c r="O191" i="8" s="1"/>
  <c r="N192" i="8"/>
  <c r="N191" i="8" s="1"/>
  <c r="M192" i="8"/>
  <c r="M191" i="8" s="1"/>
  <c r="K192" i="8"/>
  <c r="K191" i="8" s="1"/>
  <c r="J192" i="8"/>
  <c r="I192" i="8"/>
  <c r="I191" i="8" s="1"/>
  <c r="H192" i="8"/>
  <c r="G192" i="8"/>
  <c r="G191" i="8" s="1"/>
  <c r="E192" i="8"/>
  <c r="E191" i="8" s="1"/>
  <c r="D192" i="8"/>
  <c r="D191" i="8" s="1"/>
  <c r="J191" i="8"/>
  <c r="H191" i="8"/>
  <c r="O190" i="8"/>
  <c r="L190" i="8"/>
  <c r="I190" i="8"/>
  <c r="F190" i="8"/>
  <c r="O189" i="8"/>
  <c r="L189" i="8"/>
  <c r="I189" i="8"/>
  <c r="I188" i="8" s="1"/>
  <c r="I187" i="8" s="1"/>
  <c r="F189" i="8"/>
  <c r="N188" i="8"/>
  <c r="M188" i="8"/>
  <c r="K188" i="8"/>
  <c r="J188" i="8"/>
  <c r="H188" i="8"/>
  <c r="G188" i="8"/>
  <c r="F188" i="8"/>
  <c r="E188" i="8"/>
  <c r="D188" i="8"/>
  <c r="M187" i="8"/>
  <c r="O186" i="8"/>
  <c r="L186" i="8"/>
  <c r="I186" i="8"/>
  <c r="F186" i="8"/>
  <c r="O185" i="8"/>
  <c r="O184" i="8" s="1"/>
  <c r="L185" i="8"/>
  <c r="I185" i="8"/>
  <c r="F185" i="8"/>
  <c r="N184" i="8"/>
  <c r="M184" i="8"/>
  <c r="L184" i="8"/>
  <c r="K184" i="8"/>
  <c r="J184" i="8"/>
  <c r="H184" i="8"/>
  <c r="G184" i="8"/>
  <c r="E184" i="8"/>
  <c r="D184" i="8"/>
  <c r="O183" i="8"/>
  <c r="L183" i="8"/>
  <c r="I183" i="8"/>
  <c r="F183" i="8"/>
  <c r="O182" i="8"/>
  <c r="L182" i="8"/>
  <c r="I182" i="8"/>
  <c r="F182" i="8"/>
  <c r="O181" i="8"/>
  <c r="L181" i="8"/>
  <c r="I181" i="8"/>
  <c r="F181" i="8"/>
  <c r="O180" i="8"/>
  <c r="L180" i="8"/>
  <c r="I180" i="8"/>
  <c r="F180" i="8"/>
  <c r="N179" i="8"/>
  <c r="M179" i="8"/>
  <c r="K179" i="8"/>
  <c r="J179" i="8"/>
  <c r="H179" i="8"/>
  <c r="G179" i="8"/>
  <c r="E179" i="8"/>
  <c r="D179" i="8"/>
  <c r="O178" i="8"/>
  <c r="L178" i="8"/>
  <c r="I178" i="8"/>
  <c r="F178" i="8"/>
  <c r="O177" i="8"/>
  <c r="L177" i="8"/>
  <c r="I177" i="8"/>
  <c r="F177" i="8"/>
  <c r="O176" i="8"/>
  <c r="L176" i="8"/>
  <c r="I176" i="8"/>
  <c r="F176" i="8"/>
  <c r="N175" i="8"/>
  <c r="M175" i="8"/>
  <c r="M174" i="8" s="1"/>
  <c r="K175" i="8"/>
  <c r="K174" i="8" s="1"/>
  <c r="K173" i="8" s="1"/>
  <c r="J175" i="8"/>
  <c r="J174" i="8" s="1"/>
  <c r="J173" i="8" s="1"/>
  <c r="H175" i="8"/>
  <c r="H174" i="8" s="1"/>
  <c r="G175" i="8"/>
  <c r="G174" i="8" s="1"/>
  <c r="G173" i="8" s="1"/>
  <c r="E175" i="8"/>
  <c r="D175" i="8"/>
  <c r="D174" i="8" s="1"/>
  <c r="N174" i="8"/>
  <c r="O172" i="8"/>
  <c r="L172" i="8"/>
  <c r="I172" i="8"/>
  <c r="F172" i="8"/>
  <c r="O171" i="8"/>
  <c r="L171" i="8"/>
  <c r="I171" i="8"/>
  <c r="F171" i="8"/>
  <c r="O170" i="8"/>
  <c r="L170" i="8"/>
  <c r="I170" i="8"/>
  <c r="F170" i="8"/>
  <c r="O169" i="8"/>
  <c r="L169" i="8"/>
  <c r="I169" i="8"/>
  <c r="F169" i="8"/>
  <c r="O168" i="8"/>
  <c r="L168" i="8"/>
  <c r="I168" i="8"/>
  <c r="F168" i="8"/>
  <c r="O167" i="8"/>
  <c r="L167" i="8"/>
  <c r="I167" i="8"/>
  <c r="F167" i="8"/>
  <c r="N166" i="8"/>
  <c r="N165" i="8" s="1"/>
  <c r="M166" i="8"/>
  <c r="K166" i="8"/>
  <c r="J166" i="8"/>
  <c r="J165" i="8" s="1"/>
  <c r="H166" i="8"/>
  <c r="H165" i="8" s="1"/>
  <c r="G166" i="8"/>
  <c r="G165" i="8" s="1"/>
  <c r="F166" i="8"/>
  <c r="E166" i="8"/>
  <c r="D166" i="8"/>
  <c r="D165" i="8" s="1"/>
  <c r="M165" i="8"/>
  <c r="K165" i="8"/>
  <c r="E165" i="8"/>
  <c r="O164" i="8"/>
  <c r="L164" i="8"/>
  <c r="I164" i="8"/>
  <c r="F164" i="8"/>
  <c r="O163" i="8"/>
  <c r="L163" i="8"/>
  <c r="I163" i="8"/>
  <c r="F163" i="8"/>
  <c r="O162" i="8"/>
  <c r="L162" i="8"/>
  <c r="I162" i="8"/>
  <c r="F162" i="8"/>
  <c r="O161" i="8"/>
  <c r="O160" i="8" s="1"/>
  <c r="L161" i="8"/>
  <c r="L160" i="8" s="1"/>
  <c r="I161" i="8"/>
  <c r="I160" i="8" s="1"/>
  <c r="F161" i="8"/>
  <c r="N160" i="8"/>
  <c r="M160" i="8"/>
  <c r="K160" i="8"/>
  <c r="J160" i="8"/>
  <c r="H160" i="8"/>
  <c r="G160" i="8"/>
  <c r="E160" i="8"/>
  <c r="D160" i="8"/>
  <c r="O159" i="8"/>
  <c r="L159" i="8"/>
  <c r="I159" i="8"/>
  <c r="F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I152" i="8"/>
  <c r="F152" i="8"/>
  <c r="N151" i="8"/>
  <c r="M151" i="8"/>
  <c r="K151" i="8"/>
  <c r="J151" i="8"/>
  <c r="H151" i="8"/>
  <c r="G151" i="8"/>
  <c r="E151" i="8"/>
  <c r="D151" i="8"/>
  <c r="O150" i="8"/>
  <c r="L150" i="8"/>
  <c r="I150" i="8"/>
  <c r="F150" i="8"/>
  <c r="O149" i="8"/>
  <c r="L149" i="8"/>
  <c r="I149" i="8"/>
  <c r="C149" i="8" s="1"/>
  <c r="F149" i="8"/>
  <c r="O148" i="8"/>
  <c r="L148" i="8"/>
  <c r="I148" i="8"/>
  <c r="F148" i="8"/>
  <c r="O147" i="8"/>
  <c r="L147" i="8"/>
  <c r="I147" i="8"/>
  <c r="F147" i="8"/>
  <c r="O146" i="8"/>
  <c r="L146" i="8"/>
  <c r="I146" i="8"/>
  <c r="F146" i="8"/>
  <c r="O145" i="8"/>
  <c r="L145" i="8"/>
  <c r="L144" i="8" s="1"/>
  <c r="I145" i="8"/>
  <c r="F145" i="8"/>
  <c r="N144" i="8"/>
  <c r="M144" i="8"/>
  <c r="K144" i="8"/>
  <c r="J144" i="8"/>
  <c r="H144" i="8"/>
  <c r="G144" i="8"/>
  <c r="E144" i="8"/>
  <c r="D144" i="8"/>
  <c r="O143" i="8"/>
  <c r="L143" i="8"/>
  <c r="I143" i="8"/>
  <c r="F143" i="8"/>
  <c r="O142" i="8"/>
  <c r="L142" i="8"/>
  <c r="I142" i="8"/>
  <c r="I141" i="8" s="1"/>
  <c r="F142" i="8"/>
  <c r="N141" i="8"/>
  <c r="M141" i="8"/>
  <c r="K141" i="8"/>
  <c r="J141" i="8"/>
  <c r="H141" i="8"/>
  <c r="G141" i="8"/>
  <c r="E141" i="8"/>
  <c r="D141" i="8"/>
  <c r="O140" i="8"/>
  <c r="L140" i="8"/>
  <c r="I140" i="8"/>
  <c r="F140" i="8"/>
  <c r="O139" i="8"/>
  <c r="L139" i="8"/>
  <c r="I139" i="8"/>
  <c r="F139" i="8"/>
  <c r="O138" i="8"/>
  <c r="L138" i="8"/>
  <c r="I138" i="8"/>
  <c r="F138" i="8"/>
  <c r="O137" i="8"/>
  <c r="L137" i="8"/>
  <c r="L136" i="8" s="1"/>
  <c r="I137" i="8"/>
  <c r="F137" i="8"/>
  <c r="N136" i="8"/>
  <c r="M136" i="8"/>
  <c r="K136" i="8"/>
  <c r="J136" i="8"/>
  <c r="H136" i="8"/>
  <c r="G136" i="8"/>
  <c r="E136" i="8"/>
  <c r="D136" i="8"/>
  <c r="O135" i="8"/>
  <c r="L135" i="8"/>
  <c r="I135" i="8"/>
  <c r="F135" i="8"/>
  <c r="O134" i="8"/>
  <c r="L134" i="8"/>
  <c r="I134" i="8"/>
  <c r="F134" i="8"/>
  <c r="O133" i="8"/>
  <c r="L133" i="8"/>
  <c r="I133" i="8"/>
  <c r="F133" i="8"/>
  <c r="O132" i="8"/>
  <c r="L132" i="8"/>
  <c r="I132" i="8"/>
  <c r="F132" i="8"/>
  <c r="N131" i="8"/>
  <c r="M131" i="8"/>
  <c r="K131" i="8"/>
  <c r="J131" i="8"/>
  <c r="J130" i="8" s="1"/>
  <c r="H131" i="8"/>
  <c r="G131" i="8"/>
  <c r="E131" i="8"/>
  <c r="D131" i="8"/>
  <c r="O129" i="8"/>
  <c r="O128" i="8" s="1"/>
  <c r="L129" i="8"/>
  <c r="L128" i="8" s="1"/>
  <c r="I129" i="8"/>
  <c r="I128" i="8" s="1"/>
  <c r="F129" i="8"/>
  <c r="N128" i="8"/>
  <c r="M128" i="8"/>
  <c r="K128" i="8"/>
  <c r="J128" i="8"/>
  <c r="H128" i="8"/>
  <c r="G128" i="8"/>
  <c r="E128" i="8"/>
  <c r="D128" i="8"/>
  <c r="O127" i="8"/>
  <c r="L127" i="8"/>
  <c r="I127" i="8"/>
  <c r="E127" i="8"/>
  <c r="O126" i="8"/>
  <c r="L126" i="8"/>
  <c r="I126" i="8"/>
  <c r="F126" i="8"/>
  <c r="O125" i="8"/>
  <c r="L125" i="8"/>
  <c r="I125" i="8"/>
  <c r="F125" i="8"/>
  <c r="O124" i="8"/>
  <c r="L124" i="8"/>
  <c r="I124" i="8"/>
  <c r="F124" i="8"/>
  <c r="O123" i="8"/>
  <c r="L123" i="8"/>
  <c r="I123" i="8"/>
  <c r="F123" i="8"/>
  <c r="N122" i="8"/>
  <c r="M122" i="8"/>
  <c r="K122" i="8"/>
  <c r="J122" i="8"/>
  <c r="H122" i="8"/>
  <c r="G122" i="8"/>
  <c r="D122" i="8"/>
  <c r="O121" i="8"/>
  <c r="L121" i="8"/>
  <c r="I121" i="8"/>
  <c r="F121" i="8"/>
  <c r="O120" i="8"/>
  <c r="L120" i="8"/>
  <c r="I120" i="8"/>
  <c r="F120" i="8"/>
  <c r="O119" i="8"/>
  <c r="L119" i="8"/>
  <c r="I119" i="8"/>
  <c r="F119" i="8"/>
  <c r="O118" i="8"/>
  <c r="L118" i="8"/>
  <c r="I118" i="8"/>
  <c r="F118" i="8"/>
  <c r="O117" i="8"/>
  <c r="L117" i="8"/>
  <c r="I117" i="8"/>
  <c r="F117" i="8"/>
  <c r="N116" i="8"/>
  <c r="M116" i="8"/>
  <c r="K116" i="8"/>
  <c r="J116" i="8"/>
  <c r="H116" i="8"/>
  <c r="G116" i="8"/>
  <c r="E116" i="8"/>
  <c r="D116" i="8"/>
  <c r="O115" i="8"/>
  <c r="L115" i="8"/>
  <c r="I115" i="8"/>
  <c r="F115" i="8"/>
  <c r="O114" i="8"/>
  <c r="L114" i="8"/>
  <c r="I114" i="8"/>
  <c r="F114" i="8"/>
  <c r="O113" i="8"/>
  <c r="L113" i="8"/>
  <c r="I113" i="8"/>
  <c r="I112" i="8" s="1"/>
  <c r="F113" i="8"/>
  <c r="N112" i="8"/>
  <c r="M112" i="8"/>
  <c r="K112" i="8"/>
  <c r="J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L103" i="8" s="1"/>
  <c r="I104" i="8"/>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L95" i="8" s="1"/>
  <c r="I96" i="8"/>
  <c r="I95" i="8" s="1"/>
  <c r="F96" i="8"/>
  <c r="N95" i="8"/>
  <c r="M95" i="8"/>
  <c r="K95" i="8"/>
  <c r="J95" i="8"/>
  <c r="H95" i="8"/>
  <c r="G95" i="8"/>
  <c r="E95" i="8"/>
  <c r="D95" i="8"/>
  <c r="O94" i="8"/>
  <c r="L94" i="8"/>
  <c r="I94" i="8"/>
  <c r="F94" i="8"/>
  <c r="O93" i="8"/>
  <c r="L93" i="8"/>
  <c r="I93" i="8"/>
  <c r="F93" i="8"/>
  <c r="O92" i="8"/>
  <c r="L92" i="8"/>
  <c r="I92" i="8"/>
  <c r="F92" i="8"/>
  <c r="O91" i="8"/>
  <c r="L91" i="8"/>
  <c r="I91" i="8"/>
  <c r="F91" i="8"/>
  <c r="O90" i="8"/>
  <c r="O89" i="8" s="1"/>
  <c r="L90" i="8"/>
  <c r="I90" i="8"/>
  <c r="F90" i="8"/>
  <c r="N89" i="8"/>
  <c r="M89" i="8"/>
  <c r="K89" i="8"/>
  <c r="J89" i="8"/>
  <c r="H89" i="8"/>
  <c r="G89" i="8"/>
  <c r="E89" i="8"/>
  <c r="D89" i="8"/>
  <c r="O88" i="8"/>
  <c r="L88" i="8"/>
  <c r="I88" i="8"/>
  <c r="F88" i="8"/>
  <c r="O87" i="8"/>
  <c r="L87" i="8"/>
  <c r="I87" i="8"/>
  <c r="F87" i="8"/>
  <c r="O86" i="8"/>
  <c r="L86" i="8"/>
  <c r="I86" i="8"/>
  <c r="F86" i="8"/>
  <c r="O85" i="8"/>
  <c r="O84" i="8" s="1"/>
  <c r="L85" i="8"/>
  <c r="I85" i="8"/>
  <c r="I84" i="8" s="1"/>
  <c r="F85" i="8"/>
  <c r="N84" i="8"/>
  <c r="M84" i="8"/>
  <c r="K84" i="8"/>
  <c r="J84" i="8"/>
  <c r="H84" i="8"/>
  <c r="G84" i="8"/>
  <c r="E84" i="8"/>
  <c r="D84" i="8"/>
  <c r="O82" i="8"/>
  <c r="L82" i="8"/>
  <c r="I82" i="8"/>
  <c r="F82" i="8"/>
  <c r="O81" i="8"/>
  <c r="O80" i="8" s="1"/>
  <c r="L81" i="8"/>
  <c r="I81" i="8"/>
  <c r="I80" i="8" s="1"/>
  <c r="F81" i="8"/>
  <c r="F80" i="8" s="1"/>
  <c r="N80" i="8"/>
  <c r="M80" i="8"/>
  <c r="M76" i="8" s="1"/>
  <c r="K80" i="8"/>
  <c r="J80" i="8"/>
  <c r="H80" i="8"/>
  <c r="G80" i="8"/>
  <c r="E80" i="8"/>
  <c r="D80" i="8"/>
  <c r="O79" i="8"/>
  <c r="L79" i="8"/>
  <c r="I79" i="8"/>
  <c r="F79" i="8"/>
  <c r="O78" i="8"/>
  <c r="L78" i="8"/>
  <c r="I78" i="8"/>
  <c r="I77" i="8" s="1"/>
  <c r="I76" i="8" s="1"/>
  <c r="F78" i="8"/>
  <c r="O77" i="8"/>
  <c r="O76" i="8" s="1"/>
  <c r="N77" i="8"/>
  <c r="N76" i="8" s="1"/>
  <c r="M77" i="8"/>
  <c r="K77" i="8"/>
  <c r="J77" i="8"/>
  <c r="H77" i="8"/>
  <c r="H76" i="8" s="1"/>
  <c r="G77" i="8"/>
  <c r="F77" i="8"/>
  <c r="E77" i="8"/>
  <c r="D77" i="8"/>
  <c r="D76" i="8" s="1"/>
  <c r="O74" i="8"/>
  <c r="L74" i="8"/>
  <c r="I74" i="8"/>
  <c r="F74" i="8"/>
  <c r="O73" i="8"/>
  <c r="L73" i="8"/>
  <c r="I73" i="8"/>
  <c r="F73" i="8"/>
  <c r="O72" i="8"/>
  <c r="L72" i="8"/>
  <c r="I72" i="8"/>
  <c r="F72" i="8"/>
  <c r="O71" i="8"/>
  <c r="L71" i="8"/>
  <c r="I71" i="8"/>
  <c r="F71" i="8"/>
  <c r="O70" i="8"/>
  <c r="L70" i="8"/>
  <c r="L69" i="8" s="1"/>
  <c r="I70" i="8"/>
  <c r="F70" i="8"/>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L58" i="8" s="1"/>
  <c r="I59" i="8"/>
  <c r="F59" i="8"/>
  <c r="O58" i="8"/>
  <c r="N58" i="8"/>
  <c r="M58" i="8"/>
  <c r="K58" i="8"/>
  <c r="J58" i="8"/>
  <c r="H58" i="8"/>
  <c r="G58" i="8"/>
  <c r="E58" i="8"/>
  <c r="D58" i="8"/>
  <c r="O57" i="8"/>
  <c r="L57" i="8"/>
  <c r="I57" i="8"/>
  <c r="F57" i="8"/>
  <c r="O56" i="8"/>
  <c r="O55" i="8" s="1"/>
  <c r="L56" i="8"/>
  <c r="I56" i="8"/>
  <c r="I55" i="8" s="1"/>
  <c r="F56" i="8"/>
  <c r="N55" i="8"/>
  <c r="N54" i="8" s="1"/>
  <c r="M55" i="8"/>
  <c r="M54" i="8" s="1"/>
  <c r="L55" i="8"/>
  <c r="K55" i="8"/>
  <c r="J55" i="8"/>
  <c r="H55" i="8"/>
  <c r="G55" i="8"/>
  <c r="F55" i="8"/>
  <c r="E55" i="8"/>
  <c r="D55" i="8"/>
  <c r="K54" i="8"/>
  <c r="O47" i="8"/>
  <c r="C47" i="8" s="1"/>
  <c r="O46" i="8"/>
  <c r="C46" i="8" s="1"/>
  <c r="N45" i="8"/>
  <c r="M45" i="8"/>
  <c r="L44" i="8"/>
  <c r="I44" i="8"/>
  <c r="I43" i="8" s="1"/>
  <c r="F44" i="8"/>
  <c r="L43" i="8"/>
  <c r="K43" i="8"/>
  <c r="J43" i="8"/>
  <c r="H43" i="8"/>
  <c r="G43" i="8"/>
  <c r="E43" i="8"/>
  <c r="D43" i="8"/>
  <c r="F42" i="8"/>
  <c r="C42" i="8" s="1"/>
  <c r="E41" i="8"/>
  <c r="D41" i="8"/>
  <c r="L40" i="8"/>
  <c r="C40" i="8" s="1"/>
  <c r="L39" i="8"/>
  <c r="C39" i="8" s="1"/>
  <c r="L38" i="8"/>
  <c r="C38" i="8" s="1"/>
  <c r="L37" i="8"/>
  <c r="C37" i="8" s="1"/>
  <c r="K36" i="8"/>
  <c r="J36" i="8"/>
  <c r="L35" i="8"/>
  <c r="C35" i="8" s="1"/>
  <c r="L34" i="8"/>
  <c r="C34" i="8" s="1"/>
  <c r="K33" i="8"/>
  <c r="J33" i="8"/>
  <c r="L32" i="8"/>
  <c r="K31" i="8"/>
  <c r="J31" i="8"/>
  <c r="L30" i="8"/>
  <c r="C30" i="8" s="1"/>
  <c r="L29" i="8"/>
  <c r="C29" i="8" s="1"/>
  <c r="L28" i="8"/>
  <c r="C28" i="8" s="1"/>
  <c r="K27" i="8"/>
  <c r="J27" i="8"/>
  <c r="F25" i="8"/>
  <c r="C25" i="8" s="1"/>
  <c r="I24" i="8"/>
  <c r="F24" i="8"/>
  <c r="O23" i="8"/>
  <c r="L23" i="8"/>
  <c r="I23" i="8"/>
  <c r="F23" i="8"/>
  <c r="O22" i="8"/>
  <c r="L22" i="8"/>
  <c r="L21" i="8" s="1"/>
  <c r="I22" i="8"/>
  <c r="F22" i="8"/>
  <c r="F21" i="8" s="1"/>
  <c r="O21" i="8"/>
  <c r="N21" i="8"/>
  <c r="N292" i="8" s="1"/>
  <c r="M21" i="8"/>
  <c r="M292" i="8" s="1"/>
  <c r="K21" i="8"/>
  <c r="J21" i="8"/>
  <c r="H21" i="8"/>
  <c r="H292" i="8" s="1"/>
  <c r="G21" i="8"/>
  <c r="G292" i="8" s="1"/>
  <c r="E21" i="8"/>
  <c r="D21" i="8"/>
  <c r="D20" i="8"/>
  <c r="G53" i="9" l="1"/>
  <c r="F41" i="8"/>
  <c r="C41" i="8" s="1"/>
  <c r="C124" i="8"/>
  <c r="C129" i="8"/>
  <c r="E231" i="8"/>
  <c r="J231" i="8"/>
  <c r="E291" i="9"/>
  <c r="K292" i="9"/>
  <c r="N76" i="9"/>
  <c r="C254" i="9"/>
  <c r="C258" i="9"/>
  <c r="F11" i="10"/>
  <c r="L89" i="9"/>
  <c r="C100" i="9"/>
  <c r="E173" i="9"/>
  <c r="C214" i="9"/>
  <c r="C218" i="9"/>
  <c r="C250" i="9"/>
  <c r="C262" i="9"/>
  <c r="C266" i="9"/>
  <c r="C282" i="9"/>
  <c r="K292" i="8"/>
  <c r="K291" i="8" s="1"/>
  <c r="K53" i="8"/>
  <c r="C66" i="8"/>
  <c r="C114" i="8"/>
  <c r="C147" i="8"/>
  <c r="C148" i="8"/>
  <c r="C181" i="8"/>
  <c r="D187" i="8"/>
  <c r="N173" i="8"/>
  <c r="C250" i="8"/>
  <c r="C262" i="8"/>
  <c r="M269" i="8"/>
  <c r="C278" i="8"/>
  <c r="D53" i="9"/>
  <c r="C186" i="9"/>
  <c r="C242" i="9"/>
  <c r="O112" i="8"/>
  <c r="M231" i="8"/>
  <c r="O272" i="8"/>
  <c r="O270" i="8" s="1"/>
  <c r="O269" i="8" s="1"/>
  <c r="H270" i="8"/>
  <c r="H269" i="8" s="1"/>
  <c r="L31" i="9"/>
  <c r="C31" i="9" s="1"/>
  <c r="G174" i="9"/>
  <c r="G173" i="9" s="1"/>
  <c r="C206" i="9"/>
  <c r="C244" i="9"/>
  <c r="C120" i="8"/>
  <c r="N130" i="8"/>
  <c r="L103" i="9"/>
  <c r="C120" i="9"/>
  <c r="C170" i="9"/>
  <c r="C171" i="9"/>
  <c r="C190" i="9"/>
  <c r="D50" i="10"/>
  <c r="N20" i="8"/>
  <c r="E76" i="8"/>
  <c r="E187" i="8"/>
  <c r="C226" i="8"/>
  <c r="C258" i="8"/>
  <c r="I276" i="8"/>
  <c r="I69" i="9"/>
  <c r="O84" i="9"/>
  <c r="L122" i="9"/>
  <c r="C139" i="9"/>
  <c r="O144" i="9"/>
  <c r="O151" i="9"/>
  <c r="C257" i="9"/>
  <c r="C85" i="8"/>
  <c r="K187" i="8"/>
  <c r="C214" i="8"/>
  <c r="C218" i="8"/>
  <c r="C220" i="8"/>
  <c r="D259" i="8"/>
  <c r="J259" i="8"/>
  <c r="C266" i="8"/>
  <c r="D130" i="9"/>
  <c r="C162" i="9"/>
  <c r="C226" i="9"/>
  <c r="O276" i="9"/>
  <c r="L67" i="8"/>
  <c r="L84" i="8"/>
  <c r="O175" i="8"/>
  <c r="F127" i="8"/>
  <c r="E122" i="8"/>
  <c r="E83" i="8" s="1"/>
  <c r="O131" i="8"/>
  <c r="I184" i="8"/>
  <c r="C44" i="8"/>
  <c r="F43" i="8"/>
  <c r="F20" i="8" s="1"/>
  <c r="L188" i="8"/>
  <c r="L187" i="8" s="1"/>
  <c r="M204" i="8"/>
  <c r="M195" i="8" s="1"/>
  <c r="L205" i="8"/>
  <c r="J270" i="9"/>
  <c r="J269" i="9" s="1"/>
  <c r="H291" i="8"/>
  <c r="D54" i="8"/>
  <c r="D53" i="8" s="1"/>
  <c r="C161" i="8"/>
  <c r="O179" i="8"/>
  <c r="O174" i="8" s="1"/>
  <c r="O173" i="8" s="1"/>
  <c r="C234" i="8"/>
  <c r="C300" i="8"/>
  <c r="E20" i="9"/>
  <c r="C70" i="9"/>
  <c r="H130" i="9"/>
  <c r="C147" i="9"/>
  <c r="C178" i="9"/>
  <c r="K259" i="9"/>
  <c r="G269" i="9"/>
  <c r="C274" i="9"/>
  <c r="C294" i="9"/>
  <c r="N291" i="8"/>
  <c r="J26" i="8"/>
  <c r="J20" i="8" s="1"/>
  <c r="M53" i="8"/>
  <c r="C62" i="8"/>
  <c r="C78" i="8"/>
  <c r="J83" i="8"/>
  <c r="C105" i="8"/>
  <c r="I116" i="8"/>
  <c r="C143" i="8"/>
  <c r="C153" i="8"/>
  <c r="G187" i="8"/>
  <c r="H204" i="8"/>
  <c r="O238" i="8"/>
  <c r="O231" i="8" s="1"/>
  <c r="I260" i="8"/>
  <c r="K259" i="8"/>
  <c r="J270" i="8"/>
  <c r="J269" i="8" s="1"/>
  <c r="O276" i="8"/>
  <c r="C298" i="8"/>
  <c r="C299" i="8"/>
  <c r="C79" i="9"/>
  <c r="C96" i="9"/>
  <c r="C99" i="9"/>
  <c r="D174" i="9"/>
  <c r="D173" i="9" s="1"/>
  <c r="C202" i="9"/>
  <c r="L205" i="9"/>
  <c r="C222" i="9"/>
  <c r="C224" i="9"/>
  <c r="I260" i="9"/>
  <c r="J292" i="8"/>
  <c r="J291" i="8" s="1"/>
  <c r="O292" i="8"/>
  <c r="O291" i="8" s="1"/>
  <c r="E54" i="8"/>
  <c r="E53" i="8" s="1"/>
  <c r="J54" i="8"/>
  <c r="O54" i="8"/>
  <c r="C70" i="8"/>
  <c r="J76" i="8"/>
  <c r="C86" i="8"/>
  <c r="C92" i="8"/>
  <c r="N83" i="8"/>
  <c r="C118" i="8"/>
  <c r="C139" i="8"/>
  <c r="C140" i="8"/>
  <c r="C157" i="8"/>
  <c r="C159" i="8"/>
  <c r="C169" i="8"/>
  <c r="C170" i="8"/>
  <c r="C172" i="8"/>
  <c r="C177" i="8"/>
  <c r="I179" i="8"/>
  <c r="C190" i="8"/>
  <c r="C202" i="8"/>
  <c r="D204" i="8"/>
  <c r="C210" i="8"/>
  <c r="C213" i="8"/>
  <c r="H231" i="8"/>
  <c r="H230" i="8" s="1"/>
  <c r="O246" i="8"/>
  <c r="G269" i="8"/>
  <c r="C274" i="8"/>
  <c r="C294" i="8"/>
  <c r="M20" i="9"/>
  <c r="N291" i="9"/>
  <c r="H54" i="9"/>
  <c r="H53" i="9" s="1"/>
  <c r="N54" i="9"/>
  <c r="N53" i="9" s="1"/>
  <c r="L54" i="9"/>
  <c r="C59" i="9"/>
  <c r="C60" i="9"/>
  <c r="C64" i="9"/>
  <c r="G76" i="9"/>
  <c r="I76" i="9"/>
  <c r="L84" i="9"/>
  <c r="C92" i="9"/>
  <c r="C93" i="9"/>
  <c r="C104" i="9"/>
  <c r="C135" i="9"/>
  <c r="C137" i="9"/>
  <c r="C138" i="9"/>
  <c r="C158" i="9"/>
  <c r="O166" i="9"/>
  <c r="O165" i="9" s="1"/>
  <c r="C182" i="9"/>
  <c r="G187" i="9"/>
  <c r="N187" i="9"/>
  <c r="G195" i="9"/>
  <c r="H204" i="9"/>
  <c r="D231" i="9"/>
  <c r="C234" i="9"/>
  <c r="N231" i="9"/>
  <c r="N230" i="9" s="1"/>
  <c r="N194" i="9" s="1"/>
  <c r="O238" i="9"/>
  <c r="M269" i="9"/>
  <c r="I276" i="9"/>
  <c r="C298" i="9"/>
  <c r="C88" i="9"/>
  <c r="E292" i="8"/>
  <c r="E291" i="8" s="1"/>
  <c r="C24" i="8"/>
  <c r="C74" i="8"/>
  <c r="C90" i="8"/>
  <c r="C98" i="8"/>
  <c r="C102" i="8"/>
  <c r="C110" i="8"/>
  <c r="O122" i="8"/>
  <c r="C135" i="8"/>
  <c r="M173" i="8"/>
  <c r="C185" i="8"/>
  <c r="C186" i="8"/>
  <c r="K204" i="8"/>
  <c r="C206" i="8"/>
  <c r="C222" i="8"/>
  <c r="C225" i="8"/>
  <c r="G204" i="8"/>
  <c r="D231" i="8"/>
  <c r="C242" i="8"/>
  <c r="C244" i="8"/>
  <c r="C254" i="8"/>
  <c r="C257" i="8"/>
  <c r="N259" i="8"/>
  <c r="N230" i="8" s="1"/>
  <c r="L276" i="8"/>
  <c r="L270" i="8" s="1"/>
  <c r="L269" i="8" s="1"/>
  <c r="J292" i="9"/>
  <c r="J291" i="9" s="1"/>
  <c r="C22" i="9"/>
  <c r="C24" i="9"/>
  <c r="J54" i="9"/>
  <c r="J53" i="9" s="1"/>
  <c r="M54" i="9"/>
  <c r="H76" i="9"/>
  <c r="M76" i="9"/>
  <c r="K76" i="9"/>
  <c r="M83" i="9"/>
  <c r="C108" i="9"/>
  <c r="C114" i="9"/>
  <c r="C124" i="9"/>
  <c r="K130" i="9"/>
  <c r="M174" i="9"/>
  <c r="M173" i="9" s="1"/>
  <c r="H187" i="9"/>
  <c r="M187" i="9"/>
  <c r="L188" i="9"/>
  <c r="L187" i="9" s="1"/>
  <c r="C210" i="9"/>
  <c r="C212" i="9"/>
  <c r="C213" i="9"/>
  <c r="E231" i="9"/>
  <c r="M231" i="9"/>
  <c r="O246" i="9"/>
  <c r="D259" i="9"/>
  <c r="N259" i="9"/>
  <c r="D270" i="9"/>
  <c r="D269" i="9" s="1"/>
  <c r="O272" i="9"/>
  <c r="O270" i="9" s="1"/>
  <c r="O269" i="9" s="1"/>
  <c r="F281" i="9"/>
  <c r="C281" i="9" s="1"/>
  <c r="L291" i="9"/>
  <c r="K187" i="9"/>
  <c r="E53" i="9"/>
  <c r="C154" i="9"/>
  <c r="O175" i="9"/>
  <c r="F21" i="9"/>
  <c r="F292" i="9" s="1"/>
  <c r="K291" i="9"/>
  <c r="K54" i="9"/>
  <c r="K53" i="9" s="1"/>
  <c r="C57" i="9"/>
  <c r="C73" i="9"/>
  <c r="C74" i="9"/>
  <c r="D76" i="9"/>
  <c r="I84" i="9"/>
  <c r="O103" i="9"/>
  <c r="G130" i="9"/>
  <c r="L131" i="9"/>
  <c r="I136" i="9"/>
  <c r="C146" i="9"/>
  <c r="C157" i="9"/>
  <c r="C176" i="9"/>
  <c r="C177" i="9"/>
  <c r="L179" i="9"/>
  <c r="C183" i="9"/>
  <c r="O184" i="9"/>
  <c r="K195" i="9"/>
  <c r="C201" i="9"/>
  <c r="D204" i="9"/>
  <c r="D195" i="9" s="1"/>
  <c r="C207" i="9"/>
  <c r="J204" i="9"/>
  <c r="J195" i="9" s="1"/>
  <c r="N204" i="9"/>
  <c r="N195" i="9" s="1"/>
  <c r="I252" i="9"/>
  <c r="I251" i="9" s="1"/>
  <c r="O264" i="9"/>
  <c r="C275" i="9"/>
  <c r="C295" i="9"/>
  <c r="I67" i="9"/>
  <c r="H195" i="9"/>
  <c r="I205" i="9"/>
  <c r="I270" i="9"/>
  <c r="I269" i="9" s="1"/>
  <c r="N20" i="9"/>
  <c r="K26" i="9"/>
  <c r="K20" i="9" s="1"/>
  <c r="C63" i="9"/>
  <c r="M53" i="9"/>
  <c r="C72" i="9"/>
  <c r="C80" i="9"/>
  <c r="C81" i="9"/>
  <c r="C91" i="9"/>
  <c r="H83" i="9"/>
  <c r="L95" i="9"/>
  <c r="C101" i="9"/>
  <c r="C106" i="9"/>
  <c r="C107" i="9"/>
  <c r="G83" i="9"/>
  <c r="E83" i="9"/>
  <c r="C126" i="9"/>
  <c r="C150" i="9"/>
  <c r="C155" i="9"/>
  <c r="C163" i="9"/>
  <c r="D187" i="9"/>
  <c r="I187" i="9"/>
  <c r="M195" i="9"/>
  <c r="L196" i="9"/>
  <c r="C211" i="9"/>
  <c r="E204" i="9"/>
  <c r="E195" i="9" s="1"/>
  <c r="C220" i="9"/>
  <c r="C221" i="9"/>
  <c r="C227" i="9"/>
  <c r="C228" i="9"/>
  <c r="C229" i="9"/>
  <c r="K231" i="9"/>
  <c r="K269" i="9"/>
  <c r="C280" i="9"/>
  <c r="C287" i="9"/>
  <c r="C288" i="9"/>
  <c r="I293" i="9"/>
  <c r="C299" i="9"/>
  <c r="C300" i="9"/>
  <c r="C43" i="9"/>
  <c r="K83" i="9"/>
  <c r="D292" i="9"/>
  <c r="D291" i="9" s="1"/>
  <c r="H292" i="9"/>
  <c r="H291" i="9" s="1"/>
  <c r="C23" i="9"/>
  <c r="C44" i="9"/>
  <c r="C61" i="9"/>
  <c r="C62" i="9"/>
  <c r="C65" i="9"/>
  <c r="C66" i="9"/>
  <c r="O69" i="9"/>
  <c r="O67" i="9" s="1"/>
  <c r="L69" i="9"/>
  <c r="L67" i="9" s="1"/>
  <c r="L53" i="9" s="1"/>
  <c r="C78" i="9"/>
  <c r="J83" i="9"/>
  <c r="I89" i="9"/>
  <c r="C94" i="9"/>
  <c r="O95" i="9"/>
  <c r="C111" i="9"/>
  <c r="L116" i="9"/>
  <c r="C121" i="9"/>
  <c r="C125" i="9"/>
  <c r="I122" i="9"/>
  <c r="O131" i="9"/>
  <c r="O136" i="9"/>
  <c r="L144" i="9"/>
  <c r="C148" i="9"/>
  <c r="L151" i="9"/>
  <c r="C159" i="9"/>
  <c r="O160" i="9"/>
  <c r="I166" i="9"/>
  <c r="I165" i="9" s="1"/>
  <c r="L175" i="9"/>
  <c r="L174" i="9" s="1"/>
  <c r="L173" i="9" s="1"/>
  <c r="C181" i="9"/>
  <c r="O188" i="9"/>
  <c r="O187" i="9" s="1"/>
  <c r="C208" i="9"/>
  <c r="C215" i="9"/>
  <c r="I216" i="9"/>
  <c r="I204" i="9" s="1"/>
  <c r="C225" i="9"/>
  <c r="D230" i="9"/>
  <c r="H231" i="9"/>
  <c r="H230" i="9" s="1"/>
  <c r="G231" i="9"/>
  <c r="G230" i="9" s="1"/>
  <c r="C243" i="9"/>
  <c r="C245" i="9"/>
  <c r="O252" i="9"/>
  <c r="I264" i="9"/>
  <c r="L276" i="9"/>
  <c r="I286" i="9"/>
  <c r="C286" i="9" s="1"/>
  <c r="F84" i="10"/>
  <c r="F50" i="10" s="1"/>
  <c r="C55" i="9"/>
  <c r="O54" i="9"/>
  <c r="H75" i="9"/>
  <c r="O292" i="9"/>
  <c r="C115" i="9"/>
  <c r="F112" i="9"/>
  <c r="C112" i="9" s="1"/>
  <c r="D122" i="9"/>
  <c r="D83" i="9" s="1"/>
  <c r="F127" i="9"/>
  <c r="C127" i="9" s="1"/>
  <c r="C193" i="9"/>
  <c r="F192" i="9"/>
  <c r="C301" i="9"/>
  <c r="J20" i="9"/>
  <c r="I21" i="9"/>
  <c r="C56" i="9"/>
  <c r="I58" i="9"/>
  <c r="I54" i="9" s="1"/>
  <c r="C68" i="9"/>
  <c r="F69" i="9"/>
  <c r="F77" i="9"/>
  <c r="N130" i="9"/>
  <c r="E130" i="9"/>
  <c r="J174" i="9"/>
  <c r="J173" i="9" s="1"/>
  <c r="C142" i="9"/>
  <c r="F141" i="9"/>
  <c r="G20" i="9"/>
  <c r="L27" i="9"/>
  <c r="L33" i="9"/>
  <c r="C33" i="9" s="1"/>
  <c r="L36" i="9"/>
  <c r="C36" i="9" s="1"/>
  <c r="F41" i="9"/>
  <c r="C41" i="9" s="1"/>
  <c r="O45" i="9"/>
  <c r="O20" i="9" s="1"/>
  <c r="C84" i="9"/>
  <c r="O89" i="9"/>
  <c r="C98" i="9"/>
  <c r="C105" i="9"/>
  <c r="C110" i="9"/>
  <c r="C118" i="9"/>
  <c r="C119" i="9"/>
  <c r="F116" i="9"/>
  <c r="O122" i="9"/>
  <c r="C128" i="9"/>
  <c r="C129" i="9"/>
  <c r="J130" i="9"/>
  <c r="J75" i="9" s="1"/>
  <c r="F136" i="9"/>
  <c r="C145" i="9"/>
  <c r="C152" i="9"/>
  <c r="C153" i="9"/>
  <c r="F151" i="9"/>
  <c r="C161" i="9"/>
  <c r="F160" i="9"/>
  <c r="C160" i="9" s="1"/>
  <c r="C168" i="9"/>
  <c r="C169" i="9"/>
  <c r="F166" i="9"/>
  <c r="F175" i="9"/>
  <c r="I174" i="9"/>
  <c r="I173" i="9" s="1"/>
  <c r="O179" i="9"/>
  <c r="C179" i="9" s="1"/>
  <c r="C185" i="9"/>
  <c r="F184" i="9"/>
  <c r="C184" i="9" s="1"/>
  <c r="C189" i="9"/>
  <c r="F188" i="9"/>
  <c r="C237" i="9"/>
  <c r="F235" i="9"/>
  <c r="C261" i="9"/>
  <c r="F260" i="9"/>
  <c r="D20" i="9"/>
  <c r="H20" i="9"/>
  <c r="C82" i="9"/>
  <c r="N83" i="9"/>
  <c r="C90" i="9"/>
  <c r="C97" i="9"/>
  <c r="C102" i="9"/>
  <c r="C109" i="9"/>
  <c r="C123" i="9"/>
  <c r="C133" i="9"/>
  <c r="C134" i="9"/>
  <c r="F131" i="9"/>
  <c r="M130" i="9"/>
  <c r="C140" i="9"/>
  <c r="O141" i="9"/>
  <c r="I144" i="9"/>
  <c r="C149" i="9"/>
  <c r="I151" i="9"/>
  <c r="C156" i="9"/>
  <c r="C164" i="9"/>
  <c r="C172" i="9"/>
  <c r="C180" i="9"/>
  <c r="C209" i="9"/>
  <c r="F205" i="9"/>
  <c r="C277" i="9"/>
  <c r="F276" i="9"/>
  <c r="C276" i="9" s="1"/>
  <c r="C85" i="9"/>
  <c r="I95" i="9"/>
  <c r="I103" i="9"/>
  <c r="C113" i="9"/>
  <c r="C117" i="9"/>
  <c r="C132" i="9"/>
  <c r="C167" i="9"/>
  <c r="C200" i="9"/>
  <c r="I198" i="9"/>
  <c r="I196" i="9" s="1"/>
  <c r="I195" i="9" s="1"/>
  <c r="C203" i="9"/>
  <c r="C223" i="9"/>
  <c r="L231" i="9"/>
  <c r="I235" i="9"/>
  <c r="C236" i="9"/>
  <c r="C247" i="9"/>
  <c r="C249" i="9"/>
  <c r="F246" i="9"/>
  <c r="L252" i="9"/>
  <c r="L251" i="9" s="1"/>
  <c r="C255" i="9"/>
  <c r="L264" i="9"/>
  <c r="C267" i="9"/>
  <c r="E270" i="9"/>
  <c r="E269" i="9" s="1"/>
  <c r="C279" i="9"/>
  <c r="C285" i="9"/>
  <c r="F284" i="9"/>
  <c r="F95" i="9"/>
  <c r="C95" i="9" s="1"/>
  <c r="F103" i="9"/>
  <c r="C197" i="9"/>
  <c r="F196" i="9"/>
  <c r="O216" i="9"/>
  <c r="L216" i="9"/>
  <c r="C219" i="9"/>
  <c r="J230" i="9"/>
  <c r="C232" i="9"/>
  <c r="C239" i="9"/>
  <c r="C241" i="9"/>
  <c r="F238" i="9"/>
  <c r="C248" i="9"/>
  <c r="I246" i="9"/>
  <c r="E230" i="9"/>
  <c r="C253" i="9"/>
  <c r="F252" i="9"/>
  <c r="O251" i="9"/>
  <c r="M259" i="9"/>
  <c r="M230" i="9" s="1"/>
  <c r="C265" i="9"/>
  <c r="F264" i="9"/>
  <c r="C271" i="9"/>
  <c r="L270" i="9"/>
  <c r="L269" i="9" s="1"/>
  <c r="C273" i="9"/>
  <c r="F272" i="9"/>
  <c r="O293" i="9"/>
  <c r="O196" i="9"/>
  <c r="O205" i="9"/>
  <c r="C217" i="9"/>
  <c r="F216" i="9"/>
  <c r="C233" i="9"/>
  <c r="C240" i="9"/>
  <c r="I238" i="9"/>
  <c r="C256" i="9"/>
  <c r="I259" i="9"/>
  <c r="O260" i="9"/>
  <c r="L260" i="9"/>
  <c r="C263" i="9"/>
  <c r="C268" i="9"/>
  <c r="C296" i="9"/>
  <c r="C297" i="9"/>
  <c r="F293" i="9"/>
  <c r="C293" i="9" s="1"/>
  <c r="C199" i="9"/>
  <c r="N53" i="8"/>
  <c r="J53" i="8"/>
  <c r="N187" i="8"/>
  <c r="H195" i="8"/>
  <c r="D292" i="8"/>
  <c r="D291" i="8" s="1"/>
  <c r="L27" i="8"/>
  <c r="C27" i="8" s="1"/>
  <c r="K26" i="8"/>
  <c r="K20" i="8" s="1"/>
  <c r="C57" i="8"/>
  <c r="O69" i="8"/>
  <c r="O67" i="8" s="1"/>
  <c r="G83" i="8"/>
  <c r="F84" i="8"/>
  <c r="C84" i="8" s="1"/>
  <c r="C94" i="8"/>
  <c r="C115" i="8"/>
  <c r="I122" i="8"/>
  <c r="C134" i="8"/>
  <c r="H130" i="8"/>
  <c r="O141" i="8"/>
  <c r="F160" i="8"/>
  <c r="C160" i="8" s="1"/>
  <c r="C171" i="8"/>
  <c r="I175" i="8"/>
  <c r="I174" i="8" s="1"/>
  <c r="C182" i="8"/>
  <c r="C189" i="8"/>
  <c r="O188" i="8"/>
  <c r="O187" i="8" s="1"/>
  <c r="K195" i="8"/>
  <c r="C201" i="8"/>
  <c r="D195" i="8"/>
  <c r="C207" i="8"/>
  <c r="C212" i="8"/>
  <c r="I216" i="8"/>
  <c r="L216" i="8"/>
  <c r="L204" i="8" s="1"/>
  <c r="C224" i="8"/>
  <c r="I252" i="8"/>
  <c r="I251" i="8" s="1"/>
  <c r="O264" i="8"/>
  <c r="C275" i="8"/>
  <c r="I270" i="8"/>
  <c r="I269" i="8" s="1"/>
  <c r="I293" i="8"/>
  <c r="L36" i="8"/>
  <c r="C36" i="8" s="1"/>
  <c r="L54" i="8"/>
  <c r="C61" i="8"/>
  <c r="C73" i="8"/>
  <c r="F76" i="8"/>
  <c r="K76" i="8"/>
  <c r="C82" i="8"/>
  <c r="H83" i="8"/>
  <c r="H75" i="8" s="1"/>
  <c r="M83" i="8"/>
  <c r="C87" i="8"/>
  <c r="C88" i="8"/>
  <c r="L89" i="8"/>
  <c r="C96" i="8"/>
  <c r="C97" i="8"/>
  <c r="C108" i="8"/>
  <c r="C109" i="8"/>
  <c r="C119" i="8"/>
  <c r="F128" i="8"/>
  <c r="C128" i="8" s="1"/>
  <c r="C133" i="8"/>
  <c r="C154" i="8"/>
  <c r="C156" i="8"/>
  <c r="C162" i="8"/>
  <c r="C164" i="8"/>
  <c r="L166" i="8"/>
  <c r="L165" i="8" s="1"/>
  <c r="C183" i="8"/>
  <c r="H187" i="8"/>
  <c r="L196" i="8"/>
  <c r="G195" i="8"/>
  <c r="C211" i="8"/>
  <c r="E204" i="8"/>
  <c r="E195" i="8" s="1"/>
  <c r="J204" i="8"/>
  <c r="J195" i="8" s="1"/>
  <c r="N204" i="8"/>
  <c r="N195" i="8" s="1"/>
  <c r="F233" i="8"/>
  <c r="C233" i="8" s="1"/>
  <c r="C236" i="8"/>
  <c r="K269" i="8"/>
  <c r="C280" i="8"/>
  <c r="C287" i="8"/>
  <c r="C288" i="8"/>
  <c r="L293" i="8"/>
  <c r="C282" i="8"/>
  <c r="H20" i="8"/>
  <c r="G291" i="8"/>
  <c r="M291" i="8"/>
  <c r="I21" i="8"/>
  <c r="C21" i="8" s="1"/>
  <c r="H54" i="8"/>
  <c r="H53" i="8" s="1"/>
  <c r="G54" i="8"/>
  <c r="G53" i="8" s="1"/>
  <c r="C65" i="8"/>
  <c r="G76" i="8"/>
  <c r="C81" i="8"/>
  <c r="D83" i="8"/>
  <c r="C100" i="8"/>
  <c r="C101" i="8"/>
  <c r="C111" i="8"/>
  <c r="L131" i="8"/>
  <c r="C138" i="8"/>
  <c r="L141" i="8"/>
  <c r="C146" i="8"/>
  <c r="L151" i="8"/>
  <c r="C158" i="8"/>
  <c r="C163" i="8"/>
  <c r="C168" i="8"/>
  <c r="F184" i="8"/>
  <c r="C208" i="8"/>
  <c r="C215" i="8"/>
  <c r="C219" i="8"/>
  <c r="C221" i="8"/>
  <c r="C227" i="8"/>
  <c r="C228" i="8"/>
  <c r="C229" i="8"/>
  <c r="K231" i="8"/>
  <c r="K230" i="8" s="1"/>
  <c r="C243" i="8"/>
  <c r="C245" i="8"/>
  <c r="O252" i="8"/>
  <c r="O251" i="8" s="1"/>
  <c r="I264" i="8"/>
  <c r="I259" i="8" s="1"/>
  <c r="I286" i="8"/>
  <c r="C286" i="8" s="1"/>
  <c r="C295" i="8"/>
  <c r="L292" i="8"/>
  <c r="F292" i="8"/>
  <c r="I20" i="8"/>
  <c r="C209" i="8"/>
  <c r="F205" i="8"/>
  <c r="C237" i="8"/>
  <c r="F235" i="8"/>
  <c r="C301" i="8"/>
  <c r="E20" i="8"/>
  <c r="M20" i="8"/>
  <c r="C22" i="8"/>
  <c r="C32" i="8"/>
  <c r="L31" i="8"/>
  <c r="L33" i="8"/>
  <c r="C33" i="8" s="1"/>
  <c r="O45" i="8"/>
  <c r="O20" i="8" s="1"/>
  <c r="C56" i="8"/>
  <c r="F58" i="8"/>
  <c r="C59" i="8"/>
  <c r="C60" i="8"/>
  <c r="L77" i="8"/>
  <c r="L80" i="8"/>
  <c r="C80" i="8" s="1"/>
  <c r="C91" i="8"/>
  <c r="F89" i="8"/>
  <c r="C106" i="8"/>
  <c r="O116" i="8"/>
  <c r="I131" i="8"/>
  <c r="I136" i="8"/>
  <c r="C137" i="8"/>
  <c r="C155" i="8"/>
  <c r="I151" i="8"/>
  <c r="C193" i="8"/>
  <c r="F192" i="8"/>
  <c r="C55" i="8"/>
  <c r="C23" i="8"/>
  <c r="I58" i="8"/>
  <c r="I54" i="8" s="1"/>
  <c r="C79" i="8"/>
  <c r="K83" i="8"/>
  <c r="C93" i="8"/>
  <c r="I144" i="8"/>
  <c r="C145" i="8"/>
  <c r="I69" i="8"/>
  <c r="I67" i="8" s="1"/>
  <c r="G20" i="8"/>
  <c r="C63" i="8"/>
  <c r="C64" i="8"/>
  <c r="C68" i="8"/>
  <c r="C71" i="8"/>
  <c r="C72" i="8"/>
  <c r="F69" i="8"/>
  <c r="C104" i="8"/>
  <c r="F103" i="8"/>
  <c r="F122" i="8"/>
  <c r="C123" i="8"/>
  <c r="D130" i="8"/>
  <c r="D75" i="8" s="1"/>
  <c r="C277" i="8"/>
  <c r="F276" i="8"/>
  <c r="I89" i="8"/>
  <c r="F95" i="8"/>
  <c r="C99" i="8"/>
  <c r="I103" i="8"/>
  <c r="L112" i="8"/>
  <c r="L116" i="8"/>
  <c r="C121" i="8"/>
  <c r="C125" i="8"/>
  <c r="C126" i="8"/>
  <c r="E130" i="8"/>
  <c r="C150" i="8"/>
  <c r="O166" i="8"/>
  <c r="O165" i="8" s="1"/>
  <c r="H173" i="8"/>
  <c r="E174" i="8"/>
  <c r="E173" i="8" s="1"/>
  <c r="C176" i="8"/>
  <c r="F175" i="8"/>
  <c r="L179" i="8"/>
  <c r="O95" i="8"/>
  <c r="C107" i="8"/>
  <c r="L122" i="8"/>
  <c r="C127" i="8"/>
  <c r="G130" i="8"/>
  <c r="K130" i="8"/>
  <c r="C132" i="8"/>
  <c r="F131" i="8"/>
  <c r="F136" i="8"/>
  <c r="O136" i="8"/>
  <c r="F144" i="8"/>
  <c r="O144" i="8"/>
  <c r="C152" i="8"/>
  <c r="F151" i="8"/>
  <c r="O151" i="8"/>
  <c r="C178" i="8"/>
  <c r="O103" i="8"/>
  <c r="C113" i="8"/>
  <c r="F112" i="8"/>
  <c r="C117" i="8"/>
  <c r="F116" i="8"/>
  <c r="M130" i="8"/>
  <c r="F141" i="8"/>
  <c r="C141" i="8" s="1"/>
  <c r="C142" i="8"/>
  <c r="F165" i="8"/>
  <c r="I166" i="8"/>
  <c r="I165" i="8" s="1"/>
  <c r="C167" i="8"/>
  <c r="D173" i="8"/>
  <c r="L175" i="8"/>
  <c r="C180" i="8"/>
  <c r="F179" i="8"/>
  <c r="J187" i="8"/>
  <c r="C261" i="8"/>
  <c r="F260" i="8"/>
  <c r="C200" i="8"/>
  <c r="I198" i="8"/>
  <c r="I196" i="8" s="1"/>
  <c r="C203" i="8"/>
  <c r="I205" i="8"/>
  <c r="I204" i="8" s="1"/>
  <c r="C223" i="8"/>
  <c r="C232" i="8"/>
  <c r="L231" i="8"/>
  <c r="C247" i="8"/>
  <c r="C249" i="8"/>
  <c r="F246" i="8"/>
  <c r="L252" i="8"/>
  <c r="L251" i="8" s="1"/>
  <c r="C255" i="8"/>
  <c r="L264" i="8"/>
  <c r="C267" i="8"/>
  <c r="E270" i="8"/>
  <c r="E269" i="8" s="1"/>
  <c r="C279" i="8"/>
  <c r="C285" i="8"/>
  <c r="F284" i="8"/>
  <c r="C197" i="8"/>
  <c r="F196" i="8"/>
  <c r="J230" i="8"/>
  <c r="C239" i="8"/>
  <c r="C241" i="8"/>
  <c r="F238" i="8"/>
  <c r="C248" i="8"/>
  <c r="I246" i="8"/>
  <c r="E230" i="8"/>
  <c r="C253" i="8"/>
  <c r="F252" i="8"/>
  <c r="M259" i="8"/>
  <c r="M230" i="8" s="1"/>
  <c r="C265" i="8"/>
  <c r="F264" i="8"/>
  <c r="C271" i="8"/>
  <c r="C273" i="8"/>
  <c r="F272" i="8"/>
  <c r="O196" i="8"/>
  <c r="O205" i="8"/>
  <c r="C217" i="8"/>
  <c r="F216" i="8"/>
  <c r="O216" i="8"/>
  <c r="G231" i="8"/>
  <c r="G230" i="8" s="1"/>
  <c r="G194" i="8" s="1"/>
  <c r="C240" i="8"/>
  <c r="I238" i="8"/>
  <c r="C256" i="8"/>
  <c r="O260" i="8"/>
  <c r="O259" i="8" s="1"/>
  <c r="L260" i="8"/>
  <c r="C263" i="8"/>
  <c r="C268" i="8"/>
  <c r="C281" i="8"/>
  <c r="C296" i="8"/>
  <c r="C297" i="8"/>
  <c r="F293" i="8"/>
  <c r="C199" i="8"/>
  <c r="L53" i="8" l="1"/>
  <c r="L204" i="9"/>
  <c r="L195" i="9" s="1"/>
  <c r="D230" i="8"/>
  <c r="D289" i="8" s="1"/>
  <c r="C43" i="8"/>
  <c r="O53" i="8"/>
  <c r="L259" i="9"/>
  <c r="L230" i="9" s="1"/>
  <c r="C264" i="9"/>
  <c r="G194" i="9"/>
  <c r="K230" i="9"/>
  <c r="E75" i="8"/>
  <c r="E52" i="8" s="1"/>
  <c r="E51" i="8" s="1"/>
  <c r="C103" i="9"/>
  <c r="C293" i="8"/>
  <c r="J194" i="8"/>
  <c r="N194" i="8"/>
  <c r="J194" i="9"/>
  <c r="M75" i="9"/>
  <c r="I53" i="9"/>
  <c r="O231" i="9"/>
  <c r="N75" i="8"/>
  <c r="N52" i="8" s="1"/>
  <c r="N51" i="8" s="1"/>
  <c r="J75" i="8"/>
  <c r="J52" i="8" s="1"/>
  <c r="J51" i="8" s="1"/>
  <c r="H194" i="9"/>
  <c r="H194" i="8"/>
  <c r="I231" i="8"/>
  <c r="C116" i="8"/>
  <c r="L76" i="8"/>
  <c r="L75" i="8" s="1"/>
  <c r="L52" i="8" s="1"/>
  <c r="C136" i="9"/>
  <c r="C89" i="9"/>
  <c r="I231" i="9"/>
  <c r="I230" i="9" s="1"/>
  <c r="I194" i="9" s="1"/>
  <c r="I83" i="9"/>
  <c r="C136" i="8"/>
  <c r="G75" i="8"/>
  <c r="C276" i="8"/>
  <c r="C122" i="8"/>
  <c r="C184" i="8"/>
  <c r="I292" i="8"/>
  <c r="I291" i="8" s="1"/>
  <c r="O53" i="9"/>
  <c r="K75" i="9"/>
  <c r="K289" i="9"/>
  <c r="D194" i="9"/>
  <c r="I230" i="8"/>
  <c r="O130" i="8"/>
  <c r="L195" i="8"/>
  <c r="H289" i="8"/>
  <c r="I173" i="8"/>
  <c r="M194" i="9"/>
  <c r="E194" i="9"/>
  <c r="D75" i="9"/>
  <c r="D289" i="9" s="1"/>
  <c r="J289" i="8"/>
  <c r="C165" i="8"/>
  <c r="K75" i="8"/>
  <c r="K52" i="8" s="1"/>
  <c r="E194" i="8"/>
  <c r="O130" i="9"/>
  <c r="C116" i="9"/>
  <c r="I130" i="9"/>
  <c r="I75" i="9" s="1"/>
  <c r="I52" i="9" s="1"/>
  <c r="H289" i="9"/>
  <c r="C58" i="9"/>
  <c r="K52" i="9"/>
  <c r="O259" i="9"/>
  <c r="O230" i="9" s="1"/>
  <c r="O204" i="9"/>
  <c r="C144" i="9"/>
  <c r="N75" i="9"/>
  <c r="N289" i="9" s="1"/>
  <c r="O83" i="9"/>
  <c r="E75" i="9"/>
  <c r="E289" i="9" s="1"/>
  <c r="G75" i="9"/>
  <c r="G52" i="9" s="1"/>
  <c r="G51" i="9" s="1"/>
  <c r="L83" i="9"/>
  <c r="C151" i="9"/>
  <c r="F291" i="9"/>
  <c r="K194" i="9"/>
  <c r="L130" i="9"/>
  <c r="J289" i="9"/>
  <c r="J52" i="9"/>
  <c r="J51" i="9" s="1"/>
  <c r="O75" i="9"/>
  <c r="M52" i="9"/>
  <c r="M51" i="9" s="1"/>
  <c r="M289" i="9"/>
  <c r="F270" i="9"/>
  <c r="C272" i="9"/>
  <c r="C252" i="9"/>
  <c r="F251" i="9"/>
  <c r="C251" i="9" s="1"/>
  <c r="C188" i="9"/>
  <c r="O195" i="9"/>
  <c r="C238" i="9"/>
  <c r="F122" i="9"/>
  <c r="C122" i="9" s="1"/>
  <c r="C198" i="9"/>
  <c r="C192" i="9"/>
  <c r="F191" i="9"/>
  <c r="C191" i="9" s="1"/>
  <c r="O291" i="9"/>
  <c r="C235" i="9"/>
  <c r="F231" i="9"/>
  <c r="I292" i="9"/>
  <c r="C21" i="9"/>
  <c r="I20" i="9"/>
  <c r="C216" i="9"/>
  <c r="C196" i="9"/>
  <c r="C284" i="9"/>
  <c r="F283" i="9"/>
  <c r="C283" i="9" s="1"/>
  <c r="C246" i="9"/>
  <c r="C205" i="9"/>
  <c r="F204" i="9"/>
  <c r="C204" i="9" s="1"/>
  <c r="F130" i="9"/>
  <c r="C131" i="9"/>
  <c r="C260" i="9"/>
  <c r="F259" i="9"/>
  <c r="F174" i="9"/>
  <c r="C175" i="9"/>
  <c r="C45" i="9"/>
  <c r="C27" i="9"/>
  <c r="L26" i="9"/>
  <c r="C141" i="9"/>
  <c r="F76" i="9"/>
  <c r="C77" i="9"/>
  <c r="F20" i="9"/>
  <c r="C54" i="9"/>
  <c r="O174" i="9"/>
  <c r="O173" i="9" s="1"/>
  <c r="D52" i="9"/>
  <c r="F165" i="9"/>
  <c r="C165" i="9" s="1"/>
  <c r="C166" i="9"/>
  <c r="F67" i="9"/>
  <c r="C69" i="9"/>
  <c r="H52" i="9"/>
  <c r="D52" i="8"/>
  <c r="F291" i="8"/>
  <c r="I195" i="8"/>
  <c r="I194" i="8" s="1"/>
  <c r="L174" i="8"/>
  <c r="L173" i="8" s="1"/>
  <c r="C166" i="8"/>
  <c r="M75" i="8"/>
  <c r="M52" i="8" s="1"/>
  <c r="H52" i="8"/>
  <c r="H51" i="8" s="1"/>
  <c r="H290" i="8" s="1"/>
  <c r="L83" i="8"/>
  <c r="L291" i="8"/>
  <c r="O83" i="8"/>
  <c r="O75" i="8" s="1"/>
  <c r="I53" i="8"/>
  <c r="L130" i="8"/>
  <c r="C188" i="8"/>
  <c r="K194" i="8"/>
  <c r="G289" i="8"/>
  <c r="G52" i="8"/>
  <c r="G51" i="8" s="1"/>
  <c r="E289" i="8"/>
  <c r="C291" i="8"/>
  <c r="M194" i="8"/>
  <c r="M289" i="8"/>
  <c r="M51" i="8"/>
  <c r="O52" i="8"/>
  <c r="L259" i="8"/>
  <c r="L230" i="8" s="1"/>
  <c r="C216" i="8"/>
  <c r="C131" i="8"/>
  <c r="F130" i="8"/>
  <c r="C175" i="8"/>
  <c r="F174" i="8"/>
  <c r="C89" i="8"/>
  <c r="F83" i="8"/>
  <c r="F54" i="8"/>
  <c r="C58" i="8"/>
  <c r="L26" i="8"/>
  <c r="C31" i="8"/>
  <c r="C235" i="8"/>
  <c r="F231" i="8"/>
  <c r="F270" i="8"/>
  <c r="C272" i="8"/>
  <c r="C264" i="8"/>
  <c r="C238" i="8"/>
  <c r="C179" i="8"/>
  <c r="C198" i="8"/>
  <c r="C144" i="8"/>
  <c r="O230" i="8"/>
  <c r="I130" i="8"/>
  <c r="C252" i="8"/>
  <c r="F251" i="8"/>
  <c r="C251" i="8" s="1"/>
  <c r="O204" i="8"/>
  <c r="O195" i="8" s="1"/>
  <c r="C196" i="8"/>
  <c r="C284" i="8"/>
  <c r="F283" i="8"/>
  <c r="C283" i="8" s="1"/>
  <c r="C246" i="8"/>
  <c r="C112" i="8"/>
  <c r="C151" i="8"/>
  <c r="C95" i="8"/>
  <c r="C69" i="8"/>
  <c r="F67" i="8"/>
  <c r="C67" i="8" s="1"/>
  <c r="C192" i="8"/>
  <c r="F191" i="8"/>
  <c r="C45" i="8"/>
  <c r="C205" i="8"/>
  <c r="F204" i="8"/>
  <c r="F195" i="8" s="1"/>
  <c r="C77" i="8"/>
  <c r="C292" i="8"/>
  <c r="C260" i="8"/>
  <c r="F259" i="8"/>
  <c r="I83" i="8"/>
  <c r="C103" i="8"/>
  <c r="N50" i="8" l="1"/>
  <c r="N290" i="8"/>
  <c r="I75" i="8"/>
  <c r="C130" i="9"/>
  <c r="N52" i="9"/>
  <c r="N51" i="9" s="1"/>
  <c r="D51" i="9"/>
  <c r="C259" i="9"/>
  <c r="D194" i="8"/>
  <c r="D51" i="8" s="1"/>
  <c r="C76" i="8"/>
  <c r="L194" i="8"/>
  <c r="H51" i="9"/>
  <c r="H50" i="9" s="1"/>
  <c r="N289" i="8"/>
  <c r="O52" i="9"/>
  <c r="C130" i="8"/>
  <c r="K51" i="8"/>
  <c r="K290" i="8" s="1"/>
  <c r="G289" i="9"/>
  <c r="C259" i="8"/>
  <c r="H50" i="8"/>
  <c r="O289" i="9"/>
  <c r="K289" i="8"/>
  <c r="L75" i="9"/>
  <c r="L52" i="9" s="1"/>
  <c r="I289" i="9"/>
  <c r="I51" i="9"/>
  <c r="F83" i="9"/>
  <c r="C83" i="9" s="1"/>
  <c r="O194" i="9"/>
  <c r="O51" i="9" s="1"/>
  <c r="E52" i="9"/>
  <c r="E51" i="9" s="1"/>
  <c r="E290" i="9" s="1"/>
  <c r="G50" i="9"/>
  <c r="G290" i="9"/>
  <c r="K51" i="9"/>
  <c r="F173" i="9"/>
  <c r="C173" i="9" s="1"/>
  <c r="C174" i="9"/>
  <c r="F230" i="9"/>
  <c r="C230" i="9" s="1"/>
  <c r="C231" i="9"/>
  <c r="C76" i="9"/>
  <c r="J50" i="9"/>
  <c r="J290" i="9"/>
  <c r="D290" i="9"/>
  <c r="D50" i="9"/>
  <c r="I290" i="9"/>
  <c r="I50" i="9"/>
  <c r="F195" i="9"/>
  <c r="M50" i="9"/>
  <c r="M290" i="9"/>
  <c r="N50" i="9"/>
  <c r="N290" i="9"/>
  <c r="H290" i="9"/>
  <c r="F269" i="9"/>
  <c r="C270" i="9"/>
  <c r="C67" i="9"/>
  <c r="F53" i="9"/>
  <c r="C26" i="9"/>
  <c r="L20" i="9"/>
  <c r="C20" i="9" s="1"/>
  <c r="C292" i="9"/>
  <c r="I291" i="9"/>
  <c r="C291" i="9" s="1"/>
  <c r="F187" i="9"/>
  <c r="C187" i="9" s="1"/>
  <c r="L194" i="9"/>
  <c r="I289" i="8"/>
  <c r="O194" i="8"/>
  <c r="O51" i="8" s="1"/>
  <c r="O289" i="8"/>
  <c r="C26" i="8"/>
  <c r="L20" i="8"/>
  <c r="C20" i="8" s="1"/>
  <c r="C83" i="8"/>
  <c r="F75" i="8"/>
  <c r="C75" i="8" s="1"/>
  <c r="L289" i="8"/>
  <c r="J50" i="8"/>
  <c r="J290" i="8"/>
  <c r="C195" i="8"/>
  <c r="F53" i="8"/>
  <c r="C54" i="8"/>
  <c r="F173" i="8"/>
  <c r="C173" i="8" s="1"/>
  <c r="C174" i="8"/>
  <c r="G290" i="8"/>
  <c r="G50" i="8"/>
  <c r="C204" i="8"/>
  <c r="C191" i="8"/>
  <c r="F187" i="8"/>
  <c r="C187" i="8" s="1"/>
  <c r="L51" i="8"/>
  <c r="L50" i="8" s="1"/>
  <c r="M50" i="8"/>
  <c r="M290" i="8"/>
  <c r="E290" i="8"/>
  <c r="E50" i="8"/>
  <c r="F269" i="8"/>
  <c r="C270" i="8"/>
  <c r="F230" i="8"/>
  <c r="C230" i="8" s="1"/>
  <c r="C231" i="8"/>
  <c r="I52" i="8"/>
  <c r="I51" i="8" s="1"/>
  <c r="D290" i="8" l="1"/>
  <c r="D50" i="8"/>
  <c r="E50" i="9"/>
  <c r="K50" i="8"/>
  <c r="O50" i="9"/>
  <c r="O290" i="9"/>
  <c r="F75" i="9"/>
  <c r="C75" i="9" s="1"/>
  <c r="L289" i="9"/>
  <c r="L51" i="9"/>
  <c r="L50" i="9" s="1"/>
  <c r="K50" i="9"/>
  <c r="K290" i="9"/>
  <c r="C53" i="9"/>
  <c r="L290" i="9"/>
  <c r="F194" i="9"/>
  <c r="C194" i="9" s="1"/>
  <c r="C195" i="9"/>
  <c r="C269" i="9"/>
  <c r="O50" i="8"/>
  <c r="O290" i="8"/>
  <c r="F52" i="8"/>
  <c r="C53" i="8"/>
  <c r="I290" i="8"/>
  <c r="I50" i="8"/>
  <c r="C269" i="8"/>
  <c r="F289" i="8"/>
  <c r="C289" i="8" s="1"/>
  <c r="F194" i="8"/>
  <c r="C194" i="8" s="1"/>
  <c r="L290" i="8"/>
  <c r="F289" i="9" l="1"/>
  <c r="C289" i="9" s="1"/>
  <c r="F52" i="9"/>
  <c r="F51" i="9"/>
  <c r="C52" i="9"/>
  <c r="C52" i="8"/>
  <c r="F51" i="8"/>
  <c r="F290" i="9" l="1"/>
  <c r="C290" i="9" s="1"/>
  <c r="C51" i="9"/>
  <c r="F50" i="9"/>
  <c r="C50" i="9" s="1"/>
  <c r="F290" i="8"/>
  <c r="C290" i="8" s="1"/>
  <c r="C51" i="8"/>
  <c r="F50" i="8"/>
  <c r="C50" i="8" s="1"/>
  <c r="F16" i="7" l="1"/>
  <c r="F15" i="7"/>
  <c r="F14" i="7"/>
  <c r="F13" i="7"/>
  <c r="F12" i="7"/>
  <c r="E11" i="7"/>
  <c r="D11" i="7"/>
  <c r="F11" i="7" l="1"/>
  <c r="O301" i="6"/>
  <c r="L301" i="6"/>
  <c r="I301" i="6"/>
  <c r="F301" i="6"/>
  <c r="O300" i="6"/>
  <c r="L300" i="6"/>
  <c r="I300" i="6"/>
  <c r="F300" i="6"/>
  <c r="O299" i="6"/>
  <c r="L299" i="6"/>
  <c r="I299" i="6"/>
  <c r="F299" i="6"/>
  <c r="O298" i="6"/>
  <c r="L298" i="6"/>
  <c r="I298" i="6"/>
  <c r="F298" i="6"/>
  <c r="O297" i="6"/>
  <c r="L297" i="6"/>
  <c r="I297" i="6"/>
  <c r="F297" i="6"/>
  <c r="O296" i="6"/>
  <c r="L296" i="6"/>
  <c r="I296" i="6"/>
  <c r="F296" i="6"/>
  <c r="O295" i="6"/>
  <c r="L295" i="6"/>
  <c r="I295" i="6"/>
  <c r="F295" i="6"/>
  <c r="O294" i="6"/>
  <c r="L294" i="6"/>
  <c r="I294" i="6"/>
  <c r="I293" i="6" s="1"/>
  <c r="F294" i="6"/>
  <c r="N293" i="6"/>
  <c r="M293" i="6"/>
  <c r="K293" i="6"/>
  <c r="J293" i="6"/>
  <c r="H293" i="6"/>
  <c r="G293" i="6"/>
  <c r="E293" i="6"/>
  <c r="D293" i="6"/>
  <c r="O288" i="6"/>
  <c r="L288" i="6"/>
  <c r="I288" i="6"/>
  <c r="F288" i="6"/>
  <c r="O287" i="6"/>
  <c r="L287" i="6"/>
  <c r="L286" i="6" s="1"/>
  <c r="I287" i="6"/>
  <c r="F287" i="6"/>
  <c r="F286" i="6" s="1"/>
  <c r="O286" i="6"/>
  <c r="N286" i="6"/>
  <c r="M286" i="6"/>
  <c r="K286" i="6"/>
  <c r="J286" i="6"/>
  <c r="H286" i="6"/>
  <c r="G286" i="6"/>
  <c r="E286" i="6"/>
  <c r="D286" i="6"/>
  <c r="O285" i="6"/>
  <c r="L285" i="6"/>
  <c r="L284" i="6" s="1"/>
  <c r="L283" i="6" s="1"/>
  <c r="I285" i="6"/>
  <c r="I284" i="6" s="1"/>
  <c r="I283" i="6" s="1"/>
  <c r="F285" i="6"/>
  <c r="O284" i="6"/>
  <c r="O283" i="6" s="1"/>
  <c r="N284" i="6"/>
  <c r="N283" i="6" s="1"/>
  <c r="M284" i="6"/>
  <c r="M283" i="6" s="1"/>
  <c r="K284" i="6"/>
  <c r="K283" i="6" s="1"/>
  <c r="J284" i="6"/>
  <c r="H284" i="6"/>
  <c r="H283" i="6" s="1"/>
  <c r="G284" i="6"/>
  <c r="G283" i="6" s="1"/>
  <c r="E284" i="6"/>
  <c r="E283" i="6" s="1"/>
  <c r="D284" i="6"/>
  <c r="D283" i="6" s="1"/>
  <c r="J283" i="6"/>
  <c r="O282" i="6"/>
  <c r="O281" i="6" s="1"/>
  <c r="L282" i="6"/>
  <c r="L281" i="6" s="1"/>
  <c r="I282" i="6"/>
  <c r="I281" i="6" s="1"/>
  <c r="F282" i="6"/>
  <c r="N281" i="6"/>
  <c r="M281" i="6"/>
  <c r="K281" i="6"/>
  <c r="J281" i="6"/>
  <c r="H281" i="6"/>
  <c r="G281" i="6"/>
  <c r="E281" i="6"/>
  <c r="D281" i="6"/>
  <c r="O280" i="6"/>
  <c r="L280" i="6"/>
  <c r="I280" i="6"/>
  <c r="F280" i="6"/>
  <c r="O279" i="6"/>
  <c r="L279" i="6"/>
  <c r="I279" i="6"/>
  <c r="F279" i="6"/>
  <c r="O278" i="6"/>
  <c r="L278" i="6"/>
  <c r="I278" i="6"/>
  <c r="F278" i="6"/>
  <c r="O277" i="6"/>
  <c r="L277" i="6"/>
  <c r="L276" i="6" s="1"/>
  <c r="I277" i="6"/>
  <c r="I276" i="6" s="1"/>
  <c r="F277" i="6"/>
  <c r="N276" i="6"/>
  <c r="M276" i="6"/>
  <c r="K276" i="6"/>
  <c r="J276" i="6"/>
  <c r="H276" i="6"/>
  <c r="G276" i="6"/>
  <c r="E276" i="6"/>
  <c r="D276" i="6"/>
  <c r="O275" i="6"/>
  <c r="L275" i="6"/>
  <c r="I275" i="6"/>
  <c r="F275" i="6"/>
  <c r="O274" i="6"/>
  <c r="L274" i="6"/>
  <c r="I274" i="6"/>
  <c r="F274" i="6"/>
  <c r="O273" i="6"/>
  <c r="L273" i="6"/>
  <c r="I273" i="6"/>
  <c r="F273" i="6"/>
  <c r="N272" i="6"/>
  <c r="M272" i="6"/>
  <c r="K272" i="6"/>
  <c r="J272" i="6"/>
  <c r="J270" i="6" s="1"/>
  <c r="J269" i="6" s="1"/>
  <c r="H272" i="6"/>
  <c r="G272" i="6"/>
  <c r="G270" i="6" s="1"/>
  <c r="E272" i="6"/>
  <c r="D272" i="6"/>
  <c r="D270" i="6" s="1"/>
  <c r="O271" i="6"/>
  <c r="L271" i="6"/>
  <c r="I271" i="6"/>
  <c r="F271" i="6"/>
  <c r="N270" i="6"/>
  <c r="K270" i="6"/>
  <c r="K269" i="6" s="1"/>
  <c r="O268" i="6"/>
  <c r="L268" i="6"/>
  <c r="I268" i="6"/>
  <c r="F268" i="6"/>
  <c r="O267" i="6"/>
  <c r="L267" i="6"/>
  <c r="I267" i="6"/>
  <c r="F267" i="6"/>
  <c r="O266" i="6"/>
  <c r="L266" i="6"/>
  <c r="I266" i="6"/>
  <c r="F266" i="6"/>
  <c r="O265" i="6"/>
  <c r="L265" i="6"/>
  <c r="I265" i="6"/>
  <c r="F265" i="6"/>
  <c r="N264" i="6"/>
  <c r="M264" i="6"/>
  <c r="K264" i="6"/>
  <c r="J264" i="6"/>
  <c r="H264" i="6"/>
  <c r="G264" i="6"/>
  <c r="E264" i="6"/>
  <c r="D264" i="6"/>
  <c r="O263" i="6"/>
  <c r="L263" i="6"/>
  <c r="I263" i="6"/>
  <c r="F263" i="6"/>
  <c r="O262" i="6"/>
  <c r="L262" i="6"/>
  <c r="I262" i="6"/>
  <c r="F262" i="6"/>
  <c r="C262" i="6" s="1"/>
  <c r="O261" i="6"/>
  <c r="L261" i="6"/>
  <c r="I261" i="6"/>
  <c r="I260" i="6" s="1"/>
  <c r="F261" i="6"/>
  <c r="N260" i="6"/>
  <c r="M260" i="6"/>
  <c r="K260" i="6"/>
  <c r="J260" i="6"/>
  <c r="J259" i="6" s="1"/>
  <c r="H260" i="6"/>
  <c r="G260" i="6"/>
  <c r="E260" i="6"/>
  <c r="E259" i="6" s="1"/>
  <c r="D260" i="6"/>
  <c r="D259" i="6" s="1"/>
  <c r="O258" i="6"/>
  <c r="L258" i="6"/>
  <c r="I258" i="6"/>
  <c r="F258" i="6"/>
  <c r="O257" i="6"/>
  <c r="L257" i="6"/>
  <c r="I257" i="6"/>
  <c r="F257" i="6"/>
  <c r="O256" i="6"/>
  <c r="L256" i="6"/>
  <c r="I256" i="6"/>
  <c r="F256" i="6"/>
  <c r="O255" i="6"/>
  <c r="L255" i="6"/>
  <c r="I255" i="6"/>
  <c r="F255" i="6"/>
  <c r="O254" i="6"/>
  <c r="L254" i="6"/>
  <c r="I254" i="6"/>
  <c r="F254" i="6"/>
  <c r="O253" i="6"/>
  <c r="L253" i="6"/>
  <c r="I253" i="6"/>
  <c r="F253" i="6"/>
  <c r="N252" i="6"/>
  <c r="N251" i="6" s="1"/>
  <c r="M252" i="6"/>
  <c r="M251" i="6" s="1"/>
  <c r="K252" i="6"/>
  <c r="K251" i="6" s="1"/>
  <c r="J252" i="6"/>
  <c r="I252" i="6"/>
  <c r="I251" i="6" s="1"/>
  <c r="H252" i="6"/>
  <c r="H251" i="6" s="1"/>
  <c r="G252" i="6"/>
  <c r="G251" i="6" s="1"/>
  <c r="E252" i="6"/>
  <c r="E251" i="6" s="1"/>
  <c r="D252" i="6"/>
  <c r="D251" i="6" s="1"/>
  <c r="J251" i="6"/>
  <c r="O250" i="6"/>
  <c r="L250" i="6"/>
  <c r="I250" i="6"/>
  <c r="F250" i="6"/>
  <c r="O249" i="6"/>
  <c r="L249" i="6"/>
  <c r="I249" i="6"/>
  <c r="F249" i="6"/>
  <c r="O248" i="6"/>
  <c r="L248" i="6"/>
  <c r="I248" i="6"/>
  <c r="F248" i="6"/>
  <c r="O247" i="6"/>
  <c r="L247" i="6"/>
  <c r="I247" i="6"/>
  <c r="F247" i="6"/>
  <c r="O246" i="6"/>
  <c r="N246" i="6"/>
  <c r="M246" i="6"/>
  <c r="K246" i="6"/>
  <c r="J246" i="6"/>
  <c r="H246" i="6"/>
  <c r="G246" i="6"/>
  <c r="E246" i="6"/>
  <c r="D246" i="6"/>
  <c r="O245" i="6"/>
  <c r="L245" i="6"/>
  <c r="I245" i="6"/>
  <c r="F245" i="6"/>
  <c r="O244" i="6"/>
  <c r="L244" i="6"/>
  <c r="I244" i="6"/>
  <c r="F244" i="6"/>
  <c r="O243" i="6"/>
  <c r="L243" i="6"/>
  <c r="I243" i="6"/>
  <c r="F243" i="6"/>
  <c r="O242" i="6"/>
  <c r="L242" i="6"/>
  <c r="I242" i="6"/>
  <c r="F242" i="6"/>
  <c r="O241" i="6"/>
  <c r="L241" i="6"/>
  <c r="I241" i="6"/>
  <c r="F241" i="6"/>
  <c r="O240" i="6"/>
  <c r="L240" i="6"/>
  <c r="I240" i="6"/>
  <c r="F240" i="6"/>
  <c r="O239" i="6"/>
  <c r="L239" i="6"/>
  <c r="I239" i="6"/>
  <c r="F239" i="6"/>
  <c r="O238" i="6"/>
  <c r="N238" i="6"/>
  <c r="M238" i="6"/>
  <c r="K238" i="6"/>
  <c r="J238" i="6"/>
  <c r="H238" i="6"/>
  <c r="G238" i="6"/>
  <c r="E238" i="6"/>
  <c r="D238" i="6"/>
  <c r="O237" i="6"/>
  <c r="L237" i="6"/>
  <c r="I237" i="6"/>
  <c r="F237" i="6"/>
  <c r="O236" i="6"/>
  <c r="O235" i="6" s="1"/>
  <c r="L236" i="6"/>
  <c r="L235" i="6" s="1"/>
  <c r="I236" i="6"/>
  <c r="F236" i="6"/>
  <c r="F235" i="6" s="1"/>
  <c r="N235" i="6"/>
  <c r="M235" i="6"/>
  <c r="K235" i="6"/>
  <c r="J235" i="6"/>
  <c r="H235" i="6"/>
  <c r="G235" i="6"/>
  <c r="E235" i="6"/>
  <c r="D235" i="6"/>
  <c r="O234" i="6"/>
  <c r="O233" i="6" s="1"/>
  <c r="L234" i="6"/>
  <c r="L233" i="6" s="1"/>
  <c r="I234" i="6"/>
  <c r="I233" i="6" s="1"/>
  <c r="F234" i="6"/>
  <c r="N233" i="6"/>
  <c r="M233" i="6"/>
  <c r="K233" i="6"/>
  <c r="J233" i="6"/>
  <c r="H233" i="6"/>
  <c r="G233" i="6"/>
  <c r="E233" i="6"/>
  <c r="E231" i="6" s="1"/>
  <c r="D233" i="6"/>
  <c r="O232" i="6"/>
  <c r="L232" i="6"/>
  <c r="I232" i="6"/>
  <c r="F232" i="6"/>
  <c r="O229" i="6"/>
  <c r="L229" i="6"/>
  <c r="I229" i="6"/>
  <c r="F229" i="6"/>
  <c r="O228" i="6"/>
  <c r="O227" i="6" s="1"/>
  <c r="L228" i="6"/>
  <c r="L227" i="6" s="1"/>
  <c r="I228" i="6"/>
  <c r="I227" i="6" s="1"/>
  <c r="F228" i="6"/>
  <c r="N227" i="6"/>
  <c r="M227" i="6"/>
  <c r="K227" i="6"/>
  <c r="J227" i="6"/>
  <c r="H227" i="6"/>
  <c r="G227" i="6"/>
  <c r="F227" i="6"/>
  <c r="E227" i="6"/>
  <c r="D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O219" i="6"/>
  <c r="L219" i="6"/>
  <c r="I219" i="6"/>
  <c r="F219" i="6"/>
  <c r="O218" i="6"/>
  <c r="L218" i="6"/>
  <c r="I218" i="6"/>
  <c r="F218" i="6"/>
  <c r="O217" i="6"/>
  <c r="L217" i="6"/>
  <c r="I217" i="6"/>
  <c r="F217" i="6"/>
  <c r="N216" i="6"/>
  <c r="M216" i="6"/>
  <c r="K216" i="6"/>
  <c r="J216" i="6"/>
  <c r="H216" i="6"/>
  <c r="G216" i="6"/>
  <c r="E216" i="6"/>
  <c r="D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L208" i="6"/>
  <c r="I208" i="6"/>
  <c r="F208" i="6"/>
  <c r="O207" i="6"/>
  <c r="L207" i="6"/>
  <c r="I207" i="6"/>
  <c r="F207" i="6"/>
  <c r="O206" i="6"/>
  <c r="L206" i="6"/>
  <c r="I206" i="6"/>
  <c r="F206" i="6"/>
  <c r="N205" i="6"/>
  <c r="M205" i="6"/>
  <c r="M204" i="6" s="1"/>
  <c r="K205" i="6"/>
  <c r="K204" i="6" s="1"/>
  <c r="J205" i="6"/>
  <c r="H205" i="6"/>
  <c r="G205" i="6"/>
  <c r="G204" i="6" s="1"/>
  <c r="E205" i="6"/>
  <c r="E204" i="6" s="1"/>
  <c r="D205" i="6"/>
  <c r="O203" i="6"/>
  <c r="L203" i="6"/>
  <c r="I203" i="6"/>
  <c r="F203" i="6"/>
  <c r="O202" i="6"/>
  <c r="L202" i="6"/>
  <c r="I202" i="6"/>
  <c r="F202" i="6"/>
  <c r="O201" i="6"/>
  <c r="L201" i="6"/>
  <c r="I201" i="6"/>
  <c r="F201" i="6"/>
  <c r="O200" i="6"/>
  <c r="L200" i="6"/>
  <c r="I200" i="6"/>
  <c r="F200" i="6"/>
  <c r="O199" i="6"/>
  <c r="L199" i="6"/>
  <c r="L198" i="6" s="1"/>
  <c r="I199" i="6"/>
  <c r="F199" i="6"/>
  <c r="O198" i="6"/>
  <c r="N198" i="6"/>
  <c r="M198" i="6"/>
  <c r="M196" i="6" s="1"/>
  <c r="K198" i="6"/>
  <c r="K196" i="6" s="1"/>
  <c r="J198" i="6"/>
  <c r="H198" i="6"/>
  <c r="G198" i="6"/>
  <c r="G196" i="6" s="1"/>
  <c r="F198" i="6"/>
  <c r="E198" i="6"/>
  <c r="E196" i="6" s="1"/>
  <c r="D198" i="6"/>
  <c r="O197" i="6"/>
  <c r="L197" i="6"/>
  <c r="I197" i="6"/>
  <c r="F197" i="6"/>
  <c r="N196" i="6"/>
  <c r="J196" i="6"/>
  <c r="H196" i="6"/>
  <c r="D196" i="6"/>
  <c r="O193" i="6"/>
  <c r="O192" i="6" s="1"/>
  <c r="O191" i="6" s="1"/>
  <c r="L193" i="6"/>
  <c r="L192" i="6" s="1"/>
  <c r="L191" i="6" s="1"/>
  <c r="I193" i="6"/>
  <c r="F193" i="6"/>
  <c r="N192" i="6"/>
  <c r="N191" i="6" s="1"/>
  <c r="M192" i="6"/>
  <c r="M191" i="6" s="1"/>
  <c r="K192" i="6"/>
  <c r="K191" i="6" s="1"/>
  <c r="J192" i="6"/>
  <c r="J191" i="6" s="1"/>
  <c r="I192" i="6"/>
  <c r="I191" i="6" s="1"/>
  <c r="H192" i="6"/>
  <c r="H191" i="6" s="1"/>
  <c r="G192" i="6"/>
  <c r="G191" i="6" s="1"/>
  <c r="F192" i="6"/>
  <c r="F191" i="6" s="1"/>
  <c r="E192" i="6"/>
  <c r="E191" i="6" s="1"/>
  <c r="D192" i="6"/>
  <c r="D191" i="6" s="1"/>
  <c r="O190" i="6"/>
  <c r="L190" i="6"/>
  <c r="I190" i="6"/>
  <c r="F190" i="6"/>
  <c r="O189" i="6"/>
  <c r="L189" i="6"/>
  <c r="L188" i="6" s="1"/>
  <c r="I189" i="6"/>
  <c r="I188" i="6" s="1"/>
  <c r="F189" i="6"/>
  <c r="O188" i="6"/>
  <c r="N188" i="6"/>
  <c r="N187" i="6" s="1"/>
  <c r="M188" i="6"/>
  <c r="K188" i="6"/>
  <c r="J188" i="6"/>
  <c r="H188" i="6"/>
  <c r="G188" i="6"/>
  <c r="F188" i="6"/>
  <c r="F187" i="6" s="1"/>
  <c r="E188" i="6"/>
  <c r="D188" i="6"/>
  <c r="O186" i="6"/>
  <c r="L186" i="6"/>
  <c r="I186" i="6"/>
  <c r="F186" i="6"/>
  <c r="O185" i="6"/>
  <c r="L185" i="6"/>
  <c r="L184" i="6" s="1"/>
  <c r="I185" i="6"/>
  <c r="I184" i="6" s="1"/>
  <c r="F185" i="6"/>
  <c r="O184" i="6"/>
  <c r="N184" i="6"/>
  <c r="M184" i="6"/>
  <c r="K184" i="6"/>
  <c r="J184" i="6"/>
  <c r="H184" i="6"/>
  <c r="G184" i="6"/>
  <c r="F184" i="6"/>
  <c r="E184" i="6"/>
  <c r="D184" i="6"/>
  <c r="O183" i="6"/>
  <c r="L183" i="6"/>
  <c r="I183" i="6"/>
  <c r="F183" i="6"/>
  <c r="O182" i="6"/>
  <c r="L182" i="6"/>
  <c r="I182" i="6"/>
  <c r="F182" i="6"/>
  <c r="O181" i="6"/>
  <c r="L181" i="6"/>
  <c r="I181" i="6"/>
  <c r="F181" i="6"/>
  <c r="O180" i="6"/>
  <c r="O179" i="6" s="1"/>
  <c r="L180" i="6"/>
  <c r="I180" i="6"/>
  <c r="F180" i="6"/>
  <c r="N179" i="6"/>
  <c r="M179" i="6"/>
  <c r="L179" i="6"/>
  <c r="K179" i="6"/>
  <c r="J179" i="6"/>
  <c r="H179" i="6"/>
  <c r="G179" i="6"/>
  <c r="E179" i="6"/>
  <c r="D179" i="6"/>
  <c r="O178" i="6"/>
  <c r="L178" i="6"/>
  <c r="I178" i="6"/>
  <c r="F178" i="6"/>
  <c r="O177" i="6"/>
  <c r="L177" i="6"/>
  <c r="I177" i="6"/>
  <c r="F177" i="6"/>
  <c r="O176" i="6"/>
  <c r="O175" i="6" s="1"/>
  <c r="L176" i="6"/>
  <c r="I176" i="6"/>
  <c r="F176" i="6"/>
  <c r="F175" i="6" s="1"/>
  <c r="N175" i="6"/>
  <c r="M175" i="6"/>
  <c r="K175" i="6"/>
  <c r="K174" i="6" s="1"/>
  <c r="K173" i="6" s="1"/>
  <c r="J175" i="6"/>
  <c r="J174" i="6" s="1"/>
  <c r="J173" i="6" s="1"/>
  <c r="H175" i="6"/>
  <c r="G175" i="6"/>
  <c r="E175" i="6"/>
  <c r="E174" i="6" s="1"/>
  <c r="E173" i="6" s="1"/>
  <c r="D175" i="6"/>
  <c r="M174" i="6"/>
  <c r="O172" i="6"/>
  <c r="L172" i="6"/>
  <c r="I172" i="6"/>
  <c r="F172" i="6"/>
  <c r="O171" i="6"/>
  <c r="L171" i="6"/>
  <c r="I171" i="6"/>
  <c r="F171" i="6"/>
  <c r="O170" i="6"/>
  <c r="L170" i="6"/>
  <c r="I170" i="6"/>
  <c r="F170" i="6"/>
  <c r="O169" i="6"/>
  <c r="L169" i="6"/>
  <c r="I169" i="6"/>
  <c r="F169" i="6"/>
  <c r="O168" i="6"/>
  <c r="L168" i="6"/>
  <c r="I168" i="6"/>
  <c r="F168" i="6"/>
  <c r="O167" i="6"/>
  <c r="O166" i="6" s="1"/>
  <c r="O165" i="6" s="1"/>
  <c r="L167" i="6"/>
  <c r="I167" i="6"/>
  <c r="F167" i="6"/>
  <c r="N166" i="6"/>
  <c r="N165" i="6" s="1"/>
  <c r="M166" i="6"/>
  <c r="M165" i="6" s="1"/>
  <c r="K166" i="6"/>
  <c r="J166" i="6"/>
  <c r="I166" i="6"/>
  <c r="I165" i="6" s="1"/>
  <c r="H166" i="6"/>
  <c r="H165" i="6" s="1"/>
  <c r="G166" i="6"/>
  <c r="G165" i="6" s="1"/>
  <c r="E166" i="6"/>
  <c r="E165" i="6" s="1"/>
  <c r="D166" i="6"/>
  <c r="D165" i="6" s="1"/>
  <c r="K165" i="6"/>
  <c r="J165" i="6"/>
  <c r="O164" i="6"/>
  <c r="L164" i="6"/>
  <c r="I164" i="6"/>
  <c r="F164" i="6"/>
  <c r="O163" i="6"/>
  <c r="L163" i="6"/>
  <c r="I163" i="6"/>
  <c r="F163" i="6"/>
  <c r="O162" i="6"/>
  <c r="L162" i="6"/>
  <c r="I162" i="6"/>
  <c r="F162" i="6"/>
  <c r="O161" i="6"/>
  <c r="L161" i="6"/>
  <c r="L160" i="6" s="1"/>
  <c r="I161" i="6"/>
  <c r="I160" i="6" s="1"/>
  <c r="F161" i="6"/>
  <c r="O160" i="6"/>
  <c r="N160" i="6"/>
  <c r="M160" i="6"/>
  <c r="K160" i="6"/>
  <c r="J160" i="6"/>
  <c r="H160" i="6"/>
  <c r="G160" i="6"/>
  <c r="F160" i="6"/>
  <c r="E160" i="6"/>
  <c r="D160" i="6"/>
  <c r="O159" i="6"/>
  <c r="L159" i="6"/>
  <c r="I159" i="6"/>
  <c r="F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I152" i="6"/>
  <c r="F152" i="6"/>
  <c r="N151" i="6"/>
  <c r="M151" i="6"/>
  <c r="K151" i="6"/>
  <c r="J151" i="6"/>
  <c r="H151" i="6"/>
  <c r="G151" i="6"/>
  <c r="E151" i="6"/>
  <c r="D151" i="6"/>
  <c r="O150" i="6"/>
  <c r="L150" i="6"/>
  <c r="I150" i="6"/>
  <c r="F150" i="6"/>
  <c r="O149" i="6"/>
  <c r="L149" i="6"/>
  <c r="I149" i="6"/>
  <c r="F149" i="6"/>
  <c r="O148" i="6"/>
  <c r="L148" i="6"/>
  <c r="I148" i="6"/>
  <c r="F148" i="6"/>
  <c r="O147" i="6"/>
  <c r="L147" i="6"/>
  <c r="I147" i="6"/>
  <c r="F147" i="6"/>
  <c r="O146" i="6"/>
  <c r="L146" i="6"/>
  <c r="I146" i="6"/>
  <c r="F146" i="6"/>
  <c r="O145" i="6"/>
  <c r="L145" i="6"/>
  <c r="I145" i="6"/>
  <c r="F145" i="6"/>
  <c r="O144" i="6"/>
  <c r="N144" i="6"/>
  <c r="M144" i="6"/>
  <c r="K144" i="6"/>
  <c r="J144" i="6"/>
  <c r="H144" i="6"/>
  <c r="G144" i="6"/>
  <c r="E144" i="6"/>
  <c r="D144" i="6"/>
  <c r="O143" i="6"/>
  <c r="L143" i="6"/>
  <c r="I143" i="6"/>
  <c r="F143" i="6"/>
  <c r="O142" i="6"/>
  <c r="O141" i="6" s="1"/>
  <c r="L142" i="6"/>
  <c r="I142" i="6"/>
  <c r="I141" i="6" s="1"/>
  <c r="F142" i="6"/>
  <c r="N141" i="6"/>
  <c r="M141" i="6"/>
  <c r="L141" i="6"/>
  <c r="K141" i="6"/>
  <c r="J141" i="6"/>
  <c r="H141" i="6"/>
  <c r="G141" i="6"/>
  <c r="F141" i="6"/>
  <c r="E141" i="6"/>
  <c r="D141" i="6"/>
  <c r="O140" i="6"/>
  <c r="L140" i="6"/>
  <c r="I140" i="6"/>
  <c r="F140" i="6"/>
  <c r="O139" i="6"/>
  <c r="L139" i="6"/>
  <c r="I139" i="6"/>
  <c r="F139" i="6"/>
  <c r="O138" i="6"/>
  <c r="L138" i="6"/>
  <c r="I138" i="6"/>
  <c r="F138" i="6"/>
  <c r="O137" i="6"/>
  <c r="L137" i="6"/>
  <c r="L136" i="6" s="1"/>
  <c r="I137" i="6"/>
  <c r="I136" i="6" s="1"/>
  <c r="F137" i="6"/>
  <c r="O136" i="6"/>
  <c r="N136" i="6"/>
  <c r="M136" i="6"/>
  <c r="K136" i="6"/>
  <c r="J136" i="6"/>
  <c r="H136" i="6"/>
  <c r="G136" i="6"/>
  <c r="E136" i="6"/>
  <c r="D136" i="6"/>
  <c r="O135" i="6"/>
  <c r="L135" i="6"/>
  <c r="I135" i="6"/>
  <c r="F135" i="6"/>
  <c r="O134" i="6"/>
  <c r="L134" i="6"/>
  <c r="I134" i="6"/>
  <c r="F134" i="6"/>
  <c r="O133" i="6"/>
  <c r="L133" i="6"/>
  <c r="I133" i="6"/>
  <c r="F133" i="6"/>
  <c r="O132" i="6"/>
  <c r="O131" i="6" s="1"/>
  <c r="L132" i="6"/>
  <c r="L131" i="6" s="1"/>
  <c r="I132" i="6"/>
  <c r="F132" i="6"/>
  <c r="N131" i="6"/>
  <c r="M131" i="6"/>
  <c r="K131" i="6"/>
  <c r="J131" i="6"/>
  <c r="H131" i="6"/>
  <c r="G131" i="6"/>
  <c r="E131" i="6"/>
  <c r="D131" i="6"/>
  <c r="O129" i="6"/>
  <c r="O128" i="6" s="1"/>
  <c r="L129" i="6"/>
  <c r="L128" i="6" s="1"/>
  <c r="I129" i="6"/>
  <c r="I128" i="6" s="1"/>
  <c r="F129" i="6"/>
  <c r="F128" i="6" s="1"/>
  <c r="N128" i="6"/>
  <c r="M128" i="6"/>
  <c r="K128" i="6"/>
  <c r="J128" i="6"/>
  <c r="H128" i="6"/>
  <c r="G128" i="6"/>
  <c r="E128" i="6"/>
  <c r="D128" i="6"/>
  <c r="O127" i="6"/>
  <c r="L127" i="6"/>
  <c r="I127" i="6"/>
  <c r="F127" i="6"/>
  <c r="O126" i="6"/>
  <c r="L126" i="6"/>
  <c r="I126" i="6"/>
  <c r="F126" i="6"/>
  <c r="O125" i="6"/>
  <c r="L125" i="6"/>
  <c r="I125" i="6"/>
  <c r="F125" i="6"/>
  <c r="O124" i="6"/>
  <c r="L124" i="6"/>
  <c r="I124" i="6"/>
  <c r="F124" i="6"/>
  <c r="O123" i="6"/>
  <c r="O122" i="6" s="1"/>
  <c r="L123" i="6"/>
  <c r="I123" i="6"/>
  <c r="I122" i="6" s="1"/>
  <c r="F123" i="6"/>
  <c r="N122" i="6"/>
  <c r="M122" i="6"/>
  <c r="K122" i="6"/>
  <c r="J122" i="6"/>
  <c r="H122" i="6"/>
  <c r="G122" i="6"/>
  <c r="E122" i="6"/>
  <c r="D122" i="6"/>
  <c r="O121" i="6"/>
  <c r="L121" i="6"/>
  <c r="I121" i="6"/>
  <c r="F121" i="6"/>
  <c r="O120" i="6"/>
  <c r="L120" i="6"/>
  <c r="I120" i="6"/>
  <c r="F120" i="6"/>
  <c r="O119" i="6"/>
  <c r="L119" i="6"/>
  <c r="I119" i="6"/>
  <c r="F119" i="6"/>
  <c r="O118" i="6"/>
  <c r="L118" i="6"/>
  <c r="I118" i="6"/>
  <c r="F118" i="6"/>
  <c r="O117" i="6"/>
  <c r="L117" i="6"/>
  <c r="I117" i="6"/>
  <c r="I116" i="6" s="1"/>
  <c r="F117" i="6"/>
  <c r="O116" i="6"/>
  <c r="N116" i="6"/>
  <c r="M116" i="6"/>
  <c r="K116" i="6"/>
  <c r="J116" i="6"/>
  <c r="H116" i="6"/>
  <c r="G116" i="6"/>
  <c r="E116" i="6"/>
  <c r="D116" i="6"/>
  <c r="O115" i="6"/>
  <c r="L115" i="6"/>
  <c r="I115" i="6"/>
  <c r="F115" i="6"/>
  <c r="O114" i="6"/>
  <c r="L114" i="6"/>
  <c r="I114" i="6"/>
  <c r="F114" i="6"/>
  <c r="O113" i="6"/>
  <c r="L113" i="6"/>
  <c r="L112" i="6" s="1"/>
  <c r="I113" i="6"/>
  <c r="I112" i="6" s="1"/>
  <c r="F113" i="6"/>
  <c r="O112" i="6"/>
  <c r="N112" i="6"/>
  <c r="M112" i="6"/>
  <c r="K112" i="6"/>
  <c r="J112" i="6"/>
  <c r="H112" i="6"/>
  <c r="G112" i="6"/>
  <c r="E112" i="6"/>
  <c r="D112" i="6"/>
  <c r="O111" i="6"/>
  <c r="L111" i="6"/>
  <c r="I111" i="6"/>
  <c r="F111" i="6"/>
  <c r="O110" i="6"/>
  <c r="L110" i="6"/>
  <c r="I110" i="6"/>
  <c r="F110" i="6"/>
  <c r="O109" i="6"/>
  <c r="L109" i="6"/>
  <c r="I109" i="6"/>
  <c r="F109" i="6"/>
  <c r="O108" i="6"/>
  <c r="L108" i="6"/>
  <c r="I108" i="6"/>
  <c r="F108" i="6"/>
  <c r="O107" i="6"/>
  <c r="L107" i="6"/>
  <c r="I107" i="6"/>
  <c r="F107" i="6"/>
  <c r="O106" i="6"/>
  <c r="L106" i="6"/>
  <c r="I106" i="6"/>
  <c r="F106" i="6"/>
  <c r="O105" i="6"/>
  <c r="L105" i="6"/>
  <c r="I105" i="6"/>
  <c r="F105" i="6"/>
  <c r="O104" i="6"/>
  <c r="O103" i="6" s="1"/>
  <c r="L104" i="6"/>
  <c r="L103" i="6" s="1"/>
  <c r="I104" i="6"/>
  <c r="F104" i="6"/>
  <c r="N103" i="6"/>
  <c r="M103" i="6"/>
  <c r="K103" i="6"/>
  <c r="J103" i="6"/>
  <c r="H103" i="6"/>
  <c r="G103" i="6"/>
  <c r="E103" i="6"/>
  <c r="D103" i="6"/>
  <c r="O102" i="6"/>
  <c r="L102" i="6"/>
  <c r="I102" i="6"/>
  <c r="F102" i="6"/>
  <c r="O101" i="6"/>
  <c r="L101" i="6"/>
  <c r="I101" i="6"/>
  <c r="F101" i="6"/>
  <c r="O100" i="6"/>
  <c r="L100" i="6"/>
  <c r="I100" i="6"/>
  <c r="F100" i="6"/>
  <c r="O99" i="6"/>
  <c r="L99" i="6"/>
  <c r="I99" i="6"/>
  <c r="F99" i="6"/>
  <c r="O98" i="6"/>
  <c r="L98" i="6"/>
  <c r="I98" i="6"/>
  <c r="F98" i="6"/>
  <c r="O97" i="6"/>
  <c r="L97" i="6"/>
  <c r="I97" i="6"/>
  <c r="F97" i="6"/>
  <c r="O96" i="6"/>
  <c r="L96" i="6"/>
  <c r="L95" i="6" s="1"/>
  <c r="I96" i="6"/>
  <c r="F96" i="6"/>
  <c r="N95" i="6"/>
  <c r="M95" i="6"/>
  <c r="K95" i="6"/>
  <c r="J95" i="6"/>
  <c r="H95" i="6"/>
  <c r="G95" i="6"/>
  <c r="E95" i="6"/>
  <c r="D95" i="6"/>
  <c r="O94" i="6"/>
  <c r="L94" i="6"/>
  <c r="I94" i="6"/>
  <c r="F94" i="6"/>
  <c r="O93" i="6"/>
  <c r="L93" i="6"/>
  <c r="I93" i="6"/>
  <c r="F93" i="6"/>
  <c r="O92" i="6"/>
  <c r="L92" i="6"/>
  <c r="I92" i="6"/>
  <c r="F92" i="6"/>
  <c r="O91" i="6"/>
  <c r="L91" i="6"/>
  <c r="I91" i="6"/>
  <c r="F91" i="6"/>
  <c r="O90" i="6"/>
  <c r="L90" i="6"/>
  <c r="I90" i="6"/>
  <c r="F90" i="6"/>
  <c r="F89" i="6" s="1"/>
  <c r="N89" i="6"/>
  <c r="M89" i="6"/>
  <c r="K89" i="6"/>
  <c r="J89" i="6"/>
  <c r="H89" i="6"/>
  <c r="G89" i="6"/>
  <c r="E89" i="6"/>
  <c r="D89" i="6"/>
  <c r="O88" i="6"/>
  <c r="L88" i="6"/>
  <c r="I88" i="6"/>
  <c r="F88" i="6"/>
  <c r="O87" i="6"/>
  <c r="L87" i="6"/>
  <c r="I87" i="6"/>
  <c r="F87" i="6"/>
  <c r="O86" i="6"/>
  <c r="L86" i="6"/>
  <c r="I86" i="6"/>
  <c r="F86" i="6"/>
  <c r="O85" i="6"/>
  <c r="L85" i="6"/>
  <c r="L84" i="6" s="1"/>
  <c r="I85" i="6"/>
  <c r="F85" i="6"/>
  <c r="F84" i="6" s="1"/>
  <c r="N84" i="6"/>
  <c r="M84" i="6"/>
  <c r="K84" i="6"/>
  <c r="J84" i="6"/>
  <c r="H84" i="6"/>
  <c r="G84" i="6"/>
  <c r="E84" i="6"/>
  <c r="D84" i="6"/>
  <c r="O82" i="6"/>
  <c r="L82" i="6"/>
  <c r="I82" i="6"/>
  <c r="F82" i="6"/>
  <c r="O81" i="6"/>
  <c r="L81" i="6"/>
  <c r="L80" i="6" s="1"/>
  <c r="I81" i="6"/>
  <c r="F81" i="6"/>
  <c r="F80" i="6" s="1"/>
  <c r="O80" i="6"/>
  <c r="N80" i="6"/>
  <c r="M80" i="6"/>
  <c r="K80" i="6"/>
  <c r="J80" i="6"/>
  <c r="H80" i="6"/>
  <c r="G80" i="6"/>
  <c r="E80" i="6"/>
  <c r="D80" i="6"/>
  <c r="O79" i="6"/>
  <c r="L79" i="6"/>
  <c r="I79" i="6"/>
  <c r="F79" i="6"/>
  <c r="O78" i="6"/>
  <c r="O77" i="6" s="1"/>
  <c r="L78" i="6"/>
  <c r="L77" i="6" s="1"/>
  <c r="I78" i="6"/>
  <c r="F78" i="6"/>
  <c r="N77" i="6"/>
  <c r="N76" i="6" s="1"/>
  <c r="M77" i="6"/>
  <c r="K77" i="6"/>
  <c r="J77" i="6"/>
  <c r="H77" i="6"/>
  <c r="G77" i="6"/>
  <c r="F77" i="6"/>
  <c r="E77" i="6"/>
  <c r="D77" i="6"/>
  <c r="M76" i="6"/>
  <c r="K76" i="6"/>
  <c r="E76" i="6"/>
  <c r="O74" i="6"/>
  <c r="L74" i="6"/>
  <c r="I74" i="6"/>
  <c r="F74" i="6"/>
  <c r="O73" i="6"/>
  <c r="L73" i="6"/>
  <c r="I73" i="6"/>
  <c r="F73" i="6"/>
  <c r="O72" i="6"/>
  <c r="L72" i="6"/>
  <c r="I72" i="6"/>
  <c r="F72" i="6"/>
  <c r="O71" i="6"/>
  <c r="L71" i="6"/>
  <c r="I71" i="6"/>
  <c r="F71" i="6"/>
  <c r="O70" i="6"/>
  <c r="O69" i="6" s="1"/>
  <c r="L70" i="6"/>
  <c r="I70" i="6"/>
  <c r="F70" i="6"/>
  <c r="N69" i="6"/>
  <c r="N67" i="6" s="1"/>
  <c r="M69" i="6"/>
  <c r="M67" i="6" s="1"/>
  <c r="K69" i="6"/>
  <c r="J69" i="6"/>
  <c r="J67" i="6" s="1"/>
  <c r="H69" i="6"/>
  <c r="G69" i="6"/>
  <c r="G67" i="6" s="1"/>
  <c r="E69" i="6"/>
  <c r="E67" i="6" s="1"/>
  <c r="D69" i="6"/>
  <c r="D67" i="6" s="1"/>
  <c r="O68" i="6"/>
  <c r="L68" i="6"/>
  <c r="I68" i="6"/>
  <c r="F68" i="6"/>
  <c r="K67" i="6"/>
  <c r="H67" i="6"/>
  <c r="O66" i="6"/>
  <c r="L66" i="6"/>
  <c r="I66" i="6"/>
  <c r="F66" i="6"/>
  <c r="O65" i="6"/>
  <c r="L65" i="6"/>
  <c r="I65" i="6"/>
  <c r="F65" i="6"/>
  <c r="O64" i="6"/>
  <c r="L64" i="6"/>
  <c r="I64" i="6"/>
  <c r="F64" i="6"/>
  <c r="C64" i="6" s="1"/>
  <c r="O63" i="6"/>
  <c r="L63" i="6"/>
  <c r="I63" i="6"/>
  <c r="F63" i="6"/>
  <c r="O62" i="6"/>
  <c r="L62" i="6"/>
  <c r="I62" i="6"/>
  <c r="F62" i="6"/>
  <c r="O61" i="6"/>
  <c r="L61" i="6"/>
  <c r="I61" i="6"/>
  <c r="F61" i="6"/>
  <c r="O60" i="6"/>
  <c r="L60" i="6"/>
  <c r="I60" i="6"/>
  <c r="F60" i="6"/>
  <c r="C60" i="6" s="1"/>
  <c r="O59" i="6"/>
  <c r="L59" i="6"/>
  <c r="I59" i="6"/>
  <c r="I58" i="6" s="1"/>
  <c r="F59" i="6"/>
  <c r="N58" i="6"/>
  <c r="M58" i="6"/>
  <c r="K58" i="6"/>
  <c r="J58" i="6"/>
  <c r="H58" i="6"/>
  <c r="G58" i="6"/>
  <c r="E58" i="6"/>
  <c r="D58" i="6"/>
  <c r="O57" i="6"/>
  <c r="L57" i="6"/>
  <c r="I57" i="6"/>
  <c r="F57" i="6"/>
  <c r="O56" i="6"/>
  <c r="O55" i="6" s="1"/>
  <c r="L56" i="6"/>
  <c r="L55" i="6" s="1"/>
  <c r="I56" i="6"/>
  <c r="I55" i="6" s="1"/>
  <c r="F56" i="6"/>
  <c r="C56" i="6" s="1"/>
  <c r="N55" i="6"/>
  <c r="N54" i="6" s="1"/>
  <c r="N53" i="6" s="1"/>
  <c r="M55" i="6"/>
  <c r="M54" i="6" s="1"/>
  <c r="K55" i="6"/>
  <c r="J55" i="6"/>
  <c r="J54" i="6" s="1"/>
  <c r="J53" i="6" s="1"/>
  <c r="H55" i="6"/>
  <c r="H54" i="6" s="1"/>
  <c r="G55" i="6"/>
  <c r="E55" i="6"/>
  <c r="D55" i="6"/>
  <c r="G54" i="6"/>
  <c r="O47" i="6"/>
  <c r="C47" i="6" s="1"/>
  <c r="O46" i="6"/>
  <c r="N45" i="6"/>
  <c r="M45" i="6"/>
  <c r="L44" i="6"/>
  <c r="L43" i="6" s="1"/>
  <c r="I44" i="6"/>
  <c r="F44" i="6"/>
  <c r="F43" i="6" s="1"/>
  <c r="K43" i="6"/>
  <c r="J43" i="6"/>
  <c r="H43" i="6"/>
  <c r="G43" i="6"/>
  <c r="E43" i="6"/>
  <c r="D43" i="6"/>
  <c r="F42" i="6"/>
  <c r="F41" i="6" s="1"/>
  <c r="C41" i="6" s="1"/>
  <c r="E41" i="6"/>
  <c r="D41" i="6"/>
  <c r="L40" i="6"/>
  <c r="C40" i="6" s="1"/>
  <c r="L39" i="6"/>
  <c r="C39" i="6" s="1"/>
  <c r="L38" i="6"/>
  <c r="C38" i="6" s="1"/>
  <c r="L37" i="6"/>
  <c r="C37" i="6" s="1"/>
  <c r="K36" i="6"/>
  <c r="J36" i="6"/>
  <c r="L35" i="6"/>
  <c r="C35" i="6" s="1"/>
  <c r="L34" i="6"/>
  <c r="K33" i="6"/>
  <c r="J33" i="6"/>
  <c r="L32" i="6"/>
  <c r="C32" i="6" s="1"/>
  <c r="K31" i="6"/>
  <c r="J31" i="6"/>
  <c r="L30" i="6"/>
  <c r="C30" i="6" s="1"/>
  <c r="L29" i="6"/>
  <c r="C29" i="6" s="1"/>
  <c r="L28" i="6"/>
  <c r="K27" i="6"/>
  <c r="J27" i="6"/>
  <c r="F25" i="6"/>
  <c r="C25" i="6" s="1"/>
  <c r="O23" i="6"/>
  <c r="L23" i="6"/>
  <c r="I23" i="6"/>
  <c r="F23" i="6"/>
  <c r="O22" i="6"/>
  <c r="L22" i="6"/>
  <c r="L21" i="6" s="1"/>
  <c r="L292" i="6" s="1"/>
  <c r="I22" i="6"/>
  <c r="I21" i="6" s="1"/>
  <c r="F22" i="6"/>
  <c r="O21" i="6"/>
  <c r="N21" i="6"/>
  <c r="N292" i="6" s="1"/>
  <c r="N291" i="6" s="1"/>
  <c r="M21" i="6"/>
  <c r="K21" i="6"/>
  <c r="J21" i="6"/>
  <c r="J292" i="6" s="1"/>
  <c r="H21" i="6"/>
  <c r="H292" i="6" s="1"/>
  <c r="G21" i="6"/>
  <c r="E21" i="6"/>
  <c r="D21" i="6"/>
  <c r="F179" i="6" l="1"/>
  <c r="M53" i="6"/>
  <c r="H187" i="6"/>
  <c r="H53" i="6"/>
  <c r="C96" i="6"/>
  <c r="C99" i="6"/>
  <c r="C108" i="6"/>
  <c r="C140" i="6"/>
  <c r="G259" i="6"/>
  <c r="C298" i="6"/>
  <c r="C299" i="6"/>
  <c r="C63" i="6"/>
  <c r="C92" i="6"/>
  <c r="C156" i="6"/>
  <c r="C214" i="6"/>
  <c r="C226" i="6"/>
  <c r="L33" i="6"/>
  <c r="C33" i="6" s="1"/>
  <c r="O45" i="6"/>
  <c r="C45" i="6" s="1"/>
  <c r="C111" i="6"/>
  <c r="C218" i="6"/>
  <c r="C237" i="6"/>
  <c r="H259" i="6"/>
  <c r="N259" i="6"/>
  <c r="N174" i="6"/>
  <c r="N173" i="6" s="1"/>
  <c r="I272" i="6"/>
  <c r="C72" i="6"/>
  <c r="D187" i="6"/>
  <c r="M187" i="6"/>
  <c r="C202" i="6"/>
  <c r="C274" i="6"/>
  <c r="K26" i="6"/>
  <c r="F55" i="6"/>
  <c r="F54" i="6" s="1"/>
  <c r="K54" i="6"/>
  <c r="K53" i="6" s="1"/>
  <c r="C68" i="6"/>
  <c r="C74" i="6"/>
  <c r="C79" i="6"/>
  <c r="C104" i="6"/>
  <c r="C124" i="6"/>
  <c r="L122" i="6"/>
  <c r="E130" i="6"/>
  <c r="C132" i="6"/>
  <c r="N130" i="6"/>
  <c r="C164" i="6"/>
  <c r="C168" i="6"/>
  <c r="C183" i="6"/>
  <c r="C184" i="6"/>
  <c r="E187" i="6"/>
  <c r="C242" i="6"/>
  <c r="C266" i="6"/>
  <c r="O272" i="6"/>
  <c r="H270" i="6"/>
  <c r="H269" i="6" s="1"/>
  <c r="O276" i="6"/>
  <c r="N269" i="6"/>
  <c r="C296" i="6"/>
  <c r="O260" i="6"/>
  <c r="L27" i="6"/>
  <c r="C27" i="6" s="1"/>
  <c r="J26" i="6"/>
  <c r="C91" i="6"/>
  <c r="C120" i="6"/>
  <c r="C152" i="6"/>
  <c r="C154" i="6"/>
  <c r="C155" i="6"/>
  <c r="M130" i="6"/>
  <c r="C172" i="6"/>
  <c r="M173" i="6"/>
  <c r="C190" i="6"/>
  <c r="D204" i="6"/>
  <c r="C210" i="6"/>
  <c r="C213" i="6"/>
  <c r="O216" i="6"/>
  <c r="C250" i="6"/>
  <c r="C254" i="6"/>
  <c r="C282" i="6"/>
  <c r="L293" i="6"/>
  <c r="L291" i="6" s="1"/>
  <c r="D83" i="6"/>
  <c r="J291" i="6"/>
  <c r="L31" i="6"/>
  <c r="C31" i="6" s="1"/>
  <c r="D54" i="6"/>
  <c r="D53" i="6" s="1"/>
  <c r="H76" i="6"/>
  <c r="E83" i="6"/>
  <c r="E75" i="6" s="1"/>
  <c r="K83" i="6"/>
  <c r="C100" i="6"/>
  <c r="H83" i="6"/>
  <c r="C148" i="6"/>
  <c r="L166" i="6"/>
  <c r="L165" i="6" s="1"/>
  <c r="O174" i="6"/>
  <c r="O173" i="6" s="1"/>
  <c r="C193" i="6"/>
  <c r="O196" i="6"/>
  <c r="C206" i="6"/>
  <c r="C222" i="6"/>
  <c r="C223" i="6"/>
  <c r="C225" i="6"/>
  <c r="J231" i="6"/>
  <c r="C234" i="6"/>
  <c r="M231" i="6"/>
  <c r="C258" i="6"/>
  <c r="L272" i="6"/>
  <c r="I270" i="6"/>
  <c r="I269" i="6" s="1"/>
  <c r="C278" i="6"/>
  <c r="C280" i="6"/>
  <c r="C128" i="6"/>
  <c r="J230" i="6"/>
  <c r="I103" i="6"/>
  <c r="H20" i="6"/>
  <c r="L36" i="6"/>
  <c r="C36" i="6" s="1"/>
  <c r="C62" i="6"/>
  <c r="L69" i="6"/>
  <c r="L67" i="6" s="1"/>
  <c r="M83" i="6"/>
  <c r="M75" i="6" s="1"/>
  <c r="M52" i="6" s="1"/>
  <c r="C93" i="6"/>
  <c r="C115" i="6"/>
  <c r="C129" i="6"/>
  <c r="G130" i="6"/>
  <c r="C133" i="6"/>
  <c r="C134" i="6"/>
  <c r="C135" i="6"/>
  <c r="C143" i="6"/>
  <c r="C159" i="6"/>
  <c r="C160" i="6"/>
  <c r="D174" i="6"/>
  <c r="D173" i="6" s="1"/>
  <c r="C176" i="6"/>
  <c r="C181" i="6"/>
  <c r="I187" i="6"/>
  <c r="D195" i="6"/>
  <c r="K195" i="6"/>
  <c r="C201" i="6"/>
  <c r="H204" i="6"/>
  <c r="H195" i="6" s="1"/>
  <c r="L205" i="6"/>
  <c r="C212" i="6"/>
  <c r="C215" i="6"/>
  <c r="I216" i="6"/>
  <c r="L216" i="6"/>
  <c r="C224" i="6"/>
  <c r="F233" i="6"/>
  <c r="C233" i="6" s="1"/>
  <c r="F238" i="6"/>
  <c r="C241" i="6"/>
  <c r="L246" i="6"/>
  <c r="E230" i="6"/>
  <c r="O252" i="6"/>
  <c r="O251" i="6" s="1"/>
  <c r="K259" i="6"/>
  <c r="O264" i="6"/>
  <c r="O259" i="6" s="1"/>
  <c r="G269" i="6"/>
  <c r="F281" i="6"/>
  <c r="G53" i="6"/>
  <c r="J20" i="6"/>
  <c r="C23" i="6"/>
  <c r="C34" i="6"/>
  <c r="C44" i="6"/>
  <c r="N20" i="6"/>
  <c r="C57" i="6"/>
  <c r="C66" i="6"/>
  <c r="C71" i="6"/>
  <c r="D76" i="6"/>
  <c r="G76" i="6"/>
  <c r="O84" i="6"/>
  <c r="C94" i="6"/>
  <c r="C125" i="6"/>
  <c r="C126" i="6"/>
  <c r="C127" i="6"/>
  <c r="I131" i="6"/>
  <c r="C138" i="6"/>
  <c r="C145" i="6"/>
  <c r="L151" i="6"/>
  <c r="C157" i="6"/>
  <c r="C170" i="6"/>
  <c r="C171" i="6"/>
  <c r="C186" i="6"/>
  <c r="C192" i="6"/>
  <c r="G195" i="6"/>
  <c r="C203" i="6"/>
  <c r="C211" i="6"/>
  <c r="J204" i="6"/>
  <c r="J195" i="6" s="1"/>
  <c r="N204" i="6"/>
  <c r="N195" i="6" s="1"/>
  <c r="G231" i="6"/>
  <c r="G230" i="6" s="1"/>
  <c r="C243" i="6"/>
  <c r="C245" i="6"/>
  <c r="C257" i="6"/>
  <c r="C267" i="6"/>
  <c r="M270" i="6"/>
  <c r="M269" i="6" s="1"/>
  <c r="C294" i="6"/>
  <c r="L175" i="6"/>
  <c r="L174" i="6" s="1"/>
  <c r="L173" i="6" s="1"/>
  <c r="D292" i="6"/>
  <c r="D291" i="6" s="1"/>
  <c r="C28" i="6"/>
  <c r="C42" i="6"/>
  <c r="C46" i="6"/>
  <c r="I54" i="6"/>
  <c r="E54" i="6"/>
  <c r="E53" i="6" s="1"/>
  <c r="O58" i="6"/>
  <c r="J76" i="6"/>
  <c r="O76" i="6"/>
  <c r="C87" i="6"/>
  <c r="N83" i="6"/>
  <c r="O89" i="6"/>
  <c r="L89" i="6"/>
  <c r="F95" i="6"/>
  <c r="O95" i="6"/>
  <c r="C107" i="6"/>
  <c r="F116" i="6"/>
  <c r="C119" i="6"/>
  <c r="I144" i="6"/>
  <c r="C149" i="6"/>
  <c r="C150" i="6"/>
  <c r="C162" i="6"/>
  <c r="C163" i="6"/>
  <c r="G174" i="6"/>
  <c r="G173" i="6" s="1"/>
  <c r="C177" i="6"/>
  <c r="C180" i="6"/>
  <c r="L196" i="6"/>
  <c r="C221" i="6"/>
  <c r="C229" i="6"/>
  <c r="D231" i="6"/>
  <c r="D230" i="6" s="1"/>
  <c r="H231" i="6"/>
  <c r="H230" i="6" s="1"/>
  <c r="N231" i="6"/>
  <c r="N230" i="6" s="1"/>
  <c r="N194" i="6" s="1"/>
  <c r="L238" i="6"/>
  <c r="C244" i="6"/>
  <c r="F246" i="6"/>
  <c r="C249" i="6"/>
  <c r="C256" i="6"/>
  <c r="L264" i="6"/>
  <c r="C279" i="6"/>
  <c r="D269" i="6"/>
  <c r="C295" i="6"/>
  <c r="C82" i="6"/>
  <c r="I80" i="6"/>
  <c r="C80" i="6" s="1"/>
  <c r="C88" i="6"/>
  <c r="E292" i="6"/>
  <c r="E291" i="6" s="1"/>
  <c r="E20" i="6"/>
  <c r="O292" i="6"/>
  <c r="O20" i="6"/>
  <c r="C61" i="6"/>
  <c r="F76" i="6"/>
  <c r="G83" i="6"/>
  <c r="C86" i="6"/>
  <c r="I84" i="6"/>
  <c r="C59" i="6"/>
  <c r="F58" i="6"/>
  <c r="G292" i="6"/>
  <c r="G291" i="6" s="1"/>
  <c r="K292" i="6"/>
  <c r="K291" i="6" s="1"/>
  <c r="K20" i="6"/>
  <c r="F21" i="6"/>
  <c r="C22" i="6"/>
  <c r="I43" i="6"/>
  <c r="C43" i="6" s="1"/>
  <c r="O54" i="6"/>
  <c r="L58" i="6"/>
  <c r="L54" i="6" s="1"/>
  <c r="C65" i="6"/>
  <c r="F69" i="6"/>
  <c r="I69" i="6"/>
  <c r="I67" i="6" s="1"/>
  <c r="I53" i="6" s="1"/>
  <c r="C70" i="6"/>
  <c r="C73" i="6"/>
  <c r="L76" i="6"/>
  <c r="I77" i="6"/>
  <c r="C78" i="6"/>
  <c r="J83" i="6"/>
  <c r="C188" i="6"/>
  <c r="L187" i="6"/>
  <c r="M20" i="6"/>
  <c r="M292" i="6"/>
  <c r="M291" i="6" s="1"/>
  <c r="O67" i="6"/>
  <c r="I89" i="6"/>
  <c r="C90" i="6"/>
  <c r="I95" i="6"/>
  <c r="C95" i="6" s="1"/>
  <c r="C232" i="6"/>
  <c r="C268" i="6"/>
  <c r="I264" i="6"/>
  <c r="I259" i="6" s="1"/>
  <c r="C301" i="6"/>
  <c r="H291" i="6"/>
  <c r="C81" i="6"/>
  <c r="C85" i="6"/>
  <c r="C97" i="6"/>
  <c r="C98" i="6"/>
  <c r="C109" i="6"/>
  <c r="C110" i="6"/>
  <c r="F112" i="6"/>
  <c r="C112" i="6" s="1"/>
  <c r="C113" i="6"/>
  <c r="C114" i="6"/>
  <c r="C117" i="6"/>
  <c r="C118" i="6"/>
  <c r="H130" i="6"/>
  <c r="J130" i="6"/>
  <c r="C141" i="6"/>
  <c r="C142" i="6"/>
  <c r="L144" i="6"/>
  <c r="L130" i="6" s="1"/>
  <c r="O151" i="6"/>
  <c r="O130" i="6" s="1"/>
  <c r="C167" i="6"/>
  <c r="F166" i="6"/>
  <c r="F174" i="6"/>
  <c r="C178" i="6"/>
  <c r="J187" i="6"/>
  <c r="O187" i="6"/>
  <c r="C261" i="6"/>
  <c r="F260" i="6"/>
  <c r="C121" i="6"/>
  <c r="D130" i="6"/>
  <c r="D75" i="6" s="1"/>
  <c r="D289" i="6" s="1"/>
  <c r="C137" i="6"/>
  <c r="C139" i="6"/>
  <c r="F136" i="6"/>
  <c r="C136" i="6" s="1"/>
  <c r="H174" i="6"/>
  <c r="H173" i="6" s="1"/>
  <c r="K187" i="6"/>
  <c r="C253" i="6"/>
  <c r="F252" i="6"/>
  <c r="C101" i="6"/>
  <c r="C102" i="6"/>
  <c r="C105" i="6"/>
  <c r="C106" i="6"/>
  <c r="F103" i="6"/>
  <c r="L116" i="6"/>
  <c r="C123" i="6"/>
  <c r="F122" i="6"/>
  <c r="C122" i="6" s="1"/>
  <c r="K130" i="6"/>
  <c r="K75" i="6" s="1"/>
  <c r="C146" i="6"/>
  <c r="C147" i="6"/>
  <c r="F144" i="6"/>
  <c r="C153" i="6"/>
  <c r="C158" i="6"/>
  <c r="C169" i="6"/>
  <c r="C182" i="6"/>
  <c r="G187" i="6"/>
  <c r="C191" i="6"/>
  <c r="I151" i="6"/>
  <c r="C161" i="6"/>
  <c r="I175" i="6"/>
  <c r="I179" i="6"/>
  <c r="C179" i="6" s="1"/>
  <c r="C185" i="6"/>
  <c r="C189" i="6"/>
  <c r="E195" i="6"/>
  <c r="M195" i="6"/>
  <c r="O205" i="6"/>
  <c r="C217" i="6"/>
  <c r="F216" i="6"/>
  <c r="I235" i="6"/>
  <c r="C235" i="6" s="1"/>
  <c r="C236" i="6"/>
  <c r="C255" i="6"/>
  <c r="C263" i="6"/>
  <c r="E270" i="6"/>
  <c r="E269" i="6" s="1"/>
  <c r="C273" i="6"/>
  <c r="F272" i="6"/>
  <c r="C272" i="6" s="1"/>
  <c r="C288" i="6"/>
  <c r="I286" i="6"/>
  <c r="I292" i="6" s="1"/>
  <c r="I291" i="6" s="1"/>
  <c r="C300" i="6"/>
  <c r="F131" i="6"/>
  <c r="F151" i="6"/>
  <c r="C199" i="6"/>
  <c r="C207" i="6"/>
  <c r="C209" i="6"/>
  <c r="F205" i="6"/>
  <c r="C219" i="6"/>
  <c r="C220" i="6"/>
  <c r="C227" i="6"/>
  <c r="C228" i="6"/>
  <c r="O231" i="6"/>
  <c r="K231" i="6"/>
  <c r="C248" i="6"/>
  <c r="I246" i="6"/>
  <c r="C246" i="6" s="1"/>
  <c r="L252" i="6"/>
  <c r="L251" i="6" s="1"/>
  <c r="M259" i="6"/>
  <c r="L260" i="6"/>
  <c r="C265" i="6"/>
  <c r="F264" i="6"/>
  <c r="L270" i="6"/>
  <c r="L269" i="6" s="1"/>
  <c r="C275" i="6"/>
  <c r="C281" i="6"/>
  <c r="C285" i="6"/>
  <c r="F284" i="6"/>
  <c r="O293" i="6"/>
  <c r="C197" i="6"/>
  <c r="F196" i="6"/>
  <c r="C200" i="6"/>
  <c r="I198" i="6"/>
  <c r="C208" i="6"/>
  <c r="I205" i="6"/>
  <c r="C240" i="6"/>
  <c r="I238" i="6"/>
  <c r="C277" i="6"/>
  <c r="F276" i="6"/>
  <c r="C297" i="6"/>
  <c r="F293" i="6"/>
  <c r="C239" i="6"/>
  <c r="C247" i="6"/>
  <c r="C271" i="6"/>
  <c r="C287" i="6"/>
  <c r="C55" i="6" l="1"/>
  <c r="M230" i="6"/>
  <c r="K230" i="6"/>
  <c r="K194" i="6" s="1"/>
  <c r="I130" i="6"/>
  <c r="J75" i="6"/>
  <c r="O270" i="6"/>
  <c r="O269" i="6" s="1"/>
  <c r="C276" i="6"/>
  <c r="E289" i="6"/>
  <c r="H75" i="6"/>
  <c r="L231" i="6"/>
  <c r="N75" i="6"/>
  <c r="N52" i="6" s="1"/>
  <c r="N51" i="6" s="1"/>
  <c r="G194" i="6"/>
  <c r="O204" i="6"/>
  <c r="O195" i="6" s="1"/>
  <c r="F231" i="6"/>
  <c r="C89" i="6"/>
  <c r="E52" i="6"/>
  <c r="G75" i="6"/>
  <c r="G52" i="6" s="1"/>
  <c r="H194" i="6"/>
  <c r="J194" i="6"/>
  <c r="G289" i="6"/>
  <c r="N289" i="6"/>
  <c r="I204" i="6"/>
  <c r="O291" i="6"/>
  <c r="L259" i="6"/>
  <c r="C216" i="6"/>
  <c r="I174" i="6"/>
  <c r="I173" i="6" s="1"/>
  <c r="C103" i="6"/>
  <c r="C187" i="6"/>
  <c r="I76" i="6"/>
  <c r="L53" i="6"/>
  <c r="L26" i="6"/>
  <c r="L20" i="6" s="1"/>
  <c r="L204" i="6"/>
  <c r="L195" i="6" s="1"/>
  <c r="D194" i="6"/>
  <c r="O230" i="6"/>
  <c r="M289" i="6"/>
  <c r="H289" i="6"/>
  <c r="O83" i="6"/>
  <c r="O75" i="6" s="1"/>
  <c r="C238" i="6"/>
  <c r="H52" i="6"/>
  <c r="H51" i="6" s="1"/>
  <c r="H50" i="6" s="1"/>
  <c r="J52" i="6"/>
  <c r="J51" i="6" s="1"/>
  <c r="J289" i="6"/>
  <c r="O194" i="6"/>
  <c r="K52" i="6"/>
  <c r="K51" i="6" s="1"/>
  <c r="K289" i="6"/>
  <c r="C284" i="6"/>
  <c r="F283" i="6"/>
  <c r="C283" i="6" s="1"/>
  <c r="C205" i="6"/>
  <c r="F204" i="6"/>
  <c r="I83" i="6"/>
  <c r="C264" i="6"/>
  <c r="C151" i="6"/>
  <c r="C116" i="6"/>
  <c r="L83" i="6"/>
  <c r="L75" i="6" s="1"/>
  <c r="L52" i="6" s="1"/>
  <c r="F270" i="6"/>
  <c r="C286" i="6"/>
  <c r="C260" i="6"/>
  <c r="F259" i="6"/>
  <c r="C166" i="6"/>
  <c r="F165" i="6"/>
  <c r="C165" i="6" s="1"/>
  <c r="I231" i="6"/>
  <c r="I230" i="6" s="1"/>
  <c r="F83" i="6"/>
  <c r="C83" i="6" s="1"/>
  <c r="O53" i="6"/>
  <c r="C54" i="6"/>
  <c r="C58" i="6"/>
  <c r="C76" i="6"/>
  <c r="C293" i="6"/>
  <c r="C198" i="6"/>
  <c r="I196" i="6"/>
  <c r="I195" i="6" s="1"/>
  <c r="I194" i="6" s="1"/>
  <c r="L230" i="6"/>
  <c r="L194" i="6" s="1"/>
  <c r="C131" i="6"/>
  <c r="F130" i="6"/>
  <c r="M194" i="6"/>
  <c r="M51" i="6" s="1"/>
  <c r="C144" i="6"/>
  <c r="C252" i="6"/>
  <c r="F251" i="6"/>
  <c r="C251" i="6" s="1"/>
  <c r="C174" i="6"/>
  <c r="F173" i="6"/>
  <c r="C173" i="6" s="1"/>
  <c r="F67" i="6"/>
  <c r="C67" i="6" s="1"/>
  <c r="C69" i="6"/>
  <c r="D52" i="6"/>
  <c r="D51" i="6" s="1"/>
  <c r="C84" i="6"/>
  <c r="E194" i="6"/>
  <c r="C175" i="6"/>
  <c r="F292" i="6"/>
  <c r="C21" i="6"/>
  <c r="C77" i="6"/>
  <c r="N50" i="6" l="1"/>
  <c r="N290" i="6"/>
  <c r="C130" i="6"/>
  <c r="E51" i="6"/>
  <c r="E290" i="6" s="1"/>
  <c r="O52" i="6"/>
  <c r="O51" i="6" s="1"/>
  <c r="G51" i="6"/>
  <c r="F230" i="6"/>
  <c r="C230" i="6" s="1"/>
  <c r="G24" i="6"/>
  <c r="G290" i="6" s="1"/>
  <c r="G50" i="6"/>
  <c r="C259" i="6"/>
  <c r="C231" i="6"/>
  <c r="F53" i="6"/>
  <c r="C53" i="6" s="1"/>
  <c r="O289" i="6"/>
  <c r="H290" i="6"/>
  <c r="I75" i="6"/>
  <c r="I289" i="6" s="1"/>
  <c r="C196" i="6"/>
  <c r="C26" i="6"/>
  <c r="C204" i="6"/>
  <c r="L51" i="6"/>
  <c r="L289" i="6"/>
  <c r="D50" i="6"/>
  <c r="D24" i="6"/>
  <c r="F269" i="6"/>
  <c r="C270" i="6"/>
  <c r="K50" i="6"/>
  <c r="K290" i="6"/>
  <c r="M50" i="6"/>
  <c r="M290" i="6"/>
  <c r="F75" i="6"/>
  <c r="E50" i="6"/>
  <c r="C292" i="6"/>
  <c r="F291" i="6"/>
  <c r="C291" i="6" s="1"/>
  <c r="F195" i="6"/>
  <c r="O50" i="6"/>
  <c r="O290" i="6"/>
  <c r="J50" i="6"/>
  <c r="J290" i="6"/>
  <c r="G20" i="6" l="1"/>
  <c r="I24" i="6"/>
  <c r="I20" i="6" s="1"/>
  <c r="C75" i="6"/>
  <c r="I52" i="6"/>
  <c r="I51" i="6" s="1"/>
  <c r="I290" i="6" s="1"/>
  <c r="F24" i="6"/>
  <c r="D20" i="6"/>
  <c r="F194" i="6"/>
  <c r="C194" i="6" s="1"/>
  <c r="C195" i="6"/>
  <c r="D290" i="6"/>
  <c r="F52" i="6"/>
  <c r="C269" i="6"/>
  <c r="F289" i="6"/>
  <c r="C289" i="6" s="1"/>
  <c r="L50" i="6"/>
  <c r="L290" i="6"/>
  <c r="I50" i="6" l="1"/>
  <c r="F51" i="6"/>
  <c r="C52" i="6"/>
  <c r="C24" i="6"/>
  <c r="F20" i="6"/>
  <c r="C20" i="6" s="1"/>
  <c r="F290" i="6" l="1"/>
  <c r="C290" i="6" s="1"/>
  <c r="C51" i="6"/>
  <c r="F50" i="6"/>
  <c r="C50" i="6" s="1"/>
  <c r="O301" i="5" l="1"/>
  <c r="L301" i="5"/>
  <c r="I301" i="5"/>
  <c r="F301" i="5"/>
  <c r="O300" i="5"/>
  <c r="L300" i="5"/>
  <c r="I300" i="5"/>
  <c r="F300" i="5"/>
  <c r="O299" i="5"/>
  <c r="L299" i="5"/>
  <c r="I299" i="5"/>
  <c r="F299" i="5"/>
  <c r="O298" i="5"/>
  <c r="L298" i="5"/>
  <c r="I298" i="5"/>
  <c r="F298" i="5"/>
  <c r="O297" i="5"/>
  <c r="L297" i="5"/>
  <c r="I297" i="5"/>
  <c r="F297" i="5"/>
  <c r="O296" i="5"/>
  <c r="L296" i="5"/>
  <c r="I296" i="5"/>
  <c r="F296" i="5"/>
  <c r="O295" i="5"/>
  <c r="L295" i="5"/>
  <c r="I295" i="5"/>
  <c r="F295" i="5"/>
  <c r="O294" i="5"/>
  <c r="L294" i="5"/>
  <c r="I294" i="5"/>
  <c r="I293" i="5" s="1"/>
  <c r="F294" i="5"/>
  <c r="N293" i="5"/>
  <c r="M293" i="5"/>
  <c r="K293" i="5"/>
  <c r="J293" i="5"/>
  <c r="H293" i="5"/>
  <c r="G293" i="5"/>
  <c r="E293" i="5"/>
  <c r="D293" i="5"/>
  <c r="O288" i="5"/>
  <c r="L288" i="5"/>
  <c r="I288" i="5"/>
  <c r="F288" i="5"/>
  <c r="O287" i="5"/>
  <c r="O286" i="5" s="1"/>
  <c r="L287" i="5"/>
  <c r="L286" i="5" s="1"/>
  <c r="I287" i="5"/>
  <c r="F287" i="5"/>
  <c r="F286" i="5" s="1"/>
  <c r="N286" i="5"/>
  <c r="M286" i="5"/>
  <c r="K286" i="5"/>
  <c r="J286" i="5"/>
  <c r="H286" i="5"/>
  <c r="G286" i="5"/>
  <c r="E286" i="5"/>
  <c r="D286" i="5"/>
  <c r="O285" i="5"/>
  <c r="L285" i="5"/>
  <c r="L284" i="5" s="1"/>
  <c r="L283" i="5" s="1"/>
  <c r="I285" i="5"/>
  <c r="I284" i="5" s="1"/>
  <c r="I283" i="5" s="1"/>
  <c r="F285" i="5"/>
  <c r="O284" i="5"/>
  <c r="O283" i="5" s="1"/>
  <c r="N284" i="5"/>
  <c r="N283" i="5" s="1"/>
  <c r="M284" i="5"/>
  <c r="M283" i="5" s="1"/>
  <c r="K284" i="5"/>
  <c r="K283" i="5" s="1"/>
  <c r="J284" i="5"/>
  <c r="J283" i="5" s="1"/>
  <c r="H284" i="5"/>
  <c r="H283" i="5" s="1"/>
  <c r="G284" i="5"/>
  <c r="G283" i="5" s="1"/>
  <c r="E284" i="5"/>
  <c r="E283" i="5" s="1"/>
  <c r="D284" i="5"/>
  <c r="D283" i="5" s="1"/>
  <c r="O282" i="5"/>
  <c r="O281" i="5" s="1"/>
  <c r="L282" i="5"/>
  <c r="L281" i="5" s="1"/>
  <c r="I282" i="5"/>
  <c r="I281" i="5" s="1"/>
  <c r="F282" i="5"/>
  <c r="N281" i="5"/>
  <c r="M281" i="5"/>
  <c r="K281" i="5"/>
  <c r="J281" i="5"/>
  <c r="H281" i="5"/>
  <c r="G281" i="5"/>
  <c r="E281" i="5"/>
  <c r="D281" i="5"/>
  <c r="O280" i="5"/>
  <c r="L280" i="5"/>
  <c r="I280" i="5"/>
  <c r="F280" i="5"/>
  <c r="O279" i="5"/>
  <c r="L279" i="5"/>
  <c r="I279" i="5"/>
  <c r="F279" i="5"/>
  <c r="O278" i="5"/>
  <c r="L278" i="5"/>
  <c r="I278" i="5"/>
  <c r="F278" i="5"/>
  <c r="O277" i="5"/>
  <c r="L277" i="5"/>
  <c r="L276" i="5" s="1"/>
  <c r="I277" i="5"/>
  <c r="I276" i="5" s="1"/>
  <c r="F277" i="5"/>
  <c r="N276" i="5"/>
  <c r="M276" i="5"/>
  <c r="K276" i="5"/>
  <c r="J276" i="5"/>
  <c r="H276" i="5"/>
  <c r="G276" i="5"/>
  <c r="E276" i="5"/>
  <c r="D276" i="5"/>
  <c r="O275" i="5"/>
  <c r="L275" i="5"/>
  <c r="I275" i="5"/>
  <c r="F275" i="5"/>
  <c r="O274" i="5"/>
  <c r="L274" i="5"/>
  <c r="I274" i="5"/>
  <c r="F274" i="5"/>
  <c r="O273" i="5"/>
  <c r="L273" i="5"/>
  <c r="I273" i="5"/>
  <c r="F273" i="5"/>
  <c r="N272" i="5"/>
  <c r="M272" i="5"/>
  <c r="K272" i="5"/>
  <c r="K270" i="5" s="1"/>
  <c r="K269" i="5" s="1"/>
  <c r="J272" i="5"/>
  <c r="J270" i="5" s="1"/>
  <c r="J269" i="5" s="1"/>
  <c r="H272" i="5"/>
  <c r="G272" i="5"/>
  <c r="G270" i="5" s="1"/>
  <c r="E272" i="5"/>
  <c r="D272" i="5"/>
  <c r="D270" i="5" s="1"/>
  <c r="O271" i="5"/>
  <c r="L271" i="5"/>
  <c r="I271" i="5"/>
  <c r="F271" i="5"/>
  <c r="N270" i="5"/>
  <c r="O268" i="5"/>
  <c r="L268" i="5"/>
  <c r="I268" i="5"/>
  <c r="F268" i="5"/>
  <c r="O267" i="5"/>
  <c r="L267" i="5"/>
  <c r="I267" i="5"/>
  <c r="F267" i="5"/>
  <c r="O266" i="5"/>
  <c r="L266" i="5"/>
  <c r="I266" i="5"/>
  <c r="F266" i="5"/>
  <c r="O265" i="5"/>
  <c r="L265" i="5"/>
  <c r="I265" i="5"/>
  <c r="F265" i="5"/>
  <c r="N264" i="5"/>
  <c r="M264" i="5"/>
  <c r="K264" i="5"/>
  <c r="J264" i="5"/>
  <c r="H264" i="5"/>
  <c r="G264" i="5"/>
  <c r="E264" i="5"/>
  <c r="D264" i="5"/>
  <c r="O263" i="5"/>
  <c r="L263" i="5"/>
  <c r="I263" i="5"/>
  <c r="F263" i="5"/>
  <c r="O262" i="5"/>
  <c r="L262" i="5"/>
  <c r="I262" i="5"/>
  <c r="F262" i="5"/>
  <c r="O261" i="5"/>
  <c r="L261" i="5"/>
  <c r="I261" i="5"/>
  <c r="F261" i="5"/>
  <c r="N260" i="5"/>
  <c r="M260" i="5"/>
  <c r="K260" i="5"/>
  <c r="J260" i="5"/>
  <c r="J259" i="5" s="1"/>
  <c r="H260" i="5"/>
  <c r="G260" i="5"/>
  <c r="G259" i="5" s="1"/>
  <c r="E260" i="5"/>
  <c r="D260" i="5"/>
  <c r="D259" i="5" s="1"/>
  <c r="O258" i="5"/>
  <c r="L258" i="5"/>
  <c r="I258" i="5"/>
  <c r="F258" i="5"/>
  <c r="O257" i="5"/>
  <c r="L257" i="5"/>
  <c r="I257" i="5"/>
  <c r="F257" i="5"/>
  <c r="O256" i="5"/>
  <c r="L256" i="5"/>
  <c r="I256" i="5"/>
  <c r="F256" i="5"/>
  <c r="O255" i="5"/>
  <c r="L255" i="5"/>
  <c r="I255" i="5"/>
  <c r="F255" i="5"/>
  <c r="O254" i="5"/>
  <c r="L254" i="5"/>
  <c r="I254" i="5"/>
  <c r="F254" i="5"/>
  <c r="O253" i="5"/>
  <c r="L253" i="5"/>
  <c r="I253" i="5"/>
  <c r="F253" i="5"/>
  <c r="N252" i="5"/>
  <c r="N251" i="5" s="1"/>
  <c r="M252" i="5"/>
  <c r="M251" i="5" s="1"/>
  <c r="K252" i="5"/>
  <c r="J252" i="5"/>
  <c r="I252" i="5"/>
  <c r="I251" i="5" s="1"/>
  <c r="H252" i="5"/>
  <c r="H251" i="5" s="1"/>
  <c r="G252" i="5"/>
  <c r="G251" i="5" s="1"/>
  <c r="E252" i="5"/>
  <c r="E251" i="5" s="1"/>
  <c r="D252" i="5"/>
  <c r="D251" i="5" s="1"/>
  <c r="K251" i="5"/>
  <c r="J251" i="5"/>
  <c r="O250" i="5"/>
  <c r="L250" i="5"/>
  <c r="I250" i="5"/>
  <c r="F250" i="5"/>
  <c r="O249" i="5"/>
  <c r="L249" i="5"/>
  <c r="I249" i="5"/>
  <c r="F249" i="5"/>
  <c r="O248" i="5"/>
  <c r="L248" i="5"/>
  <c r="I248" i="5"/>
  <c r="F248" i="5"/>
  <c r="O247" i="5"/>
  <c r="L247" i="5"/>
  <c r="I247" i="5"/>
  <c r="F247" i="5"/>
  <c r="N246" i="5"/>
  <c r="M246" i="5"/>
  <c r="K246" i="5"/>
  <c r="J246" i="5"/>
  <c r="H246" i="5"/>
  <c r="G246" i="5"/>
  <c r="E246" i="5"/>
  <c r="D246" i="5"/>
  <c r="O245" i="5"/>
  <c r="L245" i="5"/>
  <c r="I245" i="5"/>
  <c r="F245" i="5"/>
  <c r="O244" i="5"/>
  <c r="L244" i="5"/>
  <c r="I244" i="5"/>
  <c r="F244" i="5"/>
  <c r="O243" i="5"/>
  <c r="L243" i="5"/>
  <c r="I243" i="5"/>
  <c r="F243" i="5"/>
  <c r="O242" i="5"/>
  <c r="L242" i="5"/>
  <c r="I242" i="5"/>
  <c r="F242" i="5"/>
  <c r="O241" i="5"/>
  <c r="L241" i="5"/>
  <c r="I241" i="5"/>
  <c r="F241" i="5"/>
  <c r="O240" i="5"/>
  <c r="L240" i="5"/>
  <c r="I240" i="5"/>
  <c r="F240" i="5"/>
  <c r="O239" i="5"/>
  <c r="L239" i="5"/>
  <c r="I239" i="5"/>
  <c r="F239" i="5"/>
  <c r="N238" i="5"/>
  <c r="M238" i="5"/>
  <c r="K238" i="5"/>
  <c r="J238" i="5"/>
  <c r="H238" i="5"/>
  <c r="G238" i="5"/>
  <c r="E238" i="5"/>
  <c r="D238" i="5"/>
  <c r="O237" i="5"/>
  <c r="L237" i="5"/>
  <c r="I237" i="5"/>
  <c r="F237" i="5"/>
  <c r="O236" i="5"/>
  <c r="L236" i="5"/>
  <c r="L235" i="5" s="1"/>
  <c r="I236" i="5"/>
  <c r="I235" i="5" s="1"/>
  <c r="F236" i="5"/>
  <c r="F235" i="5" s="1"/>
  <c r="O235" i="5"/>
  <c r="N235" i="5"/>
  <c r="M235" i="5"/>
  <c r="K235" i="5"/>
  <c r="J235" i="5"/>
  <c r="H235" i="5"/>
  <c r="G235" i="5"/>
  <c r="E235" i="5"/>
  <c r="D235" i="5"/>
  <c r="O234" i="5"/>
  <c r="O233" i="5" s="1"/>
  <c r="L234" i="5"/>
  <c r="L233" i="5" s="1"/>
  <c r="I234" i="5"/>
  <c r="F234" i="5"/>
  <c r="F233" i="5" s="1"/>
  <c r="N233" i="5"/>
  <c r="M233" i="5"/>
  <c r="K233" i="5"/>
  <c r="J233" i="5"/>
  <c r="I233" i="5"/>
  <c r="H233" i="5"/>
  <c r="G233" i="5"/>
  <c r="E233" i="5"/>
  <c r="D233" i="5"/>
  <c r="O232" i="5"/>
  <c r="L232" i="5"/>
  <c r="I232" i="5"/>
  <c r="F232" i="5"/>
  <c r="O229" i="5"/>
  <c r="L229" i="5"/>
  <c r="I229" i="5"/>
  <c r="F229" i="5"/>
  <c r="O228" i="5"/>
  <c r="L228" i="5"/>
  <c r="L227" i="5" s="1"/>
  <c r="I228" i="5"/>
  <c r="F228" i="5"/>
  <c r="F227" i="5" s="1"/>
  <c r="O227" i="5"/>
  <c r="N227" i="5"/>
  <c r="M227" i="5"/>
  <c r="K227" i="5"/>
  <c r="J227" i="5"/>
  <c r="H227" i="5"/>
  <c r="G227" i="5"/>
  <c r="E227" i="5"/>
  <c r="D227" i="5"/>
  <c r="O226" i="5"/>
  <c r="L226" i="5"/>
  <c r="I226" i="5"/>
  <c r="F226" i="5"/>
  <c r="O225" i="5"/>
  <c r="L225" i="5"/>
  <c r="I225" i="5"/>
  <c r="F225" i="5"/>
  <c r="O224" i="5"/>
  <c r="L224" i="5"/>
  <c r="I224" i="5"/>
  <c r="F224" i="5"/>
  <c r="O223" i="5"/>
  <c r="L223" i="5"/>
  <c r="I223" i="5"/>
  <c r="F223" i="5"/>
  <c r="O222" i="5"/>
  <c r="L222" i="5"/>
  <c r="I222" i="5"/>
  <c r="F222" i="5"/>
  <c r="O221" i="5"/>
  <c r="L221" i="5"/>
  <c r="I221" i="5"/>
  <c r="F221" i="5"/>
  <c r="O220" i="5"/>
  <c r="L220" i="5"/>
  <c r="I220" i="5"/>
  <c r="F220" i="5"/>
  <c r="O219" i="5"/>
  <c r="L219" i="5"/>
  <c r="I219" i="5"/>
  <c r="F219" i="5"/>
  <c r="O218" i="5"/>
  <c r="L218" i="5"/>
  <c r="I218" i="5"/>
  <c r="F218" i="5"/>
  <c r="O217" i="5"/>
  <c r="L217" i="5"/>
  <c r="I217" i="5"/>
  <c r="I216" i="5" s="1"/>
  <c r="F217" i="5"/>
  <c r="N216" i="5"/>
  <c r="M216" i="5"/>
  <c r="K216" i="5"/>
  <c r="J216" i="5"/>
  <c r="H216" i="5"/>
  <c r="G216" i="5"/>
  <c r="E216" i="5"/>
  <c r="D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N205" i="5"/>
  <c r="M205" i="5"/>
  <c r="K205" i="5"/>
  <c r="K204" i="5" s="1"/>
  <c r="J205" i="5"/>
  <c r="H205" i="5"/>
  <c r="G205" i="5"/>
  <c r="E205" i="5"/>
  <c r="D205" i="5"/>
  <c r="D204" i="5" s="1"/>
  <c r="G204" i="5"/>
  <c r="O203" i="5"/>
  <c r="L203" i="5"/>
  <c r="I203" i="5"/>
  <c r="F203" i="5"/>
  <c r="O202" i="5"/>
  <c r="L202" i="5"/>
  <c r="I202" i="5"/>
  <c r="F202" i="5"/>
  <c r="O201" i="5"/>
  <c r="L201" i="5"/>
  <c r="I201" i="5"/>
  <c r="F201" i="5"/>
  <c r="O200" i="5"/>
  <c r="L200" i="5"/>
  <c r="I200" i="5"/>
  <c r="F200" i="5"/>
  <c r="O199" i="5"/>
  <c r="L199" i="5"/>
  <c r="I199" i="5"/>
  <c r="F199" i="5"/>
  <c r="F198" i="5" s="1"/>
  <c r="N198" i="5"/>
  <c r="M198" i="5"/>
  <c r="K198" i="5"/>
  <c r="K196" i="5" s="1"/>
  <c r="J198" i="5"/>
  <c r="J196" i="5" s="1"/>
  <c r="H198" i="5"/>
  <c r="H196" i="5" s="1"/>
  <c r="G198" i="5"/>
  <c r="G196" i="5" s="1"/>
  <c r="G195" i="5" s="1"/>
  <c r="E198" i="5"/>
  <c r="E196" i="5" s="1"/>
  <c r="D198" i="5"/>
  <c r="O197" i="5"/>
  <c r="L197" i="5"/>
  <c r="I197" i="5"/>
  <c r="F197" i="5"/>
  <c r="N196" i="5"/>
  <c r="M196" i="5"/>
  <c r="D196" i="5"/>
  <c r="O193" i="5"/>
  <c r="L193" i="5"/>
  <c r="I193" i="5"/>
  <c r="F193" i="5"/>
  <c r="O192" i="5"/>
  <c r="O191" i="5" s="1"/>
  <c r="N192" i="5"/>
  <c r="N191" i="5" s="1"/>
  <c r="M192" i="5"/>
  <c r="M191" i="5" s="1"/>
  <c r="M187" i="5" s="1"/>
  <c r="L192" i="5"/>
  <c r="L191" i="5" s="1"/>
  <c r="K192" i="5"/>
  <c r="K191" i="5" s="1"/>
  <c r="J192" i="5"/>
  <c r="I192" i="5"/>
  <c r="I191" i="5" s="1"/>
  <c r="H192" i="5"/>
  <c r="H191" i="5" s="1"/>
  <c r="G192" i="5"/>
  <c r="G191" i="5" s="1"/>
  <c r="E192" i="5"/>
  <c r="D192" i="5"/>
  <c r="J191" i="5"/>
  <c r="E191" i="5"/>
  <c r="D191" i="5"/>
  <c r="O190" i="5"/>
  <c r="L190" i="5"/>
  <c r="I190" i="5"/>
  <c r="F190" i="5"/>
  <c r="O189" i="5"/>
  <c r="O188" i="5" s="1"/>
  <c r="L189" i="5"/>
  <c r="I189" i="5"/>
  <c r="I188" i="5" s="1"/>
  <c r="F189" i="5"/>
  <c r="F188" i="5" s="1"/>
  <c r="N188" i="5"/>
  <c r="M188" i="5"/>
  <c r="K188" i="5"/>
  <c r="J188" i="5"/>
  <c r="H188" i="5"/>
  <c r="G188" i="5"/>
  <c r="E188" i="5"/>
  <c r="E187" i="5" s="1"/>
  <c r="D188" i="5"/>
  <c r="D187" i="5" s="1"/>
  <c r="O186" i="5"/>
  <c r="L186" i="5"/>
  <c r="I186" i="5"/>
  <c r="F186" i="5"/>
  <c r="O185" i="5"/>
  <c r="O184" i="5" s="1"/>
  <c r="L185" i="5"/>
  <c r="I185" i="5"/>
  <c r="I184" i="5" s="1"/>
  <c r="F185" i="5"/>
  <c r="N184" i="5"/>
  <c r="M184" i="5"/>
  <c r="L184" i="5"/>
  <c r="K184" i="5"/>
  <c r="J184" i="5"/>
  <c r="H184" i="5"/>
  <c r="G184" i="5"/>
  <c r="F184" i="5"/>
  <c r="E184" i="5"/>
  <c r="D184" i="5"/>
  <c r="O183" i="5"/>
  <c r="L183" i="5"/>
  <c r="I183" i="5"/>
  <c r="F183" i="5"/>
  <c r="O182" i="5"/>
  <c r="L182" i="5"/>
  <c r="I182" i="5"/>
  <c r="F182" i="5"/>
  <c r="O181" i="5"/>
  <c r="L181" i="5"/>
  <c r="I181" i="5"/>
  <c r="F181" i="5"/>
  <c r="O180" i="5"/>
  <c r="L180" i="5"/>
  <c r="I180" i="5"/>
  <c r="F180" i="5"/>
  <c r="N179" i="5"/>
  <c r="M179" i="5"/>
  <c r="K179" i="5"/>
  <c r="J179" i="5"/>
  <c r="H179" i="5"/>
  <c r="G179" i="5"/>
  <c r="E179" i="5"/>
  <c r="D179" i="5"/>
  <c r="O178" i="5"/>
  <c r="L178" i="5"/>
  <c r="I178" i="5"/>
  <c r="F178" i="5"/>
  <c r="O177" i="5"/>
  <c r="L177" i="5"/>
  <c r="I177" i="5"/>
  <c r="F177" i="5"/>
  <c r="O176" i="5"/>
  <c r="L176" i="5"/>
  <c r="I176" i="5"/>
  <c r="F176" i="5"/>
  <c r="N175" i="5"/>
  <c r="M175" i="5"/>
  <c r="M174" i="5" s="1"/>
  <c r="K175" i="5"/>
  <c r="J175" i="5"/>
  <c r="J174" i="5" s="1"/>
  <c r="J173" i="5" s="1"/>
  <c r="H175" i="5"/>
  <c r="H174" i="5" s="1"/>
  <c r="H173" i="5" s="1"/>
  <c r="G175" i="5"/>
  <c r="G174" i="5" s="1"/>
  <c r="E175" i="5"/>
  <c r="D175" i="5"/>
  <c r="D174" i="5" s="1"/>
  <c r="N174" i="5"/>
  <c r="N173" i="5" s="1"/>
  <c r="O172" i="5"/>
  <c r="L172" i="5"/>
  <c r="I172" i="5"/>
  <c r="F172" i="5"/>
  <c r="O171" i="5"/>
  <c r="L171" i="5"/>
  <c r="I171" i="5"/>
  <c r="F171" i="5"/>
  <c r="O170" i="5"/>
  <c r="L170" i="5"/>
  <c r="I170" i="5"/>
  <c r="F170" i="5"/>
  <c r="O169" i="5"/>
  <c r="L169" i="5"/>
  <c r="I169" i="5"/>
  <c r="F169" i="5"/>
  <c r="O168" i="5"/>
  <c r="L168" i="5"/>
  <c r="I168" i="5"/>
  <c r="F168" i="5"/>
  <c r="O167" i="5"/>
  <c r="L167" i="5"/>
  <c r="I167" i="5"/>
  <c r="I166" i="5" s="1"/>
  <c r="I165" i="5" s="1"/>
  <c r="F167" i="5"/>
  <c r="N166" i="5"/>
  <c r="N165" i="5" s="1"/>
  <c r="M166" i="5"/>
  <c r="M165" i="5" s="1"/>
  <c r="K166" i="5"/>
  <c r="K165" i="5" s="1"/>
  <c r="J166" i="5"/>
  <c r="J165" i="5" s="1"/>
  <c r="H166" i="5"/>
  <c r="H165" i="5" s="1"/>
  <c r="G166" i="5"/>
  <c r="G165" i="5" s="1"/>
  <c r="E166" i="5"/>
  <c r="E165" i="5" s="1"/>
  <c r="D166" i="5"/>
  <c r="D165" i="5" s="1"/>
  <c r="O164" i="5"/>
  <c r="L164" i="5"/>
  <c r="I164" i="5"/>
  <c r="F164" i="5"/>
  <c r="O163" i="5"/>
  <c r="L163" i="5"/>
  <c r="I163" i="5"/>
  <c r="F163" i="5"/>
  <c r="O162" i="5"/>
  <c r="L162" i="5"/>
  <c r="I162" i="5"/>
  <c r="F162" i="5"/>
  <c r="O161" i="5"/>
  <c r="O160" i="5" s="1"/>
  <c r="L161" i="5"/>
  <c r="I161" i="5"/>
  <c r="I160" i="5" s="1"/>
  <c r="F161" i="5"/>
  <c r="N160" i="5"/>
  <c r="M160" i="5"/>
  <c r="L160" i="5"/>
  <c r="K160" i="5"/>
  <c r="J160" i="5"/>
  <c r="H160" i="5"/>
  <c r="G160" i="5"/>
  <c r="E160" i="5"/>
  <c r="D160" i="5"/>
  <c r="O159" i="5"/>
  <c r="L159" i="5"/>
  <c r="I159" i="5"/>
  <c r="F159" i="5"/>
  <c r="O158" i="5"/>
  <c r="L158" i="5"/>
  <c r="I158" i="5"/>
  <c r="F158" i="5"/>
  <c r="O157" i="5"/>
  <c r="L157" i="5"/>
  <c r="I157" i="5"/>
  <c r="F157" i="5"/>
  <c r="O156" i="5"/>
  <c r="L156" i="5"/>
  <c r="I156" i="5"/>
  <c r="F156" i="5"/>
  <c r="O155" i="5"/>
  <c r="L155" i="5"/>
  <c r="I155" i="5"/>
  <c r="F155" i="5"/>
  <c r="O154" i="5"/>
  <c r="L154" i="5"/>
  <c r="I154" i="5"/>
  <c r="F154" i="5"/>
  <c r="O153" i="5"/>
  <c r="L153" i="5"/>
  <c r="I153" i="5"/>
  <c r="C153" i="5" s="1"/>
  <c r="F153" i="5"/>
  <c r="O152" i="5"/>
  <c r="L152" i="5"/>
  <c r="I152" i="5"/>
  <c r="F152" i="5"/>
  <c r="N151" i="5"/>
  <c r="M151" i="5"/>
  <c r="K151" i="5"/>
  <c r="J151" i="5"/>
  <c r="H151" i="5"/>
  <c r="G151" i="5"/>
  <c r="E151" i="5"/>
  <c r="D151" i="5"/>
  <c r="O150" i="5"/>
  <c r="L150" i="5"/>
  <c r="I150" i="5"/>
  <c r="F150" i="5"/>
  <c r="O149" i="5"/>
  <c r="L149" i="5"/>
  <c r="I149" i="5"/>
  <c r="F149" i="5"/>
  <c r="O148" i="5"/>
  <c r="L148" i="5"/>
  <c r="I148" i="5"/>
  <c r="F148" i="5"/>
  <c r="O147" i="5"/>
  <c r="L147" i="5"/>
  <c r="I147" i="5"/>
  <c r="F147" i="5"/>
  <c r="O146" i="5"/>
  <c r="L146" i="5"/>
  <c r="I146" i="5"/>
  <c r="F146" i="5"/>
  <c r="O145" i="5"/>
  <c r="O144" i="5" s="1"/>
  <c r="L145" i="5"/>
  <c r="I145" i="5"/>
  <c r="F145" i="5"/>
  <c r="N144" i="5"/>
  <c r="M144" i="5"/>
  <c r="K144" i="5"/>
  <c r="J144" i="5"/>
  <c r="H144" i="5"/>
  <c r="G144" i="5"/>
  <c r="E144" i="5"/>
  <c r="D144" i="5"/>
  <c r="O143" i="5"/>
  <c r="L143" i="5"/>
  <c r="I143" i="5"/>
  <c r="F143" i="5"/>
  <c r="O142" i="5"/>
  <c r="O141" i="5" s="1"/>
  <c r="L142" i="5"/>
  <c r="L141" i="5" s="1"/>
  <c r="I142" i="5"/>
  <c r="I141" i="5" s="1"/>
  <c r="F142" i="5"/>
  <c r="F141" i="5" s="1"/>
  <c r="N141" i="5"/>
  <c r="M141" i="5"/>
  <c r="K141" i="5"/>
  <c r="J141" i="5"/>
  <c r="H141" i="5"/>
  <c r="G141" i="5"/>
  <c r="E141" i="5"/>
  <c r="D141" i="5"/>
  <c r="O140" i="5"/>
  <c r="L140" i="5"/>
  <c r="I140" i="5"/>
  <c r="F140" i="5"/>
  <c r="O139" i="5"/>
  <c r="L139" i="5"/>
  <c r="I139" i="5"/>
  <c r="F139" i="5"/>
  <c r="O138" i="5"/>
  <c r="L138" i="5"/>
  <c r="I138" i="5"/>
  <c r="F138" i="5"/>
  <c r="O137" i="5"/>
  <c r="O136" i="5" s="1"/>
  <c r="L137" i="5"/>
  <c r="L136" i="5" s="1"/>
  <c r="I137" i="5"/>
  <c r="F137" i="5"/>
  <c r="N136" i="5"/>
  <c r="M136" i="5"/>
  <c r="K136" i="5"/>
  <c r="J136" i="5"/>
  <c r="H136" i="5"/>
  <c r="G136" i="5"/>
  <c r="E136" i="5"/>
  <c r="D136" i="5"/>
  <c r="O135" i="5"/>
  <c r="L135" i="5"/>
  <c r="I135" i="5"/>
  <c r="F135" i="5"/>
  <c r="O134" i="5"/>
  <c r="L134" i="5"/>
  <c r="I134" i="5"/>
  <c r="F134" i="5"/>
  <c r="O133" i="5"/>
  <c r="L133" i="5"/>
  <c r="I133" i="5"/>
  <c r="F133" i="5"/>
  <c r="O132" i="5"/>
  <c r="L132" i="5"/>
  <c r="I132" i="5"/>
  <c r="I131" i="5" s="1"/>
  <c r="F132" i="5"/>
  <c r="N131" i="5"/>
  <c r="M131" i="5"/>
  <c r="K131" i="5"/>
  <c r="J131" i="5"/>
  <c r="H131" i="5"/>
  <c r="G131" i="5"/>
  <c r="E131" i="5"/>
  <c r="D131" i="5"/>
  <c r="O129" i="5"/>
  <c r="O128" i="5" s="1"/>
  <c r="L129" i="5"/>
  <c r="L128" i="5" s="1"/>
  <c r="I129" i="5"/>
  <c r="I128" i="5" s="1"/>
  <c r="F129" i="5"/>
  <c r="N128" i="5"/>
  <c r="M128" i="5"/>
  <c r="K128" i="5"/>
  <c r="J128" i="5"/>
  <c r="H128" i="5"/>
  <c r="G128" i="5"/>
  <c r="E128" i="5"/>
  <c r="D128" i="5"/>
  <c r="O127" i="5"/>
  <c r="L127" i="5"/>
  <c r="I127" i="5"/>
  <c r="F127" i="5"/>
  <c r="O126" i="5"/>
  <c r="L126" i="5"/>
  <c r="I126" i="5"/>
  <c r="F126" i="5"/>
  <c r="O125" i="5"/>
  <c r="L125" i="5"/>
  <c r="I125" i="5"/>
  <c r="F125" i="5"/>
  <c r="O124" i="5"/>
  <c r="L124" i="5"/>
  <c r="I124" i="5"/>
  <c r="F124" i="5"/>
  <c r="O123" i="5"/>
  <c r="L123" i="5"/>
  <c r="I123" i="5"/>
  <c r="F123" i="5"/>
  <c r="N122" i="5"/>
  <c r="M122" i="5"/>
  <c r="K122" i="5"/>
  <c r="J122" i="5"/>
  <c r="H122" i="5"/>
  <c r="G122" i="5"/>
  <c r="E122" i="5"/>
  <c r="D122" i="5"/>
  <c r="O121" i="5"/>
  <c r="L121" i="5"/>
  <c r="I121" i="5"/>
  <c r="F121" i="5"/>
  <c r="O120" i="5"/>
  <c r="L120" i="5"/>
  <c r="I120" i="5"/>
  <c r="F120" i="5"/>
  <c r="O119" i="5"/>
  <c r="L119" i="5"/>
  <c r="I119" i="5"/>
  <c r="F119" i="5"/>
  <c r="O118" i="5"/>
  <c r="L118" i="5"/>
  <c r="I118" i="5"/>
  <c r="F118" i="5"/>
  <c r="O117" i="5"/>
  <c r="L117" i="5"/>
  <c r="I117" i="5"/>
  <c r="F117" i="5"/>
  <c r="N116" i="5"/>
  <c r="M116" i="5"/>
  <c r="K116" i="5"/>
  <c r="J116" i="5"/>
  <c r="H116" i="5"/>
  <c r="G116" i="5"/>
  <c r="E116" i="5"/>
  <c r="D116" i="5"/>
  <c r="O115" i="5"/>
  <c r="L115" i="5"/>
  <c r="I115" i="5"/>
  <c r="F115" i="5"/>
  <c r="O114" i="5"/>
  <c r="L114" i="5"/>
  <c r="I114" i="5"/>
  <c r="F114" i="5"/>
  <c r="O113" i="5"/>
  <c r="O112" i="5" s="1"/>
  <c r="L113" i="5"/>
  <c r="L112" i="5" s="1"/>
  <c r="I113" i="5"/>
  <c r="F113" i="5"/>
  <c r="N112" i="5"/>
  <c r="M112" i="5"/>
  <c r="K112" i="5"/>
  <c r="J112" i="5"/>
  <c r="H112" i="5"/>
  <c r="G112" i="5"/>
  <c r="E112" i="5"/>
  <c r="D112" i="5"/>
  <c r="O111" i="5"/>
  <c r="L111" i="5"/>
  <c r="I111" i="5"/>
  <c r="F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I104" i="5"/>
  <c r="F104" i="5"/>
  <c r="N103" i="5"/>
  <c r="M103" i="5"/>
  <c r="K103" i="5"/>
  <c r="J103" i="5"/>
  <c r="H103" i="5"/>
  <c r="G103" i="5"/>
  <c r="E103" i="5"/>
  <c r="D103" i="5"/>
  <c r="O102" i="5"/>
  <c r="L102" i="5"/>
  <c r="I102" i="5"/>
  <c r="F102" i="5"/>
  <c r="O101" i="5"/>
  <c r="L101" i="5"/>
  <c r="I101" i="5"/>
  <c r="F101" i="5"/>
  <c r="O100" i="5"/>
  <c r="L100" i="5"/>
  <c r="I100" i="5"/>
  <c r="F100" i="5"/>
  <c r="O99" i="5"/>
  <c r="L99" i="5"/>
  <c r="I99" i="5"/>
  <c r="F99" i="5"/>
  <c r="O98" i="5"/>
  <c r="L98" i="5"/>
  <c r="I98" i="5"/>
  <c r="F98" i="5"/>
  <c r="O97" i="5"/>
  <c r="L97" i="5"/>
  <c r="I97" i="5"/>
  <c r="F97" i="5"/>
  <c r="O96" i="5"/>
  <c r="O95" i="5" s="1"/>
  <c r="L96" i="5"/>
  <c r="I96" i="5"/>
  <c r="F96" i="5"/>
  <c r="N95" i="5"/>
  <c r="M95" i="5"/>
  <c r="K95" i="5"/>
  <c r="J95" i="5"/>
  <c r="H95" i="5"/>
  <c r="G95" i="5"/>
  <c r="E95" i="5"/>
  <c r="D95" i="5"/>
  <c r="O94" i="5"/>
  <c r="L94" i="5"/>
  <c r="I94" i="5"/>
  <c r="F94" i="5"/>
  <c r="O93" i="5"/>
  <c r="L93" i="5"/>
  <c r="I93" i="5"/>
  <c r="F93" i="5"/>
  <c r="O92" i="5"/>
  <c r="L92" i="5"/>
  <c r="I92" i="5"/>
  <c r="F92" i="5"/>
  <c r="O91" i="5"/>
  <c r="L91" i="5"/>
  <c r="I91" i="5"/>
  <c r="F91" i="5"/>
  <c r="O90" i="5"/>
  <c r="L90" i="5"/>
  <c r="I90" i="5"/>
  <c r="F90" i="5"/>
  <c r="F89" i="5" s="1"/>
  <c r="N89" i="5"/>
  <c r="M89" i="5"/>
  <c r="K89" i="5"/>
  <c r="J89" i="5"/>
  <c r="H89" i="5"/>
  <c r="G89" i="5"/>
  <c r="E89" i="5"/>
  <c r="D89" i="5"/>
  <c r="O88" i="5"/>
  <c r="L88" i="5"/>
  <c r="I88" i="5"/>
  <c r="F88" i="5"/>
  <c r="O87" i="5"/>
  <c r="L87" i="5"/>
  <c r="I87" i="5"/>
  <c r="F87" i="5"/>
  <c r="O86" i="5"/>
  <c r="L86" i="5"/>
  <c r="I86" i="5"/>
  <c r="F86" i="5"/>
  <c r="O85" i="5"/>
  <c r="O84" i="5" s="1"/>
  <c r="L85" i="5"/>
  <c r="L84" i="5" s="1"/>
  <c r="I85" i="5"/>
  <c r="I84" i="5" s="1"/>
  <c r="F85" i="5"/>
  <c r="N84" i="5"/>
  <c r="M84" i="5"/>
  <c r="K84" i="5"/>
  <c r="J84" i="5"/>
  <c r="H84" i="5"/>
  <c r="G84" i="5"/>
  <c r="E84" i="5"/>
  <c r="D84" i="5"/>
  <c r="O82" i="5"/>
  <c r="L82" i="5"/>
  <c r="I82" i="5"/>
  <c r="F82" i="5"/>
  <c r="O81" i="5"/>
  <c r="O80" i="5" s="1"/>
  <c r="L81" i="5"/>
  <c r="L80" i="5" s="1"/>
  <c r="I81" i="5"/>
  <c r="I80" i="5" s="1"/>
  <c r="F81" i="5"/>
  <c r="N80" i="5"/>
  <c r="M80" i="5"/>
  <c r="K80" i="5"/>
  <c r="J80" i="5"/>
  <c r="H80" i="5"/>
  <c r="G80" i="5"/>
  <c r="F80" i="5"/>
  <c r="E80" i="5"/>
  <c r="D80" i="5"/>
  <c r="O79" i="5"/>
  <c r="L79" i="5"/>
  <c r="I79" i="5"/>
  <c r="F79" i="5"/>
  <c r="O78" i="5"/>
  <c r="L78" i="5"/>
  <c r="L77" i="5" s="1"/>
  <c r="I78" i="5"/>
  <c r="F78" i="5"/>
  <c r="F77" i="5" s="1"/>
  <c r="O77" i="5"/>
  <c r="N77" i="5"/>
  <c r="M77" i="5"/>
  <c r="K77" i="5"/>
  <c r="J77" i="5"/>
  <c r="H77" i="5"/>
  <c r="H76" i="5" s="1"/>
  <c r="G77" i="5"/>
  <c r="E77" i="5"/>
  <c r="D77" i="5"/>
  <c r="D76" i="5" s="1"/>
  <c r="J76" i="5"/>
  <c r="O74" i="5"/>
  <c r="L74" i="5"/>
  <c r="I74" i="5"/>
  <c r="F74" i="5"/>
  <c r="O73" i="5"/>
  <c r="L73" i="5"/>
  <c r="I73" i="5"/>
  <c r="F73" i="5"/>
  <c r="O72" i="5"/>
  <c r="L72" i="5"/>
  <c r="I72" i="5"/>
  <c r="F72" i="5"/>
  <c r="O71" i="5"/>
  <c r="L71" i="5"/>
  <c r="I71" i="5"/>
  <c r="F71" i="5"/>
  <c r="O70" i="5"/>
  <c r="L70" i="5"/>
  <c r="L69" i="5" s="1"/>
  <c r="I70" i="5"/>
  <c r="F70" i="5"/>
  <c r="F69" i="5" s="1"/>
  <c r="O69" i="5"/>
  <c r="N69" i="5"/>
  <c r="N67" i="5" s="1"/>
  <c r="M69" i="5"/>
  <c r="M67" i="5" s="1"/>
  <c r="K69" i="5"/>
  <c r="K67" i="5" s="1"/>
  <c r="J69" i="5"/>
  <c r="J67" i="5" s="1"/>
  <c r="H69" i="5"/>
  <c r="H67" i="5" s="1"/>
  <c r="G69" i="5"/>
  <c r="G67" i="5" s="1"/>
  <c r="E69" i="5"/>
  <c r="E67" i="5" s="1"/>
  <c r="D69" i="5"/>
  <c r="D67" i="5" s="1"/>
  <c r="O68" i="5"/>
  <c r="L68" i="5"/>
  <c r="I68" i="5"/>
  <c r="F68" i="5"/>
  <c r="O66" i="5"/>
  <c r="L66" i="5"/>
  <c r="I66" i="5"/>
  <c r="F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N58" i="5"/>
  <c r="M58" i="5"/>
  <c r="K58" i="5"/>
  <c r="J58" i="5"/>
  <c r="H58" i="5"/>
  <c r="G58" i="5"/>
  <c r="F58" i="5"/>
  <c r="E58" i="5"/>
  <c r="D58" i="5"/>
  <c r="O57" i="5"/>
  <c r="L57" i="5"/>
  <c r="I57" i="5"/>
  <c r="F57" i="5"/>
  <c r="O56" i="5"/>
  <c r="L56" i="5"/>
  <c r="I56" i="5"/>
  <c r="I55" i="5" s="1"/>
  <c r="F56" i="5"/>
  <c r="N55" i="5"/>
  <c r="M55" i="5"/>
  <c r="K55" i="5"/>
  <c r="J55" i="5"/>
  <c r="J54" i="5" s="1"/>
  <c r="H55" i="5"/>
  <c r="G55" i="5"/>
  <c r="E55" i="5"/>
  <c r="E54" i="5" s="1"/>
  <c r="D55" i="5"/>
  <c r="O47" i="5"/>
  <c r="C47" i="5" s="1"/>
  <c r="O46" i="5"/>
  <c r="C46" i="5" s="1"/>
  <c r="N45" i="5"/>
  <c r="M45" i="5"/>
  <c r="L44" i="5"/>
  <c r="L43" i="5" s="1"/>
  <c r="I44" i="5"/>
  <c r="I43" i="5" s="1"/>
  <c r="F44" i="5"/>
  <c r="K43" i="5"/>
  <c r="J43" i="5"/>
  <c r="H43" i="5"/>
  <c r="G43" i="5"/>
  <c r="E43" i="5"/>
  <c r="D43" i="5"/>
  <c r="F42" i="5"/>
  <c r="C42" i="5" s="1"/>
  <c r="E41" i="5"/>
  <c r="D41" i="5"/>
  <c r="L40" i="5"/>
  <c r="C40" i="5" s="1"/>
  <c r="L39" i="5"/>
  <c r="C39" i="5" s="1"/>
  <c r="L38" i="5"/>
  <c r="C38" i="5" s="1"/>
  <c r="L37" i="5"/>
  <c r="C37" i="5" s="1"/>
  <c r="K36" i="5"/>
  <c r="J36" i="5"/>
  <c r="L35" i="5"/>
  <c r="C35" i="5" s="1"/>
  <c r="L34" i="5"/>
  <c r="C34" i="5" s="1"/>
  <c r="K33" i="5"/>
  <c r="J33" i="5"/>
  <c r="L32" i="5"/>
  <c r="C32" i="5" s="1"/>
  <c r="K31" i="5"/>
  <c r="J31" i="5"/>
  <c r="L30" i="5"/>
  <c r="C30" i="5" s="1"/>
  <c r="L29" i="5"/>
  <c r="C29" i="5" s="1"/>
  <c r="L28" i="5"/>
  <c r="C28" i="5" s="1"/>
  <c r="K27" i="5"/>
  <c r="J27" i="5"/>
  <c r="F25" i="5"/>
  <c r="C25" i="5" s="1"/>
  <c r="I24" i="5"/>
  <c r="F24" i="5"/>
  <c r="C24" i="5" s="1"/>
  <c r="O23" i="5"/>
  <c r="L23" i="5"/>
  <c r="I23" i="5"/>
  <c r="F23" i="5"/>
  <c r="O22" i="5"/>
  <c r="O21" i="5" s="1"/>
  <c r="L22" i="5"/>
  <c r="L21" i="5" s="1"/>
  <c r="L292" i="5" s="1"/>
  <c r="I22" i="5"/>
  <c r="I21" i="5" s="1"/>
  <c r="F22" i="5"/>
  <c r="F21" i="5" s="1"/>
  <c r="N21" i="5"/>
  <c r="N292" i="5" s="1"/>
  <c r="N291" i="5" s="1"/>
  <c r="M21" i="5"/>
  <c r="M292" i="5" s="1"/>
  <c r="K21" i="5"/>
  <c r="K292" i="5" s="1"/>
  <c r="K291" i="5" s="1"/>
  <c r="J21" i="5"/>
  <c r="H21" i="5"/>
  <c r="H292" i="5" s="1"/>
  <c r="G21" i="5"/>
  <c r="G292" i="5" s="1"/>
  <c r="G291" i="5" s="1"/>
  <c r="E21" i="5"/>
  <c r="E292" i="5" s="1"/>
  <c r="E291" i="5" s="1"/>
  <c r="D21" i="5"/>
  <c r="F166" i="5" l="1"/>
  <c r="F292" i="5"/>
  <c r="I187" i="5"/>
  <c r="C262" i="5"/>
  <c r="L198" i="5"/>
  <c r="C113" i="5"/>
  <c r="C117" i="5"/>
  <c r="G173" i="5"/>
  <c r="C206" i="5"/>
  <c r="C214" i="5"/>
  <c r="C218" i="5"/>
  <c r="C221" i="5"/>
  <c r="C226" i="5"/>
  <c r="M231" i="5"/>
  <c r="C119" i="5"/>
  <c r="C120" i="5"/>
  <c r="C129" i="5"/>
  <c r="D130" i="5"/>
  <c r="C274" i="5"/>
  <c r="K26" i="5"/>
  <c r="K20" i="5" s="1"/>
  <c r="E231" i="5"/>
  <c r="E20" i="5"/>
  <c r="H54" i="5"/>
  <c r="C161" i="5"/>
  <c r="O260" i="5"/>
  <c r="C65" i="5"/>
  <c r="C93" i="5"/>
  <c r="M83" i="5"/>
  <c r="C296" i="5"/>
  <c r="L36" i="5"/>
  <c r="C36" i="5" s="1"/>
  <c r="C149" i="5"/>
  <c r="O198" i="5"/>
  <c r="O196" i="5" s="1"/>
  <c r="J231" i="5"/>
  <c r="J230" i="5" s="1"/>
  <c r="H259" i="5"/>
  <c r="N259" i="5"/>
  <c r="M20" i="5"/>
  <c r="D54" i="5"/>
  <c r="D53" i="5" s="1"/>
  <c r="N54" i="5"/>
  <c r="C109" i="5"/>
  <c r="C121" i="5"/>
  <c r="C125" i="5"/>
  <c r="C133" i="5"/>
  <c r="C137" i="5"/>
  <c r="I151" i="5"/>
  <c r="C169" i="5"/>
  <c r="C222" i="5"/>
  <c r="M204" i="5"/>
  <c r="M195" i="5" s="1"/>
  <c r="E259" i="5"/>
  <c r="I260" i="5"/>
  <c r="I272" i="5"/>
  <c r="C234" i="5"/>
  <c r="C258" i="5"/>
  <c r="L272" i="5"/>
  <c r="I270" i="5"/>
  <c r="I269" i="5" s="1"/>
  <c r="C278" i="5"/>
  <c r="C280" i="5"/>
  <c r="C298" i="5"/>
  <c r="C299" i="5"/>
  <c r="E53" i="5"/>
  <c r="C92" i="5"/>
  <c r="O89" i="5"/>
  <c r="J130" i="5"/>
  <c r="C181" i="5"/>
  <c r="G20" i="5"/>
  <c r="C44" i="5"/>
  <c r="G54" i="5"/>
  <c r="C61" i="5"/>
  <c r="C62" i="5"/>
  <c r="C64" i="5"/>
  <c r="N76" i="5"/>
  <c r="K83" i="5"/>
  <c r="C97" i="5"/>
  <c r="C101" i="5"/>
  <c r="C102" i="5"/>
  <c r="C108" i="5"/>
  <c r="C145" i="5"/>
  <c r="L144" i="5"/>
  <c r="C177" i="5"/>
  <c r="C202" i="5"/>
  <c r="C215" i="5"/>
  <c r="O238" i="5"/>
  <c r="C266" i="5"/>
  <c r="O272" i="5"/>
  <c r="H270" i="5"/>
  <c r="H269" i="5" s="1"/>
  <c r="O276" i="5"/>
  <c r="N269" i="5"/>
  <c r="L293" i="5"/>
  <c r="L291" i="5" s="1"/>
  <c r="C23" i="5"/>
  <c r="C57" i="5"/>
  <c r="E83" i="5"/>
  <c r="C168" i="5"/>
  <c r="M54" i="5"/>
  <c r="M53" i="5" s="1"/>
  <c r="I58" i="5"/>
  <c r="I54" i="5" s="1"/>
  <c r="G76" i="5"/>
  <c r="M76" i="5"/>
  <c r="C79" i="5"/>
  <c r="H83" i="5"/>
  <c r="I95" i="5"/>
  <c r="F128" i="5"/>
  <c r="N130" i="5"/>
  <c r="C157" i="5"/>
  <c r="F160" i="5"/>
  <c r="M173" i="5"/>
  <c r="H204" i="5"/>
  <c r="H195" i="5" s="1"/>
  <c r="C210" i="5"/>
  <c r="C237" i="5"/>
  <c r="C250" i="5"/>
  <c r="C254" i="5"/>
  <c r="C282" i="5"/>
  <c r="C242" i="5"/>
  <c r="O45" i="5"/>
  <c r="C45" i="5" s="1"/>
  <c r="H53" i="5"/>
  <c r="C56" i="5"/>
  <c r="O55" i="5"/>
  <c r="C63" i="5"/>
  <c r="C66" i="5"/>
  <c r="C68" i="5"/>
  <c r="O67" i="5"/>
  <c r="C73" i="5"/>
  <c r="L76" i="5"/>
  <c r="C81" i="5"/>
  <c r="D83" i="5"/>
  <c r="J83" i="5"/>
  <c r="J75" i="5" s="1"/>
  <c r="N83" i="5"/>
  <c r="N75" i="5" s="1"/>
  <c r="G83" i="5"/>
  <c r="I89" i="5"/>
  <c r="L95" i="5"/>
  <c r="I103" i="5"/>
  <c r="C111" i="5"/>
  <c r="I116" i="5"/>
  <c r="C123" i="5"/>
  <c r="C124" i="5"/>
  <c r="C135" i="5"/>
  <c r="C142" i="5"/>
  <c r="C154" i="5"/>
  <c r="C155" i="5"/>
  <c r="C156" i="5"/>
  <c r="C162" i="5"/>
  <c r="C163" i="5"/>
  <c r="C164" i="5"/>
  <c r="C171" i="5"/>
  <c r="C172" i="5"/>
  <c r="D173" i="5"/>
  <c r="I175" i="5"/>
  <c r="I174" i="5" s="1"/>
  <c r="I173" i="5" s="1"/>
  <c r="L175" i="5"/>
  <c r="I179" i="5"/>
  <c r="H187" i="5"/>
  <c r="N187" i="5"/>
  <c r="L188" i="5"/>
  <c r="L187" i="5" s="1"/>
  <c r="C213" i="5"/>
  <c r="C220" i="5"/>
  <c r="C225" i="5"/>
  <c r="C229" i="5"/>
  <c r="D231" i="5"/>
  <c r="D230" i="5" s="1"/>
  <c r="H231" i="5"/>
  <c r="H230" i="5" s="1"/>
  <c r="K231" i="5"/>
  <c r="C245" i="5"/>
  <c r="C247" i="5"/>
  <c r="O246" i="5"/>
  <c r="E230" i="5"/>
  <c r="O252" i="5"/>
  <c r="O251" i="5" s="1"/>
  <c r="K259" i="5"/>
  <c r="O264" i="5"/>
  <c r="O259" i="5" s="1"/>
  <c r="G269" i="5"/>
  <c r="F281" i="5"/>
  <c r="C281" i="5" s="1"/>
  <c r="I112" i="5"/>
  <c r="G187" i="5"/>
  <c r="D292" i="5"/>
  <c r="D291" i="5" s="1"/>
  <c r="H291" i="5"/>
  <c r="M291" i="5"/>
  <c r="K54" i="5"/>
  <c r="K53" i="5" s="1"/>
  <c r="O58" i="5"/>
  <c r="L58" i="5"/>
  <c r="C72" i="5"/>
  <c r="C74" i="5"/>
  <c r="C82" i="5"/>
  <c r="C86" i="5"/>
  <c r="C88" i="5"/>
  <c r="L116" i="5"/>
  <c r="C126" i="5"/>
  <c r="M130" i="5"/>
  <c r="K130" i="5"/>
  <c r="C141" i="5"/>
  <c r="C148" i="5"/>
  <c r="L179" i="5"/>
  <c r="C185" i="5"/>
  <c r="J187" i="5"/>
  <c r="C189" i="5"/>
  <c r="O187" i="5"/>
  <c r="C207" i="5"/>
  <c r="C212" i="5"/>
  <c r="C224" i="5"/>
  <c r="N231" i="5"/>
  <c r="C244" i="5"/>
  <c r="C257" i="5"/>
  <c r="C267" i="5"/>
  <c r="M270" i="5"/>
  <c r="M269" i="5" s="1"/>
  <c r="C294" i="5"/>
  <c r="J292" i="5"/>
  <c r="J291" i="5" s="1"/>
  <c r="L27" i="5"/>
  <c r="C27" i="5" s="1"/>
  <c r="J26" i="5"/>
  <c r="F41" i="5"/>
  <c r="C41" i="5" s="1"/>
  <c r="F43" i="5"/>
  <c r="C43" i="5" s="1"/>
  <c r="L55" i="5"/>
  <c r="L54" i="5" s="1"/>
  <c r="C60" i="5"/>
  <c r="C71" i="5"/>
  <c r="E76" i="5"/>
  <c r="K76" i="5"/>
  <c r="C87" i="5"/>
  <c r="C94" i="5"/>
  <c r="C99" i="5"/>
  <c r="C100" i="5"/>
  <c r="C105" i="5"/>
  <c r="C114" i="5"/>
  <c r="C115" i="5"/>
  <c r="L122" i="5"/>
  <c r="O131" i="5"/>
  <c r="L131" i="5"/>
  <c r="G130" i="5"/>
  <c r="G75" i="5" s="1"/>
  <c r="C139" i="5"/>
  <c r="C140" i="5"/>
  <c r="I144" i="5"/>
  <c r="L151" i="5"/>
  <c r="O166" i="5"/>
  <c r="O165" i="5" s="1"/>
  <c r="L166" i="5"/>
  <c r="L165" i="5" s="1"/>
  <c r="K174" i="5"/>
  <c r="K173" i="5" s="1"/>
  <c r="C178" i="5"/>
  <c r="C186" i="5"/>
  <c r="K187" i="5"/>
  <c r="K195" i="5"/>
  <c r="C201" i="5"/>
  <c r="D195" i="5"/>
  <c r="O205" i="5"/>
  <c r="C211" i="5"/>
  <c r="E204" i="5"/>
  <c r="O216" i="5"/>
  <c r="J204" i="5"/>
  <c r="J195" i="5" s="1"/>
  <c r="J194" i="5" s="1"/>
  <c r="N204" i="5"/>
  <c r="N195" i="5" s="1"/>
  <c r="L246" i="5"/>
  <c r="C256" i="5"/>
  <c r="L264" i="5"/>
  <c r="C279" i="5"/>
  <c r="D269" i="5"/>
  <c r="C295" i="5"/>
  <c r="I20" i="5"/>
  <c r="C80" i="5"/>
  <c r="J53" i="5"/>
  <c r="G53" i="5"/>
  <c r="D75" i="5"/>
  <c r="O76" i="5"/>
  <c r="O292" i="5"/>
  <c r="N53" i="5"/>
  <c r="L67" i="5"/>
  <c r="F76" i="5"/>
  <c r="C180" i="5"/>
  <c r="F179" i="5"/>
  <c r="C217" i="5"/>
  <c r="F216" i="5"/>
  <c r="C268" i="5"/>
  <c r="I264" i="5"/>
  <c r="I259" i="5" s="1"/>
  <c r="C301" i="5"/>
  <c r="D20" i="5"/>
  <c r="H20" i="5"/>
  <c r="C21" i="5"/>
  <c r="F55" i="5"/>
  <c r="F67" i="5"/>
  <c r="C70" i="5"/>
  <c r="C78" i="5"/>
  <c r="C90" i="5"/>
  <c r="L89" i="5"/>
  <c r="C96" i="5"/>
  <c r="F95" i="5"/>
  <c r="C106" i="5"/>
  <c r="C107" i="5"/>
  <c r="O116" i="5"/>
  <c r="F122" i="5"/>
  <c r="I122" i="5"/>
  <c r="C127" i="5"/>
  <c r="C128" i="5"/>
  <c r="E130" i="5"/>
  <c r="C132" i="5"/>
  <c r="F131" i="5"/>
  <c r="C138" i="5"/>
  <c r="C146" i="5"/>
  <c r="C147" i="5"/>
  <c r="C158" i="5"/>
  <c r="C159" i="5"/>
  <c r="C160" i="5"/>
  <c r="C167" i="5"/>
  <c r="O175" i="5"/>
  <c r="L174" i="5"/>
  <c r="L173" i="5" s="1"/>
  <c r="C182" i="5"/>
  <c r="C183" i="5"/>
  <c r="C184" i="5"/>
  <c r="C241" i="5"/>
  <c r="F238" i="5"/>
  <c r="C261" i="5"/>
  <c r="F260" i="5"/>
  <c r="L33" i="5"/>
  <c r="C33" i="5" s="1"/>
  <c r="C85" i="5"/>
  <c r="C104" i="5"/>
  <c r="F103" i="5"/>
  <c r="C59" i="5"/>
  <c r="I69" i="5"/>
  <c r="I67" i="5" s="1"/>
  <c r="I77" i="5"/>
  <c r="I76" i="5" s="1"/>
  <c r="F84" i="5"/>
  <c r="C110" i="5"/>
  <c r="C118" i="5"/>
  <c r="C150" i="5"/>
  <c r="O151" i="5"/>
  <c r="O130" i="5" s="1"/>
  <c r="F165" i="5"/>
  <c r="C170" i="5"/>
  <c r="E174" i="5"/>
  <c r="E173" i="5" s="1"/>
  <c r="C176" i="5"/>
  <c r="F175" i="5"/>
  <c r="C190" i="5"/>
  <c r="C253" i="5"/>
  <c r="F252" i="5"/>
  <c r="C22" i="5"/>
  <c r="L31" i="5"/>
  <c r="J20" i="5"/>
  <c r="N20" i="5"/>
  <c r="C91" i="5"/>
  <c r="C98" i="5"/>
  <c r="O103" i="5"/>
  <c r="L103" i="5"/>
  <c r="O122" i="5"/>
  <c r="H130" i="5"/>
  <c r="C134" i="5"/>
  <c r="C143" i="5"/>
  <c r="C152" i="5"/>
  <c r="F151" i="5"/>
  <c r="O179" i="5"/>
  <c r="C248" i="5"/>
  <c r="I246" i="5"/>
  <c r="I136" i="5"/>
  <c r="C193" i="5"/>
  <c r="F192" i="5"/>
  <c r="E195" i="5"/>
  <c r="L196" i="5"/>
  <c r="L205" i="5"/>
  <c r="C209" i="5"/>
  <c r="F205" i="5"/>
  <c r="C219" i="5"/>
  <c r="C235" i="5"/>
  <c r="G231" i="5"/>
  <c r="G230" i="5" s="1"/>
  <c r="C240" i="5"/>
  <c r="I238" i="5"/>
  <c r="C243" i="5"/>
  <c r="C255" i="5"/>
  <c r="C263" i="5"/>
  <c r="E270" i="5"/>
  <c r="E269" i="5" s="1"/>
  <c r="C273" i="5"/>
  <c r="F272" i="5"/>
  <c r="C272" i="5" s="1"/>
  <c r="C288" i="5"/>
  <c r="I286" i="5"/>
  <c r="C300" i="5"/>
  <c r="F112" i="5"/>
  <c r="F116" i="5"/>
  <c r="F136" i="5"/>
  <c r="F144" i="5"/>
  <c r="C144" i="5" s="1"/>
  <c r="C200" i="5"/>
  <c r="I198" i="5"/>
  <c r="C203" i="5"/>
  <c r="C208" i="5"/>
  <c r="I205" i="5"/>
  <c r="C223" i="5"/>
  <c r="C236" i="5"/>
  <c r="C239" i="5"/>
  <c r="L238" i="5"/>
  <c r="L231" i="5" s="1"/>
  <c r="L252" i="5"/>
  <c r="L251" i="5" s="1"/>
  <c r="M259" i="5"/>
  <c r="M230" i="5" s="1"/>
  <c r="L260" i="5"/>
  <c r="L259" i="5" s="1"/>
  <c r="C265" i="5"/>
  <c r="F264" i="5"/>
  <c r="L270" i="5"/>
  <c r="L269" i="5" s="1"/>
  <c r="C275" i="5"/>
  <c r="C285" i="5"/>
  <c r="F284" i="5"/>
  <c r="O293" i="5"/>
  <c r="C197" i="5"/>
  <c r="F196" i="5"/>
  <c r="L216" i="5"/>
  <c r="I227" i="5"/>
  <c r="C227" i="5" s="1"/>
  <c r="C228" i="5"/>
  <c r="C232" i="5"/>
  <c r="C233" i="5"/>
  <c r="C249" i="5"/>
  <c r="F246" i="5"/>
  <c r="C277" i="5"/>
  <c r="F276" i="5"/>
  <c r="C297" i="5"/>
  <c r="F293" i="5"/>
  <c r="C199" i="5"/>
  <c r="C271" i="5"/>
  <c r="C287" i="5"/>
  <c r="O291" i="5" l="1"/>
  <c r="D52" i="5"/>
  <c r="D51" i="5" s="1"/>
  <c r="N230" i="5"/>
  <c r="N194" i="5" s="1"/>
  <c r="E75" i="5"/>
  <c r="D289" i="5"/>
  <c r="D194" i="5"/>
  <c r="I130" i="5"/>
  <c r="C151" i="5"/>
  <c r="G194" i="5"/>
  <c r="E52" i="5"/>
  <c r="C179" i="5"/>
  <c r="L130" i="5"/>
  <c r="O231" i="5"/>
  <c r="C67" i="5"/>
  <c r="C293" i="5"/>
  <c r="E289" i="5"/>
  <c r="I231" i="5"/>
  <c r="I230" i="5" s="1"/>
  <c r="O83" i="5"/>
  <c r="O75" i="5" s="1"/>
  <c r="O20" i="5"/>
  <c r="M75" i="5"/>
  <c r="M52" i="5" s="1"/>
  <c r="C58" i="5"/>
  <c r="I83" i="5"/>
  <c r="I75" i="5" s="1"/>
  <c r="I53" i="5"/>
  <c r="L230" i="5"/>
  <c r="H75" i="5"/>
  <c r="H52" i="5" s="1"/>
  <c r="C95" i="5"/>
  <c r="J52" i="5"/>
  <c r="J51" i="5" s="1"/>
  <c r="K75" i="5"/>
  <c r="K52" i="5" s="1"/>
  <c r="O270" i="5"/>
  <c r="O269" i="5" s="1"/>
  <c r="C276" i="5"/>
  <c r="C112" i="5"/>
  <c r="N52" i="5"/>
  <c r="H289" i="5"/>
  <c r="C246" i="5"/>
  <c r="J289" i="5"/>
  <c r="F20" i="5"/>
  <c r="C166" i="5"/>
  <c r="O174" i="5"/>
  <c r="O173" i="5" s="1"/>
  <c r="L53" i="5"/>
  <c r="K230" i="5"/>
  <c r="C188" i="5"/>
  <c r="C165" i="5"/>
  <c r="L83" i="5"/>
  <c r="C77" i="5"/>
  <c r="G52" i="5"/>
  <c r="G51" i="5" s="1"/>
  <c r="G50" i="5" s="1"/>
  <c r="O230" i="5"/>
  <c r="H194" i="5"/>
  <c r="O204" i="5"/>
  <c r="O195" i="5" s="1"/>
  <c r="O54" i="5"/>
  <c r="O53" i="5" s="1"/>
  <c r="E194" i="5"/>
  <c r="E51" i="5" s="1"/>
  <c r="C131" i="5"/>
  <c r="F130" i="5"/>
  <c r="C136" i="5"/>
  <c r="G289" i="5"/>
  <c r="L204" i="5"/>
  <c r="L195" i="5" s="1"/>
  <c r="C192" i="5"/>
  <c r="F191" i="5"/>
  <c r="C84" i="5"/>
  <c r="F83" i="5"/>
  <c r="C55" i="5"/>
  <c r="F54" i="5"/>
  <c r="C76" i="5"/>
  <c r="F231" i="5"/>
  <c r="C238" i="5"/>
  <c r="C89" i="5"/>
  <c r="C284" i="5"/>
  <c r="F283" i="5"/>
  <c r="C283" i="5" s="1"/>
  <c r="I204" i="5"/>
  <c r="C198" i="5"/>
  <c r="I196" i="5"/>
  <c r="C116" i="5"/>
  <c r="C31" i="5"/>
  <c r="L26" i="5"/>
  <c r="F270" i="5"/>
  <c r="C103" i="5"/>
  <c r="C286" i="5"/>
  <c r="C260" i="5"/>
  <c r="F259" i="5"/>
  <c r="C259" i="5" s="1"/>
  <c r="C122" i="5"/>
  <c r="F291" i="5"/>
  <c r="C216" i="5"/>
  <c r="C69" i="5"/>
  <c r="I292" i="5"/>
  <c r="C196" i="5"/>
  <c r="C264" i="5"/>
  <c r="C205" i="5"/>
  <c r="F204" i="5"/>
  <c r="F195" i="5" s="1"/>
  <c r="M194" i="5"/>
  <c r="M51" i="5" s="1"/>
  <c r="C252" i="5"/>
  <c r="F251" i="5"/>
  <c r="C251" i="5" s="1"/>
  <c r="C175" i="5"/>
  <c r="F174" i="5"/>
  <c r="O194" i="5" l="1"/>
  <c r="N51" i="5"/>
  <c r="N289" i="5"/>
  <c r="G290" i="5"/>
  <c r="L75" i="5"/>
  <c r="L52" i="5" s="1"/>
  <c r="M289" i="5"/>
  <c r="L194" i="5"/>
  <c r="C130" i="5"/>
  <c r="H51" i="5"/>
  <c r="H50" i="5" s="1"/>
  <c r="N50" i="5"/>
  <c r="N290" i="5"/>
  <c r="J50" i="5"/>
  <c r="J290" i="5"/>
  <c r="I52" i="5"/>
  <c r="F75" i="5"/>
  <c r="C83" i="5"/>
  <c r="H290" i="5"/>
  <c r="O52" i="5"/>
  <c r="O51" i="5" s="1"/>
  <c r="O50" i="5" s="1"/>
  <c r="C204" i="5"/>
  <c r="K194" i="5"/>
  <c r="K51" i="5" s="1"/>
  <c r="K289" i="5"/>
  <c r="M50" i="5"/>
  <c r="M290" i="5"/>
  <c r="E290" i="5"/>
  <c r="E50" i="5"/>
  <c r="D290" i="5"/>
  <c r="D50" i="5"/>
  <c r="C26" i="5"/>
  <c r="L20" i="5"/>
  <c r="C20" i="5" s="1"/>
  <c r="F173" i="5"/>
  <c r="C173" i="5" s="1"/>
  <c r="C174" i="5"/>
  <c r="I195" i="5"/>
  <c r="F53" i="5"/>
  <c r="C54" i="5"/>
  <c r="F230" i="5"/>
  <c r="C230" i="5" s="1"/>
  <c r="C231" i="5"/>
  <c r="O289" i="5"/>
  <c r="C292" i="5"/>
  <c r="I291" i="5"/>
  <c r="C291" i="5" s="1"/>
  <c r="F269" i="5"/>
  <c r="C270" i="5"/>
  <c r="C191" i="5"/>
  <c r="F187" i="5"/>
  <c r="C187" i="5" s="1"/>
  <c r="L51" i="5" l="1"/>
  <c r="L50" i="5" s="1"/>
  <c r="L289" i="5"/>
  <c r="C75" i="5"/>
  <c r="O290" i="5"/>
  <c r="L290" i="5"/>
  <c r="K50" i="5"/>
  <c r="K290" i="5"/>
  <c r="F194" i="5"/>
  <c r="I194" i="5"/>
  <c r="I51" i="5" s="1"/>
  <c r="I289" i="5"/>
  <c r="C269" i="5"/>
  <c r="F289" i="5"/>
  <c r="C195" i="5"/>
  <c r="F52" i="5"/>
  <c r="C53" i="5"/>
  <c r="C289" i="5" l="1"/>
  <c r="I290" i="5"/>
  <c r="I50" i="5"/>
  <c r="C194" i="5"/>
  <c r="C52" i="5"/>
  <c r="F51" i="5"/>
  <c r="F290" i="5" l="1"/>
  <c r="C290" i="5" s="1"/>
  <c r="C51" i="5"/>
  <c r="F50" i="5"/>
  <c r="C50" i="5" s="1"/>
  <c r="O301" i="4" l="1"/>
  <c r="L301" i="4"/>
  <c r="I301" i="4"/>
  <c r="F301" i="4"/>
  <c r="C301" i="4" s="1"/>
  <c r="O300" i="4"/>
  <c r="L300" i="4"/>
  <c r="I300" i="4"/>
  <c r="F300" i="4"/>
  <c r="O299" i="4"/>
  <c r="L299" i="4"/>
  <c r="I299" i="4"/>
  <c r="F299" i="4"/>
  <c r="O298" i="4"/>
  <c r="L298" i="4"/>
  <c r="I298" i="4"/>
  <c r="F298" i="4"/>
  <c r="O297" i="4"/>
  <c r="L297" i="4"/>
  <c r="I297" i="4"/>
  <c r="F297" i="4"/>
  <c r="O296" i="4"/>
  <c r="L296" i="4"/>
  <c r="I296" i="4"/>
  <c r="F296" i="4"/>
  <c r="O295" i="4"/>
  <c r="L295" i="4"/>
  <c r="I295" i="4"/>
  <c r="F295" i="4"/>
  <c r="O294" i="4"/>
  <c r="L294" i="4"/>
  <c r="I294" i="4"/>
  <c r="F294" i="4"/>
  <c r="N293" i="4"/>
  <c r="M293" i="4"/>
  <c r="K293" i="4"/>
  <c r="J293" i="4"/>
  <c r="H293" i="4"/>
  <c r="G293" i="4"/>
  <c r="E293" i="4"/>
  <c r="D293" i="4"/>
  <c r="O288" i="4"/>
  <c r="L288" i="4"/>
  <c r="I288" i="4"/>
  <c r="F288" i="4"/>
  <c r="O287" i="4"/>
  <c r="O286" i="4" s="1"/>
  <c r="L287" i="4"/>
  <c r="I287" i="4"/>
  <c r="I286" i="4" s="1"/>
  <c r="F287" i="4"/>
  <c r="C287" i="4" s="1"/>
  <c r="N286" i="4"/>
  <c r="M286" i="4"/>
  <c r="K286" i="4"/>
  <c r="J286" i="4"/>
  <c r="H286" i="4"/>
  <c r="G286" i="4"/>
  <c r="E286" i="4"/>
  <c r="D286" i="4"/>
  <c r="O285" i="4"/>
  <c r="O284" i="4" s="1"/>
  <c r="L285" i="4"/>
  <c r="L284" i="4" s="1"/>
  <c r="L283" i="4" s="1"/>
  <c r="I285" i="4"/>
  <c r="I284" i="4" s="1"/>
  <c r="I283" i="4" s="1"/>
  <c r="F285" i="4"/>
  <c r="N284" i="4"/>
  <c r="N283" i="4" s="1"/>
  <c r="M284" i="4"/>
  <c r="M283" i="4" s="1"/>
  <c r="K284" i="4"/>
  <c r="K283" i="4" s="1"/>
  <c r="J284" i="4"/>
  <c r="J283" i="4" s="1"/>
  <c r="H284" i="4"/>
  <c r="G284" i="4"/>
  <c r="G283" i="4" s="1"/>
  <c r="E284" i="4"/>
  <c r="E283" i="4" s="1"/>
  <c r="D284" i="4"/>
  <c r="D283" i="4" s="1"/>
  <c r="H283" i="4"/>
  <c r="O282" i="4"/>
  <c r="O281" i="4" s="1"/>
  <c r="L282" i="4"/>
  <c r="L281" i="4" s="1"/>
  <c r="I282" i="4"/>
  <c r="I281" i="4" s="1"/>
  <c r="F282" i="4"/>
  <c r="N281" i="4"/>
  <c r="M281" i="4"/>
  <c r="K281" i="4"/>
  <c r="J281" i="4"/>
  <c r="H281" i="4"/>
  <c r="G281" i="4"/>
  <c r="E281" i="4"/>
  <c r="D281" i="4"/>
  <c r="O280" i="4"/>
  <c r="L280" i="4"/>
  <c r="I280" i="4"/>
  <c r="F280" i="4"/>
  <c r="O279" i="4"/>
  <c r="L279" i="4"/>
  <c r="I279" i="4"/>
  <c r="F279" i="4"/>
  <c r="O278" i="4"/>
  <c r="L278" i="4"/>
  <c r="I278" i="4"/>
  <c r="F278" i="4"/>
  <c r="O277" i="4"/>
  <c r="O276" i="4" s="1"/>
  <c r="L277" i="4"/>
  <c r="I277" i="4"/>
  <c r="F277" i="4"/>
  <c r="N276" i="4"/>
  <c r="M276" i="4"/>
  <c r="K276" i="4"/>
  <c r="J276" i="4"/>
  <c r="H276" i="4"/>
  <c r="G276" i="4"/>
  <c r="E276" i="4"/>
  <c r="D276" i="4"/>
  <c r="O275" i="4"/>
  <c r="L275" i="4"/>
  <c r="I275" i="4"/>
  <c r="F275" i="4"/>
  <c r="O274" i="4"/>
  <c r="L274" i="4"/>
  <c r="I274" i="4"/>
  <c r="F274" i="4"/>
  <c r="O273" i="4"/>
  <c r="L273" i="4"/>
  <c r="L272" i="4" s="1"/>
  <c r="I273" i="4"/>
  <c r="F273" i="4"/>
  <c r="O272" i="4"/>
  <c r="N272" i="4"/>
  <c r="N270" i="4" s="1"/>
  <c r="N269" i="4" s="1"/>
  <c r="M272" i="4"/>
  <c r="K272" i="4"/>
  <c r="J272" i="4"/>
  <c r="J270" i="4" s="1"/>
  <c r="J269" i="4" s="1"/>
  <c r="H272" i="4"/>
  <c r="G272" i="4"/>
  <c r="F272" i="4"/>
  <c r="E272" i="4"/>
  <c r="D272" i="4"/>
  <c r="O271" i="4"/>
  <c r="L271" i="4"/>
  <c r="I271" i="4"/>
  <c r="F271" i="4"/>
  <c r="O268" i="4"/>
  <c r="L268" i="4"/>
  <c r="I268" i="4"/>
  <c r="F268" i="4"/>
  <c r="O267" i="4"/>
  <c r="L267" i="4"/>
  <c r="I267" i="4"/>
  <c r="F267" i="4"/>
  <c r="O266" i="4"/>
  <c r="L266" i="4"/>
  <c r="I266" i="4"/>
  <c r="F266" i="4"/>
  <c r="O265" i="4"/>
  <c r="L265" i="4"/>
  <c r="L264" i="4" s="1"/>
  <c r="I265" i="4"/>
  <c r="F265" i="4"/>
  <c r="N264" i="4"/>
  <c r="M264" i="4"/>
  <c r="K264" i="4"/>
  <c r="J264" i="4"/>
  <c r="H264" i="4"/>
  <c r="G264" i="4"/>
  <c r="E264" i="4"/>
  <c r="D264" i="4"/>
  <c r="O263" i="4"/>
  <c r="L263" i="4"/>
  <c r="I263" i="4"/>
  <c r="F263" i="4"/>
  <c r="O262" i="4"/>
  <c r="L262" i="4"/>
  <c r="I262" i="4"/>
  <c r="F262" i="4"/>
  <c r="O261" i="4"/>
  <c r="O260" i="4" s="1"/>
  <c r="L261" i="4"/>
  <c r="I261" i="4"/>
  <c r="F261" i="4"/>
  <c r="N260" i="4"/>
  <c r="N259" i="4" s="1"/>
  <c r="M260" i="4"/>
  <c r="L260" i="4"/>
  <c r="K260" i="4"/>
  <c r="K259" i="4" s="1"/>
  <c r="J260" i="4"/>
  <c r="H260" i="4"/>
  <c r="G260" i="4"/>
  <c r="G259" i="4" s="1"/>
  <c r="E260" i="4"/>
  <c r="D260" i="4"/>
  <c r="O258" i="4"/>
  <c r="L258" i="4"/>
  <c r="I258" i="4"/>
  <c r="F258" i="4"/>
  <c r="O257" i="4"/>
  <c r="L257" i="4"/>
  <c r="I257" i="4"/>
  <c r="F257" i="4"/>
  <c r="O256" i="4"/>
  <c r="L256" i="4"/>
  <c r="I256" i="4"/>
  <c r="F256" i="4"/>
  <c r="O255" i="4"/>
  <c r="L255" i="4"/>
  <c r="I255" i="4"/>
  <c r="F255" i="4"/>
  <c r="O254" i="4"/>
  <c r="L254" i="4"/>
  <c r="I254" i="4"/>
  <c r="F254" i="4"/>
  <c r="O253" i="4"/>
  <c r="O252" i="4" s="1"/>
  <c r="O251" i="4" s="1"/>
  <c r="L253" i="4"/>
  <c r="I253" i="4"/>
  <c r="I252" i="4" s="1"/>
  <c r="F253" i="4"/>
  <c r="N252" i="4"/>
  <c r="N251" i="4" s="1"/>
  <c r="M252" i="4"/>
  <c r="M251" i="4" s="1"/>
  <c r="K252" i="4"/>
  <c r="J252" i="4"/>
  <c r="J251" i="4" s="1"/>
  <c r="H252" i="4"/>
  <c r="H251" i="4" s="1"/>
  <c r="G252" i="4"/>
  <c r="G251" i="4" s="1"/>
  <c r="E252" i="4"/>
  <c r="D252" i="4"/>
  <c r="D251" i="4" s="1"/>
  <c r="K251" i="4"/>
  <c r="E251" i="4"/>
  <c r="O250" i="4"/>
  <c r="L250" i="4"/>
  <c r="I250" i="4"/>
  <c r="F250" i="4"/>
  <c r="O249" i="4"/>
  <c r="L249" i="4"/>
  <c r="I249" i="4"/>
  <c r="F249" i="4"/>
  <c r="O248" i="4"/>
  <c r="L248" i="4"/>
  <c r="I248" i="4"/>
  <c r="F248" i="4"/>
  <c r="O247" i="4"/>
  <c r="L247" i="4"/>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I238" i="4" s="1"/>
  <c r="F239" i="4"/>
  <c r="N238" i="4"/>
  <c r="M238" i="4"/>
  <c r="K238" i="4"/>
  <c r="J238" i="4"/>
  <c r="H238" i="4"/>
  <c r="G238" i="4"/>
  <c r="E238" i="4"/>
  <c r="D238" i="4"/>
  <c r="O237" i="4"/>
  <c r="L237" i="4"/>
  <c r="I237" i="4"/>
  <c r="F237" i="4"/>
  <c r="O236" i="4"/>
  <c r="L236" i="4"/>
  <c r="L235" i="4" s="1"/>
  <c r="I236" i="4"/>
  <c r="F236" i="4"/>
  <c r="F235" i="4" s="1"/>
  <c r="O235" i="4"/>
  <c r="N235" i="4"/>
  <c r="M235" i="4"/>
  <c r="K235" i="4"/>
  <c r="J235" i="4"/>
  <c r="H235" i="4"/>
  <c r="G235" i="4"/>
  <c r="E235" i="4"/>
  <c r="D235" i="4"/>
  <c r="O234" i="4"/>
  <c r="L234" i="4"/>
  <c r="L233" i="4" s="1"/>
  <c r="I234" i="4"/>
  <c r="I233" i="4" s="1"/>
  <c r="F234" i="4"/>
  <c r="O233" i="4"/>
  <c r="N233" i="4"/>
  <c r="M233" i="4"/>
  <c r="K233" i="4"/>
  <c r="J233" i="4"/>
  <c r="H233" i="4"/>
  <c r="G233" i="4"/>
  <c r="F233" i="4"/>
  <c r="E233" i="4"/>
  <c r="D233" i="4"/>
  <c r="O232" i="4"/>
  <c r="L232" i="4"/>
  <c r="I232" i="4"/>
  <c r="F232" i="4"/>
  <c r="O229" i="4"/>
  <c r="L229" i="4"/>
  <c r="I229" i="4"/>
  <c r="F229" i="4"/>
  <c r="O228" i="4"/>
  <c r="L228" i="4"/>
  <c r="L227" i="4" s="1"/>
  <c r="I228" i="4"/>
  <c r="I227" i="4" s="1"/>
  <c r="F228" i="4"/>
  <c r="O227" i="4"/>
  <c r="N227" i="4"/>
  <c r="M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I205" i="4" s="1"/>
  <c r="F206" i="4"/>
  <c r="N205" i="4"/>
  <c r="M205" i="4"/>
  <c r="K205" i="4"/>
  <c r="K204" i="4" s="1"/>
  <c r="J205" i="4"/>
  <c r="H205" i="4"/>
  <c r="G205" i="4"/>
  <c r="E205" i="4"/>
  <c r="D205" i="4"/>
  <c r="J204" i="4"/>
  <c r="O203" i="4"/>
  <c r="L203" i="4"/>
  <c r="I203" i="4"/>
  <c r="F203" i="4"/>
  <c r="O202" i="4"/>
  <c r="L202" i="4"/>
  <c r="I202" i="4"/>
  <c r="F202" i="4"/>
  <c r="O201" i="4"/>
  <c r="L201" i="4"/>
  <c r="I201" i="4"/>
  <c r="F201" i="4"/>
  <c r="O200" i="4"/>
  <c r="L200" i="4"/>
  <c r="I200" i="4"/>
  <c r="F200" i="4"/>
  <c r="O199" i="4"/>
  <c r="L199" i="4"/>
  <c r="L198" i="4" s="1"/>
  <c r="I199" i="4"/>
  <c r="I198" i="4" s="1"/>
  <c r="F199" i="4"/>
  <c r="F198" i="4" s="1"/>
  <c r="N198" i="4"/>
  <c r="M198" i="4"/>
  <c r="M196" i="4" s="1"/>
  <c r="K198" i="4"/>
  <c r="J198" i="4"/>
  <c r="J196" i="4" s="1"/>
  <c r="H198" i="4"/>
  <c r="H196" i="4" s="1"/>
  <c r="G198" i="4"/>
  <c r="G196" i="4" s="1"/>
  <c r="E198" i="4"/>
  <c r="E196" i="4" s="1"/>
  <c r="D198" i="4"/>
  <c r="D196" i="4" s="1"/>
  <c r="O197" i="4"/>
  <c r="L197" i="4"/>
  <c r="I197" i="4"/>
  <c r="F197" i="4"/>
  <c r="N196" i="4"/>
  <c r="K196" i="4"/>
  <c r="O193" i="4"/>
  <c r="L193" i="4"/>
  <c r="I193" i="4"/>
  <c r="I192" i="4" s="1"/>
  <c r="I191" i="4" s="1"/>
  <c r="F193" i="4"/>
  <c r="F192" i="4" s="1"/>
  <c r="O192" i="4"/>
  <c r="O191" i="4" s="1"/>
  <c r="N192" i="4"/>
  <c r="M192" i="4"/>
  <c r="M191" i="4" s="1"/>
  <c r="K192" i="4"/>
  <c r="K191" i="4" s="1"/>
  <c r="J192" i="4"/>
  <c r="H192" i="4"/>
  <c r="H191" i="4" s="1"/>
  <c r="G192" i="4"/>
  <c r="G191" i="4" s="1"/>
  <c r="E192" i="4"/>
  <c r="E191" i="4" s="1"/>
  <c r="D192" i="4"/>
  <c r="N191" i="4"/>
  <c r="J191" i="4"/>
  <c r="F191" i="4"/>
  <c r="D191" i="4"/>
  <c r="O190" i="4"/>
  <c r="L190" i="4"/>
  <c r="I190" i="4"/>
  <c r="F190" i="4"/>
  <c r="O189" i="4"/>
  <c r="L189" i="4"/>
  <c r="C189" i="4" s="1"/>
  <c r="I189" i="4"/>
  <c r="I188" i="4" s="1"/>
  <c r="F189" i="4"/>
  <c r="O188" i="4"/>
  <c r="N188" i="4"/>
  <c r="N187" i="4" s="1"/>
  <c r="M188" i="4"/>
  <c r="K188" i="4"/>
  <c r="K187" i="4" s="1"/>
  <c r="J188" i="4"/>
  <c r="H188" i="4"/>
  <c r="H187" i="4" s="1"/>
  <c r="G188" i="4"/>
  <c r="F188" i="4"/>
  <c r="E188" i="4"/>
  <c r="D188" i="4"/>
  <c r="O186" i="4"/>
  <c r="L186" i="4"/>
  <c r="I186" i="4"/>
  <c r="F186" i="4"/>
  <c r="O185" i="4"/>
  <c r="O184" i="4" s="1"/>
  <c r="L185" i="4"/>
  <c r="L184" i="4" s="1"/>
  <c r="I185" i="4"/>
  <c r="I184" i="4" s="1"/>
  <c r="F185" i="4"/>
  <c r="C185" i="4" s="1"/>
  <c r="N184" i="4"/>
  <c r="M184" i="4"/>
  <c r="K184" i="4"/>
  <c r="J184" i="4"/>
  <c r="H184" i="4"/>
  <c r="G184" i="4"/>
  <c r="E184" i="4"/>
  <c r="D184" i="4"/>
  <c r="O183" i="4"/>
  <c r="L183" i="4"/>
  <c r="I183" i="4"/>
  <c r="F183" i="4"/>
  <c r="O182" i="4"/>
  <c r="L182" i="4"/>
  <c r="I182" i="4"/>
  <c r="F182" i="4"/>
  <c r="O181" i="4"/>
  <c r="L181" i="4"/>
  <c r="I181" i="4"/>
  <c r="F181" i="4"/>
  <c r="O180" i="4"/>
  <c r="O179" i="4" s="1"/>
  <c r="L180" i="4"/>
  <c r="I180" i="4"/>
  <c r="F180" i="4"/>
  <c r="N179" i="4"/>
  <c r="M179" i="4"/>
  <c r="K179" i="4"/>
  <c r="J179" i="4"/>
  <c r="H179" i="4"/>
  <c r="G179" i="4"/>
  <c r="E179" i="4"/>
  <c r="D179" i="4"/>
  <c r="O178" i="4"/>
  <c r="L178" i="4"/>
  <c r="I178" i="4"/>
  <c r="F178" i="4"/>
  <c r="O177" i="4"/>
  <c r="L177" i="4"/>
  <c r="I177" i="4"/>
  <c r="F177" i="4"/>
  <c r="O176" i="4"/>
  <c r="O175" i="4" s="1"/>
  <c r="O174" i="4" s="1"/>
  <c r="L176" i="4"/>
  <c r="I176" i="4"/>
  <c r="I175" i="4" s="1"/>
  <c r="F176" i="4"/>
  <c r="F175" i="4" s="1"/>
  <c r="N175" i="4"/>
  <c r="M175" i="4"/>
  <c r="K175" i="4"/>
  <c r="K174" i="4" s="1"/>
  <c r="K173" i="4" s="1"/>
  <c r="J175" i="4"/>
  <c r="H175" i="4"/>
  <c r="G175" i="4"/>
  <c r="G174" i="4" s="1"/>
  <c r="E175" i="4"/>
  <c r="E174" i="4" s="1"/>
  <c r="E173" i="4" s="1"/>
  <c r="D175" i="4"/>
  <c r="N174" i="4"/>
  <c r="N173" i="4" s="1"/>
  <c r="O172" i="4"/>
  <c r="L172" i="4"/>
  <c r="I172" i="4"/>
  <c r="F172" i="4"/>
  <c r="O171" i="4"/>
  <c r="L171" i="4"/>
  <c r="I171" i="4"/>
  <c r="F171" i="4"/>
  <c r="O170" i="4"/>
  <c r="L170" i="4"/>
  <c r="I170" i="4"/>
  <c r="F170" i="4"/>
  <c r="O169" i="4"/>
  <c r="L169" i="4"/>
  <c r="I169" i="4"/>
  <c r="F169" i="4"/>
  <c r="O168" i="4"/>
  <c r="L168" i="4"/>
  <c r="I168" i="4"/>
  <c r="F168" i="4"/>
  <c r="O167" i="4"/>
  <c r="L167" i="4"/>
  <c r="I167" i="4"/>
  <c r="F167" i="4"/>
  <c r="N166" i="4"/>
  <c r="M166" i="4"/>
  <c r="M165" i="4" s="1"/>
  <c r="K166" i="4"/>
  <c r="K165" i="4" s="1"/>
  <c r="J166" i="4"/>
  <c r="J165" i="4" s="1"/>
  <c r="H166" i="4"/>
  <c r="H165" i="4" s="1"/>
  <c r="G166" i="4"/>
  <c r="G165" i="4" s="1"/>
  <c r="E166" i="4"/>
  <c r="E165" i="4" s="1"/>
  <c r="D166" i="4"/>
  <c r="D165" i="4" s="1"/>
  <c r="N165" i="4"/>
  <c r="O164" i="4"/>
  <c r="L164" i="4"/>
  <c r="I164" i="4"/>
  <c r="F164" i="4"/>
  <c r="O163" i="4"/>
  <c r="L163" i="4"/>
  <c r="I163" i="4"/>
  <c r="F163" i="4"/>
  <c r="O162" i="4"/>
  <c r="L162" i="4"/>
  <c r="I162" i="4"/>
  <c r="F162" i="4"/>
  <c r="O161" i="4"/>
  <c r="L161" i="4"/>
  <c r="I161" i="4"/>
  <c r="I160" i="4" s="1"/>
  <c r="F161" i="4"/>
  <c r="O160" i="4"/>
  <c r="N160" i="4"/>
  <c r="M160" i="4"/>
  <c r="K160" i="4"/>
  <c r="J160" i="4"/>
  <c r="H160" i="4"/>
  <c r="G160" i="4"/>
  <c r="F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O144" i="4" s="1"/>
  <c r="L145" i="4"/>
  <c r="I145" i="4"/>
  <c r="F145" i="4"/>
  <c r="C145" i="4"/>
  <c r="N144" i="4"/>
  <c r="M144" i="4"/>
  <c r="K144" i="4"/>
  <c r="J144" i="4"/>
  <c r="H144" i="4"/>
  <c r="G144" i="4"/>
  <c r="E144" i="4"/>
  <c r="D144" i="4"/>
  <c r="O143" i="4"/>
  <c r="L143" i="4"/>
  <c r="I143" i="4"/>
  <c r="F143" i="4"/>
  <c r="C143" i="4" s="1"/>
  <c r="O142" i="4"/>
  <c r="L142" i="4"/>
  <c r="L141" i="4" s="1"/>
  <c r="I142" i="4"/>
  <c r="I141" i="4" s="1"/>
  <c r="F142" i="4"/>
  <c r="C142" i="4" s="1"/>
  <c r="O141" i="4"/>
  <c r="N141" i="4"/>
  <c r="M141" i="4"/>
  <c r="K141" i="4"/>
  <c r="J141" i="4"/>
  <c r="H141" i="4"/>
  <c r="G141" i="4"/>
  <c r="F141" i="4"/>
  <c r="C141" i="4" s="1"/>
  <c r="E141" i="4"/>
  <c r="D141" i="4"/>
  <c r="O140" i="4"/>
  <c r="L140" i="4"/>
  <c r="I140" i="4"/>
  <c r="F140" i="4"/>
  <c r="O139" i="4"/>
  <c r="L139" i="4"/>
  <c r="I139" i="4"/>
  <c r="F139" i="4"/>
  <c r="O138" i="4"/>
  <c r="L138" i="4"/>
  <c r="I138" i="4"/>
  <c r="F138" i="4"/>
  <c r="O137" i="4"/>
  <c r="O136" i="4" s="1"/>
  <c r="L137" i="4"/>
  <c r="L136" i="4" s="1"/>
  <c r="I137" i="4"/>
  <c r="I136" i="4" s="1"/>
  <c r="F137" i="4"/>
  <c r="N136" i="4"/>
  <c r="M136" i="4"/>
  <c r="K136" i="4"/>
  <c r="J136" i="4"/>
  <c r="H136" i="4"/>
  <c r="G136" i="4"/>
  <c r="E136" i="4"/>
  <c r="D136" i="4"/>
  <c r="O135" i="4"/>
  <c r="L135" i="4"/>
  <c r="I135" i="4"/>
  <c r="F135" i="4"/>
  <c r="O134" i="4"/>
  <c r="L134" i="4"/>
  <c r="I134" i="4"/>
  <c r="F134" i="4"/>
  <c r="O133" i="4"/>
  <c r="L133" i="4"/>
  <c r="I133" i="4"/>
  <c r="F133" i="4"/>
  <c r="O132" i="4"/>
  <c r="O131" i="4" s="1"/>
  <c r="L132" i="4"/>
  <c r="L131" i="4" s="1"/>
  <c r="I132" i="4"/>
  <c r="F132" i="4"/>
  <c r="N131" i="4"/>
  <c r="M131" i="4"/>
  <c r="K131" i="4"/>
  <c r="J131" i="4"/>
  <c r="H131" i="4"/>
  <c r="G131" i="4"/>
  <c r="E131" i="4"/>
  <c r="D131" i="4"/>
  <c r="O129" i="4"/>
  <c r="L129" i="4"/>
  <c r="L128" i="4" s="1"/>
  <c r="I129" i="4"/>
  <c r="F129" i="4"/>
  <c r="O128" i="4"/>
  <c r="N128" i="4"/>
  <c r="M128" i="4"/>
  <c r="K128" i="4"/>
  <c r="J128" i="4"/>
  <c r="H128" i="4"/>
  <c r="G128" i="4"/>
  <c r="F128" i="4"/>
  <c r="E128" i="4"/>
  <c r="D128" i="4"/>
  <c r="O127" i="4"/>
  <c r="L127" i="4"/>
  <c r="I127" i="4"/>
  <c r="F127" i="4"/>
  <c r="O126" i="4"/>
  <c r="L126" i="4"/>
  <c r="I126" i="4"/>
  <c r="F126" i="4"/>
  <c r="O125" i="4"/>
  <c r="L125" i="4"/>
  <c r="I125" i="4"/>
  <c r="F125" i="4"/>
  <c r="O124" i="4"/>
  <c r="L124" i="4"/>
  <c r="I124" i="4"/>
  <c r="F124" i="4"/>
  <c r="O123" i="4"/>
  <c r="L123" i="4"/>
  <c r="I123" i="4"/>
  <c r="I122" i="4" s="1"/>
  <c r="F123" i="4"/>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I117" i="4"/>
  <c r="F117" i="4"/>
  <c r="N116" i="4"/>
  <c r="M116" i="4"/>
  <c r="K116" i="4"/>
  <c r="J116" i="4"/>
  <c r="H116" i="4"/>
  <c r="G116" i="4"/>
  <c r="E116" i="4"/>
  <c r="D116" i="4"/>
  <c r="O115" i="4"/>
  <c r="L115" i="4"/>
  <c r="I115" i="4"/>
  <c r="F115" i="4"/>
  <c r="O114" i="4"/>
  <c r="L114" i="4"/>
  <c r="I114" i="4"/>
  <c r="F114" i="4"/>
  <c r="O113" i="4"/>
  <c r="L113" i="4"/>
  <c r="L112" i="4" s="1"/>
  <c r="I113" i="4"/>
  <c r="F113" i="4"/>
  <c r="O112" i="4"/>
  <c r="N112" i="4"/>
  <c r="M112" i="4"/>
  <c r="K112" i="4"/>
  <c r="J112" i="4"/>
  <c r="H112" i="4"/>
  <c r="G112" i="4"/>
  <c r="F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O103" i="4" s="1"/>
  <c r="L104" i="4"/>
  <c r="I104" i="4"/>
  <c r="F104" i="4"/>
  <c r="F103" i="4" s="1"/>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L96" i="4"/>
  <c r="L95" i="4" s="1"/>
  <c r="I96" i="4"/>
  <c r="F96" i="4"/>
  <c r="N95" i="4"/>
  <c r="M95" i="4"/>
  <c r="K95" i="4"/>
  <c r="J95" i="4"/>
  <c r="H95" i="4"/>
  <c r="G95" i="4"/>
  <c r="E95" i="4"/>
  <c r="D95" i="4"/>
  <c r="O94" i="4"/>
  <c r="L94" i="4"/>
  <c r="I94" i="4"/>
  <c r="F94" i="4"/>
  <c r="O93" i="4"/>
  <c r="L93" i="4"/>
  <c r="I93" i="4"/>
  <c r="F93" i="4"/>
  <c r="O92" i="4"/>
  <c r="L92" i="4"/>
  <c r="I92" i="4"/>
  <c r="F92" i="4"/>
  <c r="O91" i="4"/>
  <c r="L91" i="4"/>
  <c r="I91" i="4"/>
  <c r="F91" i="4"/>
  <c r="C91" i="4" s="1"/>
  <c r="O90" i="4"/>
  <c r="L90" i="4"/>
  <c r="I90" i="4"/>
  <c r="I89" i="4" s="1"/>
  <c r="F90" i="4"/>
  <c r="N89" i="4"/>
  <c r="M89" i="4"/>
  <c r="K89" i="4"/>
  <c r="J89" i="4"/>
  <c r="H89" i="4"/>
  <c r="G89" i="4"/>
  <c r="E89" i="4"/>
  <c r="D89" i="4"/>
  <c r="O88" i="4"/>
  <c r="L88" i="4"/>
  <c r="I88" i="4"/>
  <c r="F88" i="4"/>
  <c r="O87" i="4"/>
  <c r="L87" i="4"/>
  <c r="I87" i="4"/>
  <c r="F87" i="4"/>
  <c r="O86" i="4"/>
  <c r="L86" i="4"/>
  <c r="I86" i="4"/>
  <c r="F86" i="4"/>
  <c r="O85" i="4"/>
  <c r="O84" i="4" s="1"/>
  <c r="L85" i="4"/>
  <c r="I85" i="4"/>
  <c r="F85" i="4"/>
  <c r="N84" i="4"/>
  <c r="M84" i="4"/>
  <c r="K84" i="4"/>
  <c r="J84" i="4"/>
  <c r="H84" i="4"/>
  <c r="G84" i="4"/>
  <c r="E84" i="4"/>
  <c r="E83" i="4" s="1"/>
  <c r="D84" i="4"/>
  <c r="O82" i="4"/>
  <c r="L82" i="4"/>
  <c r="I82" i="4"/>
  <c r="F82" i="4"/>
  <c r="O81" i="4"/>
  <c r="L81" i="4"/>
  <c r="I81" i="4"/>
  <c r="I80" i="4" s="1"/>
  <c r="F81" i="4"/>
  <c r="N80" i="4"/>
  <c r="M80" i="4"/>
  <c r="L80" i="4"/>
  <c r="K80" i="4"/>
  <c r="J80" i="4"/>
  <c r="H80" i="4"/>
  <c r="G80" i="4"/>
  <c r="E80" i="4"/>
  <c r="D80" i="4"/>
  <c r="O79" i="4"/>
  <c r="L79" i="4"/>
  <c r="I79" i="4"/>
  <c r="F79" i="4"/>
  <c r="O78" i="4"/>
  <c r="O77" i="4" s="1"/>
  <c r="L78" i="4"/>
  <c r="L77" i="4" s="1"/>
  <c r="I78" i="4"/>
  <c r="F78" i="4"/>
  <c r="F77" i="4" s="1"/>
  <c r="N77" i="4"/>
  <c r="M77" i="4"/>
  <c r="K77" i="4"/>
  <c r="J77" i="4"/>
  <c r="J76" i="4" s="1"/>
  <c r="H77" i="4"/>
  <c r="H76" i="4" s="1"/>
  <c r="G77" i="4"/>
  <c r="E77" i="4"/>
  <c r="D77" i="4"/>
  <c r="D76" i="4" s="1"/>
  <c r="E76" i="4"/>
  <c r="O74" i="4"/>
  <c r="L74" i="4"/>
  <c r="I74" i="4"/>
  <c r="F74" i="4"/>
  <c r="O73" i="4"/>
  <c r="L73" i="4"/>
  <c r="I73" i="4"/>
  <c r="F73" i="4"/>
  <c r="O72" i="4"/>
  <c r="L72" i="4"/>
  <c r="I72" i="4"/>
  <c r="F72" i="4"/>
  <c r="O71" i="4"/>
  <c r="L71" i="4"/>
  <c r="I71" i="4"/>
  <c r="F71" i="4"/>
  <c r="O70" i="4"/>
  <c r="O69" i="4" s="1"/>
  <c r="L70" i="4"/>
  <c r="I70" i="4"/>
  <c r="F70" i="4"/>
  <c r="N69" i="4"/>
  <c r="N67" i="4" s="1"/>
  <c r="M69" i="4"/>
  <c r="L69" i="4"/>
  <c r="K69" i="4"/>
  <c r="K67" i="4" s="1"/>
  <c r="J69" i="4"/>
  <c r="J67" i="4" s="1"/>
  <c r="H69" i="4"/>
  <c r="H67" i="4" s="1"/>
  <c r="G69" i="4"/>
  <c r="G67" i="4" s="1"/>
  <c r="E69" i="4"/>
  <c r="D69" i="4"/>
  <c r="D67" i="4" s="1"/>
  <c r="O68" i="4"/>
  <c r="L68" i="4"/>
  <c r="I68" i="4"/>
  <c r="F68" i="4"/>
  <c r="M67" i="4"/>
  <c r="E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L58" i="4" s="1"/>
  <c r="I59" i="4"/>
  <c r="F59" i="4"/>
  <c r="N58" i="4"/>
  <c r="M58" i="4"/>
  <c r="K58" i="4"/>
  <c r="J58" i="4"/>
  <c r="H58" i="4"/>
  <c r="G58" i="4"/>
  <c r="E58" i="4"/>
  <c r="D58" i="4"/>
  <c r="O57" i="4"/>
  <c r="L57" i="4"/>
  <c r="I57" i="4"/>
  <c r="F57" i="4"/>
  <c r="O56" i="4"/>
  <c r="L56" i="4"/>
  <c r="L55" i="4" s="1"/>
  <c r="L54" i="4" s="1"/>
  <c r="I56" i="4"/>
  <c r="I55" i="4" s="1"/>
  <c r="F56" i="4"/>
  <c r="N55" i="4"/>
  <c r="M55" i="4"/>
  <c r="M54" i="4" s="1"/>
  <c r="K55" i="4"/>
  <c r="J55" i="4"/>
  <c r="H55" i="4"/>
  <c r="H54" i="4" s="1"/>
  <c r="H53" i="4" s="1"/>
  <c r="G55" i="4"/>
  <c r="E55" i="4"/>
  <c r="E54" i="4" s="1"/>
  <c r="D55" i="4"/>
  <c r="J54" i="4"/>
  <c r="D54" i="4"/>
  <c r="D53" i="4" s="1"/>
  <c r="O47" i="4"/>
  <c r="C47" i="4" s="1"/>
  <c r="O46" i="4"/>
  <c r="C46" i="4" s="1"/>
  <c r="N45" i="4"/>
  <c r="M45" i="4"/>
  <c r="M20" i="4" s="1"/>
  <c r="L44" i="4"/>
  <c r="I44" i="4"/>
  <c r="I43" i="4" s="1"/>
  <c r="F44" i="4"/>
  <c r="F43" i="4" s="1"/>
  <c r="L43" i="4"/>
  <c r="K43" i="4"/>
  <c r="J43" i="4"/>
  <c r="H43" i="4"/>
  <c r="G43" i="4"/>
  <c r="E43" i="4"/>
  <c r="D43" i="4"/>
  <c r="F42" i="4"/>
  <c r="C42" i="4" s="1"/>
  <c r="E41" i="4"/>
  <c r="D41" i="4"/>
  <c r="L40" i="4"/>
  <c r="C40" i="4" s="1"/>
  <c r="L39" i="4"/>
  <c r="C39" i="4" s="1"/>
  <c r="L38" i="4"/>
  <c r="C38" i="4" s="1"/>
  <c r="L37" i="4"/>
  <c r="C37" i="4" s="1"/>
  <c r="K36" i="4"/>
  <c r="J36" i="4"/>
  <c r="L35" i="4"/>
  <c r="C35" i="4" s="1"/>
  <c r="L34" i="4"/>
  <c r="C34" i="4" s="1"/>
  <c r="K33" i="4"/>
  <c r="J33" i="4"/>
  <c r="L32" i="4"/>
  <c r="K31" i="4"/>
  <c r="J31" i="4"/>
  <c r="L30" i="4"/>
  <c r="C30" i="4" s="1"/>
  <c r="L29" i="4"/>
  <c r="C29" i="4" s="1"/>
  <c r="L28" i="4"/>
  <c r="C28" i="4" s="1"/>
  <c r="K27" i="4"/>
  <c r="J27" i="4"/>
  <c r="F25" i="4"/>
  <c r="C25" i="4" s="1"/>
  <c r="I24" i="4"/>
  <c r="F24" i="4"/>
  <c r="O23" i="4"/>
  <c r="O21" i="4" s="1"/>
  <c r="L23" i="4"/>
  <c r="I23" i="4"/>
  <c r="F23" i="4"/>
  <c r="O22" i="4"/>
  <c r="L22" i="4"/>
  <c r="L21" i="4" s="1"/>
  <c r="I22" i="4"/>
  <c r="F22" i="4"/>
  <c r="N21" i="4"/>
  <c r="M21" i="4"/>
  <c r="M292" i="4" s="1"/>
  <c r="M291" i="4" s="1"/>
  <c r="K21" i="4"/>
  <c r="J21" i="4"/>
  <c r="H21" i="4"/>
  <c r="G21" i="4"/>
  <c r="G292" i="4" s="1"/>
  <c r="G291" i="4" s="1"/>
  <c r="F21" i="4"/>
  <c r="E21" i="4"/>
  <c r="E292" i="4" s="1"/>
  <c r="E291" i="4" s="1"/>
  <c r="D21" i="4"/>
  <c r="D292" i="4" s="1"/>
  <c r="D291" i="4" s="1"/>
  <c r="H20" i="4" l="1"/>
  <c r="C65" i="4"/>
  <c r="N76" i="4"/>
  <c r="C164" i="4"/>
  <c r="E270" i="4"/>
  <c r="E269" i="4" s="1"/>
  <c r="C85" i="4"/>
  <c r="H231" i="4"/>
  <c r="C82" i="4"/>
  <c r="O89" i="4"/>
  <c r="I246" i="4"/>
  <c r="N130" i="4"/>
  <c r="C203" i="4"/>
  <c r="C248" i="4"/>
  <c r="F286" i="4"/>
  <c r="C24" i="4"/>
  <c r="F41" i="4"/>
  <c r="C41" i="4" s="1"/>
  <c r="D259" i="4"/>
  <c r="M270" i="4"/>
  <c r="M269" i="4" s="1"/>
  <c r="C117" i="4"/>
  <c r="C119" i="4"/>
  <c r="C124" i="4"/>
  <c r="M187" i="4"/>
  <c r="I187" i="4"/>
  <c r="C243" i="4"/>
  <c r="J83" i="4"/>
  <c r="J130" i="4"/>
  <c r="L276" i="4"/>
  <c r="C97" i="4"/>
  <c r="C99" i="4"/>
  <c r="C102" i="4"/>
  <c r="C104" i="4"/>
  <c r="C121" i="4"/>
  <c r="C132" i="4"/>
  <c r="C137" i="4"/>
  <c r="C148" i="4"/>
  <c r="C157" i="4"/>
  <c r="C158" i="4"/>
  <c r="C159" i="4"/>
  <c r="C161" i="4"/>
  <c r="C172" i="4"/>
  <c r="C180" i="4"/>
  <c r="C201" i="4"/>
  <c r="C208" i="4"/>
  <c r="C225" i="4"/>
  <c r="D204" i="4"/>
  <c r="C247" i="4"/>
  <c r="C255" i="4"/>
  <c r="E259" i="4"/>
  <c r="C268" i="4"/>
  <c r="C296" i="4"/>
  <c r="K292" i="4"/>
  <c r="K291" i="4" s="1"/>
  <c r="C44" i="4"/>
  <c r="C62" i="4"/>
  <c r="C64" i="4"/>
  <c r="I95" i="4"/>
  <c r="C109" i="4"/>
  <c r="C111" i="4"/>
  <c r="H130" i="4"/>
  <c r="M130" i="4"/>
  <c r="C140" i="4"/>
  <c r="C152" i="4"/>
  <c r="I151" i="4"/>
  <c r="C168" i="4"/>
  <c r="G173" i="4"/>
  <c r="L196" i="4"/>
  <c r="C219" i="4"/>
  <c r="C244" i="4"/>
  <c r="F246" i="4"/>
  <c r="M259" i="4"/>
  <c r="C279" i="4"/>
  <c r="C280" i="4"/>
  <c r="C285" i="4"/>
  <c r="D130" i="4"/>
  <c r="D20" i="4"/>
  <c r="C73" i="4"/>
  <c r="L76" i="4"/>
  <c r="F80" i="4"/>
  <c r="M83" i="4"/>
  <c r="C149" i="4"/>
  <c r="D174" i="4"/>
  <c r="D173" i="4" s="1"/>
  <c r="J174" i="4"/>
  <c r="J173" i="4" s="1"/>
  <c r="C176" i="4"/>
  <c r="E187" i="4"/>
  <c r="G231" i="4"/>
  <c r="G230" i="4" s="1"/>
  <c r="E231" i="4"/>
  <c r="K231" i="4"/>
  <c r="K230" i="4" s="1"/>
  <c r="J259" i="4"/>
  <c r="H259" i="4"/>
  <c r="H230" i="4" s="1"/>
  <c r="C277" i="4"/>
  <c r="O293" i="4"/>
  <c r="K54" i="4"/>
  <c r="K53" i="4" s="1"/>
  <c r="E20" i="4"/>
  <c r="M53" i="4"/>
  <c r="G54" i="4"/>
  <c r="G53" i="4" s="1"/>
  <c r="K76" i="4"/>
  <c r="C78" i="4"/>
  <c r="C87" i="4"/>
  <c r="K83" i="4"/>
  <c r="C101" i="4"/>
  <c r="C108" i="4"/>
  <c r="O116" i="4"/>
  <c r="C120" i="4"/>
  <c r="C127" i="4"/>
  <c r="C139" i="4"/>
  <c r="C146" i="4"/>
  <c r="L166" i="4"/>
  <c r="L165" i="4" s="1"/>
  <c r="C178" i="4"/>
  <c r="I179" i="4"/>
  <c r="I174" i="4" s="1"/>
  <c r="I173" i="4" s="1"/>
  <c r="C181" i="4"/>
  <c r="F184" i="4"/>
  <c r="O173" i="4"/>
  <c r="O187" i="4"/>
  <c r="C193" i="4"/>
  <c r="C207" i="4"/>
  <c r="C213" i="4"/>
  <c r="H204" i="4"/>
  <c r="H195" i="4" s="1"/>
  <c r="N204" i="4"/>
  <c r="N195" i="4" s="1"/>
  <c r="C232" i="4"/>
  <c r="F238" i="4"/>
  <c r="C242" i="4"/>
  <c r="C257" i="4"/>
  <c r="K270" i="4"/>
  <c r="K269" i="4" s="1"/>
  <c r="C275" i="4"/>
  <c r="D270" i="4"/>
  <c r="D269" i="4" s="1"/>
  <c r="F284" i="4"/>
  <c r="F283" i="4" s="1"/>
  <c r="C288" i="4"/>
  <c r="H292" i="4"/>
  <c r="H291" i="4" s="1"/>
  <c r="C297" i="4"/>
  <c r="J26" i="4"/>
  <c r="C43" i="4"/>
  <c r="J53" i="4"/>
  <c r="O55" i="4"/>
  <c r="N54" i="4"/>
  <c r="N53" i="4" s="1"/>
  <c r="O58" i="4"/>
  <c r="C68" i="4"/>
  <c r="O67" i="4"/>
  <c r="C74" i="4"/>
  <c r="G76" i="4"/>
  <c r="M76" i="4"/>
  <c r="M75" i="4" s="1"/>
  <c r="C86" i="4"/>
  <c r="C100" i="4"/>
  <c r="C107" i="4"/>
  <c r="C110" i="4"/>
  <c r="C125" i="4"/>
  <c r="C163" i="4"/>
  <c r="C167" i="4"/>
  <c r="H174" i="4"/>
  <c r="M174" i="4"/>
  <c r="M173" i="4" s="1"/>
  <c r="C186" i="4"/>
  <c r="F187" i="4"/>
  <c r="C190" i="4"/>
  <c r="C200" i="4"/>
  <c r="K195" i="4"/>
  <c r="C211" i="4"/>
  <c r="C212" i="4"/>
  <c r="C215" i="4"/>
  <c r="C233" i="4"/>
  <c r="C239" i="4"/>
  <c r="C241" i="4"/>
  <c r="C253" i="4"/>
  <c r="C256" i="4"/>
  <c r="L259" i="4"/>
  <c r="C267" i="4"/>
  <c r="G20" i="4"/>
  <c r="O292" i="4"/>
  <c r="O291" i="4" s="1"/>
  <c r="C23" i="4"/>
  <c r="K26" i="4"/>
  <c r="K20" i="4" s="1"/>
  <c r="C57" i="4"/>
  <c r="C61" i="4"/>
  <c r="C66" i="4"/>
  <c r="F69" i="4"/>
  <c r="F67" i="4" s="1"/>
  <c r="C72" i="4"/>
  <c r="C92" i="4"/>
  <c r="C98" i="4"/>
  <c r="C105" i="4"/>
  <c r="N83" i="4"/>
  <c r="N75" i="4" s="1"/>
  <c r="G130" i="4"/>
  <c r="C135" i="4"/>
  <c r="E130" i="4"/>
  <c r="E75" i="4" s="1"/>
  <c r="C156" i="4"/>
  <c r="I166" i="4"/>
  <c r="I165" i="4" s="1"/>
  <c r="C171" i="4"/>
  <c r="C177" i="4"/>
  <c r="C182" i="4"/>
  <c r="C183" i="4"/>
  <c r="D195" i="4"/>
  <c r="C202" i="4"/>
  <c r="G204" i="4"/>
  <c r="G195" i="4" s="1"/>
  <c r="M204" i="4"/>
  <c r="C223" i="4"/>
  <c r="C224" i="4"/>
  <c r="C229" i="4"/>
  <c r="D231" i="4"/>
  <c r="D230" i="4" s="1"/>
  <c r="M231" i="4"/>
  <c r="M230" i="4" s="1"/>
  <c r="L238" i="4"/>
  <c r="L270" i="4"/>
  <c r="L269" i="4" s="1"/>
  <c r="L286" i="4"/>
  <c r="C286" i="4" s="1"/>
  <c r="C300" i="4"/>
  <c r="C70" i="4"/>
  <c r="C90" i="4"/>
  <c r="F89" i="4"/>
  <c r="C138" i="4"/>
  <c r="F136" i="4"/>
  <c r="C136" i="4" s="1"/>
  <c r="C220" i="4"/>
  <c r="L216" i="4"/>
  <c r="I264" i="4"/>
  <c r="C265" i="4"/>
  <c r="L36" i="4"/>
  <c r="C36" i="4" s="1"/>
  <c r="F76" i="4"/>
  <c r="L103" i="4"/>
  <c r="L116" i="4"/>
  <c r="C118" i="4"/>
  <c r="F116" i="4"/>
  <c r="L122" i="4"/>
  <c r="I128" i="4"/>
  <c r="C128" i="4" s="1"/>
  <c r="C129" i="4"/>
  <c r="L160" i="4"/>
  <c r="C160" i="4" s="1"/>
  <c r="C184" i="4"/>
  <c r="F205" i="4"/>
  <c r="C218" i="4"/>
  <c r="F216" i="4"/>
  <c r="C271" i="4"/>
  <c r="I21" i="4"/>
  <c r="C22" i="4"/>
  <c r="L27" i="4"/>
  <c r="C32" i="4"/>
  <c r="L31" i="4"/>
  <c r="C31" i="4" s="1"/>
  <c r="L33" i="4"/>
  <c r="C33" i="4" s="1"/>
  <c r="O45" i="4"/>
  <c r="O20" i="4" s="1"/>
  <c r="E53" i="4"/>
  <c r="C63" i="4"/>
  <c r="C71" i="4"/>
  <c r="I69" i="4"/>
  <c r="C79" i="4"/>
  <c r="I77" i="4"/>
  <c r="H83" i="4"/>
  <c r="H75" i="4" s="1"/>
  <c r="L84" i="4"/>
  <c r="F84" i="4"/>
  <c r="G83" i="4"/>
  <c r="I103" i="4"/>
  <c r="C103" i="4" s="1"/>
  <c r="C115" i="4"/>
  <c r="C133" i="4"/>
  <c r="I131" i="4"/>
  <c r="L144" i="4"/>
  <c r="C147" i="4"/>
  <c r="F144" i="4"/>
  <c r="L151" i="4"/>
  <c r="C153" i="4"/>
  <c r="F166" i="4"/>
  <c r="C169" i="4"/>
  <c r="J20" i="4"/>
  <c r="J292" i="4"/>
  <c r="J291" i="4" s="1"/>
  <c r="I58" i="4"/>
  <c r="I54" i="4" s="1"/>
  <c r="C59" i="4"/>
  <c r="C123" i="4"/>
  <c r="F122" i="4"/>
  <c r="F292" i="4"/>
  <c r="N292" i="4"/>
  <c r="N291" i="4" s="1"/>
  <c r="N20" i="4"/>
  <c r="F55" i="4"/>
  <c r="C56" i="4"/>
  <c r="F58" i="4"/>
  <c r="C60" i="4"/>
  <c r="L67" i="4"/>
  <c r="L53" i="4" s="1"/>
  <c r="C81" i="4"/>
  <c r="O80" i="4"/>
  <c r="O76" i="4" s="1"/>
  <c r="D83" i="4"/>
  <c r="D75" i="4" s="1"/>
  <c r="I84" i="4"/>
  <c r="C88" i="4"/>
  <c r="C93" i="4"/>
  <c r="F95" i="4"/>
  <c r="C96" i="4"/>
  <c r="O95" i="4"/>
  <c r="I112" i="4"/>
  <c r="C112" i="4" s="1"/>
  <c r="C113" i="4"/>
  <c r="K130" i="4"/>
  <c r="O151" i="4"/>
  <c r="O130" i="4" s="1"/>
  <c r="D187" i="4"/>
  <c r="F196" i="4"/>
  <c r="O283" i="4"/>
  <c r="C283" i="4" s="1"/>
  <c r="C284" i="4"/>
  <c r="C249" i="4"/>
  <c r="L246" i="4"/>
  <c r="L231" i="4" s="1"/>
  <c r="C263" i="4"/>
  <c r="F260" i="4"/>
  <c r="L89" i="4"/>
  <c r="C106" i="4"/>
  <c r="I116" i="4"/>
  <c r="I144" i="4"/>
  <c r="F151" i="4"/>
  <c r="C162" i="4"/>
  <c r="C170" i="4"/>
  <c r="M195" i="4"/>
  <c r="M194" i="4" s="1"/>
  <c r="C237" i="4"/>
  <c r="I235" i="4"/>
  <c r="I231" i="4" s="1"/>
  <c r="I260" i="4"/>
  <c r="C261" i="4"/>
  <c r="C282" i="4"/>
  <c r="F281" i="4"/>
  <c r="C281" i="4" s="1"/>
  <c r="C295" i="4"/>
  <c r="F293" i="4"/>
  <c r="J187" i="4"/>
  <c r="I216" i="4"/>
  <c r="I204" i="4" s="1"/>
  <c r="C217" i="4"/>
  <c r="C126" i="4"/>
  <c r="F131" i="4"/>
  <c r="C94" i="4"/>
  <c r="C114" i="4"/>
  <c r="O122" i="4"/>
  <c r="C134" i="4"/>
  <c r="C150" i="4"/>
  <c r="C154" i="4"/>
  <c r="C155" i="4"/>
  <c r="O166" i="4"/>
  <c r="O165" i="4" s="1"/>
  <c r="H173" i="4"/>
  <c r="L175" i="4"/>
  <c r="C175" i="4" s="1"/>
  <c r="L179" i="4"/>
  <c r="F179" i="4"/>
  <c r="G187" i="4"/>
  <c r="L188" i="4"/>
  <c r="C188" i="4" s="1"/>
  <c r="L192" i="4"/>
  <c r="I196" i="4"/>
  <c r="C197" i="4"/>
  <c r="C206" i="4"/>
  <c r="O205" i="4"/>
  <c r="J231" i="4"/>
  <c r="J230" i="4" s="1"/>
  <c r="L252" i="4"/>
  <c r="L251" i="4" s="1"/>
  <c r="C254" i="4"/>
  <c r="F252" i="4"/>
  <c r="H270" i="4"/>
  <c r="H269" i="4" s="1"/>
  <c r="C278" i="4"/>
  <c r="F276" i="4"/>
  <c r="C210" i="4"/>
  <c r="C222" i="4"/>
  <c r="C234" i="4"/>
  <c r="C236" i="4"/>
  <c r="O238" i="4"/>
  <c r="I251" i="4"/>
  <c r="O264" i="4"/>
  <c r="O259" i="4" s="1"/>
  <c r="C274" i="4"/>
  <c r="I293" i="4"/>
  <c r="C294" i="4"/>
  <c r="J195" i="4"/>
  <c r="C199" i="4"/>
  <c r="C209" i="4"/>
  <c r="O216" i="4"/>
  <c r="C221" i="4"/>
  <c r="F227" i="4"/>
  <c r="C227" i="4" s="1"/>
  <c r="C228" i="4"/>
  <c r="C240" i="4"/>
  <c r="C245" i="4"/>
  <c r="C250" i="4"/>
  <c r="C258" i="4"/>
  <c r="C266" i="4"/>
  <c r="F264" i="4"/>
  <c r="O270" i="4"/>
  <c r="O269" i="4" s="1"/>
  <c r="I272" i="4"/>
  <c r="C273" i="4"/>
  <c r="O198" i="4"/>
  <c r="O196" i="4" s="1"/>
  <c r="E204" i="4"/>
  <c r="E195" i="4" s="1"/>
  <c r="L205" i="4"/>
  <c r="C214" i="4"/>
  <c r="C226" i="4"/>
  <c r="N231" i="4"/>
  <c r="N230" i="4" s="1"/>
  <c r="O246" i="4"/>
  <c r="C262" i="4"/>
  <c r="G270" i="4"/>
  <c r="G269" i="4" s="1"/>
  <c r="I276" i="4"/>
  <c r="L293" i="4"/>
  <c r="C298" i="4"/>
  <c r="C299" i="4"/>
  <c r="F291" i="4"/>
  <c r="F20" i="4" l="1"/>
  <c r="C246" i="4"/>
  <c r="C238" i="4"/>
  <c r="K75" i="4"/>
  <c r="O83" i="4"/>
  <c r="C80" i="4"/>
  <c r="K194" i="4"/>
  <c r="H194" i="4"/>
  <c r="D194" i="4"/>
  <c r="C89" i="4"/>
  <c r="F231" i="4"/>
  <c r="L292" i="4"/>
  <c r="L291" i="4" s="1"/>
  <c r="L130" i="4"/>
  <c r="G75" i="4"/>
  <c r="G52" i="4" s="1"/>
  <c r="J194" i="4"/>
  <c r="I259" i="4"/>
  <c r="C58" i="4"/>
  <c r="M52" i="4"/>
  <c r="M51" i="4" s="1"/>
  <c r="E230" i="4"/>
  <c r="E194" i="4" s="1"/>
  <c r="J75" i="4"/>
  <c r="J52" i="4" s="1"/>
  <c r="M289" i="4"/>
  <c r="I270" i="4"/>
  <c r="I269" i="4" s="1"/>
  <c r="O231" i="4"/>
  <c r="C231" i="4" s="1"/>
  <c r="I230" i="4"/>
  <c r="E52" i="4"/>
  <c r="O54" i="4"/>
  <c r="O53" i="4" s="1"/>
  <c r="N194" i="4"/>
  <c r="N52" i="4"/>
  <c r="H289" i="4"/>
  <c r="H52" i="4"/>
  <c r="H51" i="4" s="1"/>
  <c r="H290" i="4" s="1"/>
  <c r="D52" i="4"/>
  <c r="D51" i="4" s="1"/>
  <c r="D289" i="4"/>
  <c r="O75" i="4"/>
  <c r="O52" i="4" s="1"/>
  <c r="K289" i="4"/>
  <c r="K52" i="4"/>
  <c r="K51" i="4" s="1"/>
  <c r="L191" i="4"/>
  <c r="C191" i="4" s="1"/>
  <c r="C192" i="4"/>
  <c r="I130" i="4"/>
  <c r="C264" i="4"/>
  <c r="O230" i="4"/>
  <c r="F130" i="4"/>
  <c r="C130" i="4" s="1"/>
  <c r="C131" i="4"/>
  <c r="F259" i="4"/>
  <c r="C259" i="4" s="1"/>
  <c r="C260" i="4"/>
  <c r="C235" i="4"/>
  <c r="C196" i="4"/>
  <c r="I83" i="4"/>
  <c r="C144" i="4"/>
  <c r="C77" i="4"/>
  <c r="I76" i="4"/>
  <c r="I292" i="4"/>
  <c r="I291" i="4" s="1"/>
  <c r="I20" i="4"/>
  <c r="F204" i="4"/>
  <c r="F195" i="4" s="1"/>
  <c r="C205" i="4"/>
  <c r="E289" i="4"/>
  <c r="C21" i="4"/>
  <c r="O204" i="4"/>
  <c r="O195" i="4" s="1"/>
  <c r="G289" i="4"/>
  <c r="G194" i="4"/>
  <c r="G51" i="4" s="1"/>
  <c r="C198" i="4"/>
  <c r="C95" i="4"/>
  <c r="C55" i="4"/>
  <c r="F54" i="4"/>
  <c r="C166" i="4"/>
  <c r="F165" i="4"/>
  <c r="C165" i="4" s="1"/>
  <c r="C84" i="4"/>
  <c r="F83" i="4"/>
  <c r="C216" i="4"/>
  <c r="L230" i="4"/>
  <c r="F251" i="4"/>
  <c r="C251" i="4" s="1"/>
  <c r="C252" i="4"/>
  <c r="C179" i="4"/>
  <c r="F174" i="4"/>
  <c r="C276" i="4"/>
  <c r="F270" i="4"/>
  <c r="L204" i="4"/>
  <c r="L195" i="4" s="1"/>
  <c r="N289" i="4"/>
  <c r="C272" i="4"/>
  <c r="I195" i="4"/>
  <c r="I194" i="4" s="1"/>
  <c r="L174" i="4"/>
  <c r="L173" i="4" s="1"/>
  <c r="C293" i="4"/>
  <c r="C151" i="4"/>
  <c r="C122" i="4"/>
  <c r="L83" i="4"/>
  <c r="C69" i="4"/>
  <c r="I67" i="4"/>
  <c r="C67" i="4" s="1"/>
  <c r="C45" i="4"/>
  <c r="C27" i="4"/>
  <c r="L26" i="4"/>
  <c r="C116" i="4"/>
  <c r="C76" i="4"/>
  <c r="J289" i="4" l="1"/>
  <c r="C291" i="4"/>
  <c r="E51" i="4"/>
  <c r="J51" i="4"/>
  <c r="J50" i="4" s="1"/>
  <c r="M290" i="4"/>
  <c r="M50" i="4"/>
  <c r="J290" i="4"/>
  <c r="N51" i="4"/>
  <c r="N290" i="4" s="1"/>
  <c r="F75" i="4"/>
  <c r="L75" i="4"/>
  <c r="I75" i="4"/>
  <c r="H50" i="4"/>
  <c r="N50" i="4"/>
  <c r="C83" i="4"/>
  <c r="C292" i="4"/>
  <c r="O194" i="4"/>
  <c r="O51" i="4" s="1"/>
  <c r="O289" i="4"/>
  <c r="G290" i="4"/>
  <c r="G50" i="4"/>
  <c r="C195" i="4"/>
  <c r="F53" i="4"/>
  <c r="C54" i="4"/>
  <c r="L194" i="4"/>
  <c r="L187" i="4"/>
  <c r="C187" i="4" s="1"/>
  <c r="C270" i="4"/>
  <c r="F269" i="4"/>
  <c r="C174" i="4"/>
  <c r="F173" i="4"/>
  <c r="C173" i="4" s="1"/>
  <c r="E290" i="4"/>
  <c r="E50" i="4"/>
  <c r="I53" i="4"/>
  <c r="L289" i="4"/>
  <c r="K50" i="4"/>
  <c r="K290" i="4"/>
  <c r="L20" i="4"/>
  <c r="C20" i="4" s="1"/>
  <c r="C26" i="4"/>
  <c r="F230" i="4"/>
  <c r="C230" i="4" s="1"/>
  <c r="C204" i="4"/>
  <c r="D290" i="4"/>
  <c r="D50" i="4"/>
  <c r="C75" i="4" l="1"/>
  <c r="I52" i="4"/>
  <c r="I51" i="4" s="1"/>
  <c r="I289" i="4"/>
  <c r="L52" i="4"/>
  <c r="L51" i="4" s="1"/>
  <c r="O50" i="4"/>
  <c r="O290" i="4"/>
  <c r="C269" i="4"/>
  <c r="F289" i="4"/>
  <c r="F194" i="4"/>
  <c r="C194" i="4" s="1"/>
  <c r="F52" i="4"/>
  <c r="C53" i="4"/>
  <c r="C52" i="4" l="1"/>
  <c r="F51" i="4"/>
  <c r="I290" i="4"/>
  <c r="I50" i="4"/>
  <c r="C289" i="4"/>
  <c r="L50" i="4"/>
  <c r="L290" i="4"/>
  <c r="F290" i="4" l="1"/>
  <c r="C290" i="4" s="1"/>
  <c r="C51" i="4"/>
  <c r="F50" i="4"/>
  <c r="C50" i="4" s="1"/>
</calcChain>
</file>

<file path=xl/comments1.xml><?xml version="1.0" encoding="utf-8"?>
<comments xmlns="http://schemas.openxmlformats.org/spreadsheetml/2006/main">
  <authors>
    <author>Vita Madjare</author>
  </authors>
  <commentList>
    <comment ref="C94"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<sst xmlns="http://schemas.openxmlformats.org/spreadsheetml/2006/main" count="40880" uniqueCount="2095">
  <si>
    <t>Tāme Nr.04.1.4.</t>
  </si>
  <si>
    <t>IEŅĒMUMU UN IZDEVUMU TĀME 2019.GADAM</t>
  </si>
  <si>
    <t>Budžeta finansēta institūcija</t>
  </si>
  <si>
    <t>Jūrmalas pilsētas dome</t>
  </si>
  <si>
    <t>Reģistrācijas Nr.</t>
  </si>
  <si>
    <t>90000056357</t>
  </si>
  <si>
    <t>Adrese</t>
  </si>
  <si>
    <t>Jūrmala, Jomas iela 1/5</t>
  </si>
  <si>
    <t>Funkcionālās klasifikācijas kods</t>
  </si>
  <si>
    <t>04.900</t>
  </si>
  <si>
    <t>Programma</t>
  </si>
  <si>
    <t>Ar ārējo sakaru attīstību saistītās starptautiskās un institucionālās sadarbības aktivitātes</t>
  </si>
  <si>
    <t>Konta Nr.</t>
  </si>
  <si>
    <t>pamatbudžetam</t>
  </si>
  <si>
    <t>LV84PARX0002484572001</t>
  </si>
  <si>
    <t>Valsts budžeta transfertiem</t>
  </si>
  <si>
    <t>projektiem</t>
  </si>
  <si>
    <t>maksas pakalpojumiem</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</si>
  <si>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</si>
  <si>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</si>
  <si>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</si>
  <si>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</si>
  <si>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</si>
  <si>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</si>
  <si>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</si>
  <si>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</si>
  <si>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</si>
  <si>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</si>
  <si>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</si>
  <si>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</si>
  <si>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</si>
  <si>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</si>
  <si>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</si>
  <si>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</si>
  <si>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</si>
  <si>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</si>
  <si>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</si>
  <si>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</si>
  <si>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</si>
  <si>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</si>
  <si>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</si>
  <si>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</si>
  <si>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</si>
  <si>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</si>
  <si>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</si>
  <si>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</si>
  <si>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</si>
  <si>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</si>
  <si>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</si>
  <si>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</si>
  <si>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</si>
  <si>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</si>
  <si>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</si>
  <si>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</si>
  <si>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</si>
  <si>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</si>
  <si>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</si>
  <si>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</si>
  <si>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</si>
  <si>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</si>
  <si>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</si>
  <si>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</si>
  <si>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</si>
  <si>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</si>
  <si>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</si>
  <si>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</si>
  <si>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</si>
  <si>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</si>
  <si>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</si>
  <si>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</si>
  <si>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</si>
  <si>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</si>
  <si>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</si>
  <si>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</si>
  <si>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</si>
  <si>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</si>
  <si>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</si>
  <si>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</si>
  <si>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</si>
  <si>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</si>
  <si>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</si>
  <si>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</si>
  <si>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</si>
  <si>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</si>
  <si>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</si>
  <si>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</si>
  <si>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</si>
  <si>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</si>
  <si>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</si>
  <si>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</si>
  <si>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</si>
  <si>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</si>
  <si>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</si>
  <si>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</si>
  <si>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</si>
  <si>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</si>
  <si>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</si>
  <si>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</si>
  <si>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</si>
  <si>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</si>
  <si>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</si>
  <si>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</si>
  <si>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</si>
  <si>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</si>
  <si>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</si>
  <si>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</si>
  <si>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</si>
  <si>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</si>
  <si>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</si>
  <si>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</si>
  <si>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</si>
  <si>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</si>
  <si>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</si>
  <si>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</si>
  <si>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</si>
  <si>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</si>
  <si>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</si>
  <si>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</si>
  <si>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</si>
  <si>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</si>
  <si>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</si>
  <si>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</si>
  <si>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</si>
  <si>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</si>
  <si>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</si>
  <si>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</si>
  <si>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</si>
  <si>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</si>
  <si>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</si>
  <si>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</si>
  <si>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</si>
  <si>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</si>
  <si>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</si>
  <si>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</si>
  <si>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</si>
  <si>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</si>
  <si>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</si>
  <si>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</si>
  <si>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</si>
  <si>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</si>
  <si>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</si>
  <si>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</si>
  <si>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</si>
  <si>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</si>
  <si>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</si>
  <si>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</si>
  <si>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</si>
  <si>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</si>
  <si>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</si>
  <si>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</si>
  <si>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</si>
  <si>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</si>
  <si>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</si>
  <si>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</si>
  <si>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</si>
  <si>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</si>
  <si>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</si>
  <si>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</si>
  <si>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</si>
  <si>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</si>
  <si>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</si>
  <si>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</si>
  <si>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</si>
  <si>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</si>
  <si>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</si>
  <si>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</si>
  <si>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</si>
  <si>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</si>
  <si>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</si>
  <si>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</si>
  <si>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</si>
  <si>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</si>
  <si>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</si>
  <si>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</si>
  <si>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</si>
  <si>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</si>
  <si>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</si>
  <si>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</si>
  <si>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</si>
  <si>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</si>
  <si>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</si>
  <si>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</si>
  <si>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</si>
  <si>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</si>
  <si>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</si>
  <si>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</si>
  <si>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</si>
  <si>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</si>
  <si>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</si>
  <si>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</si>
  <si>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</si>
  <si>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</si>
  <si>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</si>
  <si>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</si>
  <si>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</si>
  <si>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</si>
  <si>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</si>
  <si>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</si>
  <si>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</si>
  <si>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</si>
  <si>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</si>
  <si>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</si>
  <si>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</si>
  <si>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</si>
  <si>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</si>
  <si>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</si>
  <si>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</si>
  <si>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</si>
  <si>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</si>
  <si>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</si>
  <si>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</si>
  <si>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</si>
  <si>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</si>
  <si>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</si>
  <si>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</si>
  <si>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</si>
  <si>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</si>
  <si>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</si>
  <si>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</si>
  <si>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</si>
  <si>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</si>
  <si>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</si>
  <si>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</si>
  <si>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</si>
  <si>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</si>
  <si>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</si>
  <si>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</si>
  <si>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</si>
  <si>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</si>
  <si>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</si>
  <si>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</si>
  <si>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</si>
  <si>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</si>
  <si>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</si>
  <si>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</si>
  <si>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</si>
  <si>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</si>
  <si>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</si>
  <si>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</si>
  <si>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</si>
  <si>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</si>
  <si>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</si>
  <si>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</si>
  <si>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</si>
  <si>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</si>
  <si>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</si>
  <si>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</si>
  <si>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</si>
  <si>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</si>
  <si>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</si>
  <si>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</si>
  <si>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</si>
  <si>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</si>
  <si>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</si>
  <si>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</si>
  <si>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</si>
  <si>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</si>
  <si>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</si>
  <si>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</si>
  <si>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</si>
  <si>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</si>
  <si>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</si>
  <si>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</si>
  <si>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</si>
  <si>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</si>
  <si>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</si>
  <si>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</si>
  <si>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</si>
  <si>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</si>
  <si>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</si>
  <si>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</si>
  <si>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</si>
  <si>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</si>
  <si>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</si>
  <si>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</si>
  <si>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</si>
  <si>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</si>
  <si>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</si>
  <si>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</si>
  <si>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</si>
  <si>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</si>
  <si>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</si>
  <si>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</si>
  <si>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</si>
  <si>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</si>
  <si>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</si>
  <si>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</si>
  <si>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</si>
  <si>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</si>
  <si>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</si>
  <si>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</si>
  <si>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</si>
  <si>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</si>
  <si>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</si>
  <si>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</si>
  <si>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</si>
  <si>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</si>
  <si>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</si>
  <si>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</si>
  <si>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</si>
  <si>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</si>
  <si>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</si>
  <si>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</si>
  <si>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</si>
  <si>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</si>
  <si>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</si>
  <si>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</si>
  <si>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</si>
  <si>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</si>
  <si>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</si>
  <si>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</si>
  <si>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</si>
  <si>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</si>
  <si>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</si>
  <si>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</si>
  <si>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</si>
  <si>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</si>
  <si>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</si>
  <si>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</si>
  <si>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</si>
  <si>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</si>
  <si>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</si>
  <si>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</si>
  <si>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</si>
  <si>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</si>
  <si>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</si>
  <si>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</si>
  <si>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</si>
  <si>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</si>
  <si>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</si>
  <si>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2019.gada budžeta atšifrējums pa programmām</t>
  </si>
  <si>
    <t>Struktūrvienība:</t>
  </si>
  <si>
    <t>Marketinga un ārējo sakaru pārvaldes Ārējo sakaru un protokola nodaļa</t>
  </si>
  <si>
    <t>Programma:</t>
  </si>
  <si>
    <t>Funkcionālās klasifikācijas kods:</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</si>
  <si>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</si>
  <si>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</si>
  <si>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</si>
  <si>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</si>
  <si>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</si>
  <si>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</si>
  <si>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</si>
  <si>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KOPĀ</t>
  </si>
  <si>
    <t>Jūrmalas sadraudzības pilsētu delegāciju, ārvalstu delegāciju un ārvalstu vēstnieku uzņemšana</t>
  </si>
  <si>
    <t xml:space="preserve">Ietaupījums kodā 2231 radies, jo uz nenoteiktu laiku atceltas sadraudzības pilsētas Palangas kultūras speciālistu, Ukrainas vēstnieka un Igaunijas vēstnieka plānotās vizītes. </t>
  </si>
  <si>
    <t>JPAP_P1.7._ R1.7.1._43; JPAP_P1.8._ R1.8.2._48; JPAP_P1.10._ R1.10.1._57; JPAP_P1.10._ R1.10.2._58; JPAP_P1.10._ R.1.10.3._59</t>
  </si>
  <si>
    <t>Jūrmalas domes oficiālo delegāciju vizītes uz esošajām un potenciālajām sadraudzības pilsētām, domes vadības oficiālie ārvalstu komandējumi</t>
  </si>
  <si>
    <t>JPAP_P1.10._ R1.10.1._57;  JPAP_P1.10._ R.1.10.3._59</t>
  </si>
  <si>
    <t>Ārvalstu komandējumu dienas naudas</t>
  </si>
  <si>
    <t>Oficiālie reprezentācijas materiāli (dāvanas, prezentācijas, bukleti, plakāti, u.c.)</t>
  </si>
  <si>
    <t>JPAP_P1.10.3_ R.1.10.3._59</t>
  </si>
  <si>
    <t>Sadraudzības līgumu notariālie tulkojumi, oficiālās sarakstes tulkojumi, reprezentatīvo oficiālo informatīvo materiālu tulkojumi (t.sk. notariāli apstiprināti tulkojumi)</t>
  </si>
  <si>
    <t>JPAP_P1.10.2_ R1.10.2._58</t>
  </si>
  <si>
    <t>Dalībmaksa starptautiskajās organizācijās (UBC)</t>
  </si>
  <si>
    <t>JPAP_P1.10._ R.1.10.3._59</t>
  </si>
  <si>
    <t>Autotransports, autotransporta noma</t>
  </si>
  <si>
    <t>JPAP_P1.7._ R1.7.1._43; JPAP_P1.8._ R1.8.2._48; JPAP_P1.10._ R1.10.1._57; JPAP_P1.10.2_ R1.10.2._58; JPAP_P1.10.3_ R.1.10.3._59</t>
  </si>
  <si>
    <t>Autoratlīdzību honorāri</t>
  </si>
  <si>
    <t>JPAP_P1.10._ R1.10.2._58; JPAP_P1.10._ R.1.10.3._59</t>
  </si>
  <si>
    <t>Vizuālo materiālu maketēšana un dizaina pakalpojumi</t>
  </si>
  <si>
    <t>* Informatīvi -</t>
  </si>
  <si>
    <t>Attīstības plānošanas dokumenta nosaukums un rīcības virzienu atšifrējums.</t>
  </si>
  <si>
    <t>Jūrmalas pilsētas attīstības programmas 2014-2020 (JPAP) 2.daļas „Rīcības plāns” g) nodaļa „Darbības un pasākumi”:</t>
  </si>
  <si>
    <t>Rīcības virziens: R1.7.1. Kultūras tūrisma piedāvājuma attīstība</t>
  </si>
  <si>
    <t xml:space="preserve">                          Aktivitātes: Nr.43. Kultūras dzīves piedāvājuma attīstība visa gada garumā </t>
  </si>
  <si>
    <t>Rīcības virziens: R1.8.2. Konferenču un korporatīvo pasākumu nodrošināšanas pakalpojumu attīstība</t>
  </si>
  <si>
    <t xml:space="preserve">                          Aktivitātes: Nr.48. Esošo un jaunu starptautisku kultūras un tikšanās pasākumu iniciēšana un īstenošana</t>
  </si>
  <si>
    <t>Rīcības virziens: R1.10.1. Sadarbība ar Jūrmalas sadraudzības pilsētām</t>
  </si>
  <si>
    <t xml:space="preserve">                          Aktivitātes: Nr.57. Sadarbības projekti ar Jūrmalas sadraudzības pilsētām</t>
  </si>
  <si>
    <t>Rīcības virziens: R1.10.2. Sadarbība ar diplomātisko korpusu (ārvalstu vēstniecībām Latvijā un Latvijas Republikas vēstniecībām un konsulātiem ārvalstīs)</t>
  </si>
  <si>
    <t xml:space="preserve">                          Aktivitātes: Nr.58. Diplomātiskā dienesta Latvijā un ārvalstīs pārstāvju informēšanas aktivitātes</t>
  </si>
  <si>
    <t>Rīcības virziens: R1.10.3. Sadarbība ar asociācijām, starptautiskām organizācijām un institūcijām Latvijā un ārvalstīs</t>
  </si>
  <si>
    <t xml:space="preserve">                          Aktivitātes: Nr.59. Asociācijām, starptautisko organizāciju informēšanas un monitoringa aktivitātes</t>
  </si>
  <si>
    <r>
      <rPr>
        <b/>
        <sz val="9"/>
        <rFont val="Times New Roman"/>
        <family val="1"/>
        <charset val="186"/>
      </rPr>
      <t>17.pielikums</t>
    </r>
    <r>
      <rPr>
        <sz val="9"/>
        <rFont val="Times New Roman"/>
        <family val="1"/>
        <charset val="186"/>
      </rPr>
      <t xml:space="preserve"> Jūrmalas pilsētas domes</t>
    </r>
  </si>
  <si>
    <t>2018.gada18.decembra saistošajiem noteikumiem Nr.44</t>
  </si>
  <si>
    <t>Tāme Nr.09.4.2.</t>
  </si>
  <si>
    <t>Jūrmalas Bērnu un jauniešu interešu centrs</t>
  </si>
  <si>
    <t>90009226256</t>
  </si>
  <si>
    <t>Zemgales iela 4, Jūrmala</t>
  </si>
  <si>
    <t>09.510.</t>
  </si>
  <si>
    <t>Projekts "Proti un dari"</t>
  </si>
  <si>
    <t>LV80TREL981376900300B</t>
  </si>
  <si>
    <t>nepieciešams vairāk līdzekļu materiālu iegādei, lai nodrošinātu individuālo programmu īstenošanu. Šobrīd aktīvi 14 jaunieši, kas iesaistīti dažādās apmācībās, kuru nodrošināšanai nepieciešama materiālu iegāde.</t>
  </si>
  <si>
    <t>plānotās iegādes veiktas, līdzekļu atlikums</t>
  </si>
  <si>
    <t>Tāme Nr. 03.2.1.</t>
  </si>
  <si>
    <t>Jūrmalas pilsētas pašvaldības policija</t>
  </si>
  <si>
    <t>90000056554</t>
  </si>
  <si>
    <t>Dubultu prospekts 2, Jūrmala, LV - 2015</t>
  </si>
  <si>
    <t>03.110</t>
  </si>
  <si>
    <t>Iestādes uzturēšana un sabiedriskās kārtības nodrošināšana</t>
  </si>
  <si>
    <t>LV30PARX0002484572003</t>
  </si>
  <si>
    <t>LV54PARX0002484577003</t>
  </si>
  <si>
    <t>Plānotie maksas pakalpojumu ieņēmumi saistībā par atskurbināšanas pakalpojumu sniegšanu tiek samazināti par EUR 1629.00 sakarā ar 2019. gada 21. februāra  lēmumu Nr. 74 par JPPP maksas pakalpojumiem par atskurbināšanas pakalpojumu maksas atcelšanu. Plānotie ieņēmumi no ZTI par atskurbināšanas pakalpojumiem tiek samazināti par EUR 5453.00 atbilstoši reālai situācijai, bet plānotie ieņēmumi maksas pakalpojumos par sabiedriskās kārtības nodrošināšanu palielināmi par EUR 2361.00 atbilstoši reālai tāmes izpildei. Kopumā ieņēmumi samazināmi par EUR 4721.00. Ņemot vērā, ka tiek samazināti ieņēmumi, nepieciešamo summu plānots samazināt EKK 2519 (valsts nodeva par  nododamo lietu skaitu ZTI, EUR 3.00 par vienu lietu) un EKK 2223 izdevumiem par elektroenerģiju.</t>
  </si>
  <si>
    <t xml:space="preserve">Līdzekļu ekonomija EUR 897.00 no piemaksām par papildu darbu. Līdzekļi izlietoti ievērojot „Valsts un pašvaldību institūciju amatpersonu un darbinieku atlīdzības likuma”, Jūrmalas pilsētas domes 2011.gada 15.decembra nolikumu Nr.21 „Jūrmalas pilsētas pašvaldības institūciju amatpersonu un darbinieku atlīdzības nolikuma” noteikto kārtību. Plānots finansējumu novirzīt EUR 445.00 pasta pakalpojumu izdevumiem, EUR 400.00 APP protokolu izgatavošanai, 30.00 formas tērpa iegādei, 22.00 apdrošināšanas izdevumiem.                                                                                                                                                       </t>
  </si>
  <si>
    <t>Līdzekļu ekonomija EUR 250.00 samazināta DD VSAOI procentu likme pensionāriem un izdienas pensionāriem. Plānots finansējumu novirzīt pabalsta izmaksai darbiniekam sakarā ar tuvinieku nāvi.</t>
  </si>
  <si>
    <t>Nepieciešams papildus finansējums EUR 250.00 apmērā pabalsta izmaksai  darbiniekam sakarā ar tuvinieka nāvi.</t>
  </si>
  <si>
    <t>Ietaupījumu fiksēto telefonu abonēšanas, vietējo un tālsarunas izdevumiem, mainoties operatoriem š.g. sākumā EUR 1550.00.</t>
  </si>
  <si>
    <r>
      <t xml:space="preserve">Nepieciešams papildus finansējums EUR 12215.00 apmērā pasta pakalpojumu izdevumiem. 2019.gada budžetā plāns “Par caurlaižu režīma ievērošanu Jūrmalā” ierakstīto vēstuļu nosūtīšana, izsaukums par protokola sastādīšanu (ārpakalpojums  -  sūtījuma sagatavošana) būtiski pārsniedz plānu, kā rezultāta nepieciešams papildus finansējums līdz š.g. beigām.
Plānotie izdevumi līdz gada beigām:
- uzaicinājuma vai protokola sūtījuma sagatavošana (ārpakalpojums  -  sūtījuma sagatavošana 18 000 x 0.05 = 900.00, sūtījumu piegāde 18000  x 0.61 = 10980.00) = 11880.00;
- trīs radiostaciju kanālu izmantošana 630.36;
- pastmarkas 5000 x 1.39 = 6950.00.
</t>
    </r>
    <r>
      <rPr>
        <sz val="9"/>
        <color rgb="FFFF0000"/>
        <rFont val="Times New Roman"/>
        <family val="1"/>
        <charset val="186"/>
      </rPr>
      <t/>
    </r>
  </si>
  <si>
    <t>Skat. EKK 21399 skaidrojumu.</t>
  </si>
  <si>
    <t>Nepieciešams papildus finansējums EUR 400.00 apmērā Administratīvo pārkāpumu protokolu izgatavošanai. 2019.gadā paredzētie izdevumi viena protokola izgatavošanai (EUR 0.08) pārsniedz reālās izmaksas. Viena protokola izgatavošanas izmaksas EUR 0.16 x 2500 = 400.00.</t>
  </si>
  <si>
    <t xml:space="preserve">Nepieciešams papildus finansējums EUR 22.00  mutltikoptera (drona) apdrošināšanai, saskaņā ar veikto iepirkuma procedūru un cenu piedāvājumu. </t>
  </si>
  <si>
    <t xml:space="preserve">Netiks veikts tehniskās ekspertīzes slēdziens vienai automašīnai. Automašīna izremontēta un tiek izmantota dienesta vajadzībām. Plānots finansējumu novirzīt pasta pakalpojumu izdevumiem. </t>
  </si>
  <si>
    <t>Līdzekļu ekonomija EUR 320.00 no baseina īres glābšanas dienesta darbiniekiem baseina sanitāro dienu laikā. Plānots finansējumu novirzīt pasta pakalpojumu izdevumiem.</t>
  </si>
  <si>
    <t>Maksas pakalpojumi. Nepieciešams papildus finansējums EUR 26.00 apmērā spriedumu izpildes izdevumu segšanai ZTI. Sprieduma izpildes laikā piedzinējs pēc tiesu izpildītāja norādījuma iemaksā papildus nepieciešamos sprieduma izpildes izdevumus. Likumā norādītajos gadījumos sprieduma izpildes laikā sprieduma izpildes izdevumus par atsevišķām procesuālajām darbībām maksā parādnieks. Saskaņā ar Civilprocesa likumu sprieduma izpildes izdevumus, kas nepieciešami izpildes uzsākšanai, sedz JPPP.</t>
  </si>
  <si>
    <t>Līdzekļu ekonomija EUR 263.00 no  “Drošības dienu” pasākuma organizēšanai balvu iegādēm. “Drošības dienu”  pasākumi nav plānojami līdz š.g. beigām. Plānots finansējumu novirzīt pasta pakalpojumu izdevumiem.</t>
  </si>
  <si>
    <t>Nepieciešams papildus finansējums EUR 150.00 apmērā formas tērpa (žakete, uzvalka bikses, identifikācijas zīmes) iegādei priekšniekam.</t>
  </si>
  <si>
    <t xml:space="preserve">Izvērtējot reālo situāciju un krājumu atlikumu, daļa finansējuma par alkometra iemutēm EUR 120.00 nepieciešams novirzīt formas tērpa iegādei priekšniekam. </t>
  </si>
  <si>
    <t>Apstrādājot ZTI lietas līdz š.g.  beigām  JPD debitoru nodošanai Zvērinātam tiesu izpildītajam parāda piedziņai plāns 3.00 x 2500 = 7500.00. Plānots finansējumu EUR 9567.00 novirzīt pasta pakalpojumu izdevumiem. Maksas pakalpojumi skat. EKK 2276 skaidrojumu un  EKK 21399 skaidrojumu.</t>
  </si>
  <si>
    <t>Tāme Nr.06.1.6.</t>
  </si>
  <si>
    <t>06.600</t>
  </si>
  <si>
    <t>Pašvaldības īpašumu pārvaldīšana</t>
  </si>
  <si>
    <t>LV81PARX0002484577002</t>
  </si>
  <si>
    <t xml:space="preserve">Budžeta finansēta institūcija: </t>
  </si>
  <si>
    <t xml:space="preserve">Reģistrācijas Nr.: </t>
  </si>
  <si>
    <t xml:space="preserve">2019.gada budžeta atšifrējums pa programmām </t>
  </si>
  <si>
    <t>Īpašumu pārvaldes Dzīvokļu nodaļa</t>
  </si>
  <si>
    <t>Līdzekļi apsaimniekošanas un komunālo pakalpojumu maksas segšanai neizīrētos pašvaldības dzīvokļos</t>
  </si>
  <si>
    <t>JPAP_R2.9.1_115</t>
  </si>
  <si>
    <t>Līdzekļi pašvaldības dzīvojamo telpu īrnieku parādu segšanai SIA "Jūrmalas namsaimnieks" un citiem pārvaldniekiem, SIA "Jūrmalas siltums" par dzīvojamo telpu apsaimniekošanas maksu un maksu par komunālajiem pakalpojumiem</t>
  </si>
  <si>
    <t>Budžeta aktivitāte ir plānota izdevumiem, kuru apmaksas pamatotību vērtē Darba grupa (atbilstoši JPD 15.02.2018. noteikumiem Nr.1), kas izveidota, lai izvērtētu pašvaldības kapitālsabiedrības SIA "Jūrmalas Siltums" un pašvaldībai piederošo dzīvojamo telpu pārvaldnieka SIA "Jūrmalas Namsaimnieks" iesniegto pašvaldībai piederošo dzīvokļu īrnieku radīto parādsaistību (komunālie, apsaimniekošanas, tiesvedību izdevumi) segšanai.
Kā pamatotus Darba grupa apmaksai ir atzinusi tikai atsevišķus iesniegtos prasījumus. Uz šo budžeta grozījumu sagatavošanas brīdi JPD rīcībā nav iesniegtu, neizvērtētu pieprasījumu no SIA "Jūrmalas siltums" un SIA "Jūrmalas namsaimnieks" samaksāt dzīvokļu īrnieku izveidotos parādus.</t>
  </si>
  <si>
    <t>Līdzekļi apsaimniekošanas un komunālo pakalpojumu maksas segšanai pašvaldības dzīvokļos, kur beidzies dzīvojamās telpas īres līguma termiņš</t>
  </si>
  <si>
    <t>Izdevumi, kas sasitīti ar izpildu dokumenta nodošanu zvērinātam tiesu izpildītājam un tā veiktajām darbībām</t>
  </si>
  <si>
    <t>Jūrmalas pilsētas attīstības programma 2014.-2020.gadam (JPAP):</t>
  </si>
  <si>
    <t>Prioritāte: P2.9.Dzīvojamā fonda attīstība</t>
  </si>
  <si>
    <t>Rīcības virziens: R2.9.1.:Pašvaldības dzīvojamā fonda attīstība</t>
  </si>
  <si>
    <t>Aktivitāte Nr.115: Jūrmalas pašvaldības dzīvojamā fonda attīstības plānošana un plānu realizācija</t>
  </si>
  <si>
    <r>
      <rPr>
        <b/>
        <sz val="9"/>
        <rFont val="Times New Roman"/>
        <family val="1"/>
        <charset val="186"/>
      </rPr>
      <t>13.pielikums</t>
    </r>
    <r>
      <rPr>
        <sz val="9"/>
        <rFont val="Times New Roman"/>
        <family val="1"/>
        <charset val="186"/>
      </rPr>
      <t xml:space="preserve"> Jūrmalas pilsētas domes</t>
    </r>
  </si>
  <si>
    <t xml:space="preserve">2018.gada 18.decembra saistošajiem noteikumiem Nr.44 </t>
  </si>
  <si>
    <t>Tāme Nr.08.1.7</t>
  </si>
  <si>
    <t xml:space="preserve">Jomas  iela 1/5 , Jūrmala </t>
  </si>
  <si>
    <t>08.100</t>
  </si>
  <si>
    <t>Sporta pasākumi</t>
  </si>
  <si>
    <t>LV84PARX00024845720001</t>
  </si>
  <si>
    <t>Tāme Nr.08.1.8</t>
  </si>
  <si>
    <t>2018.gada 18.decembra saistošajiem noteikumiem Nr.44</t>
  </si>
  <si>
    <t>Struktūrvienība</t>
  </si>
  <si>
    <t>Jūrmalas Sporta servisa centrs</t>
  </si>
  <si>
    <t>JPAP_MI_P1.6_R1.6.3_41                                           JPSAAS                            Mērķi Nr.1,Nr.3, Nr.4</t>
  </si>
  <si>
    <t>Jūrmalas čempionāts basketbolā vīriešiem</t>
  </si>
  <si>
    <t>Jūrmalas atklātais amatieru čempionāts  hokejā</t>
  </si>
  <si>
    <t>Jūrmalas domes kauss pludmales futbolā</t>
  </si>
  <si>
    <t>Jūrmalas čempionāts pludmales volejbolā</t>
  </si>
  <si>
    <t xml:space="preserve">Jūrmalas gada balva sportā </t>
  </si>
  <si>
    <t>CEV/FIVB starptautiskās pludmales volejbola sacensības</t>
  </si>
  <si>
    <t>Jūrmalas skriešanas svētki</t>
  </si>
  <si>
    <t>Neatkarības dienas velobrauciens</t>
  </si>
  <si>
    <t>Jūrmalas velomaratons</t>
  </si>
  <si>
    <t>Jūrmalas krāsu skrējiens</t>
  </si>
  <si>
    <t>Electric Run Jūrmala</t>
  </si>
  <si>
    <t>Jūrmalas MTB velomaratons</t>
  </si>
  <si>
    <t>Veicot iepirkuma procedūru, uzvarot lētākajai līgumacenai izveidojās pārpalikums</t>
  </si>
  <si>
    <t>Latvijas čempionāts pludmales volejbolā</t>
  </si>
  <si>
    <t>Pasaules kausa posms ielu vingrošanā</t>
  </si>
  <si>
    <t>Ielu dejošanas pasākums "Ghetto dance"</t>
  </si>
  <si>
    <t>24. starptautiskās sacensības mākslas vingrošanā "Mazā un lielā grācija"</t>
  </si>
  <si>
    <t>"Jurmala Cup" ūdens motosporta sacensības</t>
  </si>
  <si>
    <t>Jāņa Roviča kauss boksā</t>
  </si>
  <si>
    <t>Starptautiskais pludmales handbola turnīrs "Jūrmala"</t>
  </si>
  <si>
    <t>Latvijas senioru atklātais čempionāts tenisā</t>
  </si>
  <si>
    <t>Starptautiskās karatē sacensības "Jūrmalas kauss "</t>
  </si>
  <si>
    <t>LAF organizētās sacensības airēšanā</t>
  </si>
  <si>
    <t>Jūrmalas Rogainings</t>
  </si>
  <si>
    <t xml:space="preserve">Jūrmalas domes atklātais futbola kauss </t>
  </si>
  <si>
    <t>Džudo turnīrs "Young Stars Jurmala"</t>
  </si>
  <si>
    <t>Jūrmalas kauss Pludmales Regbijā-5</t>
  </si>
  <si>
    <t>Skriešanas seriāls "Dzintaru apļi"</t>
  </si>
  <si>
    <r>
      <t xml:space="preserve">
</t>
    </r>
    <r>
      <rPr>
        <b/>
        <sz val="9"/>
        <rFont val="Times New Roman"/>
        <family val="1"/>
        <charset val="186"/>
      </rPr>
      <t>2314</t>
    </r>
  </si>
  <si>
    <t>Orientēšanās spēles "Ķemeri 181/41"</t>
  </si>
  <si>
    <t>Starptautiskais bērnu un jauniešu šaha turnīrs Rudaga-Kaissa vasara/ziema</t>
  </si>
  <si>
    <t>Projektu konkurss sporta pasākumiem</t>
  </si>
  <si>
    <t>Latvijas čempionāts zolīte - A fināls</t>
  </si>
  <si>
    <t>4. maija Sporta svētki Jūrmalā</t>
  </si>
  <si>
    <t xml:space="preserve">SSB Sporta spēles </t>
  </si>
  <si>
    <t xml:space="preserve">
2279</t>
  </si>
  <si>
    <t>Sporta veidu attīstība</t>
  </si>
  <si>
    <t>Līdzfinansējums biedrībai "Jūrmalai un sportam"</t>
  </si>
  <si>
    <t>JPAP_M3_P3.3_R3.3.3. 207 JPAP_M3_P3.1_R3.1.3. 133 JPAP_M1_P1.6._R1.6.3._41  JPSAAAS Mērķi Nr 1;Nr.4.</t>
  </si>
  <si>
    <t>Biedrība "Jūrmalas Sports" handbola komandas līdzfinansēšana</t>
  </si>
  <si>
    <t>Aleksandra Samoilova atbalstam</t>
  </si>
  <si>
    <t>Pludmales volejbolistes Tīnas Lauras Graudiņas atbalstam</t>
  </si>
  <si>
    <t>Gargabalnieces Jeļenas Čelnovas - Prokopčukas attīstībai</t>
  </si>
  <si>
    <t>Ratiņtenisistes Žanetes Vasaraudzes - Gailītes attīstībai</t>
  </si>
  <si>
    <t xml:space="preserve">Alvila Branta atbalstam Pasaules kausā parabobslejā </t>
  </si>
  <si>
    <t>Mihaila Samoilova atbalstam</t>
  </si>
  <si>
    <t>Karatistes Marijas Luīzes Muižnieces atbalstam</t>
  </si>
  <si>
    <t>Loka šāvējas Anetes Kreicbergas atbalstam</t>
  </si>
  <si>
    <t>Dambretista Gunta Valnera atbalstam</t>
  </si>
  <si>
    <t>Biedrības PAPA'S sacīkšu komandas atbalstam</t>
  </si>
  <si>
    <t>Jurmala Racing Team</t>
  </si>
  <si>
    <t>Biedrība "Skolas sporta klubs "Neguss""</t>
  </si>
  <si>
    <t>Jāņa Roviča boksa klubs</t>
  </si>
  <si>
    <t>Florbola klubs Jūrmala</t>
  </si>
  <si>
    <t>Karatista Leonīda Vorožeikina atbalstam</t>
  </si>
  <si>
    <t>Airētāja Ģirta Sokolova atbalstam</t>
  </si>
  <si>
    <t>Airētājas Jelizavetes Simačevas atbalstam</t>
  </si>
  <si>
    <t>Airētājas Zanes Putniņas atbalstam</t>
  </si>
  <si>
    <t>Airētāja Oskara Anša Ruģeļa atbalstam</t>
  </si>
  <si>
    <t>Airētāja Markusa Imanta Saulītes atbalstam</t>
  </si>
  <si>
    <t>Airētāja Valtera Dirnēna atbalstam</t>
  </si>
  <si>
    <t>Airētāja Krišjāņa Strautiņa atbalstam</t>
  </si>
  <si>
    <t>Airētāja Krista Tomasa Krūmiņa atbalstam</t>
  </si>
  <si>
    <t>Par burāšanas sporta vienības fonda "Collatis viribus" līdzfinansēšanu</t>
  </si>
  <si>
    <t>Olivera Ritenieka atbalstam</t>
  </si>
  <si>
    <t xml:space="preserve">Veterānu futbola kluba "Devro Jūrmala" atbalstam </t>
  </si>
  <si>
    <t>Senioru sporta biedrības Jūrmala galda tenisistu atbalstam</t>
  </si>
  <si>
    <t>Pašvaldības atzinības izteikšana par īpašiem sasniegumiem un rezultātiem</t>
  </si>
  <si>
    <t>Naudas balvas par izciliem sasniegumiem sportā: 1) Latvijas Jaunatnes VIII Olimpiādes sportistiem un treneriem - 10502,95 EUR; 2) Tīnai Laurai Graudiņai un trenerim - 8376,62 EUR</t>
  </si>
  <si>
    <t>Jūrmalas komandas dalība Latvijas Jaunatnes Olimpiādē</t>
  </si>
  <si>
    <t>Sastādot 2019.gada budžetu Olimpiādes norsies vieta nebija zināma, tādēļ tāme pasākumam tika sastādīta provizoriski, veicot aprēķinos pēc iespējami lielākajām izmaksām.</t>
  </si>
  <si>
    <t>Gustava Smiltena atbalstam</t>
  </si>
  <si>
    <t>Sporta attīstības un publicitātes pasākumi</t>
  </si>
  <si>
    <t>08.620</t>
  </si>
  <si>
    <t>Grāmata''Jūrmalas sporta vēsture''</t>
  </si>
  <si>
    <t>JPAP_P1.6._R1.6.3._41</t>
  </si>
  <si>
    <t>Jūrmalas pilsētas attīstības programma 2014. – 2020.gadam (JPAP)</t>
  </si>
  <si>
    <t>Prioritāte 1.6. Aktīvā un dabas tūrisma attīstība</t>
  </si>
  <si>
    <t>Rīcības virziens: R.1.6.3. Sporta pasākumu un pakalpojumu attīstība</t>
  </si>
  <si>
    <t>Aktivitāte 41 Sporta infrastruktūras un pasākumu un pakalpojumu attīstība</t>
  </si>
  <si>
    <t>Prioritāte 3.1. Uz nākotni orientēta pilsētas pārvaldība, kas atbalsta pilsonisko iniciatīvu</t>
  </si>
  <si>
    <t>Rīcības virziens: R.3.1.3. Nevalstiskā sektora attīstības atbalsts</t>
  </si>
  <si>
    <t>Aktivitāte 133 Sadarbība ar nevalstiskajām organizācijām</t>
  </si>
  <si>
    <t>Prioritāte 3.3. Daudzveidīga kultūras un sporta vide</t>
  </si>
  <si>
    <t>Rīcības virziens: R.3.3.3.: Sporta sektora attīstība</t>
  </si>
  <si>
    <t>Aktivitāte 207 Valsts vadošo sporta speciālistu piesaiste</t>
  </si>
  <si>
    <t>Mērķi no JPAAAS - Jūrmalas pilsētas aktīvās atpūtas attīstības stratēģija</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</si>
  <si>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</si>
  <si>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</si>
  <si>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</si>
  <si>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</si>
  <si>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Tāme Nr.10.5.1.</t>
  </si>
  <si>
    <t>Jūrmalas pilsētas bāriņtiesa</t>
  </si>
  <si>
    <t>90000091456</t>
  </si>
  <si>
    <t>Dubultu prospekts 1, Jūrmala</t>
  </si>
  <si>
    <t>10.400.</t>
  </si>
  <si>
    <t>Bērnu tiesību aizsardzības nodrošināšana</t>
  </si>
  <si>
    <t>LV45PARX0002484572024</t>
  </si>
  <si>
    <t>LV35PARX0002484577054</t>
  </si>
  <si>
    <t>Tāmes precizēšana - ieņēmumu palielināšana par EUR 1.00. Ieturējumi no darbinieka, darba devējam (bāriņtiesai) radītie zaudējumi.</t>
  </si>
  <si>
    <t>Nepieciešams papildus finansējums elektroenerģijas izdevumiem līdz š.g. beigām. Vidēji prognozējamie izdevumi - par augustu, septembri EUR 160.00, oktobri, novembri EUR 190.00. Tāmes atlikums uz 19.09.19. sastāda EUR 335.80 EUR, papildus nepieciešams 15.00.</t>
  </si>
  <si>
    <t>Nepieciešams papildus finansējums atkritumu savākšanas izdevumu segšanai EUR 21.00 apmērā, ņemot vērā tāmes atlikumu un tekošo izdevumu pārskatu par šo gadu. Tāmes atlikums pēc izpildes datiem uz 19.09.19. EUR 31.94. Plānotie izdevumi par periodu augusts - decembris = EUR 52.00 (13.00 x 4 mēn.).</t>
  </si>
  <si>
    <t xml:space="preserve">
2019.gadā nav nepieciešams veikt kopējamo iekārtu tehnisko apkalpošanu. Līdzekļus EUR 75.00 plānots novirzīti saimniecības preču un inventāra iegādes izdevumiem.
</t>
  </si>
  <si>
    <t>Nepieciešams papildus finansējums EUR 74.00 apmērā inventāra (biroja krēsla) iegādei. Nepieciešamo summu plānots segt, no ietaupījuma par inventāra (diktofona), krājumu un kopējamo iekārtu tehniskās apkalpošanas izdevumiem.</t>
  </si>
  <si>
    <t>Līdzekļu ekonomija. 2019.gadā krājums (aptieciņa) iegādāta lētāk nekā tika ieplānots. Līdzekļus plānots novirzīti inventāra iegādes izdevumiem.</t>
  </si>
  <si>
    <t xml:space="preserve">Nepieciešams papildus  finansējums saimniecības preču (tualetes papīrs, atkritumu maisi, ziepes, roku dvieļi, trauku mazgāšanas līdzekļi, u.c. preces) iegādēm līdz š.g. beigām. </t>
  </si>
  <si>
    <t>Līdzekļu ekonomija no datortehnikas (portatīvā datora) iegādes EUR 101.00. Līdzekļus plānots novirzīt - saimniecības preču iegādes izdevumiem EUR 65.00, elektroenerģijas izdevumiem EUR 15.00, atkritumu izvešanai EUR 21.00.</t>
  </si>
  <si>
    <t xml:space="preserve">Līdzekļi, kas atgriežami pašvaldībai EUR 285.22. Tāmes precizēšana. </t>
  </si>
  <si>
    <t>Jūrmalas pilsētas domes Labklājības pārvalde</t>
  </si>
  <si>
    <t>90000594245</t>
  </si>
  <si>
    <t>Mellužu pr.83, Jūrmala, LV-2008</t>
  </si>
  <si>
    <t>10.910</t>
  </si>
  <si>
    <t>Iestādes uzturēšana</t>
  </si>
  <si>
    <t>LV72PARX0002484572023</t>
  </si>
  <si>
    <t>LV16PARX0002484573031</t>
  </si>
  <si>
    <t>LV96PARX0002484577023</t>
  </si>
  <si>
    <t>Ekonomija radusies papīra, toneru un fotocilindru iegādē</t>
  </si>
  <si>
    <t xml:space="preserve">Iepirkuma procedūras rezultātā izvēlēts pretendents tualešu, virtuves un apkopējas telpas aprīkošanai Talsu šosejā 31 k-25, Jūrmalā ar salvešu turētājiem, tualetes papīra turētājiem, atkritumu tvertnēm, ziepju (putu) dozatoriem un dvieļu turētājiem (skat. pielikumā informāciju par vajadzīgo aprīkojumu).  Lai varētu nodrošināt jaunās mājas aprīkošanu ar nepieciešamo, inventāra iegādēm nepieciešams papildus finansējums. </t>
  </si>
  <si>
    <t>Tāme Nr.10.2.1.</t>
  </si>
  <si>
    <t>Tāme Nr. 10.3.1.</t>
  </si>
  <si>
    <t>Jūrmalas pilsētas pašvaldības iestāde "Jūrmalas veselības veicināšanas un sociālo pakalpojumu centrs"</t>
  </si>
  <si>
    <t>90010991438</t>
  </si>
  <si>
    <t>Strēlnieku prospekts 38</t>
  </si>
  <si>
    <t>10.200</t>
  </si>
  <si>
    <t>Pansionāta pakalpojumu sniegšana</t>
  </si>
  <si>
    <t>LV81PARX0002484572152</t>
  </si>
  <si>
    <t>LV09PARX0002484577037</t>
  </si>
  <si>
    <t>LV43PARX0002484576037</t>
  </si>
  <si>
    <t>Finanšu līdzekļi nepieciešami bankas pakalpojumu - naudas piegādes apmaksai, kuras apjoms ir palielinājies. Mēnesī nepieciešami finanšu līdzekļi 42,49 euro. Gadā - 42,40*12mēn.= 508,80 euro. 509-458 = 51 euro.</t>
  </si>
  <si>
    <t>Finanšu līdzekļu ekonomija</t>
  </si>
  <si>
    <t>Papildus finanšu līdzekļi nepieciešami speciālo karstumizturīgo gaismas ķermeņu iegādei virtuves blokā. PVD aizrādījums par griestu, sienu, ventilācijas apgaismojuma atbilstību prasībām. 10 gab.*90 euro = 900 euro</t>
  </si>
  <si>
    <t>Tāme Nr.09.4.1.</t>
  </si>
  <si>
    <t>LV32PARX0002484572064</t>
  </si>
  <si>
    <t>LV32PARX0002484573034</t>
  </si>
  <si>
    <t>LV90PARX0002484577034</t>
  </si>
  <si>
    <t>pārrēķins atbilstoši tarifikācijām</t>
  </si>
  <si>
    <t>noslēgts jauns līgums par telpu izmantošanu ar biedrību "Asne"  no 12.09.2019.-28.05.2020. Laikā līdz 2019,gada beigām 15 nodarbības x 1,5, stundas x 8,05 eur=181,12 eur</t>
  </si>
  <si>
    <t>ieņēmumi par mobilo telefonu limita pārsniegšanu</t>
  </si>
  <si>
    <t>100 eur nepieciešams papildus slimības lapu apmaksai,, atalgojums I-VIII 41080 eur, IX-XII 15960 eur</t>
  </si>
  <si>
    <t>Nepieciešams papildus finansējums nodokļu nomaksai. Programmā "Ozols" galīgo izmaksu aprēķins atšķīrās no iepriekšējā aprēķina par  kompensējamo dienu skaitu</t>
  </si>
  <si>
    <t>Nepieciešams papildus finansējums nodokļu nomaksai. Programmā "Ozols" galīgo izmaksu aprēķins atšķīrās no iepriekšējā aprēķina par  kompensējamo dienu skaitu. Valsts mērķdotācijās I-VIII 9904 eur, IX-XII 3748 eur</t>
  </si>
  <si>
    <t>slimības lapu apmaksai IX-XII, atlikums uz septembri 3,68 eiro</t>
  </si>
  <si>
    <t xml:space="preserve"> </t>
  </si>
  <si>
    <t>atlikums pēc komandējuma izmantošanas</t>
  </si>
  <si>
    <t>nepieciešams papildus finansējums, jo vairākus mēnešus Tet internetam bija lielāka interneta maksa nekā budžetā plānotā. Oktobris - decembris nepieciešami 60,21 eur x 3 = 180,63 eur, koda atlikums 162,06 eur</t>
  </si>
  <si>
    <t>mobilā telefona sarunu apmaksai, kas saistīts ar telefona izmantošanu ārzemju komandējumu laikā, oktobris - decembris nepieciešami 34,10 eur x 3 mēn = 102,30 eur, koda atlikums 74,98 eur</t>
  </si>
  <si>
    <t>nepieciešams papildus finansējums ūdens patēriņa apmaksai, līdz gada beigām apmēram 11 m3 x 3,16 eur=34,76 eur, konta atlikums 20,12 eur</t>
  </si>
  <si>
    <t>izlietots  mazāks finansējums ūdens iegādei nometņu norises laikā</t>
  </si>
  <si>
    <t>izlietots mazāks finansējums nometņu dalībnieku balvu, suvenīru iegādei</t>
  </si>
  <si>
    <t>2018.gadā periodam septembris - novembris patērēti 960 m3 par summu 512 eur, pieņemot, ka būs līdzīgs patēriņš ap 1000 m3, nepieciešamā summa ap 563 eur,  papildus nepieciešami 100 eur</t>
  </si>
  <si>
    <t>nepieciešams papildus finansējums iekštelpu remontdarbiem Lielupes 21, plānots pārkārtot 15,37 m2 telpu no noliktavas par darbnīcu, kam nepieciešams špaktelēšanas, krāsošana sienām -  105 eur, linoleja nomaina 95 eur.</t>
  </si>
  <si>
    <t>iekārtu remonta un uzturēšanas materiāliem tiks izlietoti mazāk līdzekļu</t>
  </si>
  <si>
    <t xml:space="preserve"> Iestādes uzturēšana, interešu izglītības un jaunatnes darba nodrošināšana</t>
  </si>
  <si>
    <t>Tāme Nr.09.29.1.</t>
  </si>
  <si>
    <t>Jūrmalas Sporta skola</t>
  </si>
  <si>
    <t>90009249367</t>
  </si>
  <si>
    <t>Nometņu iela 2B, Jūrmala</t>
  </si>
  <si>
    <t>09.510</t>
  </si>
  <si>
    <t>Iestādes uzturēšana, interešu un profesionālās ievirzes izglītības nodrošināšana</t>
  </si>
  <si>
    <t>LV96PARX0002484572076</t>
  </si>
  <si>
    <t>LV96PARX0002484573046</t>
  </si>
  <si>
    <t>LV73PARX0002484577049</t>
  </si>
  <si>
    <t>LV10PARX0002484576049</t>
  </si>
  <si>
    <t xml:space="preserve">VIENOŠANĀS
par grozījumiem 2019.gada 17.janvāra profesionālās ievirzes sporta izglītības programmu finansēšanas līgumā Nr. 2-2e/19/78  9203 EUR, Interešu izglītības mērķdotācijas palielinājums septembra - decembra mēnešiem 1344 EUR.                       
</t>
  </si>
  <si>
    <t xml:space="preserve">Siltumenerģijas, ūdens un kanalizācijas, elektroenerģijas patēriņa apmaksai Rūpniecības ielā 13, atbilstoši līgumam skola izraksta rēķinu būvniekiem pamatojoties uz saņemto papaklpojuma sniedzēja rēķinu. 
</t>
  </si>
  <si>
    <t>Finanšu līdzekļu ekonomija, pamatojoties uz tehnisko darbinieku ilglaicīgu slimošanu ( Slimības lapa B). VIENOŠANĀS
par grozījumiem 2019.gada 17.janvāra profesionālās ievirzes sporta izglītības programmu finansēšanas līgumā Nr. 2-2e/19/78 4942.00 EUR, ekonomija 1147 kodā pēc tarifikācijas 2434 EUR Interešu izglītības mērķdotācija septembra -decembra mēnešiem ( iepriekš.piešķ.(3504.00 *4 mēn =14016.00-15100.00 (ar izmaiņām 4684.00*4mēn)=starpība 1084.00 EUR).</t>
  </si>
  <si>
    <t>Prof MD finanšu līdzekļus samazināt pēc apstiprinātas tarifikācijas, EKK piemaksas no 1147-uz 1149sakarā ar to,ka no 01.09.2019. izmaiņas (piemaksas par kvalitātes pakāpi).</t>
  </si>
  <si>
    <r>
      <t>Finanšu līdzekļi nepieciešams naudas balvas piešķiršanai (futbola trenerim Aleksejam Dmitrijevam 902.72 EUR, sakarā ar bērna piedzimšanu (01.03.2019.) un  peldēšanas trenerei Nataļjai Kulmanakovai</t>
    </r>
    <r>
      <rPr>
        <sz val="9"/>
        <color rgb="FFFF0000"/>
        <rFont val="Times New Roman"/>
        <family val="1"/>
        <charset val="186"/>
      </rPr>
      <t xml:space="preserve"> </t>
    </r>
    <r>
      <rPr>
        <sz val="9"/>
        <rFont val="Times New Roman"/>
        <family val="1"/>
        <charset val="186"/>
      </rPr>
      <t>983.93 EUR, sakarā ar dzīves jubileju 50 gadi (16.09.2019.)</t>
    </r>
  </si>
  <si>
    <t xml:space="preserve">Prof MD Precizēt un pārvizīt pēc apstiprinātas tarifikācijas, EKK piemaksas no 1147-uz 1149  7546.01 EUR sakarā ar to,ka no 01.09.2019  izmaiņas (piemaksas par kvalitātes pakāpi). </t>
  </si>
  <si>
    <t>Darba devēja soc. nodoklis profesionālā ievirze 1787.00 EUR, Darba devēja soc. Nodoklis interešu izglītība( iepriekš.piešķ.( 844.00*4 mēn =3376-3636.00 (ar izmaiņām 909.00*4mēn)= starpība 260.00 EUR).</t>
  </si>
  <si>
    <t>Finanšu līdzekļu ekonomija, sakarā ar to ka šajā laika periodā mazāk slimojuši darbinieki,nekā bijia plānots budzētā.</t>
  </si>
  <si>
    <t>Mobilo telefonu apmaksai pietrūks 3 EUR. Šobrīd atlikums budžeta 65.80, atbilstoši limitiem šogad vēl jāmaksā 3.81*6telefoni*3mēneši=68.58 Pārtēriņš radies jo operators ietur maksu par zvanu uz atsevišķiem numuriem (piemēram IZM) kā arī veicot zvanus uz ārzemēm starptautisko turnīru nodrošināšanai.</t>
  </si>
  <si>
    <t xml:space="preserve">Siltumenerģijas patēriņa apmaksai Rūpniecības ielā 13, atbilstoši līgumam skola izraksta rēķinu būvniekiem pamatojoties uz saņemto papaklpojuma sniedzēja rēķinu. </t>
  </si>
  <si>
    <t xml:space="preserve">Ūdens un kanalizācijas patēriņa apmaksai Rūpniecības ielā 13, atbilstoši līgumam skola izraksta rēķinu būvniekiem pamatojoties uz saņemto papaklpojuma sniedzēja rēķinu. </t>
  </si>
  <si>
    <t xml:space="preserve">Elaktroenerģijas patēriņa apmaksai Rūpniecības ielā 13, atbilstoši līgumam skola izraksta rēķinu būvniekiem pamatojoties uz saņemto papaklpojuma sniedzēja rēķinu. </t>
  </si>
  <si>
    <t>Daļa baseina remontdarbu laikā paredzētās apmācības notiks SIVA peldbaseinā.</t>
  </si>
  <si>
    <t>SIVA peldbaseinā baseina remontdarbu laikā paredzēto peldēšanas treniņnodarbību apmaksu iespējams veikt tikai kā abonementu maksu.10 bērni*3.5 EUR*3stundas nedēlā=105 euro nedēļā*12 nedēļas=1260EUR</t>
  </si>
  <si>
    <t>I. Kundziņa</t>
  </si>
  <si>
    <t>Tāme Nr.09.29.2.</t>
  </si>
  <si>
    <t>Sporta skolas pasākumi</t>
  </si>
  <si>
    <t>Dienas nauda bija nepieciešama mazāk nekā plānots.</t>
  </si>
  <si>
    <t>Komandējuma dienas bija mazāk, nekā plānots.</t>
  </si>
  <si>
    <t>Viesnīcas izdevumi bija mazāki, nekā plānots.</t>
  </si>
  <si>
    <t>Motorlaivas motora apkope un ieziemošanas, vecā motorlaiva 120 EUR, jaunā motorlaiva 150 EUR</t>
  </si>
  <si>
    <t>Telpu noma bija nepieciešama mazāk nekā plānots.</t>
  </si>
  <si>
    <t xml:space="preserve">Saskaņā ar 2019.gadā veikto iepirkumu transporta pakalpojumu cena palielinājusies no 0.67 līdz 1.09 EUR/km (19 vietīgais buss) un no 1.09 uz 1.45 EUR/km (lielais autobuss) </t>
  </si>
  <si>
    <t>Dalības maksa sacensībām peldēšanā.</t>
  </si>
  <si>
    <t>Jaunā motorlaiva patērē 1.25 l / h vairāk nekā vecā motorlaiva papildus nepieciešams 2 mēneši * 55 l * 1.21 EUR = 133</t>
  </si>
  <si>
    <t>Mākslas vingrošanas grupu vingrojumu kostīmu iegāde 210 EUR * 6 audzēknes =  1260  EUR</t>
  </si>
  <si>
    <t xml:space="preserve">Ēdināsanas izdevumi bija nepieciešami mazāk nekā plānots. </t>
  </si>
  <si>
    <t>Volejbola bumbas MIKASA 5 gab.*75 eur= 375 euro</t>
  </si>
  <si>
    <t>Motorlaiva tika iegādāta lētāk nekā bija plānots</t>
  </si>
  <si>
    <t>S.Bērziņš</t>
  </si>
  <si>
    <r>
      <rPr>
        <b/>
        <sz val="9"/>
        <rFont val="Times New Roman"/>
        <family val="1"/>
        <charset val="186"/>
      </rPr>
      <t>28.pielikums</t>
    </r>
    <r>
      <rPr>
        <sz val="9"/>
        <rFont val="Times New Roman"/>
        <family val="1"/>
        <charset val="186"/>
      </rPr>
      <t xml:space="preserve"> Jūrmalas pilsētas domes</t>
    </r>
  </si>
  <si>
    <t>Budžeta finansēta institūcija: Jūrmalas Sporta skola</t>
  </si>
  <si>
    <t>Reģistrācijas Nr.: 90009249367</t>
  </si>
  <si>
    <r>
      <t xml:space="preserve">Struktūrvienība: </t>
    </r>
    <r>
      <rPr>
        <b/>
        <i/>
        <sz val="12"/>
        <rFont val="Times New Roman"/>
        <family val="1"/>
        <charset val="186"/>
      </rPr>
      <t>Jūrmalas Sporta skola</t>
    </r>
  </si>
  <si>
    <t>Programma: Sporta skolas pasākumi</t>
  </si>
  <si>
    <r>
      <t xml:space="preserve">Funkcionālās klasifikācijas kods: </t>
    </r>
    <r>
      <rPr>
        <b/>
        <sz val="9"/>
        <rFont val="Times New Roman"/>
        <family val="1"/>
        <charset val="186"/>
      </rPr>
      <t>09.510</t>
    </r>
  </si>
  <si>
    <t>pamatbudžets</t>
  </si>
  <si>
    <t>KOPĀ:</t>
  </si>
  <si>
    <t>Basketbols</t>
  </si>
  <si>
    <t>Dalība čempionātos</t>
  </si>
  <si>
    <t>1.1.1.</t>
  </si>
  <si>
    <t>Dalība LJBL</t>
  </si>
  <si>
    <t>JPAP_R3.2.4._174  JPSAAS_3_3.3.</t>
  </si>
  <si>
    <t>1.1.2.</t>
  </si>
  <si>
    <t>Atklātais turnīrs "Fēnikss kauss"</t>
  </si>
  <si>
    <t>JPAP_R3.2.4._170</t>
  </si>
  <si>
    <t>1.1.3.</t>
  </si>
  <si>
    <t>Dalība LBS rīkotajā čempionātā Latvijas sieviešu basketbola līgā</t>
  </si>
  <si>
    <t>Basketbola programmas īstenošanas nodrošināšana</t>
  </si>
  <si>
    <t>JPAP_R3.2.4._173</t>
  </si>
  <si>
    <t>1.3.</t>
  </si>
  <si>
    <t>Nometnes</t>
  </si>
  <si>
    <t>1.3.1.</t>
  </si>
  <si>
    <t>Dienas nometnes</t>
  </si>
  <si>
    <t>JPAP_R3.2.4._184 JPSAAS_3_3.3.</t>
  </si>
  <si>
    <t>1.3.2.</t>
  </si>
  <si>
    <t>Izbraukuma nometnes</t>
  </si>
  <si>
    <t>Sakarā ar treniņiem jaunatnes izlases treneru sastāvā viens treneris bija 4 dienas mazāk nometnē nekā plānots.</t>
  </si>
  <si>
    <t>Telpu noma naktsmītnēm bija mazāka nekā iepriekš plānots.</t>
  </si>
  <si>
    <t>Nometņu laikā dalībnieki ekskursijā nebrauca, līdz ar to dalības maksa nebija nepieciešama.</t>
  </si>
  <si>
    <t>Burāšana</t>
  </si>
  <si>
    <t>2.1.</t>
  </si>
  <si>
    <t>Dalība sacensībās</t>
  </si>
  <si>
    <t>2.1.1.</t>
  </si>
  <si>
    <t>Dalība Latvijas čempionātos</t>
  </si>
  <si>
    <t>Dalības maksa LR Čempionātā 8 audzēkņi * 30.00 EUR = 240 EUR</t>
  </si>
  <si>
    <t>2.1.2.</t>
  </si>
  <si>
    <t>40. Starptautiskā Spinaker regate, Tallina</t>
  </si>
  <si>
    <t>Viesnīcas izdevumi trenerim bija lētāk nekā bija plānots</t>
  </si>
  <si>
    <t>Naktsmītnes audzēkņiem bija lētākas nekā plānots</t>
  </si>
  <si>
    <t>Burāšanas programmas īstenošanas nodrošināšana</t>
  </si>
  <si>
    <t>JPAP_R3.2.4._173  JPSAAS_1_1.3.</t>
  </si>
  <si>
    <t>Jūrmalas Sporta skolas bilancē esošās motorlaivas un piekābes (laivu pārvadāšanai un sacensībām) izmantošanas izmaksas</t>
  </si>
  <si>
    <t>Jaunā motorlaiva patērē 4.25 L/h, kas ir par  1.25 l / h vairāk nekā vecā motorlaiva, šobrīd atlikušais finansējums līdz gada beigām ir 160 , 33 EUR papildus nepieciešams 2 mēneši * 55 l * 1.21 EUR = 133</t>
  </si>
  <si>
    <t xml:space="preserve">Daiļslidošana </t>
  </si>
  <si>
    <t>Daiļslidošanas programmas īstenošanas nodrošināšana</t>
  </si>
  <si>
    <t>Dienas nometne</t>
  </si>
  <si>
    <t>Džudo</t>
  </si>
  <si>
    <t>Dalība Latvijas čempionātos un sacensībās</t>
  </si>
  <si>
    <t>Džudo programmas īstenošanas nodrošināšana</t>
  </si>
  <si>
    <t>Futbols</t>
  </si>
  <si>
    <t>Sporta zālēs ziemas periodā mācību treniņu nodrošināšanai (Lapmežciema sporta zāle un Spuņciema sporta halle) piedāvā mazāk nodarbību laikus nekā plānots.</t>
  </si>
  <si>
    <t>Futbola programmas īstenošanas nodrošināšana</t>
  </si>
  <si>
    <t>5.3.</t>
  </si>
  <si>
    <t>5.3.1.</t>
  </si>
  <si>
    <t xml:space="preserve">Dienas nometnes </t>
  </si>
  <si>
    <t>Izbraukumam uz ekskursiju tika izvēlēts tuvāks maršruts, nekā plānots.</t>
  </si>
  <si>
    <t>Nometnē piedalījās mazāk izglītojamo, nekā plānots.</t>
  </si>
  <si>
    <t>5.3.2.</t>
  </si>
  <si>
    <t>Treneri neiesniedz nepieciešmos dokumentus komandējuma naudas saņemšanai, tamdēļ komandējuma nauda viņiem netika izmaksāta.</t>
  </si>
  <si>
    <t>Trenera slimības dēļ plānotā nometne nenotika.</t>
  </si>
  <si>
    <t xml:space="preserve">Handbols </t>
  </si>
  <si>
    <t>Handbola programmas īstenošanas nodrošināšana</t>
  </si>
  <si>
    <t>6.3.</t>
  </si>
  <si>
    <t>6.3.1.</t>
  </si>
  <si>
    <t xml:space="preserve"> Starptautiskās sacensības Tallinā 08.06.2019.-10.06.2019.</t>
  </si>
  <si>
    <t xml:space="preserve">Hokejs  </t>
  </si>
  <si>
    <t>Saskaņā ar 2019.gadā veikto iepirkumu transporta pakalpojumu cena palielinājusies no 1.09 uz 1.45 EUR/km (lielais autobuss)</t>
  </si>
  <si>
    <t>Izbraukumu spēles bija mazāk nekā plānots.</t>
  </si>
  <si>
    <t>Hokeja programmas īstenošanas nodrošināšana</t>
  </si>
  <si>
    <t>7.3.</t>
  </si>
  <si>
    <t>7.3.1.</t>
  </si>
  <si>
    <t>7.3.2.</t>
  </si>
  <si>
    <t>Nometne notika mazāk dienas, nekā plānots.</t>
  </si>
  <si>
    <t>Mākslas vingrošana</t>
  </si>
  <si>
    <t>Mākslas vingrošanas programmas īstenošanas nodrošināšana</t>
  </si>
  <si>
    <t>Grupu vingrojumu kostīmu iegāde 210 EUR * 6 audzēknes =  1260  EUR</t>
  </si>
  <si>
    <t>8.3.</t>
  </si>
  <si>
    <t>8.3.1.</t>
  </si>
  <si>
    <t>8.3.2.</t>
  </si>
  <si>
    <t>Izbraukuma diennakts nometne notika Jūrmalā, līdz ar to nav nepieciešama komandējuma nauda.</t>
  </si>
  <si>
    <t>Izbraukuma diennakts nometne notika Jūrmalā, līdz ar to nav nepieciešama telpu noma naktsmītnēm.</t>
  </si>
  <si>
    <t xml:space="preserve">Peldēšana </t>
  </si>
  <si>
    <t>Izbraukumi uz 8 sacensībām -oktobris - decembris</t>
  </si>
  <si>
    <t>1 izbraukums uz Ventspili 2 dienas - 16 izgl.*1 nakts * 8.00 EUR = 128.00 EUR</t>
  </si>
  <si>
    <t>8 sac.* 20 izgl.* 15.00 EUR = 2400 EUR</t>
  </si>
  <si>
    <t>1 izbraukums uz Ventspili 2 dienas - 16 izgl.*11.00 EUR = 176.00 EUR, 1 izbraukums uz Ventspili 49 izgl. * 4.50 EUR =220.50</t>
  </si>
  <si>
    <t>Peldēšanas programmas īstenošanas nodrošināšana</t>
  </si>
  <si>
    <t>9.3.</t>
  </si>
  <si>
    <t>9.3.1.</t>
  </si>
  <si>
    <t>Izbraukuma nometne, Elektiņai, Lietuva</t>
  </si>
  <si>
    <t>JPAP_R3.2.4._170  JPAP_R3.2.4._184 JPSAAS_3_3.3.</t>
  </si>
  <si>
    <t>Uz nometni aizbrauca 1 treneris, bet plānots bija 2 treneri un nometne notika vienu dienu ilgāk.</t>
  </si>
  <si>
    <t>Naktsmītnes audzēkņiem bija lētākas nekā plānots.</t>
  </si>
  <si>
    <t>9.3.2.</t>
  </si>
  <si>
    <t>Dienas nometne, Jūnijs</t>
  </si>
  <si>
    <t>Pirms baseina renovācijas darbiem, nometnes laiku izmantoja mācību treniņu nodarbībām, un nebrauca ekskursijā.</t>
  </si>
  <si>
    <t>9.3.3.</t>
  </si>
  <si>
    <t>Dienas nometne, Augusts</t>
  </si>
  <si>
    <t>Ekskursijai nebija nepieciešama dalības maksa.</t>
  </si>
  <si>
    <t>Sakarā ar peldbaseina renovācijas darbiem peldbaseinā, nometnē piedalījās mazāk izglītojamo, nekā plānots.</t>
  </si>
  <si>
    <t>9.3.4.</t>
  </si>
  <si>
    <t>Izbraukuma nometne, Baltkrievija</t>
  </si>
  <si>
    <t>Viens treneris bija tikai 4 dienas nometnē (6*29.00EUR = 174 EUR)</t>
  </si>
  <si>
    <t xml:space="preserve">Regbijs </t>
  </si>
  <si>
    <t>Izbraukumu spēles bija tuvāk t.i. Rīgā nekā plānots.</t>
  </si>
  <si>
    <t>Visas izbraukuma spēles notika Rīgā, līdz ar to nebija nepieciešami ēdināšanas pakalpojumi.</t>
  </si>
  <si>
    <t>Regbijas programmas īstenošanas nodrošināšana</t>
  </si>
  <si>
    <t>10.3.</t>
  </si>
  <si>
    <t>10.3.1.</t>
  </si>
  <si>
    <t>Ekskursija notika Dzintaru Meža parka Meža kaķī, līdz ar to braucienam tika izmantots Jūrmalas pilsētas sabiedriskais autobuss.</t>
  </si>
  <si>
    <t>Ekskursijā piedalījās mazāk izglītojamo nekā plānots.</t>
  </si>
  <si>
    <t>Rudens brīvlaikā plānota nometne 24 izgl.*6dienas *3.50 EUR = 504 EUR</t>
  </si>
  <si>
    <t>Vieglatlētika</t>
  </si>
  <si>
    <t>Izbraukumu sacensībās nebija nepieciešama telpu noma naktsmītnēm.</t>
  </si>
  <si>
    <t>Uz vairākām sacensībām brauca tikai 3 izglītojamie, līdz ar to izmantoja personīgo automašīnu.</t>
  </si>
  <si>
    <t>Izbraukumu sacensībās nebija nepieciešama plānotie 3* ēdināšanas pakalpojumi.</t>
  </si>
  <si>
    <t>Vieglatlētikas programmas īstenošanas nodrošināšana</t>
  </si>
  <si>
    <t>11.3.</t>
  </si>
  <si>
    <t>11.3.1.</t>
  </si>
  <si>
    <t>Nometnē piedalījās mazāk izglītojamo nekā plānots.</t>
  </si>
  <si>
    <t>11.3.2.</t>
  </si>
  <si>
    <t>Uz nometni izglītojamos aizveda un aizvedīs vecāki ar savu transportu.</t>
  </si>
  <si>
    <t>11.3.3.</t>
  </si>
  <si>
    <t>Izbraukuma nometne, Spānija</t>
  </si>
  <si>
    <t>JPAP_R3.2.4._170 JPSAAS_3_3.3.</t>
  </si>
  <si>
    <t xml:space="preserve">Volejbols </t>
  </si>
  <si>
    <t>Saskaņā ar 2019.gadā veikto iepirkumu transporta pakalpojumu cena palielinājusies no 0.67 līdz 1.09 EUR/km (19 vietīgais buss).</t>
  </si>
  <si>
    <t>Volejbola programmas īstenošanas nodrošināšana</t>
  </si>
  <si>
    <t>12.3.</t>
  </si>
  <si>
    <t>12.3.1.</t>
  </si>
  <si>
    <t>Uz nometni izglītojamos aizveda un atveda vecāki ar savu transportu.</t>
  </si>
  <si>
    <t xml:space="preserve">Līdzfinansējums sportistei A.Baikovai (arī viņas trenerei) </t>
  </si>
  <si>
    <t>JPAP_R3.2.4._170 JPSAAS_3_3.5.</t>
  </si>
  <si>
    <t>Atbalsts Milanai Filatovai un trenerei Olgai Timofejevai</t>
  </si>
  <si>
    <t>* Informatīvi -Attīstības plānošanas dokumenta nosaukums un rīcības virzienu atšifrējums.</t>
  </si>
  <si>
    <t xml:space="preserve">JPAP - Jūrmalas pilsētas attīstības programma 2014.-2020.gadam </t>
  </si>
  <si>
    <t>prioritāte P3.2. "Kvalitatīva un sociāli pieejama izglītība"</t>
  </si>
  <si>
    <t>rīcības virziens R3.2.4. "Profesionālās ievirzes un interešu izglītības pakalpojumi"</t>
  </si>
  <si>
    <t>aktivitāte Nr.170 "Starptautiskās sadarbības attīstība"</t>
  </si>
  <si>
    <t>aktivitāte Nr.173 "Profesionālās ievirzes un interešu izglītības iestāžu mācību vides uzlabošana"</t>
  </si>
  <si>
    <t>aktivitāte Nr.174 "Jūrmalas skolu un valsts mēroga sacensību rīkošana izglītojamajiem"</t>
  </si>
  <si>
    <t>aktivitāte Nr.184 "Brīvā laika pavadīšanas iespējas pilsētā, izmantojot esošās un radot jaunas"</t>
  </si>
  <si>
    <t>JPSAAS - Jūrmalas pilsētas sporta un aktīvās atpūtas attīstības stratēģija 2008.-2020.gadam</t>
  </si>
  <si>
    <t>1.mērķis "Sporta un aktīvās atpūtas infrastruktūras pilnveide un pieejamības veicināšana"</t>
  </si>
  <si>
    <t>1.1.uzdevums "Sporta bāžu attīstība esošiem un jauniem sporta veidiem, sporta infrastruktūras pilnveide izglītības iestādēs, t.sk., pielāgojot to personām ar kustību traucējumiem"</t>
  </si>
  <si>
    <t>1.3.uzdevums "Pasākumu veikšana drošības uzlabošanai sporta veidiem uz ūdens Jūrmalas pilsētas teritorijā esošajās ūdenskrātuvēs"</t>
  </si>
  <si>
    <t>3.mērķis "3. Sadarbības veicināšana starp sporta un aktīvās atpūtas nodrošināšanā iesaistītajām institūcijām"</t>
  </si>
  <si>
    <t>3.3. uzdevums "Pašvaldību, sporta klubu un uzņēmēju sadarbības sekmēšana sporta un aktīvās atpūtas infrastruktūras attīstībā un sporta sacensību finansēšanā"</t>
  </si>
  <si>
    <t>3.5.apakšuzdevums “Sportistu sasniegumu sekmēšana (stipendiju nodrošināšana).</t>
  </si>
  <si>
    <t>Tāme Nr.09.9.1</t>
  </si>
  <si>
    <t>Majoru vidusskola</t>
  </si>
  <si>
    <t>90000051627</t>
  </si>
  <si>
    <t>Rīgas iela 3, Jūrmala</t>
  </si>
  <si>
    <t>09.210</t>
  </si>
  <si>
    <t>LV78PARX0002484572012</t>
  </si>
  <si>
    <t>LV44PARX0002484573012</t>
  </si>
  <si>
    <t>LV02TREL981377100200B</t>
  </si>
  <si>
    <t>LV05PARX0002484577012</t>
  </si>
  <si>
    <t>LV39PARX0002484576012</t>
  </si>
  <si>
    <t>3178.00 EUR MD Pieškirtie līdzekļi programmas "Latvijas Skolas soma" īstenošanai 2019./2020. māc.g. 1.semestrī.  MD Pamata un vispārējās vidējās izglītības programmā: Atlīdzības līdzekļu samazinājums -35357.00 EUR;   MD Interešu izglītība +262.00 EUR; MD 5-6 gadīgu bērnu apmācības programmā +2234.00 EUR</t>
  </si>
  <si>
    <t>Plānojamie papildus līdzekļi pēc noslegto līgumu ar Innovatīvo tehnoloģiju aģentūru. Līgums noslēgts uz laika periodu no 01.09.19. līdz 31.12.19.</t>
  </si>
  <si>
    <t>PB: -950.00 EUR Līdzekļu pārdalījums uz EKK 1150. MD Pamata un vispārējās vidējās izglītības programmā: Līdzekļu atgriešana -29371.00 EUR; MD Interešu izglītība +212.00; MD 5-6 gadīgu bērnu apmācības programmā +1800</t>
  </si>
  <si>
    <t>Līdzekļi nepieciešami piemaksam par kvalifikāciju +139.00EUR MD Pamata un vispārējās vidējās izglītības programmā.</t>
  </si>
  <si>
    <t xml:space="preserve">Sakarā ar ēkas un teritorijas dežuranta ilgstošu slīmību (iespējama operācija) nepieciešami līdzekļi atalgojuma izmaksai ārštata aizvietotājam. </t>
  </si>
  <si>
    <t>Līdzekļu atgriešana MD Pamata un vispārējās vidējās izglītības programmā -6125.00EUR; MD Interešu izglītība +50.00EUR;  MD 5-6 gadīgu bērnu apmācības programmā +434.00 EUR</t>
  </si>
  <si>
    <t>Budžeta izpilde uz 01.09. sastāda 71.46%. 2019.gadā bija siltumenergijas tarifa pieaugums, līdz ar to iztrūkst līdzekļi rēķinu apmaksai līdz gada beigām.</t>
  </si>
  <si>
    <t>Latvijas Nacionālā Teātrā izrādes apmeklējums - biļetes 924.00 EUR, ceļa izdevumi  360.00 EUR; Teātra izrādes apmēklējums skolas telpās - biļetes 1627.00 EUR; Latvijas dabas muzēja apmeklējums - ieejas maksas 46.00 EUR, ceļa izdevumi 134.00 EUR; Jūrmalas Raiņa un Aspāzijas muzēja apmeklējums - ieejas maksa 87.00 EUR.</t>
  </si>
  <si>
    <t>Iestādes uzturēšanas un vispārējās izglītības nodrošināšana</t>
  </si>
  <si>
    <t>Tāme Nr.09.26.1.</t>
  </si>
  <si>
    <t>Sākumskola "Taurenītis"</t>
  </si>
  <si>
    <t>90000051699</t>
  </si>
  <si>
    <t>Kļavu iela 29/31, Jūrmala, LV-2015</t>
  </si>
  <si>
    <t>Iestādes uzturēšana un vispārējās izglītības nodrošināšana</t>
  </si>
  <si>
    <t>LV67PARX0002484572016</t>
  </si>
  <si>
    <t>LV33PARX0002484573016</t>
  </si>
  <si>
    <t>LV91PARX0002484577016</t>
  </si>
  <si>
    <t>LV28PARX0002484576016</t>
  </si>
  <si>
    <t>Valsts finansējums programmas "Latvijas skolas soma" īstenošanai papildus 987 eur. Mērķdotācijas samazinājums pedagogu atalgojumam sakarā ar finansējuma sadalījumu 2019.gada septembra-decembra mēnešiem -7053 eur.</t>
  </si>
  <si>
    <t>Noslēdzot nomas līgumu ar SIA Litera (40103023340) uz garāku periodu (2 mēneši) ne kā plānots (1 mēnesis) gūti papildus ieņēmumi par telpu nomu vasaras periodā apmēram 200 eur. Ir noslēgts teplu nomas līgums ar SIA Elisabett (40103463493). Ieņēmumi  periodā no septembra līdz decembrim tiek paredzēti  apmēram 100 eur.</t>
  </si>
  <si>
    <t>Ņemot vērā faktisko resursu patēriņu par  8 mēnešiem jāpalielina ieņēmumi Sporta nama izdevumu par ūdeni un elektroenerģiju apmaksai</t>
  </si>
  <si>
    <t>Izmaiņas sakarā ar mērķdotācijas sadalījumu 2019.gada septembra-decembra mēnešiem (pamat.pr. -7352 eur., int.izg. -53 eur., 5-6 gad.pr. -179 eur.)</t>
  </si>
  <si>
    <t>Izmaiņas sakarā ar mērķdotācijas sadalījumu 2019.gada septembra-decembra mēnešiem (pamat.pr. -1432 eur., int.izg. + 21 eur., 5-6 gad.pr. + 42 eur.)</t>
  </si>
  <si>
    <t>Izmaiņas sakarā ar mērķdotācijas sadalījumu 2019.gada septembra-decembra mēnešiem (pamat.pr. +1400 eur., int.izg. + 133 eur., 5-6 gad.pr. + 367 eur.)</t>
  </si>
  <si>
    <r>
      <rPr>
        <b/>
        <sz val="9"/>
        <rFont val="Times New Roman"/>
        <family val="1"/>
        <charset val="186"/>
      </rPr>
      <t>Pamatbudžets</t>
    </r>
    <r>
      <rPr>
        <sz val="9"/>
        <rFont val="Times New Roman"/>
        <family val="1"/>
        <charset val="186"/>
      </rPr>
      <t xml:space="preserve">. Šogad 8 mēnešu periodā faktiskais ūdens patēriņš salīdzinājumā ar iepriekšējā gada šādu periodu ir palielinājies par 57 m3 . Paredzams, ka līdz gada beigām nepieciešami  papildus 150 m3 (150 x 3.1581). Ūdens patēriņš pieauga, lai uzturētu skolas teritoriju zaļu un ziedošu vasaras periodā. 2018.gada augustā-oktobrī patērētais ūdens daudzums tehnisku iemeslu dēļ  tika noteikts ņemot vērā gada vidējo patēriņu, bet novembrī -decembrī kļūda izlabota paziņojot faktiskos rādījumus, kuru apmaksa veikta 2019.gada janvārī. </t>
    </r>
    <r>
      <rPr>
        <b/>
        <sz val="9"/>
        <rFont val="Times New Roman"/>
        <family val="1"/>
        <charset val="186"/>
      </rPr>
      <t>Maksas pakalpojumu budžets</t>
    </r>
    <r>
      <rPr>
        <sz val="9"/>
        <rFont val="Times New Roman"/>
        <family val="1"/>
        <charset val="186"/>
      </rPr>
      <t>. Sporta nama papildus izdevumi par ūdeni un kanalizāciju 16 m3 x 3.1581 radušies papildus noslodzes dēļ vasaras mēnešos salīdzinot ar iepriekšējo periodu</t>
    </r>
  </si>
  <si>
    <r>
      <rPr>
        <b/>
        <sz val="9"/>
        <rFont val="Times New Roman"/>
        <family val="1"/>
        <charset val="186"/>
      </rPr>
      <t>Pamatbudžet</t>
    </r>
    <r>
      <rPr>
        <sz val="9"/>
        <rFont val="Times New Roman"/>
        <family val="1"/>
        <charset val="186"/>
      </rPr>
      <t xml:space="preserve">s. Ekonomija radusies saimnieciski un ekonomiski lietojot energoresursus. </t>
    </r>
    <r>
      <rPr>
        <b/>
        <sz val="9"/>
        <rFont val="Times New Roman"/>
        <family val="1"/>
        <charset val="186"/>
      </rPr>
      <t>Maksas pakalpojumu budžet</t>
    </r>
    <r>
      <rPr>
        <sz val="9"/>
        <rFont val="Times New Roman"/>
        <family val="1"/>
        <charset val="186"/>
      </rPr>
      <t>s. Sporta nama papildus izdevumi par elektroenerģiju radušies papildus noslodzes dēļ vasaras mēnešos salīdzinot ar iepriekšējo periodu</t>
    </r>
  </si>
  <si>
    <t>Līdzekļi nepieciešami virtuves svaru verifikācijas veikšanas apmaksai. To paredz MK noteikumi Nr.210 (1 x gadā)</t>
  </si>
  <si>
    <t>Līdzekļi nepieciešami obligāto prasību izpildei (svaru verifikācija EKK 2243)</t>
  </si>
  <si>
    <t>Skolēnu ieejas biļetes teātrī  88 biļetes x  8,25  EUR= 726 EUR un  biļetes radošās darbnīcas apmeklējumam  49 biļetes x 3 EUR=147 EUR. Vilciena biļetes 49 x 2,32 EUR=113,68 EUR</t>
  </si>
  <si>
    <t>Saimn.līdzekļi klases telpu uzkopšanai un dezinfekcijai  2 iep. X 43,10 eur = 86,20 eur , roku dvieļi 2 iep. X 38,40 eur = 76,80 eur , šķidrās ziepes 5 iep. X 5 eur = 25 eur, tual.papīrs 3 iep x 24 eur = 72 eur, WC gēls 5 iep.x 8 eur=40 eur.</t>
  </si>
  <si>
    <t>Jūrmalas pirmsskolas izglītības iestāde "Saulīte"</t>
  </si>
  <si>
    <t>90009249206</t>
  </si>
  <si>
    <t>Rēzeknes pulka iela 28, Jūrmala , LV-2010</t>
  </si>
  <si>
    <t>09.100.</t>
  </si>
  <si>
    <t>Projekts "Prevencija ir labāka nekā dziedināšana", kā teica Hipokrāts"</t>
  </si>
  <si>
    <t>LV51TREL981497700200B</t>
  </si>
  <si>
    <t xml:space="preserve">80% avansa maksājums no VIAA. </t>
  </si>
  <si>
    <t>Tāme Nr.09.21.4.</t>
  </si>
  <si>
    <t>Tāme Nr.01.1.4.</t>
  </si>
  <si>
    <t>01.830</t>
  </si>
  <si>
    <t>Norēķini par izglītības pakalpojumiem, ko sniedz citas pašvaldības</t>
  </si>
  <si>
    <t>2019.gadā tika ieplānoti 680 168 euro, pieaugums ir salīdzinot ar 2018.gadu 6,4 %. Lai varētu norēķināties ar citām pašvaldībām līdz gada beigām papildus nepieciešami līdzekļi  15 069 EUR.</t>
  </si>
  <si>
    <t>Tāme Nr. 09.12.1</t>
  </si>
  <si>
    <t>Jūrmalas Mūzikas vidusskola</t>
  </si>
  <si>
    <t>90000056465</t>
  </si>
  <si>
    <t>Strēlnieku prospekts 30 k-1, Jūrmala, LV-2015</t>
  </si>
  <si>
    <t>LV56PARX0002484572020</t>
  </si>
  <si>
    <t>LV22PARX0002484573020</t>
  </si>
  <si>
    <t>LV80PARX0002484577020</t>
  </si>
  <si>
    <t>LV17PARX0002484576020</t>
  </si>
  <si>
    <t>MD prof.ievirze .Saskaņā ar LNKC  23.09.2019 līg.Nr. 1.5-5.1/179  un tarifikāciju uz 01.09.2019. = 10489.00; .MD inter.izgl. -Saskaņā ar 02.10.2019 JPD rīk.Nr. 1.1-14/289 = 1013.00</t>
  </si>
  <si>
    <t>Saskaņā ar JPD 2019.g.29.augusta saistošajiem noteikumiem Nr. 30 "Grozījumi JPD 2015.g. 9.jūlija saistošajos noteikumos Nr.27 "Par līdzfinansējuma samaksas kārtību par izglītības ieguvi Jūrmalas Mūzikas vidusskolā" palielināts audzēkņu vecāku līdzfinansējums (no 21 EUR uz 25 EUR). Papildus plānojam ieņēmumus 520 audz x 4.00 x 4 mēn = 8320.00, 31 audz x 25.00 x 4 mēn = 3100.00, kopā 11420.00</t>
  </si>
  <si>
    <t>MD prof.ievirze - Saskaņā ar LNKC  23.09.2019 līg.Nr. 1.5-5.1/179  un tarifikāciju uz 01.09.2019. = 11000.00; .MD inter.izgl. -Saskaņā ar 02.10.2019 JPD rīk.Nr. 1.1-14/289 = 816 EUR</t>
  </si>
  <si>
    <t xml:space="preserve"> PB. Līdzekļi izlietoti pēc nepieciešamības - ekonomija. MD prof.ievirze-Saskaņā ar LNKC  23.09.2019 līg.Nr. 1.5-5.1/179  un tarifikāciju uz 01.09.2019. -1500</t>
  </si>
  <si>
    <t>MD prof.ievirze - Saskaņā ar LNKC  23.09.2019 līg.Nr. 1.5-5.1/179  un tarifikāciju uz 01.09.2019. = -730.00</t>
  </si>
  <si>
    <t>MD inter.izgl. -Saskaņā ar 02.10.2019 JPD rīk.Nr. 1.1-14/289 = 197.00 EUR;MD prof.ievirze - Saskaņā ar LNKC  23.09.2019 līg.Nr. 1.5-5.1/179  un tarifikāciju uz 01.09.2019. = 1719.00.</t>
  </si>
  <si>
    <t>LR Valsts svētku koncertam un Ziemassvētku koncertam Dubultu koncertzāles noformēšanai - ziedu kompozīcijas 25 gab x 8.12 EUR.</t>
  </si>
  <si>
    <t>4 spoguļu izgatavošanai vokālās un skatuves mākslas nodarbību nodrošināšanai - riteņi 16 gab x 4.20 = 67.20, līme 4 gab x 4.00 = 16.00, spoguļi 4 gab x 63.20 = 252.80, saplāksnis 2 x 69.50 = 139.00</t>
  </si>
  <si>
    <t>Datorprogramma AFF INITY PHOTO attēlu apstrādei un vizuālo materiālu maketēšanai.Nepieciešama skolas vizuālo materiālu (prezentāciju, banneru, plakātu un mājas lapas) grafisko risinājumu nodrošināšanai. Atbildīgais darbinieks - projektu vadītāja L.Dobele.</t>
  </si>
  <si>
    <t xml:space="preserve"> Līdzekļi nepieciešami Dubultu koncertzālei projektora  Canon XEED WUX7000Z iegādei 10092 EUR un lēcas ( projicēšanai uz 3.5m x 5.6m ekrāna 25m attālumā) Canon Ultra Long Zoom RS-SL04UL iegādei 2750 EUR .Kopā 12842 EUR. PB neizlietoti līdzekļi 2760.60. Projektors nepieciešams skolas mācību materiālu un prezentāciju demonstrēšanai audzēkņiem. Atbildīgais darbinieks- projektu vadītājs J.Kravalis</t>
  </si>
  <si>
    <t>Līdzekļi nepieciešami mūzikas instrumenta Marimba transportēšanai nepieciešamo somu komplekta iegādei 1 kompl. X 600.00</t>
  </si>
  <si>
    <t>Iestādes uzturēšana, profesionālās ievirzes izglītības nodrošināšana</t>
  </si>
  <si>
    <t>Tāme Nr.09.10.1.</t>
  </si>
  <si>
    <t>90000053670</t>
  </si>
  <si>
    <t>Strēlnieku pr.30 lit.1, Jūrmala</t>
  </si>
  <si>
    <t>LV62PARX0002484572009</t>
  </si>
  <si>
    <t>LV28PARX0002484573009</t>
  </si>
  <si>
    <t>LV86PARX0002484577009</t>
  </si>
  <si>
    <r>
      <rPr>
        <b/>
        <sz val="9"/>
        <rFont val="Times New Roman"/>
        <family val="1"/>
        <charset val="186"/>
      </rPr>
      <t xml:space="preserve">MD </t>
    </r>
    <r>
      <rPr>
        <sz val="9"/>
        <rFont val="Times New Roman"/>
        <family val="1"/>
        <charset val="186"/>
      </rPr>
      <t xml:space="preserve">Finansējums  nepieciešams  saskaņā ar profesionālās ievirzes mākslas izglītības programmu finansēšanas līgumu Nr.1.5-5.1/180 , 23.09.2019   ( 4 mēn) EUR </t>
    </r>
    <r>
      <rPr>
        <b/>
        <sz val="9"/>
        <rFont val="Times New Roman"/>
        <family val="1"/>
        <charset val="186"/>
      </rPr>
      <t>2640,00</t>
    </r>
    <r>
      <rPr>
        <sz val="9"/>
        <rFont val="Times New Roman"/>
        <family val="1"/>
        <charset val="186"/>
      </rPr>
      <t>. Kā arī samazinājās finasējums 5-6 gad bērnu apmāc.- mazāk par EUR                  -</t>
    </r>
    <r>
      <rPr>
        <b/>
        <sz val="9"/>
        <rFont val="Times New Roman"/>
        <family val="1"/>
        <charset val="186"/>
      </rPr>
      <t xml:space="preserve">436,00 </t>
    </r>
    <r>
      <rPr>
        <sz val="9"/>
        <rFont val="Times New Roman"/>
        <family val="1"/>
        <charset val="186"/>
      </rPr>
      <t>un palielinājās intereš. izg.- vairāk par EUR</t>
    </r>
    <r>
      <rPr>
        <b/>
        <sz val="9"/>
        <rFont val="Times New Roman"/>
        <family val="1"/>
        <charset val="186"/>
      </rPr>
      <t xml:space="preserve"> 670,00. MD KOPĀ EUR 2874,00.                                        </t>
    </r>
  </si>
  <si>
    <r>
      <t xml:space="preserve">Finansējums  nepieciešams sakarā ar izmaiņam darba algās no 01.09.2019. </t>
    </r>
    <r>
      <rPr>
        <b/>
        <sz val="9"/>
        <rFont val="Times New Roman"/>
        <family val="1"/>
        <charset val="186"/>
      </rPr>
      <t>MDprof.</t>
    </r>
    <r>
      <rPr>
        <sz val="9"/>
        <rFont val="Times New Roman"/>
        <family val="1"/>
        <charset val="186"/>
      </rPr>
      <t xml:space="preserve"> EUR </t>
    </r>
    <r>
      <rPr>
        <b/>
        <sz val="9"/>
        <rFont val="Times New Roman"/>
        <family val="1"/>
        <charset val="186"/>
      </rPr>
      <t xml:space="preserve">2017,00,  MD 5- 6 gad </t>
    </r>
    <r>
      <rPr>
        <sz val="9"/>
        <rFont val="Times New Roman"/>
        <family val="1"/>
        <charset val="186"/>
      </rPr>
      <t xml:space="preserve">apmāc.EUR </t>
    </r>
    <r>
      <rPr>
        <b/>
        <sz val="9"/>
        <rFont val="Times New Roman"/>
        <family val="1"/>
        <charset val="186"/>
      </rPr>
      <t>-414,00, MD inter</t>
    </r>
    <r>
      <rPr>
        <sz val="9"/>
        <rFont val="Times New Roman"/>
        <family val="1"/>
        <charset val="186"/>
      </rPr>
      <t xml:space="preserve">. izg. EUR </t>
    </r>
    <r>
      <rPr>
        <b/>
        <sz val="9"/>
        <rFont val="Times New Roman"/>
        <family val="1"/>
        <charset val="186"/>
      </rPr>
      <t>570,00.  MD prof. EUR 1600,00 a</t>
    </r>
    <r>
      <rPr>
        <sz val="9"/>
        <rFont val="Times New Roman"/>
        <family val="1"/>
        <charset val="186"/>
      </rPr>
      <t xml:space="preserve">tgriezts atpakaļ, jo aprēkinot atvaļinājumu skolotājiem programma ”Ozols” vidējajā izpeļņa tikai no  ekk1119, nevis kā pēc tarifikācijas  no ekk1147 un ekk1119. </t>
    </r>
    <r>
      <rPr>
        <b/>
        <sz val="9"/>
        <rFont val="Times New Roman"/>
        <family val="1"/>
        <charset val="186"/>
      </rPr>
      <t>MD KOPĀ EUR 3773,00 .</t>
    </r>
  </si>
  <si>
    <r>
      <t xml:space="preserve">Finansējums  nepieciešams sakarā ar izmaiņām darba algās no 01.09.2019. </t>
    </r>
    <r>
      <rPr>
        <b/>
        <sz val="9"/>
        <rFont val="Times New Roman"/>
        <family val="1"/>
        <charset val="186"/>
      </rPr>
      <t>MD prof</t>
    </r>
    <r>
      <rPr>
        <sz val="9"/>
        <rFont val="Times New Roman"/>
        <family val="1"/>
        <charset val="186"/>
      </rPr>
      <t>. EUR</t>
    </r>
    <r>
      <rPr>
        <b/>
        <sz val="9"/>
        <rFont val="Times New Roman"/>
        <family val="1"/>
        <charset val="186"/>
      </rPr>
      <t xml:space="preserve"> 197,00 </t>
    </r>
    <r>
      <rPr>
        <sz val="9"/>
        <rFont val="Times New Roman"/>
        <family val="1"/>
        <charset val="186"/>
      </rPr>
      <t>un</t>
    </r>
    <r>
      <rPr>
        <b/>
        <sz val="9"/>
        <rFont val="Times New Roman"/>
        <family val="1"/>
        <charset val="186"/>
      </rPr>
      <t xml:space="preserve"> </t>
    </r>
    <r>
      <rPr>
        <sz val="9"/>
        <rFont val="Times New Roman"/>
        <family val="1"/>
        <charset val="186"/>
      </rPr>
      <t xml:space="preserve"> </t>
    </r>
    <r>
      <rPr>
        <b/>
        <sz val="9"/>
        <rFont val="Times New Roman"/>
        <family val="1"/>
        <charset val="186"/>
      </rPr>
      <t>MD 5- 6</t>
    </r>
    <r>
      <rPr>
        <sz val="9"/>
        <rFont val="Times New Roman"/>
        <family val="1"/>
        <charset val="186"/>
      </rPr>
      <t xml:space="preserve"> gad apmāc.EUR </t>
    </r>
    <r>
      <rPr>
        <b/>
        <sz val="9"/>
        <rFont val="Times New Roman"/>
        <family val="1"/>
        <charset val="186"/>
      </rPr>
      <t>52,00.   MDprof. EUR 1600,00</t>
    </r>
    <r>
      <rPr>
        <sz val="9"/>
        <rFont val="Times New Roman"/>
        <family val="1"/>
        <charset val="186"/>
      </rPr>
      <t xml:space="preserve"> ekonomija sakarā ar aprēķinātu atvaļinājumu skolotājiem, jo  programma ”Ozols” vidējajā izpeļņa tikai no  ekk1119, nevis kā pēc tarifikācijas  no ekk1147 un ekk1119. </t>
    </r>
    <r>
      <rPr>
        <b/>
        <sz val="9"/>
        <rFont val="Times New Roman"/>
        <family val="1"/>
        <charset val="186"/>
      </rPr>
      <t>KOPĀ 1351,00</t>
    </r>
  </si>
  <si>
    <r>
      <t xml:space="preserve">Finansējums  nepieciešams sakarā ar darba jubileju trim darbiniekiem nostrādājušiem pašvaldība vairāk par 10 gadiem- Jānis Vaišla 25 gadi EUR </t>
    </r>
    <r>
      <rPr>
        <b/>
        <sz val="9"/>
        <rFont val="Times New Roman"/>
        <family val="1"/>
        <charset val="186"/>
      </rPr>
      <t xml:space="preserve">1012,00,  </t>
    </r>
    <r>
      <rPr>
        <sz val="9"/>
        <rFont val="Times New Roman"/>
        <family val="1"/>
        <charset val="186"/>
      </rPr>
      <t xml:space="preserve">Ilze Rimšāne 20 gadi EUR </t>
    </r>
    <r>
      <rPr>
        <b/>
        <sz val="9"/>
        <rFont val="Times New Roman"/>
        <family val="1"/>
        <charset val="186"/>
      </rPr>
      <t>430,00</t>
    </r>
    <r>
      <rPr>
        <sz val="9"/>
        <rFont val="Times New Roman"/>
        <family val="1"/>
        <charset val="186"/>
      </rPr>
      <t xml:space="preserve">, Jasjukeviča Zinaida 35 gadi EUR </t>
    </r>
    <r>
      <rPr>
        <b/>
        <sz val="9"/>
        <rFont val="Times New Roman"/>
        <family val="1"/>
        <charset val="186"/>
      </rPr>
      <t>668,08. KOPĀ EUR 2110,08</t>
    </r>
  </si>
  <si>
    <r>
      <t xml:space="preserve">Finansējums  nepieciešams sakarā ar izmaiņām darba algās no 01.09.2019. </t>
    </r>
    <r>
      <rPr>
        <b/>
        <sz val="9"/>
        <rFont val="Times New Roman"/>
        <family val="1"/>
        <charset val="186"/>
      </rPr>
      <t>MD prof</t>
    </r>
    <r>
      <rPr>
        <sz val="9"/>
        <rFont val="Times New Roman"/>
        <family val="1"/>
        <charset val="186"/>
      </rPr>
      <t>. palielinājums EUR</t>
    </r>
    <r>
      <rPr>
        <b/>
        <sz val="9"/>
        <rFont val="Times New Roman"/>
        <family val="1"/>
        <charset val="186"/>
      </rPr>
      <t xml:space="preserve"> 64,00 </t>
    </r>
    <r>
      <rPr>
        <sz val="9"/>
        <rFont val="Times New Roman"/>
        <family val="1"/>
        <charset val="186"/>
      </rPr>
      <t>un</t>
    </r>
    <r>
      <rPr>
        <b/>
        <sz val="9"/>
        <rFont val="Times New Roman"/>
        <family val="1"/>
        <charset val="186"/>
      </rPr>
      <t xml:space="preserve"> </t>
    </r>
    <r>
      <rPr>
        <sz val="9"/>
        <rFont val="Times New Roman"/>
        <family val="1"/>
        <charset val="186"/>
      </rPr>
      <t xml:space="preserve"> </t>
    </r>
    <r>
      <rPr>
        <b/>
        <sz val="9"/>
        <rFont val="Times New Roman"/>
        <family val="1"/>
        <charset val="186"/>
      </rPr>
      <t>MD 5- 6</t>
    </r>
    <r>
      <rPr>
        <sz val="9"/>
        <rFont val="Times New Roman"/>
        <family val="1"/>
        <charset val="186"/>
      </rPr>
      <t xml:space="preserve"> gad apmāc. samazinājums EUR </t>
    </r>
    <r>
      <rPr>
        <b/>
        <sz val="9"/>
        <rFont val="Times New Roman"/>
        <family val="1"/>
        <charset val="186"/>
      </rPr>
      <t>-9,00. KOPĀ EUR 55,00</t>
    </r>
  </si>
  <si>
    <r>
      <rPr>
        <b/>
        <sz val="9"/>
        <rFont val="Times New Roman"/>
        <family val="1"/>
        <charset val="186"/>
      </rPr>
      <t>MD prof.</t>
    </r>
    <r>
      <rPr>
        <sz val="9"/>
        <rFont val="Times New Roman"/>
        <family val="1"/>
        <charset val="186"/>
      </rPr>
      <t xml:space="preserve"> ekonomija DD VSAOI EUR -</t>
    </r>
    <r>
      <rPr>
        <b/>
        <sz val="9"/>
        <rFont val="Times New Roman"/>
        <family val="1"/>
        <charset val="186"/>
      </rPr>
      <t xml:space="preserve">250,00. </t>
    </r>
    <r>
      <rPr>
        <sz val="9"/>
        <rFont val="Times New Roman"/>
        <family val="1"/>
        <charset val="186"/>
      </rPr>
      <t xml:space="preserve">Sakarā ar izmaiņām darba algās no 01.09.2019 finansējuma palielinājums </t>
    </r>
    <r>
      <rPr>
        <b/>
        <sz val="9"/>
        <rFont val="Times New Roman"/>
        <family val="1"/>
        <charset val="186"/>
      </rPr>
      <t>MD inter.izg.</t>
    </r>
    <r>
      <rPr>
        <sz val="9"/>
        <rFont val="Times New Roman"/>
        <family val="1"/>
        <charset val="186"/>
      </rPr>
      <t xml:space="preserve"> EUR</t>
    </r>
    <r>
      <rPr>
        <b/>
        <sz val="9"/>
        <rFont val="Times New Roman"/>
        <family val="1"/>
        <charset val="186"/>
      </rPr>
      <t xml:space="preserve"> 100,00 </t>
    </r>
    <r>
      <rPr>
        <sz val="9"/>
        <rFont val="Times New Roman"/>
        <family val="1"/>
        <charset val="186"/>
      </rPr>
      <t xml:space="preserve">un </t>
    </r>
    <r>
      <rPr>
        <b/>
        <sz val="9"/>
        <rFont val="Times New Roman"/>
        <family val="1"/>
        <charset val="186"/>
      </rPr>
      <t>MD prof.</t>
    </r>
    <r>
      <rPr>
        <sz val="9"/>
        <rFont val="Times New Roman"/>
        <family val="1"/>
        <charset val="186"/>
      </rPr>
      <t xml:space="preserve"> EUR</t>
    </r>
    <r>
      <rPr>
        <b/>
        <sz val="9"/>
        <rFont val="Times New Roman"/>
        <family val="1"/>
        <charset val="186"/>
      </rPr>
      <t xml:space="preserve"> 362,00, </t>
    </r>
    <r>
      <rPr>
        <sz val="9"/>
        <rFont val="Times New Roman"/>
        <family val="1"/>
        <charset val="186"/>
      </rPr>
      <t xml:space="preserve">samazinājums </t>
    </r>
    <r>
      <rPr>
        <b/>
        <sz val="9"/>
        <rFont val="Times New Roman"/>
        <family val="1"/>
        <charset val="186"/>
      </rPr>
      <t>MD 5-6 gad</t>
    </r>
    <r>
      <rPr>
        <sz val="9"/>
        <rFont val="Times New Roman"/>
        <family val="1"/>
        <charset val="186"/>
      </rPr>
      <t>. apm. EUR -</t>
    </r>
    <r>
      <rPr>
        <b/>
        <sz val="9"/>
        <rFont val="Times New Roman"/>
        <family val="1"/>
        <charset val="186"/>
      </rPr>
      <t>65,00. KOPĀ EUR 147,00</t>
    </r>
  </si>
  <si>
    <r>
      <rPr>
        <b/>
        <sz val="9"/>
        <rFont val="Times New Roman"/>
        <family val="1"/>
        <charset val="186"/>
      </rPr>
      <t>MD prof</t>
    </r>
    <r>
      <rPr>
        <sz val="9"/>
        <rFont val="Times New Roman"/>
        <family val="1"/>
        <charset val="186"/>
      </rPr>
      <t xml:space="preserve">. trūkst līdzekļi slim. lapām EUR </t>
    </r>
    <r>
      <rPr>
        <b/>
        <sz val="9"/>
        <rFont val="Times New Roman"/>
        <family val="1"/>
        <charset val="186"/>
      </rPr>
      <t>250,00</t>
    </r>
    <r>
      <rPr>
        <sz val="9"/>
        <rFont val="Times New Roman"/>
        <family val="1"/>
        <charset val="186"/>
      </rPr>
      <t xml:space="preserve">. </t>
    </r>
    <r>
      <rPr>
        <b/>
        <sz val="9"/>
        <rFont val="Times New Roman"/>
        <family val="1"/>
        <charset val="186"/>
      </rPr>
      <t>PB</t>
    </r>
    <r>
      <rPr>
        <sz val="9"/>
        <rFont val="Times New Roman"/>
        <family val="1"/>
        <charset val="186"/>
      </rPr>
      <t xml:space="preserve"> Ekonomija  atvaļin. pabalstiem EUR </t>
    </r>
    <r>
      <rPr>
        <b/>
        <sz val="9"/>
        <rFont val="Times New Roman"/>
        <family val="1"/>
        <charset val="186"/>
      </rPr>
      <t xml:space="preserve">2110,00. </t>
    </r>
  </si>
  <si>
    <r>
      <t xml:space="preserve">Līdzēkļu ekonomija. Atlikums uz 01.10.2019. EUR </t>
    </r>
    <r>
      <rPr>
        <b/>
        <sz val="9"/>
        <rFont val="Times New Roman"/>
        <family val="1"/>
        <charset val="186"/>
      </rPr>
      <t xml:space="preserve">2642,47,  </t>
    </r>
    <r>
      <rPr>
        <sz val="9"/>
        <rFont val="Times New Roman"/>
        <family val="1"/>
        <charset val="186"/>
      </rPr>
      <t xml:space="preserve">līdz gada beigām nepieciešams EUR </t>
    </r>
    <r>
      <rPr>
        <b/>
        <sz val="9"/>
        <rFont val="Times New Roman"/>
        <family val="1"/>
        <charset val="186"/>
      </rPr>
      <t>1412,38</t>
    </r>
  </si>
  <si>
    <t>Nepiecešami lidzēkļi  līdz gada beigam</t>
  </si>
  <si>
    <r>
      <t>Līdzēkļu ekonomija. Atlikums uz 01.10.2019. EUR</t>
    </r>
    <r>
      <rPr>
        <b/>
        <sz val="9"/>
        <rFont val="Times New Roman"/>
        <family val="1"/>
        <charset val="186"/>
      </rPr>
      <t xml:space="preserve"> 4551,58,  </t>
    </r>
    <r>
      <rPr>
        <sz val="9"/>
        <rFont val="Times New Roman"/>
        <family val="1"/>
        <charset val="186"/>
      </rPr>
      <t xml:space="preserve">līdz gada beigām nepieciešams EUR </t>
    </r>
    <r>
      <rPr>
        <b/>
        <sz val="9"/>
        <rFont val="Times New Roman"/>
        <family val="1"/>
        <charset val="186"/>
      </rPr>
      <t>3426,51</t>
    </r>
  </si>
  <si>
    <r>
      <t>Ekonomija EUR</t>
    </r>
    <r>
      <rPr>
        <b/>
        <sz val="9"/>
        <rFont val="Times New Roman"/>
        <family val="1"/>
        <charset val="186"/>
      </rPr>
      <t xml:space="preserve"> 211,75</t>
    </r>
    <r>
      <rPr>
        <sz val="9"/>
        <rFont val="Times New Roman"/>
        <family val="1"/>
        <charset val="186"/>
      </rPr>
      <t xml:space="preserve">  par  1 cet. lifta apkopi , jo apkopi un samaksa  bija veikta decembrī 2018 g.</t>
    </r>
  </si>
  <si>
    <r>
      <t xml:space="preserve">2019g.februāra izpilde EUR </t>
    </r>
    <r>
      <rPr>
        <b/>
        <sz val="9"/>
        <rFont val="Times New Roman"/>
        <family val="1"/>
        <charset val="186"/>
      </rPr>
      <t>287,30</t>
    </r>
    <r>
      <rPr>
        <sz val="9"/>
        <rFont val="Times New Roman"/>
        <family val="1"/>
        <charset val="186"/>
      </rPr>
      <t xml:space="preserve">. Nepieciešami Lidzēkļi  licenču pagarinājumam 26* EUR 363,00 = EUR </t>
    </r>
    <r>
      <rPr>
        <b/>
        <sz val="9"/>
        <rFont val="Times New Roman"/>
        <family val="1"/>
        <charset val="186"/>
      </rPr>
      <t>9438,00</t>
    </r>
    <r>
      <rPr>
        <sz val="9"/>
        <rFont val="Times New Roman"/>
        <family val="1"/>
        <charset val="186"/>
      </rPr>
      <t xml:space="preserve"> ( beigu tērmiņš septembris)  Trūkst </t>
    </r>
    <r>
      <rPr>
        <b/>
        <sz val="9"/>
        <rFont val="Times New Roman"/>
        <family val="1"/>
        <charset val="186"/>
      </rPr>
      <t xml:space="preserve"> EUR 2504,30.</t>
    </r>
  </si>
  <si>
    <r>
      <t xml:space="preserve"> 2019 g. 2,3,4 cetur.e-klases uzturēšanas izdevumi  tiek veikti centralizēti EUR 108,90*3= </t>
    </r>
    <r>
      <rPr>
        <b/>
        <sz val="9"/>
        <rFont val="Times New Roman"/>
        <family val="1"/>
        <charset val="186"/>
      </rPr>
      <t>EUR 326,70</t>
    </r>
  </si>
  <si>
    <t>lode</t>
  </si>
  <si>
    <t>Jūrmalas Mākslas skola</t>
  </si>
  <si>
    <t>Tāme Nr.09.11.1.</t>
  </si>
  <si>
    <t>90000051595</t>
  </si>
  <si>
    <t>Rūpniecības iela 13, Jūrmala</t>
  </si>
  <si>
    <t>LV89PARX0002484572008</t>
  </si>
  <si>
    <t>LV55PARX0002484573008</t>
  </si>
  <si>
    <t>LV16PARX0002484577008</t>
  </si>
  <si>
    <r>
      <rPr>
        <b/>
        <u/>
        <sz val="9"/>
        <rFont val="Times New Roman"/>
        <family val="1"/>
        <charset val="186"/>
      </rPr>
      <t>MD</t>
    </r>
    <r>
      <rPr>
        <sz val="9"/>
        <rFont val="Times New Roman"/>
        <family val="1"/>
        <charset val="186"/>
      </rPr>
      <t xml:space="preserve"> Pedagogu atalgojuma ieņēmumu  palielinājums 12745.00Eur periodam 09.-12.2019. Mērķdotācijas ieņēmumu palielinājums 3213,00 Eur sakarā ar progrmmas "Latvijas skolas soma" finansējumu periodam 01.09.2019.-31.12.2019.                                                                                                                                                            Maksas pakalpojumu ieņēmumu palielinājums par 2000.00 Eur, attiecīgi samazinot Pamatbudžeta ieņēmumus.</t>
    </r>
  </si>
  <si>
    <t>Maksas pak.2000.00 Eur ieņēmumu palielinājums sakarā ar vienreizēju nomas līgumu skaita palielināšanos.</t>
  </si>
  <si>
    <t>Maksas pak.2000.00 Eur ieņēmumu palielinājums sakarā ar vienreizēju nomas līgumu skaita palielināšanos, t.sk.:SIA "001A"-55.20Eur; Balodis Ēriks-48.50Eur; Baumanis Ēriks - 516.45Eur; Berga foto pakalpojumi - 58.20Eur; Jelizavete Bizjajeva -36.20Eur; Larisa Borisova-31.05Eur; Sia "GL WAY"-13.80Eur; SIA"Jūrmalas namsaimnieks" 77.60Eur; "Jūrmalas stūre"koop.sab.-58.20Eur; SIA "Presto autoskola"-203.11; SIA "Raena"19.40 un rezerve 882.29 Eur.</t>
  </si>
  <si>
    <r>
      <rPr>
        <u/>
        <sz val="9"/>
        <rFont val="Times New Roman"/>
        <family val="1"/>
        <charset val="186"/>
      </rPr>
      <t>MD</t>
    </r>
    <r>
      <rPr>
        <sz val="9"/>
        <rFont val="Times New Roman"/>
        <family val="1"/>
        <charset val="186"/>
      </rPr>
      <t xml:space="preserve"> Darba algas izmaiņas 09-12.2019. t.sk.: pamat.visp.+11654 Eur;interešu     -428 Eur;     5-6 gadīgie +756 Eur</t>
    </r>
  </si>
  <si>
    <r>
      <rPr>
        <u/>
        <sz val="9"/>
        <rFont val="Times New Roman"/>
        <family val="1"/>
        <charset val="186"/>
      </rPr>
      <t>PB.</t>
    </r>
    <r>
      <rPr>
        <sz val="9"/>
        <rFont val="Times New Roman"/>
        <family val="1"/>
        <charset val="186"/>
      </rPr>
      <t xml:space="preserve"> 2.857Eur/h*4 stundas=11.428Eur. Naudas plūsmā ēku un teritorijas dežurantu  svētku dienas 18. novembra piemaksas samaksai nepieciešami 12.00Eur, jo 2019. janvārī tika samaksātas 4 virstundas darbiniekiem par 2018.gadu.</t>
    </r>
  </si>
  <si>
    <r>
      <rPr>
        <u/>
        <sz val="9"/>
        <rFont val="Times New Roman"/>
        <family val="1"/>
        <charset val="186"/>
      </rPr>
      <t>PB.</t>
    </r>
    <r>
      <rPr>
        <sz val="9"/>
        <rFont val="Times New Roman"/>
        <family val="1"/>
        <charset val="186"/>
      </rPr>
      <t xml:space="preserve"> Naudas balva bērna piedzimšanas gadījumā 710.00 Eur( Olga Duņamalijeva); naudas balva 30. darba gadu jubilejā  475.00 Eur.Jūrmalas pašvaldībā (Tatjana Pobjaržina, pirms Mežmalas vidusskolas strādāja pirmskolā "Bitīte"un nebija zināms darba stāžs) </t>
    </r>
  </si>
  <si>
    <r>
      <rPr>
        <u/>
        <sz val="9"/>
        <rFont val="Times New Roman"/>
        <family val="1"/>
        <charset val="186"/>
      </rPr>
      <t>MD</t>
    </r>
    <r>
      <rPr>
        <sz val="9"/>
        <rFont val="Times New Roman"/>
        <family val="1"/>
        <charset val="186"/>
      </rPr>
      <t xml:space="preserve"> Piemaksu izmaiņas  periodam 09.-12.2019, t.sk. pamat.visp.                          -1118.00Eur; 5-6gadīgie  -380.00Eur.  </t>
    </r>
  </si>
  <si>
    <r>
      <rPr>
        <u/>
        <sz val="9"/>
        <rFont val="Times New Roman"/>
        <family val="1"/>
        <charset val="186"/>
      </rPr>
      <t>MD</t>
    </r>
    <r>
      <rPr>
        <sz val="9"/>
        <rFont val="Times New Roman"/>
        <family val="1"/>
        <charset val="186"/>
      </rPr>
      <t xml:space="preserve"> VSAOI izmaiņas periodam 09-12.2019.,t.sk.:pamat.visp. 2281Eur; interešu -107.00Eur.; 5-6gadīgie 87.00 Eur. </t>
    </r>
  </si>
  <si>
    <r>
      <t>PB.</t>
    </r>
    <r>
      <rPr>
        <b/>
        <sz val="9"/>
        <rFont val="Times New Roman"/>
        <family val="1"/>
        <charset val="186"/>
      </rPr>
      <t xml:space="preserve"> </t>
    </r>
    <r>
      <rPr>
        <sz val="9"/>
        <rFont val="Times New Roman"/>
        <family val="1"/>
        <charset val="186"/>
      </rPr>
      <t>Ekonomija, kas radusies sakarā ar  darbinieku kustību skolā ( saskaņā ar "Atlīdzības nolikumu", skolā nav nostrādāts 1 gads.)</t>
    </r>
  </si>
  <si>
    <t>Apbedījuma pabalsti 2 gab.Nagornaja un D.Netlava</t>
  </si>
  <si>
    <t>Maksas pak.2000.00 Eur izdevumu palielinājums sakarā ar vienreizēju nomas līgumu skaita palielināšanos, attiecīgi samazinam izdevumus PB.</t>
  </si>
  <si>
    <t>Maksas pak.2000.00 Eur izdevumu palielinājums, attiecīgi samazinot izdevumus PB.</t>
  </si>
  <si>
    <t xml:space="preserve">Ekonomija( daļēja) par arhīva pakalpojumiem tiek novirzīta uz EKK2519, jo palielinās izdevumi par transporta ekspluatācijas nodokli 2019. gadā. </t>
  </si>
  <si>
    <t>Programmas "Latvijas skolas somas",  ietvaros transportlīdzekļa noma periodam 01.09.2019. līdz 31.12.2019.</t>
  </si>
  <si>
    <t>Programmas "Latvijas skolas somas",  ietvaros pasākumu izdevumi periodam 01.09.2019. līdz 31.12.2019.</t>
  </si>
  <si>
    <t>Transporta ekspluatācijas nodokļa palielinājums 2019.gadā.</t>
  </si>
  <si>
    <t>Jūrmalas pilsētas Mežmalas vidusskola</t>
  </si>
  <si>
    <t>Tāme Nr.09.8.1.</t>
  </si>
  <si>
    <t>Jūrmalas pilsētas Lielupes pamatskola</t>
  </si>
  <si>
    <t>90000051576</t>
  </si>
  <si>
    <t>Aizputes iela 1A, Jūrmala</t>
  </si>
  <si>
    <t>LV51PARX0002484572013</t>
  </si>
  <si>
    <t>LV17PARX0002484573013</t>
  </si>
  <si>
    <t>LV75PARX0002484577013</t>
  </si>
  <si>
    <t>*Transferts programmas "Latvijas skolas soma" īstenošanai 973.00 €.
*Mērķdotācija pedagogu darba samaksai 5240.00 € (vispārējā izglītība +5650 €, 5.-6.gad.apmācība -529 €, interešu izglītība +119 €)</t>
  </si>
  <si>
    <t>Maksas pakalpojumu ieņēmumu palielinājums FK Dinamo 2 mēn * 100 €, Jūrmalas boksa klubs 2 mēn * 60 €, A.Kudinovs 3 mēn * 30 €. SIA Fēnikss 2 mēn * 447.64 €</t>
  </si>
  <si>
    <t>Finansējums pedagogu darba samaksai (septembris-decembris)
*vispārējā izglītība + 3802 €;
*5.-6.gad.apmācība -426 €;
*interešu izglītība +96 €</t>
  </si>
  <si>
    <t>Piemaksa par kvalitātes pakāpi 4 pedagogiem 187.52 €/mēn * 4 mēn = 750.08 € vispārējā izglītība
*2. kvalitātes pakāpe 571.84 €
*1.kvalitātes pakāpe 178.24 €</t>
  </si>
  <si>
    <t>Finansējums darba devēja soc. nod. no pedagogu darba samaksas 4223 € (septembris-decembris)
*vispārējā izglītība +1097 €
*5.-6. gad.apmācība -103 €
*interešu izglītība +23 €</t>
  </si>
  <si>
    <t>Papildus līdzekļi izdevumu segšanai no ieņēmumu palielinājuma, pamatojoties ar tarifa izmaiņām par 1 MWh no 65.51 € uz 73.65 €</t>
  </si>
  <si>
    <t>Papildus līdzekļi izdevumu segšanai no ieņēmumu palielinājuma. Plānotais ūdeņa patēriņš 2019.gadam 1658 m3. Pēc fakta 2019.gada 9 mēnešos salīdzinājumā ar vidējo plānoto ūdens patēriņu m3 2018.gada 9 mēnešos pieaugums vidēji par 27.5%. Lielākais ūdens un kanalizācijas patēriņa pieaugums vasaras mēnešos, jo vasaras nometnes sakarā ar Jaundubultu skolas remontu apmeklēja lielāks bērnu skaits par plānoto.</t>
  </si>
  <si>
    <t>Autobusa noma uz Turaidas muzejrezervātu, programmas "Latvijas skolas soma" īstenošanai (2 autobusu noma maršrutā Lielupe-Turaidas muzejrezervāts-Lielupe 360 € x 2 autobusi = 720 €)</t>
  </si>
  <si>
    <t>Ieejas biļetes un interaktīvo nodarbību izmaksas Turaidas muzejrezervāta apmeklējumam, programmas "Latvijas skolas soma" īstenošanai (grupa līdz 35 cilvēki izmaksas 63.25 € x 4 grupas = 253 €)</t>
  </si>
  <si>
    <t xml:space="preserve">Kodā 2122 “Jūrmalas domes oficiālo delegāciju vizītes uz esošajām un potenciālajām sadraudzības pilsētām, domes vadības oficiālie ārvalstu komandējumi” nepietiek līdzekļi, lai nodrošinātu JPD vizītes uz sadraudzības un sadarbības pilsētām.  </t>
  </si>
  <si>
    <t xml:space="preserve">Kodā 2121 “Ārvalstu komandējumu dienas naudas” nav līdzekļu, lai nodrošinātu vizītes sadraudzības/sadarbības pilsētās (plānota vizīte Pērnavā – attīstības, tūrisma jautājumi). </t>
  </si>
  <si>
    <t>Ar ārējiem sakariem un sadraudzības pilsētu aktivitāšu īstenošanu saistīto pasākumu organizēšanas izdevumi (ēdināšana, izmitināšana, u.c. saistītie izdevumi)</t>
  </si>
  <si>
    <t>Ietaupījums kodā 2231 “Ar ārējiem sakariem un sadraudzības pilsētu aktivitāšu īstenošanu saistīto pasākumu organizēšanas izdevumi (ēdināšana, izmitināšana, u.c. saistītie izdevumi)” radies, jo septembrī atceltas plānotā Odesas pilsētas pašvaldības un Sopotas pašvaldības pārstāvju vizīte Jūrmalā.</t>
  </si>
  <si>
    <t xml:space="preserve">Līdzekļi nepieciešami Jūrmalas oficiālo reprezentatīvo dāvanu -  An Angel stikla trauku, Piebalgas porcelāna fabrikas krūžu un kalendāru ar Jūrmalas simboliku iegādei. </t>
  </si>
  <si>
    <t>Līdzekļu ekonomija</t>
  </si>
  <si>
    <t xml:space="preserve">2019.gadā MĀSP Mārketinga nodaļa iepirkuma rezultātā ir noslēgusi pakalpojuma līgumu par maketēšanas un dizaina pakalpojumiem, līdz ar to ĀSPN izmantos pakalpojumus līguma ietvaros un neslēgs autoratlīdzības līgumu kā bija sākotnēji plānots, līdz ar to maketēšanai paredzētie līdzekļi tiek pārcelti no koda 1150 “Autoratlīdzību honorāri” uz kodu 2279 “Vizuālo materiālu maketēšana un dizaina pakalpojumi”   . </t>
  </si>
  <si>
    <t>Tāme Nr. 09.31.2.</t>
  </si>
  <si>
    <t>Jūrmalas vakara vidusskola</t>
  </si>
  <si>
    <t>90000051646</t>
  </si>
  <si>
    <t>Lielupes-21, Jūrmala</t>
  </si>
  <si>
    <t>09.600</t>
  </si>
  <si>
    <t>Brīvpusdienu nodrošināšana</t>
  </si>
  <si>
    <t>LV08PARX0002484572011</t>
  </si>
  <si>
    <r>
      <rPr>
        <b/>
        <sz val="9"/>
        <rFont val="Times New Roman"/>
        <family val="1"/>
        <charset val="186"/>
      </rPr>
      <t>5.pielikums</t>
    </r>
    <r>
      <rPr>
        <sz val="9"/>
        <rFont val="Times New Roman"/>
        <family val="1"/>
        <charset val="186"/>
      </rPr>
      <t xml:space="preserve"> Jūrmalas pilsētas domes</t>
    </r>
  </si>
  <si>
    <t>Attīstības pārvaldes Infrastruktūras investīciju projektu nodaļa</t>
  </si>
  <si>
    <t>Pilsētas ekonomiskās attīstības pasākumi</t>
  </si>
  <si>
    <t>Darbības programmas "Izaugsme un nodarbinātība" projektu iesniegumu pamatojošās un pielikumu dokumentācijas izstrāde (projektu izmaksu un ieguvumu analīzes izstrāde)</t>
  </si>
  <si>
    <t>JPAP_P1.7._R1.7.2._45 JPAP_P2.1._R.2.1.1._62 JPAP_P2.4._R2.4.2._80 JPAP_P2.8._R2.8.1._98
JPAP_P2.8._R2.8.1._99 
JPŪRARP_M.4,_RV2.4.1_13 JPTARP_M1_U1.2._P1.2.10
JPTARP_M1_U1.2._P1.2.12 JPIERP_P.4.4_ A4.4.2
JPIERP_P.4.4_ A4.4.3</t>
  </si>
  <si>
    <t>JPAP_P1.6_R1.6.1._21
JPIERP_P.4.4_ A4.4.2
JPIERP_P.4.4_ A4.4.3
JPTARP_M1_U1.4._P1.4.1</t>
  </si>
  <si>
    <t>JPAP_P2.1._R.2.1.1._62  
JPAP_P2.8._R.2.8.1._98
JPAP_P2.8._R.2.8.1._99 JPAP_P2.8._R2.8.1._103 
JPAP_P3.7._R3.7.2._230  
JPIERP_P.4.4_A4.4.2
JPTARP_M1_U1.2._P1.2.11.
TP ĶAV U2_2.3.  JPKAP_RV5_U5.3_P5.3.1.</t>
  </si>
  <si>
    <t>Pašvaldības īstenoto projektu ilgtspējas nodrošināšanai</t>
  </si>
  <si>
    <t xml:space="preserve">JPAP_P1.6._R.1.6.1._25  
JPAP_P1.6._R.1.6.2._32
JPAP_P2.8._R.2.8.1._104 </t>
  </si>
  <si>
    <t>Jūrmalas pilsētas attīstības programma 2014.-2020.gadam (JPAP)</t>
  </si>
  <si>
    <t>Prioritātes:</t>
  </si>
  <si>
    <t>P1.6. Aktīvā un dabas tūrisma attīstība</t>
  </si>
  <si>
    <t>P1.7. Kultūras tūrisma attīstība</t>
  </si>
  <si>
    <t>P2.1. Ceļu un ielu, to apgaismojuma kvalitātes uzlabošana, satiksmes drošības uzlabojumi, veloceliņu un gājēju celiņu attīstība</t>
  </si>
  <si>
    <t>P2.4. Jūrmalas ostas attīstība un kuģošanas infrastruktūras attīstība Lielupē</t>
  </si>
  <si>
    <t>P2.8. Publiskās telpas labiekārtošana</t>
  </si>
  <si>
    <t>P3.7. Atbalsts uzņēmējdarbības iniciatīvām un uzņēmēju sadarbības veicināšana</t>
  </si>
  <si>
    <t>Rīcības virzieni:</t>
  </si>
  <si>
    <t>R1.6.1.: Dabas tūrisma infrastruktūras attīstība</t>
  </si>
  <si>
    <t>R1.7.2.: Kultūras tūrisma infrastruktūras attīstība</t>
  </si>
  <si>
    <t>R2.1.1.: Ielu un ceļu rekonstrukcija, satiksmes drošības uzlabošana</t>
  </si>
  <si>
    <t>R2.4.2.: Kuģošanas infrastruktūras attīstība Lielupē</t>
  </si>
  <si>
    <t>R2.8.1.: Publiskās telpas pilnveide</t>
  </si>
  <si>
    <t>R3.7.2.: Vietējās uzņēmējdarbības atbalsta infrastruktūras attīstība</t>
  </si>
  <si>
    <t>Aktivitātes:</t>
  </si>
  <si>
    <t>Nr.21 Daudzfunkcionāla, interaktīva dabas tūrisma objekta izveide Ķemeros</t>
  </si>
  <si>
    <t>Nr.25 Dabas lieguma “Lielupes grīvas pļavas” apsaimniekošanas pasākumu realizācija un atbilstošas infrastruktūras izveide</t>
  </si>
  <si>
    <t>Nr.32 Peldvietu un atpūtas vietu attīstība Lielupes krastos</t>
  </si>
  <si>
    <t>Nr.45 Ķemeru teritorijas un Ķemeru parka infrastruktūras atjaunošana un pilnveide</t>
  </si>
  <si>
    <t>Nr.62 Jūrmalas ielu un tiltu tīkla pilnveide</t>
  </si>
  <si>
    <t>Nr.80 Lielupes kuģošanas un ūdenstūrisma infrastruktūras un pakalpojumu attīstība</t>
  </si>
  <si>
    <t>Nr.98 Parku, skvēru un kūrorta mazās infrastruktūras attīstība uzturēšana</t>
  </si>
  <si>
    <t xml:space="preserve">Nr.99 Publiskās telpas apsaimniekošana </t>
  </si>
  <si>
    <t>Nr.103 Pilsētas atpūtas parka un Jauniešu mājas izveide</t>
  </si>
  <si>
    <t>Nr.104 Lielupes krastmalas un piekrastes ekosistēmas ilgtspējīga apsaimniekošana</t>
  </si>
  <si>
    <t>Nr.230 Uzņēmējdarbības veicināšana</t>
  </si>
  <si>
    <t>Jūrmalas pilsētas ūdens resursu aizsardzības rīcības plāns 2016.-2020.gadam (JPŪRARP)</t>
  </si>
  <si>
    <t>Mērķis Nr.4 Piekrastes ūdeņu un Lielupes plānotā izmantošana</t>
  </si>
  <si>
    <t>Rīcības virziens: RV2.4.1. Jūrmalas ostas attīstība</t>
  </si>
  <si>
    <t>Uzdevums Nr.13 Uzlabot Jūrmalas ostas infstruktūru atbilstoši ostas attīstības programmai</t>
  </si>
  <si>
    <t>Jūrmalas pilsētas ilgtspējības enerģētikas rīcības programma 2013.-2020.gadam (JPIERP)</t>
  </si>
  <si>
    <t xml:space="preserve">Pasākums 4.4.  Ielu apgaismojuma sistēmas modernizācija </t>
  </si>
  <si>
    <t xml:space="preserve">Aktivitāte: 4.4.2. Gaismekļu un luksoforu nomaiņa </t>
  </si>
  <si>
    <t xml:space="preserve">Aktivitāte: 4.4.3. Ielu apgaismojuma uzstādīšana pilsētā vēl neapgaismotajās ielās </t>
  </si>
  <si>
    <t>Jūrmalas pilsētas tūrisma attīstības rīcības plāns  2018.-2020.gadam (JPTARP)</t>
  </si>
  <si>
    <t>Mērķi:</t>
  </si>
  <si>
    <t>AM1: Atpūtas, rekreācijas un viesmīlības pakalpojumu pilnveidošana un kvalitātes uzlabošana</t>
  </si>
  <si>
    <t>AM3: Jūrmalas kā konferenču, kongresu, pasākumu un motivējošā tūrisma (MICE) galamērķa attīstība</t>
  </si>
  <si>
    <t>Uzdevumi:</t>
  </si>
  <si>
    <t>1.2. Atpūtas un rekreācijas tūrisma piedāvājuma pilnveidošana vietējiem un ārvalstu viesiem</t>
  </si>
  <si>
    <t>1.3. Izziņas, kultūrizgizglītojošā tūrisma piedāvājuma pilnveide</t>
  </si>
  <si>
    <t>1.4. Dabas tūrisma piedāvājuma attīstības veicināšana un popularizēšana</t>
  </si>
  <si>
    <t>Pasākumi:</t>
  </si>
  <si>
    <t>P. 1.2.10. Ķemeru parka pārbūve un restaurācija</t>
  </si>
  <si>
    <t xml:space="preserve">P. 1.2.11. Stāvvietas izbūve E.Dārziņa ielā 17 un Tūristu ielas atjaunošana </t>
  </si>
  <si>
    <t xml:space="preserve">P. 1.2.12. Ūdens tūrisma  pakalpojumu centra “Majori” izveide (Straumes ielā 1a)
</t>
  </si>
  <si>
    <t xml:space="preserve">P 1.4.1. Daudzfunkcionāla interaktīva dabas tūrisma objekta izveide Ķemeros </t>
  </si>
  <si>
    <t>Jūrmalas pilsētas kultūrvides attīstības plāns 2017.–2020.gadam (JPKAP)</t>
  </si>
  <si>
    <t>RV5: Kultūras pieejamība Jūrmalā: ģeogrāfiski līdzsvarota kultūras infrastruktūras attīstība un kultūras pieejamības sekmēšana.</t>
  </si>
  <si>
    <t xml:space="preserve">Uzdevumi: </t>
  </si>
  <si>
    <t xml:space="preserve">U5.3. Labiekārtot publisko telpu. </t>
  </si>
  <si>
    <t>P5.3.1. Jaunrades parka un Jauniešu mājas izveide Kauguros (ITI SAM 3.3.1.).</t>
  </si>
  <si>
    <t>Tematiskais plānojums "Ķemeru attīstības vīzija" (TP ĶAV)</t>
  </si>
  <si>
    <t>2. Uzdevums: Uzlabot satiksmes infrastruktūru</t>
  </si>
  <si>
    <t>2.3. Izveidot jaunus stāvlaukumus</t>
  </si>
  <si>
    <t>Tehnisks precizējums</t>
  </si>
  <si>
    <r>
      <rPr>
        <b/>
        <sz val="9"/>
        <rFont val="Times New Roman"/>
        <family val="1"/>
        <charset val="186"/>
      </rPr>
      <t>24.pielikums</t>
    </r>
    <r>
      <rPr>
        <sz val="9"/>
        <rFont val="Times New Roman"/>
        <family val="1"/>
        <charset val="186"/>
      </rPr>
      <t xml:space="preserve"> Jūrmalas pilsētas domes</t>
    </r>
  </si>
  <si>
    <t>Pilsētplānošanas nodaļa</t>
  </si>
  <si>
    <t>Pilsētas teritoriju labiekārtošanas pasākumi</t>
  </si>
  <si>
    <t>06.200</t>
  </si>
  <si>
    <t>Jauns detāl/lokālplānojums un/vai izpētes darbi</t>
  </si>
  <si>
    <t>JPAP_P3.1._ R3.1.1._119</t>
  </si>
  <si>
    <t>Jūrmalas pilsētas teritorijas plānojuma grozījumu izstrāde</t>
  </si>
  <si>
    <t>Pilsētas svētku noformējums</t>
  </si>
  <si>
    <t>Pilsētas dekoratīvā svētku apgaismojuma uzturēšana un atjaunošana</t>
  </si>
  <si>
    <t>JPAP_P2.2._R.2.2.1._70</t>
  </si>
  <si>
    <t>Ziemassvētku egles (iegāde, uzstādīšana, demontāža)</t>
  </si>
  <si>
    <t>Pilsētas svētku noformējuma izveide, montāža un demontāža</t>
  </si>
  <si>
    <t xml:space="preserve">Ziemassvētku noformējuma konkurss (atzinības raksti, apbalvojumi, ēdināšanas pakalpojumi )                                                                                                                                                                                                                                                                                                                                                          </t>
  </si>
  <si>
    <t xml:space="preserve">Svētku apgaismojuma noformējuma izveide, montāža un demontāža                                                                                                                                                                                                                                                                                                                                                    </t>
  </si>
  <si>
    <t>3228 EUR novizāms aktivitiātes "Pilsētas apkaimes zīmju un  robežzīmju izveide, projekta izstrādāšana" realizācijai.Atlikušā finansējuma daļa būs pietiekama aktivitātes nodrošināšanai</t>
  </si>
  <si>
    <t xml:space="preserve">Pilsētas apkaimes zīmju un  robežzīmju izveide, projekta izstrādāšana                                                                                                                                                     </t>
  </si>
  <si>
    <t>Iepirkuma procesa ietvaros pretendents piedāvā veikt pakalpojumu par 8228 EUR. Ņemot vērā situāciju, ka citi pretendenti nav iesnieguši piedāvājumus un robežzīmes projekta izstrāde ir prioritāra aktivitāte nepieciešams papildus finansējums</t>
  </si>
  <si>
    <t>JPAP_P2.2._R.2.2.1._70 JPTARP_U1.2._P.1.2.9. JPKVAP_U1.1._P.1.1.3.</t>
  </si>
  <si>
    <t>Pasākums "Ziemas pasaka  Dzintaru mežaparkā" uzturēšana un atjaunošana, jauna noformējuma izveide</t>
  </si>
  <si>
    <t>JPAP_P1.7._R.1.7.1._43 JPTARP_U1.2_P1.2.5.</t>
  </si>
  <si>
    <t>Pilsētas kultūrvēsturiskā mantojuma saglabāšana</t>
  </si>
  <si>
    <t>08.290</t>
  </si>
  <si>
    <t>Līdzfinansējuma nodrošināšanai sabiedriski pieejama kultūrvēsturiskā mantojuma saglabāšanai objektos, kuros notiek pilsētas nozīmes pasākumi</t>
  </si>
  <si>
    <t>JPAP_P1.2._R.1.2.2._10 JPKVAP_U1.2._U.1.2.4. JPKVAP_U3.3._P.3.3.4.</t>
  </si>
  <si>
    <t>Kultūrvēsturiski vērtīgu ēku izvērtēšana un datu bāzes izveide</t>
  </si>
  <si>
    <t>JPAP_P1.2._R.1.2.2._10_11 JPKVAP_U1.2._U.1.2.4. JPKVAP_U3.3._P.3.3.4.</t>
  </si>
  <si>
    <t>Grāmatas "Jūrmala. Vide. Arhitektūra" izdošana</t>
  </si>
  <si>
    <t>Rīcības virziens: R.1.2.2. Kultūrvēsturiskā mantojuma saglabāšana un attīstība</t>
  </si>
  <si>
    <t>Aktivitāte: Nr.10 Kultūrvēsturiski vērtīgās koka arhitektūras vērtību saglabāšanas pasākumi</t>
  </si>
  <si>
    <t>Rīcības virziens R1.7.1. Kultūras tūrisma piedāvājuma attīstība</t>
  </si>
  <si>
    <t>Aktivitāte:Nr.43 Kultūras dzīves piedāvājuma attīstība visa gada garumā</t>
  </si>
  <si>
    <t>Rīcības virziens: R.2.2.1. Jūrmalas vizuālās identitātes standarta izstrāde un ieviešana</t>
  </si>
  <si>
    <t>Aktivitāte: Nr.70 Jūrmalas vizuālās identitātes veidošana un uzraudzīšana</t>
  </si>
  <si>
    <t>Rīcības virziens: R.3.1.1. Pilsētas attīstības plānošana</t>
  </si>
  <si>
    <t>Aktivitāte: Nr.119 Pašvaldības attīstības plānošanas dokumentu izstrāde un uzraudzība</t>
  </si>
  <si>
    <t>Jūrmalas pilsētas tūrisma attīstības rīcības plāns 2018 - 2020 (JPTARP)</t>
  </si>
  <si>
    <t>Uzdevums U 1.2. Atpūtas , rekreācijas tūrisma piedāvājuma pilnveidošana vietējiem un ārvalstu viesiem</t>
  </si>
  <si>
    <t>P 1.2.5. Ziemas pasakas izveide Dzintaru Mežaparkā (interaktīvas gaismas instalācijas ziemas periodā (decembris–aprīlis))</t>
  </si>
  <si>
    <t>P.1.2.9. Pilsētas apkaimju atpazīstamības veicināšana un zīmju izvietošana, apkaimju nosaukumu un vērtību integrēšana tūrisma mārketingā</t>
  </si>
  <si>
    <t>Jūrmalas pilsētas kultūrvides attīstības plāns 2017.-2020.gadam (JPKVAP)</t>
  </si>
  <si>
    <r>
      <t xml:space="preserve">U1.1: </t>
    </r>
    <r>
      <rPr>
        <sz val="9"/>
        <color rgb="FF000000"/>
        <rFont val="Times New Roman"/>
        <family val="1"/>
        <charset val="186"/>
      </rPr>
      <t>Rosināt un atbalstīt radošu un oriģinālu kultūras piedāvājumu integrēšanu pilsētvidē; akcentēt apkaimju vizuālo un saturisko identitāti.</t>
    </r>
  </si>
  <si>
    <t>P.1.1.3.Radoši risinājumi pilsētas apkaimju vizuālai un saturiskai marķēšanai.</t>
  </si>
  <si>
    <r>
      <t xml:space="preserve">U1.2. </t>
    </r>
    <r>
      <rPr>
        <sz val="9"/>
        <color rgb="FF000000"/>
        <rFont val="Times New Roman"/>
        <family val="1"/>
        <charset val="186"/>
      </rPr>
      <t>Stiprināt bibliotēku lomu kā apkaimju izglītības, informācijas, kultūras un sabiedriskās saskarsmes centrus.</t>
    </r>
  </si>
  <si>
    <t>U.1.2.4. Jūrmalas kultūrvēstures izpēte un atraktīva popularizēšana.</t>
  </si>
  <si>
    <r>
      <t xml:space="preserve">U3.3. </t>
    </r>
    <r>
      <rPr>
        <sz val="9"/>
        <color rgb="FF000000"/>
        <rFont val="Times New Roman"/>
        <family val="1"/>
        <charset val="186"/>
      </rPr>
      <t xml:space="preserve">Izstrādāt mantojumā balstītus kultūrtūrisma produktus un pakalpojumus. </t>
    </r>
  </si>
  <si>
    <t>P.3.3.4. Koka arhitektūras kultūrvēsturiskā mantojuma popularizēšana.</t>
  </si>
  <si>
    <t>Tāme Nr.06.1.1.</t>
  </si>
  <si>
    <t>LV57PARX0002484572002</t>
  </si>
  <si>
    <t>Tāme Nr.08.4.1.</t>
  </si>
  <si>
    <t>Jūrmalas Kultūras centrs</t>
  </si>
  <si>
    <t>90009229680</t>
  </si>
  <si>
    <t>Jomas iela 35, Jūrmala LV-2015</t>
  </si>
  <si>
    <t>08.230</t>
  </si>
  <si>
    <t>LV59PARX0002484572063</t>
  </si>
  <si>
    <t>LV59PARX0002484573033</t>
  </si>
  <si>
    <t>LV20PARX0002484577033</t>
  </si>
  <si>
    <t>Līdzekļu pārcelšana no iestādes pasākumu tāmes, lai nodrošinātu pamatlīdzekļa (vizuālās reklāmas objekta izveidošana) iegādi</t>
  </si>
  <si>
    <t>Līdzekļu palielinājums - multifunkcionālās iekārtas iegāde</t>
  </si>
  <si>
    <t>Līdzekļu atlikums pēc datora iegādes - tiek pārcelts uz inventāra iegādes kodu, lai nodrošinātu multifunkcionālu iekārtas iegādi  (printēšana, kopēšana un skenēšana) Kauguru kultūras namam</t>
  </si>
  <si>
    <t>Līdzekļi tiek novirzīti no pasākumu tāmes, lai nodrošinātu Kauguru Kultūras nama vizuālās reklāmas izgatavošanu (iestādes nosaukums uz ēkas fasādes). KKN notiek remontdarbi, jumta remonta laikā tika konstatēts, ka esošais uzraksts ir būtiski nolietojies un tā vietā būtu jāuzstāda jauna iestādes izkārtne, kura būtu aktīva (izgaismota arī diennakts tumšajā laikā).  Jauna uzraksta izgatavošanai nepieciešamie izdevumi:  gaismas burtu ''KAUGURU KULTŪRAS NAMS'' (470x7000mm) un stiprinājuma karkasa izgatavošana =  3498,00 EUR; gaismas līnīja (55x 7000mm) = 445,00 EUR; uzraksta montāža pie ēkas sienas, elektrības pieslēgšana - 490,00 EUR; pacēlāja noma montāžas darbiem - 147,00 EUR.</t>
  </si>
  <si>
    <t>Tāme Nr. 08.4.2.</t>
  </si>
  <si>
    <t>Pilsētas kultūras un atpūtas pasākumi</t>
  </si>
  <si>
    <t>2019.gada piešķirto budžeta līdzekļu pārcelšana uz iestādes uzturēšanas tāmi pamatlīdzekļa iegādes finansēšanai</t>
  </si>
  <si>
    <t>saskaņā ar Pielikumu Nr.2 (forma 5a pasākumu atšifrējums) no 03.10.2019</t>
  </si>
  <si>
    <r>
      <rPr>
        <b/>
        <sz val="9"/>
        <rFont val="Times New Roman"/>
        <family val="1"/>
        <charset val="186"/>
      </rPr>
      <t>26.pielikums</t>
    </r>
    <r>
      <rPr>
        <sz val="9"/>
        <rFont val="Times New Roman"/>
        <family val="1"/>
        <charset val="186"/>
      </rPr>
      <t xml:space="preserve"> Jūrmalas pilsētas domes</t>
    </r>
  </si>
  <si>
    <t>2019.gada budžeta atšifrējums pa programmām un budžeta veidiem</t>
  </si>
  <si>
    <t>maksas pakalpojumi</t>
  </si>
  <si>
    <t>JPAP_R3.3.1._191 JPAP_R3.3.1._194  JPKAP_U2.2._P2.2.1.</t>
  </si>
  <si>
    <t>Valsts svētki, svinamās un atceres dienas</t>
  </si>
  <si>
    <t>Gadskārtu svētki</t>
  </si>
  <si>
    <t>JPAP_R3.3.1._191  JPAP_R3.3.1._194 JPKAP_ U2.2._P2.2.3.</t>
  </si>
  <si>
    <t>Lielākie Jūrmalas pilsētas pasākumi</t>
  </si>
  <si>
    <t>3.1</t>
  </si>
  <si>
    <t>Kūrorta svētku gājiens</t>
  </si>
  <si>
    <t>JPAP_R3.3.1._191 JPAP_R3.3.1._194  JPKAP_U2.2._P2.2.3.</t>
  </si>
  <si>
    <t>3.2</t>
  </si>
  <si>
    <t>Nakts ekspedīcija ģimenei ''Nestāsti pasaciņas''</t>
  </si>
  <si>
    <t>JPAP_R1.7.1._43 JPAP_R3.3.1._191  JPKAP_U2.2._P2.2.3. JPKAP_U1.3._U1.3.6. JPKAP_U1.3._U1.3.7.  JPTARP_AM1_U1.5._P.1.5.1.</t>
  </si>
  <si>
    <t>3.3</t>
  </si>
  <si>
    <t>Jaunā  gada sagaidīšana</t>
  </si>
  <si>
    <t>JPAP_R1.7.1._43 JPAP_R3.3.1._191   JPKAP_U2.2._P2.2.3.</t>
  </si>
  <si>
    <t>3.4</t>
  </si>
  <si>
    <t>Jomas ielas svētki</t>
  </si>
  <si>
    <t>JPAP_R3.3.1._191  JPKAP_U2.2._P2.2.3. JPTARP_AM1_U1.2._P.1.2.4.</t>
  </si>
  <si>
    <t>4</t>
  </si>
  <si>
    <t>JKC piedāvājums</t>
  </si>
  <si>
    <t>4.1</t>
  </si>
  <si>
    <t>Vasaras koncerti</t>
  </si>
  <si>
    <t>JPAP_R3.3.1._191  JPKAP_U1.3._U1.3.6.</t>
  </si>
  <si>
    <t>4.2</t>
  </si>
  <si>
    <t>Atpūtas pasākumi - džeza klubs, balles</t>
  </si>
  <si>
    <t>JPAP_R3.3.1_191 JPKAP_U1.3._U1.3.6.  JPKAP_U2.1._P2.1.4.</t>
  </si>
  <si>
    <t>Izdevumu samazinājums telpu noformējuma pakalpojumam</t>
  </si>
  <si>
    <t>Izdevumu palielinājums pasākumu noformējuma materiāliem</t>
  </si>
  <si>
    <t>4.3</t>
  </si>
  <si>
    <t>Mākslas izstādes</t>
  </si>
  <si>
    <t xml:space="preserve">JPAP_R3.3.1._191 JPKAP_U1.3._U1.3.6.  JPKAP_U2.1._P2.1.4.  </t>
  </si>
  <si>
    <t>4.4</t>
  </si>
  <si>
    <t>Kinoseansi</t>
  </si>
  <si>
    <t>JPAP_R3.3.1._203 JPKAP_U2.1._P2.1.4.</t>
  </si>
  <si>
    <t>Izdevumu samazinājums autoratlīdzībām - kinolektoriji līdz gada beigām nav paredzēti</t>
  </si>
  <si>
    <t>VSAOI izmaksu samazinājums proporcionāli atalgojuma samazinājumam</t>
  </si>
  <si>
    <t>Izdevumu palielinājums kinofilmu demonstrēšanas tiesību apmaksai</t>
  </si>
  <si>
    <t>5</t>
  </si>
  <si>
    <t>KKN piedāvājums</t>
  </si>
  <si>
    <t>5.1</t>
  </si>
  <si>
    <t>'Jokosim tautiski''</t>
  </si>
  <si>
    <t>JPAP_R3.3.1._191 JPAP_R3.3.1._194 JPKAP_U1.3._U1.3.4.  JPKAP_U1.3._U1.3.6.</t>
  </si>
  <si>
    <t>5.2</t>
  </si>
  <si>
    <t>Neformālo pianistu festivāls</t>
  </si>
  <si>
    <t>JPAP_R3.3.1._191 JPAP_R3.3.1._194 JPKAP_U1.3._U1.3.2. JPKAP_U2.2._P2.2.5.</t>
  </si>
  <si>
    <t>5.3</t>
  </si>
  <si>
    <t>Pasākumu cikls ''Bērnu vasara''</t>
  </si>
  <si>
    <t>JPAP_R3.3.1._191 JPKAP_U1.3._U1.3.6. JPKAP_U1.3._U1.3.7.</t>
  </si>
  <si>
    <t>5.4</t>
  </si>
  <si>
    <t>5.5</t>
  </si>
  <si>
    <t>Dzejas dienas</t>
  </si>
  <si>
    <t>JPAP_R3.3.1._191  JPKAP_U1.3.U_1.3.6.</t>
  </si>
  <si>
    <t>5.6</t>
  </si>
  <si>
    <t>Mātes dienas koncerts</t>
  </si>
  <si>
    <t>JPAP_R3.3.1._191. JPAP_R3.3.1._194. JPKAP_U1.3._U1.3.6. JPKAP_U2.2._P2.2.3.</t>
  </si>
  <si>
    <t>5.7</t>
  </si>
  <si>
    <t>JPAP_R3.3.1._191. JPKAP_U1.3._U1.3.6.  JPKAP_U2.1._P2.1.4. JPKAP_U1.3._U1.3.7.</t>
  </si>
  <si>
    <t>6</t>
  </si>
  <si>
    <t>Jūrmalas teātra piedāvājums</t>
  </si>
  <si>
    <t>6.1</t>
  </si>
  <si>
    <t>Jauniestudējumi</t>
  </si>
  <si>
    <t>JPAP_R3.3.1._191 JPAP_R3.3.1._194 JPAP_R3.3.1._197 JPKAP_U1.3._U1.3.1. JPKAP_U1.3._U1.3.4.</t>
  </si>
  <si>
    <t>6.2</t>
  </si>
  <si>
    <t>Jūrmalas Bērnu un jauniešu teātris. Uzvedums-eksāmens sezonas noslēgumā</t>
  </si>
  <si>
    <t>6.3</t>
  </si>
  <si>
    <t>Teātra pirmizrādes</t>
  </si>
  <si>
    <t>JPAP_R3.3.1._191. JPAP_R3.3.1._194. JPAP_R3.3.1._197. JPKAP_U1.3._U1.3.6.</t>
  </si>
  <si>
    <t>6.4</t>
  </si>
  <si>
    <t>Ziemassvētku koncerts</t>
  </si>
  <si>
    <t>JPAP_R1.7.1._43 JPAP_R3.3.1._191 JPAP_R3.3.1._194 JPKAP_U1.3._U1.3.6. JPKAP_U1.3._U1.3.4.</t>
  </si>
  <si>
    <t>6.5</t>
  </si>
  <si>
    <t>Piedalīšanās amatierteātru skates, festivālos valsts robežās un ārvalstīs</t>
  </si>
  <si>
    <t>JPAP_R3.3.1._191. JPAP_R3.3.1._194. JPKAP_U1.3._U1.3.2.</t>
  </si>
  <si>
    <t>7</t>
  </si>
  <si>
    <t>Mellužu estrādes piedāvājums</t>
  </si>
  <si>
    <t>7.1</t>
  </si>
  <si>
    <t>Mellužu klassika</t>
  </si>
  <si>
    <t>JPAP_R3.3.1._191.  JPKAP_U1.3._U1.3.6. JPKAP_U1.3._U1.3.7.  JPTARP_AM1_U1.2._P.1.2.4.</t>
  </si>
  <si>
    <t>7.2</t>
  </si>
  <si>
    <t>Oda jūrai un Zveinieksvētku balle</t>
  </si>
  <si>
    <t>7.3</t>
  </si>
  <si>
    <t>Mellužu gadatirgus</t>
  </si>
  <si>
    <t>7.4</t>
  </si>
  <si>
    <t>Atpūtas vakari - balles</t>
  </si>
  <si>
    <t>7.5</t>
  </si>
  <si>
    <t>Līgo svētki Mellužu estrādē</t>
  </si>
  <si>
    <t>7.6</t>
  </si>
  <si>
    <t>Pasakumu cikls ''Bērnu vasara''</t>
  </si>
  <si>
    <t>8</t>
  </si>
  <si>
    <t>Dažādi projekti</t>
  </si>
  <si>
    <t>8.1</t>
  </si>
  <si>
    <t>Pilsētas Ziemassvētku noformējuma konkursa noslēguma pasākums</t>
  </si>
  <si>
    <t>JPAP_R3.3.1._191. JPKAP_U1.3._U1.3.3.</t>
  </si>
  <si>
    <t>8.2</t>
  </si>
  <si>
    <t>Dubultu karnevāls</t>
  </si>
  <si>
    <t>8.3</t>
  </si>
  <si>
    <t>Zvaigznes dienas pasākums</t>
  </si>
  <si>
    <t xml:space="preserve">JPAP_R3.3.1_191 </t>
  </si>
  <si>
    <t>8.4</t>
  </si>
  <si>
    <t>Starptautiskais senioru deju festivāls ''Puķu balle''</t>
  </si>
  <si>
    <t>JPAP_R3.3.1._191. JPKAP_U2.2._P2.2.5.</t>
  </si>
  <si>
    <t>8.5</t>
  </si>
  <si>
    <t>Atklāšanas un tematiskie pasākumi</t>
  </si>
  <si>
    <t>JPAP_R3.3.1._191. JPKAP_U2.1._P2.1.4.</t>
  </si>
  <si>
    <t>8.6</t>
  </si>
  <si>
    <t>Pasākums jauniešiem ''Augsim Latvijai''</t>
  </si>
  <si>
    <t>JPAP_R3.3.1._191. JPKAP_U1.3._U1.3.6. JPKAP_U1.3._U1.3.7.</t>
  </si>
  <si>
    <t>8.7</t>
  </si>
  <si>
    <t>Pasākums ''Soļi smiltīs''</t>
  </si>
  <si>
    <t>JPAP_R 1.7.1_P.3.3._43   JPAP R3.3.1_191  JPAP R3.3.1_194</t>
  </si>
  <si>
    <t>9</t>
  </si>
  <si>
    <t>Jūrmalas radošo kolektīvu darbības finansējums</t>
  </si>
  <si>
    <t>9.1</t>
  </si>
  <si>
    <t>Pilsētas radošo kolektīvu piedalīšanās republikas mēroga pasākumos</t>
  </si>
  <si>
    <t>JPAP_R3.3.1._194. JPKAP_U1.3._U1.3.2. JPKAP_U3.1._P3.1.4. JPKAP_U3.1._P3.1.5.</t>
  </si>
  <si>
    <r>
      <rPr>
        <b/>
        <sz val="9"/>
        <rFont val="Times New Roman"/>
        <family val="1"/>
        <charset val="186"/>
      </rPr>
      <t>Samazinājums: -896,00 EUR</t>
    </r>
    <r>
      <rPr>
        <sz val="9"/>
        <rFont val="Times New Roman"/>
        <family val="1"/>
        <charset val="186"/>
      </rPr>
      <t xml:space="preserve"> BG deju studijai, sakarā ar LISC uz nākamā gada pavasari pārcelto mūsdienu deju reģionālo skati, kas bija paredzēta š.g. novembrī</t>
    </r>
  </si>
  <si>
    <r>
      <rPr>
        <b/>
        <sz val="9"/>
        <rFont val="Times New Roman"/>
        <family val="1"/>
        <charset val="186"/>
      </rPr>
      <t>Palielinājums: 149,00 EUR</t>
    </r>
    <r>
      <rPr>
        <sz val="9"/>
        <rFont val="Times New Roman"/>
        <family val="1"/>
        <charset val="186"/>
      </rPr>
      <t xml:space="preserve"> BG deju studijai - dejas rekvizītu iegāde Skolu jaunatnes dz. un deju svētkiem </t>
    </r>
  </si>
  <si>
    <t>9.2</t>
  </si>
  <si>
    <t>Pilsētas radošo kolektīvu un kultūras darbinieku pilsētas mēroga konkursi un skates</t>
  </si>
  <si>
    <t>JPAP_R3.3.1._194 JPKAP_U1.3._U1.3.2. JPKAP_U3.1._P3.1.4. JPKAP_U3.1._P3.1.5.</t>
  </si>
  <si>
    <t>9.3</t>
  </si>
  <si>
    <t>Radošo kolektīvu jubilejas un citi kolektīvu iniciētie projekti</t>
  </si>
  <si>
    <t>JPAP_R3.3.1._194. JPKAP_U1.3._U1.3.4. JPKAP_U2.1._P2.1.4. JPKAP_U2.2._P2.2.3.</t>
  </si>
  <si>
    <t>9.4</t>
  </si>
  <si>
    <t>Pilsētas radošo kolektīvu piedalīšanās ārzemēs rīkotajos koncertos, festivālos, konkursois un izstādēs</t>
  </si>
  <si>
    <t>JPAP_R3.3.1._194 JPKAP_U1.3._U1.3.2.</t>
  </si>
  <si>
    <r>
      <rPr>
        <b/>
        <sz val="9"/>
        <rFont val="Times New Roman"/>
        <family val="1"/>
        <charset val="186"/>
      </rPr>
      <t>Samazinājums: -420,00 EUR</t>
    </r>
    <r>
      <rPr>
        <sz val="9"/>
        <rFont val="Times New Roman"/>
        <family val="1"/>
        <charset val="186"/>
      </rPr>
      <t xml:space="preserve"> neizlietotā dienas komandējuma nauda kolektīvu vadītājiem sakarā ar radošo braucienu atcelšanu</t>
    </r>
  </si>
  <si>
    <r>
      <rPr>
        <b/>
        <sz val="9"/>
        <rFont val="Times New Roman"/>
        <family val="1"/>
        <charset val="186"/>
      </rPr>
      <t>Palielinājums: 420,00 EUR</t>
    </r>
    <r>
      <rPr>
        <sz val="9"/>
        <rFont val="Times New Roman"/>
        <family val="1"/>
        <charset val="186"/>
      </rPr>
      <t xml:space="preserve"> DK ''Jūrmaldancis'' naktsmītņu apmaksa radošam braucienam uz Tartu š.g. decembrī</t>
    </r>
  </si>
  <si>
    <t>9.5</t>
  </si>
  <si>
    <t>Tērpi</t>
  </si>
  <si>
    <r>
      <rPr>
        <b/>
        <sz val="9"/>
        <rFont val="Times New Roman"/>
        <family val="1"/>
        <charset val="186"/>
      </rPr>
      <t>Palielinājums: 747,00 EUR</t>
    </r>
    <r>
      <rPr>
        <sz val="9"/>
        <rFont val="Times New Roman"/>
        <family val="1"/>
        <charset val="186"/>
      </rPr>
      <t xml:space="preserve"> BG deju studijas tērpu iegāde Skolu jaunatnes dz.un deju svētkiem</t>
    </r>
  </si>
  <si>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</si>
  <si>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</si>
  <si>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</si>
  <si>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</si>
  <si>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</si>
  <si>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</si>
  <si>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</si>
  <si>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</si>
  <si>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</si>
  <si>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</si>
  <si>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</si>
  <si>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 kultūras pasākumos dabā</t>
  </si>
  <si>
    <t>10.5</t>
  </si>
  <si>
    <t>Reklāmas izdevumi kultūras pasākumiem</t>
  </si>
  <si>
    <t>Izdevumu samazinājums pasākumu reklāmai sakarā ar nepieciešamību izveidot vizuālo reklāmu (iestādes nosaukums uz ēkas fasādes) Kauguru kultūras namam. Līdzekļi tiek pārcelti uz iestādes uzturēšanas tāmi pamatlīdzekļu iegādes finansēšanai.</t>
  </si>
  <si>
    <t>I.Stratēģiskā dokumenta nosaukums - Jūrmalas pilsētas attīstības programmas 2014.-2020.gadam (JPAP)</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</si>
  <si>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</si>
  <si>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</si>
  <si>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</si>
  <si>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</si>
  <si>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</si>
  <si>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</si>
  <si>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</si>
  <si>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</si>
  <si>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</si>
  <si>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</si>
  <si>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</si>
  <si>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</si>
  <si>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</si>
  <si>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</si>
  <si>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U1.3.3. Jūrmalas pilsētas iedzīvotāju un nevalstisko organizāciju radošo kultūras iniciatīvu atbalstīšana, līdzfinansējot un līdzorganizējot dažādu žanru kultūras pasākumus 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</si>
  <si>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</si>
  <si>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</si>
  <si>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</si>
  <si>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Strātēģiskā dokumenta kodu atšifrējums - rīcības virziens 2  "Kultūras piedāvājuma izcilība un daudzveidība Jūrmalā: kvalitatīva un sistema'tiska kultūras piedāvājuma veidošana dažādām mērķauditorījas</t>
  </si>
  <si>
    <t>grupām vietējā, nacionālā un starptautiskā mērogā''.</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</si>
  <si>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</si>
  <si>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</si>
  <si>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</si>
  <si>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</si>
  <si>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</si>
  <si>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</si>
  <si>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</si>
  <si>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</si>
  <si>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</si>
  <si>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</si>
  <si>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</si>
  <si>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</si>
  <si>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</si>
  <si>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</si>
  <si>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</si>
  <si>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Rīcības virziena uzdevums - U4.1.: Attīstīt sadarbību starp dažādām pašvaldības kultūras un citām iestādēm, 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</si>
  <si>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</si>
  <si>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</si>
  <si>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</si>
  <si>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</si>
  <si>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</si>
  <si>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</si>
  <si>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</si>
  <si>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</si>
  <si>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 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</si>
  <si>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</si>
  <si>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</si>
  <si>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</si>
  <si>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Iestādes uzturēšana un kultūras pakalpojumu sniegšanas nodrošināšana</t>
  </si>
  <si>
    <t>Tāme Nr.08.1.6.</t>
  </si>
  <si>
    <t>08.300</t>
  </si>
  <si>
    <t>Sabiedrisko attiecību veidošanas pasākumi</t>
  </si>
  <si>
    <r>
      <rPr>
        <b/>
        <sz val="9"/>
        <rFont val="Times New Roman"/>
        <family val="1"/>
        <charset val="186"/>
      </rPr>
      <t>19.pielikums</t>
    </r>
    <r>
      <rPr>
        <sz val="9"/>
        <rFont val="Times New Roman"/>
        <family val="1"/>
        <charset val="186"/>
      </rPr>
      <t xml:space="preserve"> Jūrmalas pilsētas domes</t>
    </r>
  </si>
  <si>
    <t>Mārketinga un ārējo sakaru pārvaldes Sabiedrisko attiecību nodaļa</t>
  </si>
  <si>
    <t>Tipogrāfijas un maketēšanas pakalpojumi Jūrmalas pašvaldības informatīvā izdevuma izdošanai</t>
  </si>
  <si>
    <t xml:space="preserve">Līdzekļu pārcelšana nepieciešama, lai pietiktu līdzekļi vēl trīs 20 lappušu pašvaldības informatīvā izdevuma tipogrāfijas un maketēšanas pakalpojumu apmaksai šajā gadā. </t>
  </si>
  <si>
    <t>JPAP_R3.1.4._135
JPAP_R.3.1.2._131</t>
  </si>
  <si>
    <t xml:space="preserve">Pašvaldības informatīvā izdevuma piegāde </t>
  </si>
  <si>
    <t xml:space="preserve">Pārrēķinot nepieciešamos līdzekļus, lai pietiktu vēl trīs 20 lappuši pašvaldības informatīvā izdevuma izdošanai un piegādei, secināts, ka informatīvā izdevuma piegādes budžetā veidojas līdzekļu ekonomija, un tos var pārcelt uz kodu 2239, lai pietiktu informatīvā izdevuma tipogrāfijas un maketēšanas paklpojumiem. </t>
  </si>
  <si>
    <t>Online ziņu abonements (ziņu aģentūra LETA), mediju monitorings un publicitātes pārskati</t>
  </si>
  <si>
    <t>Sabiedrisko attiecību kampaņu, mediju pasākumu, konferenču, semināru, gadadienu u.c. pasākumu organizēšanas izdevumi. Aģentūru pakalpojumi.</t>
  </si>
  <si>
    <t xml:space="preserve">Līdzekļu ekonomija - nav notikuši vairāki paredzētie pasākumu, līdz ar to nav bijuši nepieciešami sabiedrisko attiecību pasākumi, kur būtu jānodrošina arī ēdināšanas pakalpojumi. </t>
  </si>
  <si>
    <t>JPAP_R3.1.4._135
JPAP_R1.2.2._11
JPAP_R1.7.1._43
JPAP_R3.3.1._199
JPAP_R3.3.1._202</t>
  </si>
  <si>
    <t xml:space="preserve">Līdzekļu pārcelšana nepieciešama, lai īstenotu valsts svētku sabiedrisko attiecību aktivitātes. </t>
  </si>
  <si>
    <t xml:space="preserve">Līdzekļu pārcelšana nepieciešama, lai iegādātos kvalitatīvākas Ziemassvētku paciņas bērnudārzu audzēkņiem. </t>
  </si>
  <si>
    <t>Jūrmalas pilsētas sociālo kontu pašreklāma, kampaņu organizēšana sociālajos tīklos (Facebook, Twitter, Instagram)</t>
  </si>
  <si>
    <t>JPAP_R3.1.4._135
JPAP_R1.2.2._11</t>
  </si>
  <si>
    <t>Pašvaldības tīmekļa vietnes www.jurmala.lv funkcionālā izpēte, ieteikumu un vadlīniju izstrāde</t>
  </si>
  <si>
    <t>JPAP_R3.1.4._135
JPAP_R.3.1.2._131
JPAP_R1.9.1._51</t>
  </si>
  <si>
    <t>Līgumi ar fiziskām personām (autoratlīdzības, uzņēmuma līgumi)</t>
  </si>
  <si>
    <t xml:space="preserve">Līdzekļu pārcelšana nepieciešama, lai īstenotu papildus ieplānotās Jūrmalas jubilejas un valsts svētku aktivitātes. </t>
  </si>
  <si>
    <t>JPAP_R3.1.4._135
JPAP_R1.2.2._11
JPAP_R1.7.1._43
JPAP_R1.9.1._51
JPAP_R3.3.1._199
JPAP_R3.3.1._202</t>
  </si>
  <si>
    <t xml:space="preserve">Līdzekļu ekonomija - iepriekš saskaņā ar grāmatvedības sniegto informāciju tika rēķināts, ka nodokļi autoru darbiem būs lielāki, taču, tā kā tie dažādām personām atšķiras, nav nepieciešams tik daudz līdzekļu nodokļu samaksai. </t>
  </si>
  <si>
    <t>Informācijas izvietošana vietējā laikrakstā</t>
  </si>
  <si>
    <t xml:space="preserve">Līdzekļu ekonomija - nav nepieciešamības izvietot pašvaldības paziņojumus un sludinājumus tik lielā apmērā. </t>
  </si>
  <si>
    <t>Jūrmalas pilsētas attīstības programma 2014-2020 (JPAP)</t>
  </si>
  <si>
    <t xml:space="preserve">2.daļa Stratēģiskā daļa un rīcības plāns; Jūrmalas pilsētas attīstības programmas 2014.–2020.gadam 2.daļas „Rīcības plāns” g) nodaļa „Darbības un pasākumi”  </t>
  </si>
  <si>
    <t>JPAP_R1.2.2._11 Kultūrvēsturiskā mantojuma saglabāšana un attīstība (esošās kultūrvēsturiskās koka arhitektūras vērtību apzināšana un popularizēšana);</t>
  </si>
  <si>
    <t xml:space="preserve">JPAP_R1.7.1._43 Kultūras tūrisma piedāvājuma attīstība (Kultūras dzīves piedāvājuma attīstība visa gada garumā) </t>
  </si>
  <si>
    <t xml:space="preserve">JPAP_R1.9.1._51 Jūrmalas kā kūrorta un tikšanās vietas tēla veidošana (Jūrmalas pilsētas portāla funkcionalitātes paplašināšana); </t>
  </si>
  <si>
    <t>JPAP_R.3.1.2._131 Pašvaldības pārvaldes kapacitātes celšana (Kvalitatīva pašvaldības pārvaldes nodrošināšana)</t>
  </si>
  <si>
    <t>JPAP_R3.1.4._135 Uzlabota komunikācija ar pilsētas iedzīvotājiem</t>
  </si>
  <si>
    <t>JPAP_R3.3.1._199 Pilsētas kultūras iestāžu un muzeju darbības pilnveide (Jūrmalas muzeju popularizēšana)</t>
  </si>
  <si>
    <t>JPAP_R3.3.1._202 Pilsētas kultūras iestāžu un muzeju darbības pilnveide (Pilsētas tēla "Jūrmala - Raiņa un Aspazijas pilsēta" izveide)</t>
  </si>
  <si>
    <t>Tāme Nr.01.1.1.</t>
  </si>
  <si>
    <t>01.110.</t>
  </si>
  <si>
    <r>
      <rPr>
        <b/>
        <sz val="9"/>
        <rFont val="Times New Roman"/>
        <family val="1"/>
        <charset val="186"/>
      </rPr>
      <t>25.pielikums</t>
    </r>
    <r>
      <rPr>
        <sz val="9"/>
        <rFont val="Times New Roman"/>
        <family val="1"/>
        <charset val="186"/>
      </rPr>
      <t xml:space="preserve"> Jūrmalas pilsētas domes</t>
    </r>
  </si>
  <si>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</si>
  <si>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</si>
  <si>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</si>
  <si>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</si>
  <si>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</si>
  <si>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</si>
  <si>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</si>
  <si>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</si>
  <si>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</si>
  <si>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</si>
  <si>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</si>
  <si>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</si>
  <si>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</si>
  <si>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2020-2022</t>
  </si>
  <si>
    <t>Daudzfunkcionāla dabas tūrisma centra jaunbūve un  meža parka  labiekārtojums Ķemeros (ITI SAM 5.6.2.)</t>
  </si>
  <si>
    <t>Kredīta % atmaksa 2,7%</t>
  </si>
  <si>
    <t>Pilsētas atpūtas parka un jauniešu mājas izveide Kauguros 
(ITI SAM 3.3.1.)</t>
  </si>
  <si>
    <t>2019-2021</t>
  </si>
  <si>
    <t>Jūrmalas pilsētas vispārējās vidējās izglītības iestāžu infrastruktūras pilnveide
 (ITI SAM 8.1.2.)</t>
  </si>
  <si>
    <t>Kredīta % atmaksas 2.7%</t>
  </si>
  <si>
    <t>2020-2021</t>
  </si>
  <si>
    <t>Pašvaldības ēkas Raiņa ielā 62, Jūrmalā pārbūve un energoefektivitātes paaugstināšana (ITI SAM 4.2.2.)</t>
  </si>
  <si>
    <t>Infrastruktūras pilnveide sabiedrībā balstītu sociālo pakalpojumu nodrošināšanai Jūrmalā (ITI SAM 9.3.1.)</t>
  </si>
  <si>
    <t>2019-2022</t>
  </si>
  <si>
    <t>Lielupes radīto plūdu un krasta erozijas risku apdraudējumu novēršanas pasākumi Dubultos - Majoros - Dzintaros (SAM 5.1.1.)</t>
  </si>
  <si>
    <t>Lielupes pamatskolas pārbūve un sporta zāles piebūve</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</si>
  <si>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</si>
  <si>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</si>
  <si>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</si>
  <si>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</si>
  <si>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</si>
  <si>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</si>
  <si>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</si>
  <si>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</si>
  <si>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</si>
  <si>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</si>
  <si>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</si>
  <si>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</si>
  <si>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</si>
  <si>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</si>
  <si>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</si>
  <si>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</si>
  <si>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</si>
  <si>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</si>
  <si>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</si>
  <si>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</si>
  <si>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</si>
  <si>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</si>
  <si>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</si>
  <si>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</si>
  <si>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</si>
  <si>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</si>
  <si>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</si>
  <si>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</si>
  <si>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</si>
  <si>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</si>
  <si>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</si>
  <si>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</si>
  <si>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</si>
  <si>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</si>
  <si>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</si>
  <si>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</si>
  <si>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</si>
  <si>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</si>
  <si>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</si>
  <si>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</si>
  <si>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pilsētas Kauguru vidusskolas ēkas energoefektivitātes paaugstināšana 
(ITI SAM 4.2.2.)</t>
  </si>
  <si>
    <t>Jūrmalas pilsētas vispārējās vidējās izglītības iestāžu infrastruktūras pilnveide
 (ITI SAM 8.1.2.) (Kauguru vidusskola)</t>
  </si>
  <si>
    <t>2019-2020</t>
  </si>
  <si>
    <t>Jūrmalas Sporta skolas peldbaseinu ēkas pārbūve un energoefektivitātes paaugstināšana (ITI SAM 4.2.2)</t>
  </si>
  <si>
    <t>Jūrmalas ūdenstūrisma pakalpojuma infrastruktūras attīstība atbilstoši pilsētas ekonomiskajai specializācijai (ITI SAM 3.3.1.)</t>
  </si>
  <si>
    <t>Jūrmalas pilsētas Ķemeru pamatskolas ēkas pārbūve un energoefektivitātes paaugstināšana (ITI SAM 4.2.2.)</t>
  </si>
  <si>
    <t>Ķemeru parka pārbūve un restaurācija
 (ITI SAM 5.6.2.)</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</si>
  <si>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</si>
  <si>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</si>
  <si>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</si>
  <si>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</si>
  <si>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</si>
  <si>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</si>
  <si>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</si>
  <si>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</si>
  <si>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</si>
  <si>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</si>
  <si>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</si>
  <si>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</si>
  <si>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</si>
  <si>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</si>
  <si>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</si>
  <si>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</si>
  <si>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</si>
  <si>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</si>
  <si>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10.400</t>
  </si>
  <si>
    <t>Atbalsts ģimenēm ar bērniem</t>
  </si>
  <si>
    <t>LV91TREL9812180130000</t>
  </si>
  <si>
    <t>Jūrmalā dzīvo tikai viena ģimene, kurai tiek maksāts par vienu bērnu Audžuģimenē (bija plānota maksa diviem bērniem)</t>
  </si>
  <si>
    <t>izmaiņas MK noteikumos "Ilgstošas sociālās aprūpes un sociālās rehabilitācijas iestāžu maksas pakalpojumu cenrādis" no 1.novembra</t>
  </si>
  <si>
    <t>Tāme Nr.10.2.4.</t>
  </si>
  <si>
    <r>
      <rPr>
        <b/>
        <sz val="9"/>
        <rFont val="Times New Roman"/>
        <family val="1"/>
        <charset val="186"/>
      </rPr>
      <t>29.pielikums</t>
    </r>
    <r>
      <rPr>
        <sz val="9"/>
        <rFont val="Times New Roman"/>
        <family val="1"/>
        <charset val="186"/>
      </rPr>
      <t xml:space="preserve"> Jūrmalas pilsētas domes</t>
    </r>
  </si>
  <si>
    <t>Jūrmalas pilsētas Labklājības pārvalde</t>
  </si>
  <si>
    <t>Sociālā darba daļa</t>
  </si>
  <si>
    <t>Pabalsts audžu  ģimenei</t>
  </si>
  <si>
    <t xml:space="preserve">JPAS_J10 JPAP_P3.5_R3.5.1._216 </t>
  </si>
  <si>
    <t>Atlīdzība audžu  ģimenes vecākam</t>
  </si>
  <si>
    <t xml:space="preserve">Pabalsts jaundzimušā aprūpei </t>
  </si>
  <si>
    <t>JPAS_J10 JPAP_P3.5__R3.5.1._223</t>
  </si>
  <si>
    <t>Pabalsts aizbildņiem</t>
  </si>
  <si>
    <t xml:space="preserve">JPAS_J10 JPAP_P3.5__R3.5.1._216 </t>
  </si>
  <si>
    <t>Pabalsts kultūras pasākumu apmeklēšanai daudzbērnu ģimenēm</t>
  </si>
  <si>
    <t>JPAS_J10 JPAP_P3.5_R3.5.1._217</t>
  </si>
  <si>
    <t>Ziemassvētku apsveikums aizbildnībā esošiem bērniem un bērniem no sociālā riska ģimenēm</t>
  </si>
  <si>
    <t>Sociālās rehabilitācijas pakalpojumu nodrošināšana bērnam invalīdam VSAC''Rīga'' filiālē ''Rīga''</t>
  </si>
  <si>
    <t>izmaiņas MK noteikumos "Ilgstošas sociālās aprūpes un sociālās rehabilitācijas iestāžu maksas pakalpojumu cenrādis" no 1.novembra stāsies spēkā jauni izcenojumi VSAC"Rīga"- 48.63 EUR/dienā (tagad 35.48 EUR/dienā)</t>
  </si>
  <si>
    <t>JPAS_J10 JPAP_P3.5_R3.5.1._220</t>
  </si>
  <si>
    <t>Mājokļa atbalsts</t>
  </si>
  <si>
    <t>10.600.</t>
  </si>
  <si>
    <t>Īres maksa par īrētiem dzīvokļiem bāreņiem un bez vecāku gādības palikušiem bērniem pēc ārpusģimenes aprūpes beigšanās, līdz pašvaldība nodrošina ar dzīvojamo platību</t>
  </si>
  <si>
    <t>JPAS_J10 JPAP_P3.5_R3.5.1._224</t>
  </si>
  <si>
    <t xml:space="preserve">Pārējais citur nekvalificēts atbalsts sociāli atstumtām personām </t>
  </si>
  <si>
    <t>10.700.</t>
  </si>
  <si>
    <t>Pabalsts garā slimo rīcības nespējīgo personu aizgādnim</t>
  </si>
  <si>
    <t>JPAS_J10 JPAP_P3.5_R3.5.1._223</t>
  </si>
  <si>
    <t>Pabalsts sociālās rehabilitācijas mērķu sasniegšanai</t>
  </si>
  <si>
    <t>pabalsts bāreņiem un bez vecāku gādības palikušiem bērniem pēc ārpusģimenes aprūpes beigšanās (vsk mācību laikā)</t>
  </si>
  <si>
    <t xml:space="preserve">Bērnu namu audzēkņiem un aizbildnībā esošiem bērniem sasniedzot pilngadību </t>
  </si>
  <si>
    <t>Sociālās rehabilitācijas pakalpojumu sniegšana no vardarbības cietušām un vardarbību veikušām pilngadīgām personām</t>
  </si>
  <si>
    <t>*Informatīvi</t>
  </si>
  <si>
    <t>Jūrmalas pilsētas attīstības stratēģija 2010-2030 (JPAS)</t>
  </si>
  <si>
    <t>Aktivitāte: J10 sociāli drošas vides nodrošināšana</t>
  </si>
  <si>
    <t>Prioritāte P3.5. “kvalitatīvs sociālais atbalsts”</t>
  </si>
  <si>
    <t>Rīcības virziens: R3.5.1. Sociālo pakalpojumu attīstība</t>
  </si>
  <si>
    <t>Aktivitāte: Nr.216 Sociālā atbalsta infrastruktūras attīstība</t>
  </si>
  <si>
    <t>Aktivitāte: Nr.217 Daudzbērnu ģimeņu atbalsta pasākumi</t>
  </si>
  <si>
    <t>Aktivitāte: Nr.220 Sociālās aprūpes un sociālās rehabilitācijas pakalpojumu pieejamība</t>
  </si>
  <si>
    <t>Aktivitāte: Nr.223 Kvalitatīva sociālās palīdzības nodrošināšana un sociālā atbalsta sniegšana</t>
  </si>
  <si>
    <t>Aktivitāte: Nr.224 Kvalitatīva sociālā atbalsta sniegšana mazaizsargātām personām mājokļa nodrošināšanai</t>
  </si>
  <si>
    <t>ieņēmumi no automašīnas izsoles, pieņemot, ka izsoles  a/m cena 2000 EUR</t>
  </si>
  <si>
    <t>pieņemot, ka a/m izsoles pārdošanas cena ir 2000 EUR</t>
  </si>
  <si>
    <t>Tāme Nr. 09.3.2.</t>
  </si>
  <si>
    <t>Jūrmalas pilsētas Jaundubultu vidusskola</t>
  </si>
  <si>
    <t>90000051561</t>
  </si>
  <si>
    <t>LV19PARX0002484572007</t>
  </si>
  <si>
    <t>LV84PARX0002484573007</t>
  </si>
  <si>
    <t>Tāme Nr. 09.6.2.</t>
  </si>
  <si>
    <t>Jūrmalas pilsētas Kauguru vidusskola</t>
  </si>
  <si>
    <t>90000051519</t>
  </si>
  <si>
    <t>Raiņa 118, Jūrmala</t>
  </si>
  <si>
    <t>LV46PARX0002484572006</t>
  </si>
  <si>
    <t>LV12PARX0002484573006</t>
  </si>
  <si>
    <t>Tāme Nr. 09.23.2.</t>
  </si>
  <si>
    <t>Pumpuru vidusskola</t>
  </si>
  <si>
    <t>90000051542</t>
  </si>
  <si>
    <t>Kronvalda iela 8, Jūrmala, LV-2008</t>
  </si>
  <si>
    <t>LV35PARX0002484572010</t>
  </si>
  <si>
    <t>LV98PARX0002484573010</t>
  </si>
  <si>
    <t>LV59PARX0002484577010</t>
  </si>
  <si>
    <t>Tāme Nr. 09.30.2.</t>
  </si>
  <si>
    <t>Vaivaru pamatskola</t>
  </si>
  <si>
    <t>90000783949</t>
  </si>
  <si>
    <t>Skautu iela 2, Jūrmala</t>
  </si>
  <si>
    <t>LV29PARX0002484572021</t>
  </si>
  <si>
    <t>LV92PARX0002484573021</t>
  </si>
  <si>
    <r>
      <rPr>
        <b/>
        <sz val="9"/>
        <rFont val="Times New Roman"/>
        <family val="1"/>
        <charset val="186"/>
      </rPr>
      <t>16.pielikums</t>
    </r>
    <r>
      <rPr>
        <sz val="9"/>
        <rFont val="Times New Roman"/>
        <family val="1"/>
        <charset val="186"/>
      </rPr>
      <t xml:space="preserve"> Jūrmalas pilsētas domes</t>
    </r>
  </si>
  <si>
    <t>Izglītības pārvalde</t>
  </si>
  <si>
    <t>Kultūrizglītības un vides izglītības pasākumi</t>
  </si>
  <si>
    <t>1.</t>
  </si>
  <si>
    <t>Pilsētas mēroga pasākumi</t>
  </si>
  <si>
    <t>1.1.</t>
  </si>
  <si>
    <t>Sabiedriski nozīmīgi publiskie pasākumi</t>
  </si>
  <si>
    <t xml:space="preserve">JPKAP_RV2_P2.4.1. JPAP_P3.2._R3.2.4._184 JPAP_P3.2._R3.2.5._186 VVPJP_2.3.2_1._1.8. JPP_AM1_U1.4._P1.4.1 ; JPP_AM3_U3.2._P3.2.2 </t>
  </si>
  <si>
    <t>1.2.</t>
  </si>
  <si>
    <t>Konkursi un olimpiādes</t>
  </si>
  <si>
    <t xml:space="preserve">JPAP_P3.2._R3.2.4._184 </t>
  </si>
  <si>
    <t>Skates</t>
  </si>
  <si>
    <t>JPAP_P3.2._R3.2.4._184  JPKAP_RV2_U2.4._P2.4.1.</t>
  </si>
  <si>
    <t>2.</t>
  </si>
  <si>
    <t>Reģiona un valsts mēroga skates, konkursi, sacensības</t>
  </si>
  <si>
    <t>Konkursi un skates</t>
  </si>
  <si>
    <t>JPAP_P3.2._R3.2.4._170 JPAP_P3.2._R3.2.1._146 JPAP_P3.2._R3.2.4._184  JPKAP_RV2_U2.4._P2.4.1.</t>
  </si>
  <si>
    <t>2.2.</t>
  </si>
  <si>
    <t xml:space="preserve">JPAP_P3.2._R3.2.4._184 ; JPP_AM1_U1.4._P1.4.1 ; JPP_AM3_U3.2._P3.2.2 </t>
  </si>
  <si>
    <t>Grupu sporta veidu sacensības</t>
  </si>
  <si>
    <t>JPAP_P3.2._R3.2.4._174 
JPSAAAS_2_2.1_PP.3</t>
  </si>
  <si>
    <t>Individuālo sporta veidu sacensības</t>
  </si>
  <si>
    <t>Pasākumi kvalitatīvas un daudzveidīgas izglītības attīstībai un atbalstam</t>
  </si>
  <si>
    <t>Semināri, kursi, konferences</t>
  </si>
  <si>
    <t>JPAP_P3.2._R3.2.3._157 JPIAK_R3.2.1._2</t>
  </si>
  <si>
    <t>Finanšu līdzekļi nepieciešami, lai nofinansētu zīmēšanas un gleznošanas nodarbības mūžizglītības kontekstā</t>
  </si>
  <si>
    <t>Pedagogu un izglītojamo apbalvošana</t>
  </si>
  <si>
    <t>JPAP_P3.2._R3.2.1._147 JPIAK_R3.2.1._2. JPAP_P3.2._R3.1.3._184</t>
  </si>
  <si>
    <t>Pasākumi izglītojamo karjeras kompetences attīstībai</t>
  </si>
  <si>
    <t xml:space="preserve">JPAP_P3.2._R3.2.3._159 JPIAK_R3.2.3._5.; JPP_AM1_U1.4._P1.4.1 ; JPP_AM3_U3.2._P3.2.2 </t>
  </si>
  <si>
    <t>Ekonomija izveidojusies, jo karjeras pakalpojuma iepirkuma rezultātā tika piedāvāta mazāka summa nekā bija plānots.</t>
  </si>
  <si>
    <t>Pedagoģiski medicīniskās komisijas dalībnieku darba apmaksai</t>
  </si>
  <si>
    <t>JPAP_P3.2._R3.2.5._186</t>
  </si>
  <si>
    <t>Centralizētie pasākumi vispārējās izglītības jomā</t>
  </si>
  <si>
    <t>Atestāti un apliecības</t>
  </si>
  <si>
    <t>JPAP_P3.1._R3.1.2._131</t>
  </si>
  <si>
    <t>Izglītības iestāžu akreditācija</t>
  </si>
  <si>
    <t>Līdzfinansējums privātajām izglītības iestādēm</t>
  </si>
  <si>
    <t>09.100</t>
  </si>
  <si>
    <t>Līdzfinansējums privātajām pirmsskolas izglītības ietādēm</t>
  </si>
  <si>
    <t>Papildus naudas līdzekļi nepieciešami, jo ir palielinājies pieprasījums atbalstu saņemšanai privātajās izglītības iestādēs.</t>
  </si>
  <si>
    <t>Jūrmalas pilsētas attīstības programma 2014. - 2020.gadam (JPAP)</t>
  </si>
  <si>
    <t>Prioritāte P3.1. Uz nākotni orientēta pilsētas pārvaldība, kas atbalsta pilsonisko iniciatīvu</t>
  </si>
  <si>
    <t>Rīcības virziens R3.1.2.: Pašvaldības pārvaldes kapacitātes celšana</t>
  </si>
  <si>
    <t>Aktivitāte Nr.131 Kvalitatīva pašvaldības pārvaldes kapacitātes nodrošināšana</t>
  </si>
  <si>
    <t>Prioritāte P3.2. Kvalitatīva un sociāli pieejama izglītība</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</si>
  <si>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</si>
  <si>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</si>
  <si>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</si>
  <si>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</si>
  <si>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Nr.157 Pašvaldības atbalsts pedagogu tālākizglītībai</t>
  </si>
  <si>
    <t>Aktivitāte Nr.159 Karjeras konsultāciju attīstība</t>
  </si>
  <si>
    <t>Rīcības virziens R3.2.4.: Profesionālās ievirzes un interešu izglītības pakalpojumi</t>
  </si>
  <si>
    <t>Aktivitāte Nr.170. Starptautiskās sadarbības attīstība</t>
  </si>
  <si>
    <t>Aktivitāte Nr.174. Jūrmalas skolu un valsts mēroga sacensību rīkošana izglītojamajiem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</si>
  <si>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</si>
  <si>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</si>
  <si>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</si>
  <si>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 xml:space="preserve">Jūrmalas pilsētas izglītības attīstības koncepcija 2015.-2020.gadam (JPIAK): </t>
  </si>
  <si>
    <t>2.aktivitāte Labāko izglītības sektora darbinieku godināšanas tradīciju izveide</t>
  </si>
  <si>
    <t>5.aktivitāte Karjeras konsultāciju attīstība</t>
  </si>
  <si>
    <t xml:space="preserve">Jūrmalas pilsētas kultūrvides attīstības plāns 2017.-2020.gadam (JPKAP): </t>
  </si>
  <si>
    <t>2. Rīcības virziens: Kultūras piedāvājuma izcilība un daudzveidība Jūrmalā: kvalitatīva un sistemātiska kultūras piedāvājuma veidošana dažādām mēkķauditorijas grupām vietējā,</t>
  </si>
  <si>
    <t>nacionājā un starptautiskā mērogā</t>
  </si>
  <si>
    <t>U2.4.uzdevums: Iesaistīt kultūrizglītības audzēkņus un pasniedzējus Jūrmalas unikalitātes veidošanā.</t>
  </si>
  <si>
    <t>P2.4.1.Jūrmalas Mākslas skolas un Jūrmalas Mūzikas skolas iesaiste jaunas auditorijas veidošanā ar izstādēm un koncertiem.</t>
  </si>
  <si>
    <t>Jūrmalas pilsētas sporta un aktīvās atpūtas attīstības stratēģija 2008.-2020.gadam (JPSAAAS):</t>
  </si>
  <si>
    <t>2.uzdevums "Sadarbības veicināšana starp sporta un aktīvās atpūtas nodrošināšanā iesaistītajām institūcijām"</t>
  </si>
  <si>
    <t>2.1.apakšuzdevums "Sadarbības veicināšana starp sporta klubiem, izglītības iestādēm un uzņēmējiem sporta un aktīvās atpūtas infrastruktūras izmantošanā"</t>
  </si>
  <si>
    <t>Aktivitāte PP.3. Kopīgu pasākumu rīkošana starptautiski deklarēto dienu (Pasaules ūdens diena, Pasaules Veselības diena) ietvaros, piesaistot starptautiski pazīstamus sportistus</t>
  </si>
  <si>
    <t>Veselības veicināšanas plāns Jūrmalas pilsētai 2013.-2020.gadam (VVPJP)</t>
  </si>
  <si>
    <t>2.3.2. Mērķis "Fizisko aktivitāšu veicināšana"</t>
  </si>
  <si>
    <t>1.uzdevums "Sporta sistēmas, infrastruktūras attīstīšana un pakalpojumu piedāvājuma paplašināšana bērnu (skolēnu) fizisko aktivitāšu veicināšanas nolūkos"</t>
  </si>
  <si>
    <t>1.8.pasākums "Nodrošināt bērnu ar īpašām vajadzībām iespējas līdzdalībai izglītības iestāžu sporta aktivitātēs"</t>
  </si>
  <si>
    <t>Jūrmalas pilsētas jaunatnes politikas attīstības plāns 2018.-2020.gadam (JPP)</t>
  </si>
  <si>
    <t>apakšmērķa AM1 "Jauniešu līdzdalības veicināšana jaunatnes politiku ietekmējošu lēmumu pieņemšanā pašvaldības un valsts mērogā, sekmēt jauniešu līdzdalību pārstāvniecības demokrātijā un attīstot jauniešu iesaistīšanos organizācijās, sabiedriskajā un kultūras dzīvē" uzdevums U1.4 “Labās prakses piemēru līdzdalībā popularizēšana” pasākums P1.4.1 “Izteikt pateicību aktīvajiem jauniešiem, izcelt labās prakses piemērus”</t>
  </si>
  <si>
    <t>apakšmērķa AM3 “Radīt iespēju ikvienam Jūrmalas jaunietim pavadīt brīvo laiku atbilstoši vecumam, vajadzībām un interesēm” uzdevums U1.4. “Pilnveidot jauniešu brīvā laika pavadīšanas iespējas pilsētā, izmantojot esošās un radot jaunas” pasākums P3.2.2 “Veicināt tradicionālo pasākumu veidošanos un attīstību Jaunatnes darbā Jūrmalā”</t>
  </si>
  <si>
    <t>Tāme Nr.09.1.4.</t>
  </si>
  <si>
    <t>Tāme Nr.09.9.2.</t>
  </si>
  <si>
    <t>Rīgas iela 3, Jūrmalā</t>
  </si>
  <si>
    <t>Sakarā ar likvidētas vakarskolas audzēkņu uzņemšanu Majoru vidusskolā (kopā 39 audzēkņi)  nepieciešami papildus līdzekļi brīvpusdienu nodrošināšanai</t>
  </si>
  <si>
    <t>No 2019.g. septembra līdz decembrim 8.-9. klases 15 audzēkņi x 60 māc.dienas x 1.80 EUR=1620.00 EUR. 10.-12. klases 24 audzēkņi x 30 māc.dienas x 1.80 EUR=1296.00 EUR.</t>
  </si>
  <si>
    <t>Tāme Nr. 09.23.1.</t>
  </si>
  <si>
    <t>Kronvalda iela 8, Jūrmala, LV2008</t>
  </si>
  <si>
    <t>Papildu finansējums, saskaņā ar tarifikācijām sept-dec/2019.- visp.izgl.programmā +44435 eur, interešu izgl.mīnuss -459 eur, pirmsskolā +2182 eur.</t>
  </si>
  <si>
    <t>Algām, sask.ar jauno tarifikāciju: visp.izgl.programmā +31572 eur, mīnuss no vakances visp.izgl.programmā -1645 eur  uz prēmiju kodu, interešu izgl.programmā mīnuss -768 eur, pirmsskolai +1974 eur. Pamatbudžetā no dispečera vakances alga novirzīta naudas balvām par bērnu piedzimšanu 1608 eur.</t>
  </si>
  <si>
    <t>Par papildu darbu visp.izgl.programmā 750 eur x 3 mēn. (metodisko komisiju vadīš., mentoru darbs)</t>
  </si>
  <si>
    <t>Šajā gadā diviem skolotājiem piedzimuši bērniņi, naudas balvas nebija iekļautas 2019,g,budžeta pieprasījumā. J.Aizupam 897.64 eur; A.Meišai-Veigurei 710 eur. Mērķdotācijās visp.izgl.programmā paredzēts no vakances mājas apm. algas 1645 eur pārkārtot uz prēmiju direktorei (75% no amatalgas 2193 eur)</t>
  </si>
  <si>
    <t>Piemaksām par kval.pakāpēm: visp.izgl.programmā +686 eur, interešu izgl.programmā +400 eur, pirmsskolai mīnuss -210 eur</t>
  </si>
  <si>
    <t>D.d.soc.nodoklim: visp.izgl.programmā +8827 eur, interešu izgl.progr. mīnuss -91eur, pirmsskolai +418 eur</t>
  </si>
  <si>
    <t>Slimības naudām visp.izgl.programmā</t>
  </si>
  <si>
    <t>PB: Pietrūkst brīvpusdienām, jo bija parāds piegādātājam 6327,39 eur no iepriekšējā gada, kā arī par 74 pieaudzis skolēnu skaits un par 7 pirmssk.bērnu skaits, salīdzinot ar 01.09.2018. Par 3 mēn.(okt-dec) izmaksas būs: 1.-4.klases 219 sk.x 53d x 0.13 eur =1508.91 eur; 5.-12.kl. 444 sk.x 53 d x 1.80 eur =42453 eur; pirmsk.45 bērni x 53 d x 2.30 eur = 5485.50 eur. Kopā izmaksas 49447.41 eur mīnuss atlikums 22877.60 eur uz 01.10.., mīnuss 7417 eur (iespējamie  kavējumi 15%), pietrūkst 19153 eur.</t>
  </si>
  <si>
    <t>Papildu finansējums brīvpusdienu nodrošināšanai</t>
  </si>
  <si>
    <t>Tāme Nr.09.3.1.</t>
  </si>
  <si>
    <t>Lielupes-21,Jūrmala</t>
  </si>
  <si>
    <t>LV82PARX0002484573007</t>
  </si>
  <si>
    <t>LV43PARX0002484577007</t>
  </si>
  <si>
    <t>LV77PARX0002484576007</t>
  </si>
  <si>
    <t>Piešķirta mērķdotācija(t.sk."Skolas soma"-EUR+2247,vispārējās izglītības programma-EUR+20318,interešu izglītības programma-EUR-772).)</t>
  </si>
  <si>
    <t>Piešķirta  vispārējās  izglītības  programma ---15878 EUR  un  interešu izglītība +623 EUR.Kā arī vispārējās izglītības  tarifikācija no 01.09.2019.g.līdz 31.12.2019.g.812 EUR mēnesī uz faktiskā atlikuma rēķina 01.09.2019.g. Uz doto momentu pēc apstiprinātās tarifikācijas (01.09.2019.g.) vispārējās izglītības programmas radās ekonomija no vakances ( no mājās apmācības).           Pāsvaldības līdzekļu ekonomija darbinieku slimības laikā ilgstoši slimoja 6 tehniskie darbinieki laika periodā no 14.01.līdz15.10.2019.g.tehniskie darbinieki slimoja no 3 līdz 10 darba adienām.Skolas iespēju robežās,aizvietošana noteikti tika veikta.Kā arī tehnisko darbinieku vakances.</t>
  </si>
  <si>
    <t>Sakarā ar to, ka,sastādot 2019.gada budžetu,par naudas balvām skolas darbiniekiem,kuriem ir darba un dzīves jubilejas, kopējā sarakstā netika iekļauti divi pedagogi - Anna Kirilova un Vera Diordijeva, jo nebija laicīgi iesniegtas darba grāmatiņas.Lūdzam Jūs atļaut veikt pārkartojumus, lai ar naudas balvu varētu pagodināt šīs skolotājus,kurām ir apaļas darba jubilejas. Anna Kirilova- 730€; Diordijeva Vera - 1028€( no pašvaldības līdzekļiem ).                  No merķdotācijas - pedagogu prēmijām par 2018./2019.mācību gada darba kvalitātes novertēšanu.</t>
  </si>
  <si>
    <t>Piešķirta  vispārējās  izglītības  programma ---364 EUR.</t>
  </si>
  <si>
    <r>
      <t>Piešķirta vispārējās  izglītības  programma ---3944 EUR  un  interešu izglītības programma +149 EUR.Kā arī vispārējās izglītības tarifikācija no 01.09.2019.g.līdz 31.12.2019.g.812 EUR mēnesī. uz faktiskā atlikuma rēķina 01.09.2019.g..Naudas līdzekļu ekonomija radusies pārmaksājot nodokļus 2018.g.decembri,ka arī radusies ekonomija pedagogu slimības dēļ.Vispārēja izglītības programma.EUR</t>
    </r>
    <r>
      <rPr>
        <b/>
        <sz val="9"/>
        <color rgb="FF00B050"/>
        <rFont val="Times New Roman"/>
        <family val="1"/>
        <charset val="186"/>
      </rPr>
      <t>517</t>
    </r>
    <r>
      <rPr>
        <sz val="9"/>
        <color rgb="FF00B050"/>
        <rFont val="Times New Roman"/>
        <family val="1"/>
        <charset val="186"/>
      </rPr>
      <t>-vispārējās izglītības programma un EUR</t>
    </r>
    <r>
      <rPr>
        <b/>
        <sz val="9"/>
        <color rgb="FF00B050"/>
        <rFont val="Times New Roman"/>
        <family val="1"/>
        <charset val="186"/>
      </rPr>
      <t>30</t>
    </r>
    <r>
      <rPr>
        <sz val="9"/>
        <color rgb="FF00B050"/>
        <rFont val="Times New Roman"/>
        <family val="1"/>
        <charset val="186"/>
      </rPr>
      <t>-interešu izglītības programma.</t>
    </r>
  </si>
  <si>
    <r>
      <t>Piešķirta vispārējās  izglītības programma --</t>
    </r>
    <r>
      <rPr>
        <b/>
        <sz val="9"/>
        <color rgb="FF00B050"/>
        <rFont val="Times New Roman"/>
        <family val="1"/>
        <charset val="186"/>
      </rPr>
      <t>-133</t>
    </r>
    <r>
      <rPr>
        <sz val="9"/>
        <color rgb="FF00B050"/>
        <rFont val="Times New Roman"/>
        <family val="1"/>
        <charset val="186"/>
      </rPr>
      <t xml:space="preserve"> EUR.Darba nespēju lapu apmaksai izlietotas 1348,-EUR.Janvāri-septembri slimoja 12 pedagogi-89 dienas.Kopsummā slimības lapu apmaksai nepieciešams </t>
    </r>
    <r>
      <rPr>
        <b/>
        <sz val="9"/>
        <color rgb="FF00B050"/>
        <rFont val="Times New Roman"/>
        <family val="1"/>
        <charset val="186"/>
      </rPr>
      <t>1430</t>
    </r>
    <r>
      <rPr>
        <sz val="9"/>
        <color rgb="FF00B050"/>
        <rFont val="Times New Roman"/>
        <family val="1"/>
        <charset val="186"/>
      </rPr>
      <t xml:space="preserve"> EUR vispārējās izglītības programma un </t>
    </r>
    <r>
      <rPr>
        <b/>
        <sz val="9"/>
        <color rgb="FF00B050"/>
        <rFont val="Times New Roman"/>
        <family val="1"/>
        <charset val="186"/>
      </rPr>
      <t>120</t>
    </r>
    <r>
      <rPr>
        <sz val="9"/>
        <color rgb="FF00B050"/>
        <rFont val="Times New Roman"/>
        <family val="1"/>
        <charset val="186"/>
      </rPr>
      <t>,-EUR interešu izglītības programma.</t>
    </r>
  </si>
  <si>
    <t>Brauciens uz Latvijas bankas Zināšanas centru "Naudas pasaule"(Rīga)-9 klase-transporta pakalpojumi-EUR 258,-11.klase-transporta pakalpojumi-EUR 258,   12 klases transporta pakalpojumi-     EUR 258.Brauciens uz Rīgas teātri "Dirty Deal Teatro"- 10 klase transporta pakalpojumi - EUR 210.</t>
  </si>
  <si>
    <t>Gleznotājas A.Princes un D.Krūmiņas māksla studija - 1.-4.klases-skolēnu skaits 53 x 6 EUR(ieejas biļete)=318 EUR.Nodarbība "Vecu dziesmu jaunās skaņās","Sveču darbnīca"-5.-8.klases-skolēnu skaits 140x5,75EUR(ieejas biļete)=805EUR.Daudzie naudas stasti Latvijas Bankas Zināšanas centrs "Naudas pasaule"-10..klase-skolēnu skaits 20 x 7 EUR (ieejas biļete)=140 EUR.</t>
  </si>
  <si>
    <t>Tāme Nr. 09.28.1</t>
  </si>
  <si>
    <t>Jūrmalas pilsētas pamatskola</t>
  </si>
  <si>
    <t>90009251342</t>
  </si>
  <si>
    <t>Dzirnavu iela 50, Jūrmala, LV 2011</t>
  </si>
  <si>
    <t>LV42PARX0002484572078</t>
  </si>
  <si>
    <t>LV42PARX0002484573048</t>
  </si>
  <si>
    <t>LV14PARX0002484572097</t>
  </si>
  <si>
    <t>LV19PARX0002484577051</t>
  </si>
  <si>
    <t>Palielināts finansējum mērķdotāciju tāmē, t.sk. pedagogu atalgojums un iestādes uzturēšana - 824024 EUR, interešu izglītības pedagogu atalgojums - 6552 EUR, atlikums no 2018.gada - 1003 EUR, programma Latvijas skolas soma - 984 EUR un neizmantots atlikums - 486 EUR</t>
  </si>
  <si>
    <t>Autobusa Ford Transit atsavinašāna (metāllūžņi)</t>
  </si>
  <si>
    <t>Pedagogu tarifikācija uz 01.09.2019. un ārstniecības personāla d/a palielināšanai</t>
  </si>
  <si>
    <t>Pedagogu tarifikācija uz 01.09.2019.</t>
  </si>
  <si>
    <t>Pedagogu tarifikācija uz 01.09.2019. un ekonomija sakarā ar atvaļinājuma naudu izmaksām</t>
  </si>
  <si>
    <t>Pedagogu tarifikācija uz 01.09.2019. un VSAOI ekonomija sakarā ar sociālā nodokļa avansu gada sākumā</t>
  </si>
  <si>
    <t>Pietrūkst slimības naudām- pedagogiem - 500 EUR, tehniskiem darbiniekiem - 128 EUR</t>
  </si>
  <si>
    <t>Veselības apdrošināšanas polises (ekonomija). Līdz 31.12.2019. nepieciešams 22 tehniskie darbinieki *17,78 EUR/mēnesī * 3 mēneši = 1173,48 EUR, ekonomija sakarā ar avansu gada sākumā</t>
  </si>
  <si>
    <t>Lielāks izdevumi ūdenim un kanalizācijai sakarā ar mainīgo patēriņu (sk. energoresursu atskaiti)</t>
  </si>
  <si>
    <t>Lielāki izdevumi par atkritumu izvešanu (jauna aprēķina kārtība)</t>
  </si>
  <si>
    <t>Ārstniecības personāla darba algas fonda pieauguma finansēšanai 2019.gadā salīdzinot ar 2018.gadu - 5380,04 EUR</t>
  </si>
  <si>
    <t>Mēbeles skolas mācību vides uzlabošanai (skolēnu galdi un skolēnu krēsli)</t>
  </si>
  <si>
    <t>Pietrūkst līdzekļi medikamentu iegādei (sk. pieteikumu)</t>
  </si>
  <si>
    <t>Pietrūkst līdzekļi saimniecības preču iegādei (tualetes papīrs, tīrīšanas līdzekļi, u.c.)</t>
  </si>
  <si>
    <t>Tāme Nr.09.1.13.</t>
  </si>
  <si>
    <t>Jūrmala, Jomas iela 1/5, LV-2015</t>
  </si>
  <si>
    <t>Projekts "Atbalsts izglītojamo individuālo kompetenču attīstībai"</t>
  </si>
  <si>
    <t>LV29TREL980200804900B</t>
  </si>
  <si>
    <t xml:space="preserve">Projekta 2019.gada budžeta palielinājums 12 218 EUR apmērā Tehnoloģiju gads un fizikas gada turpinājuma ietvaros pedagogu atalgojums 2 mēnešiem </t>
  </si>
  <si>
    <t>Saistībā ar darbu apjoma palielinājumu, piemaksas palielinājums Iestāžu koordinatori mēnesī + 7*30=210 EUR, projekta koordinators + 120 EUR, grāmatveži + 120 EUR = 450 EUR</t>
  </si>
  <si>
    <t>Projekta 2019.gada budžets tiek samazināts - 3 126 EUR  līdz izpildes apmēram 1 801 EUR (līguma Nr.1.2-16.8/1695 no 30.11.2017. ietvaros apstiprinātais budžets 4 927 EUR - 2019.gada izpilde 1 801 EUR). 2019.gada budžets palielināts 2 300 EUR, 2020.gada budžetas palielināts 2 700 EUR Tehnologiju gads.</t>
  </si>
  <si>
    <t>Projekta 2019.gada budžets tiek samazināts -4 606 EUR līdz izpildes apmēram 10 016 EUR (līguma Nr.1.2-16.8/1695 no 30.11.2017. ietvaros apstiprinātais budžets 14 622 EUR - 2019.gada izpilde 10 016 EUR). Palielināts 4 628 EUR Tehnologiju gads, 216 EUR fizikas gada pagarinājums</t>
  </si>
  <si>
    <t>I.Kundziņa</t>
  </si>
  <si>
    <t>LV53PARX0002484577021</t>
  </si>
  <si>
    <t>LV87PARX0002484576021</t>
  </si>
  <si>
    <r>
      <t>Ieņēmumi no projekta "Skolas soma" EUR 1001. 
Saskaņā ar apstiprināto tarifikāciju:
*</t>
    </r>
    <r>
      <rPr>
        <u/>
        <sz val="9"/>
        <rFont val="Times New Roman"/>
        <family val="1"/>
        <charset val="186"/>
      </rPr>
      <t>palielinājums</t>
    </r>
    <r>
      <rPr>
        <sz val="9"/>
        <rFont val="Times New Roman"/>
        <family val="1"/>
        <charset val="186"/>
      </rPr>
      <t xml:space="preserve"> par EUR 13708 vispārējās izglītības pedagogu atalgojumam;
*</t>
    </r>
    <r>
      <rPr>
        <u/>
        <sz val="9"/>
        <rFont val="Times New Roman"/>
        <family val="1"/>
        <charset val="186"/>
      </rPr>
      <t>samazinājums</t>
    </r>
    <r>
      <rPr>
        <sz val="9"/>
        <rFont val="Times New Roman"/>
        <family val="1"/>
        <charset val="186"/>
      </rPr>
      <t xml:space="preserve"> interešu izglītības pedagogiem par EUR 620;
*</t>
    </r>
    <r>
      <rPr>
        <u/>
        <sz val="9"/>
        <rFont val="Times New Roman"/>
        <family val="1"/>
        <charset val="186"/>
      </rPr>
      <t>palielinājums</t>
    </r>
    <r>
      <rPr>
        <sz val="9"/>
        <rFont val="Times New Roman"/>
        <family val="1"/>
        <charset val="186"/>
      </rPr>
      <t xml:space="preserve"> pedagogiem, kas nodarbināti bērnu no 5 gadu vecuma apmācībā par EUR 364.</t>
    </r>
  </si>
  <si>
    <r>
      <t>Saskaņā ar apstiprināto tarifikāciju:
*</t>
    </r>
    <r>
      <rPr>
        <u/>
        <sz val="9"/>
        <rFont val="Times New Roman"/>
        <family val="1"/>
        <charset val="186"/>
      </rPr>
      <t>palielinājums</t>
    </r>
    <r>
      <rPr>
        <sz val="9"/>
        <rFont val="Times New Roman"/>
        <family val="1"/>
        <charset val="186"/>
      </rPr>
      <t xml:space="preserve"> par EUR 4260 vispārējās izglītības pedagogu atalgojumam;
*</t>
    </r>
    <r>
      <rPr>
        <u/>
        <sz val="9"/>
        <rFont val="Times New Roman"/>
        <family val="1"/>
        <charset val="186"/>
      </rPr>
      <t>samazinājums</t>
    </r>
    <r>
      <rPr>
        <sz val="9"/>
        <rFont val="Times New Roman"/>
        <family val="1"/>
        <charset val="186"/>
      </rPr>
      <t xml:space="preserve"> interešu izglītības pedagogiem par EUR 501;
*</t>
    </r>
    <r>
      <rPr>
        <u/>
        <sz val="9"/>
        <rFont val="Times New Roman"/>
        <family val="1"/>
        <charset val="186"/>
      </rPr>
      <t>palielinājums</t>
    </r>
    <r>
      <rPr>
        <sz val="9"/>
        <rFont val="Times New Roman"/>
        <family val="1"/>
        <charset val="186"/>
      </rPr>
      <t xml:space="preserve"> pedagogiem, kas nodarbināti bērnu no 5 gadu vecuma apmācībā par EUR 292.</t>
    </r>
  </si>
  <si>
    <r>
      <t xml:space="preserve">Saskaņā ar apstiprināto tarifikāciju
</t>
    </r>
    <r>
      <rPr>
        <u/>
        <sz val="9"/>
        <rFont val="Times New Roman"/>
        <family val="1"/>
        <charset val="186"/>
      </rPr>
      <t>palielinājums</t>
    </r>
    <r>
      <rPr>
        <sz val="9"/>
        <rFont val="Times New Roman"/>
        <family val="1"/>
        <charset val="186"/>
      </rPr>
      <t xml:space="preserve"> par EUR 584 vispārējās izglītības pedagogu piemaksām. Ņemot vērā faktisko izpildi nepieciešams palielinājums par EUR 185.</t>
    </r>
  </si>
  <si>
    <r>
      <t xml:space="preserve">Saskaņā ar apstiprināto tarifikāciju
</t>
    </r>
    <r>
      <rPr>
        <u/>
        <sz val="9"/>
        <rFont val="Times New Roman"/>
        <family val="1"/>
        <charset val="186"/>
      </rPr>
      <t>palielinājums</t>
    </r>
    <r>
      <rPr>
        <sz val="9"/>
        <rFont val="Times New Roman"/>
        <family val="1"/>
        <charset val="186"/>
      </rPr>
      <t xml:space="preserve"> par EUR 6205 vispārējās izglītības pedagogu piemaksām. Ņemot vērā faktisko izpildi nepieciešams palielinājums par EUR 5531.</t>
    </r>
  </si>
  <si>
    <r>
      <t>Saskaņā ar apstiprināto tarifikāciju:
*</t>
    </r>
    <r>
      <rPr>
        <u/>
        <sz val="9"/>
        <rFont val="Times New Roman"/>
        <family val="1"/>
        <charset val="186"/>
      </rPr>
      <t xml:space="preserve">palielinājums </t>
    </r>
    <r>
      <rPr>
        <sz val="9"/>
        <rFont val="Times New Roman"/>
        <family val="1"/>
        <charset val="186"/>
      </rPr>
      <t>par EUR 2659 VSAO iemkasām;
*</t>
    </r>
    <r>
      <rPr>
        <u/>
        <sz val="9"/>
        <rFont val="Times New Roman"/>
        <family val="1"/>
        <charset val="186"/>
      </rPr>
      <t>samazinājums</t>
    </r>
    <r>
      <rPr>
        <sz val="9"/>
        <rFont val="Times New Roman"/>
        <family val="1"/>
        <charset val="186"/>
      </rPr>
      <t xml:space="preserve"> interešu izglītības pedagogiem par EUR 119;
*</t>
    </r>
    <r>
      <rPr>
        <u/>
        <sz val="9"/>
        <rFont val="Times New Roman"/>
        <family val="1"/>
        <charset val="186"/>
      </rPr>
      <t>palielinājums</t>
    </r>
    <r>
      <rPr>
        <sz val="9"/>
        <rFont val="Times New Roman"/>
        <family val="1"/>
        <charset val="186"/>
      </rPr>
      <t xml:space="preserve"> pedagogiem, kas nodarbināti bērnu no 5 gadu vecuma apmācībā par EUR 72.</t>
    </r>
  </si>
  <si>
    <t xml:space="preserve">Projekta "Latvijas skolas soma" ietvaros izglītojamie apmeklēs Dabas muzeja nodarbības un nodarbības skolā  (143 izglītojamie x EUR 7.00). </t>
  </si>
  <si>
    <t>Tāme Nr.09.30.1.</t>
  </si>
  <si>
    <t>Tāme Nr. 09.20.1</t>
  </si>
  <si>
    <t>Jūrmalas pirmsskolas izglītības iestāde "Podziņa"</t>
  </si>
  <si>
    <t>90009563202</t>
  </si>
  <si>
    <t>Lībiešu iela 21, Jūrmala, LV-2016</t>
  </si>
  <si>
    <t>Iestādes uzturēšana un pirmsskolas izglītības nodrošināšana</t>
  </si>
  <si>
    <t>LV31PARX0002484572082</t>
  </si>
  <si>
    <t>LV15PARX0002484573049</t>
  </si>
  <si>
    <t>LV89PARX0002484577052</t>
  </si>
  <si>
    <r>
      <t xml:space="preserve"> PB papildus naudas līdzekļi nepieciešami tehnisko darbinieku darba algas samaksai; vadītājas piemaksai un VSAOI. </t>
    </r>
    <r>
      <rPr>
        <b/>
        <sz val="9"/>
        <rFont val="Times New Roman"/>
        <family val="1"/>
        <charset val="186"/>
      </rPr>
      <t>MD:</t>
    </r>
    <r>
      <rPr>
        <sz val="9"/>
        <rFont val="Times New Roman"/>
        <family val="1"/>
        <charset val="186"/>
      </rPr>
      <t>Papildus naudas līdzekļi ir nepieciešami pedagogu darba samaksai 2212.00 EUR</t>
    </r>
  </si>
  <si>
    <r>
      <t xml:space="preserve"> </t>
    </r>
    <r>
      <rPr>
        <b/>
        <sz val="9"/>
        <rFont val="Times New Roman"/>
        <family val="1"/>
        <charset val="186"/>
      </rPr>
      <t xml:space="preserve">PB: </t>
    </r>
    <r>
      <rPr>
        <sz val="9"/>
        <rFont val="Times New Roman"/>
        <family val="1"/>
        <charset val="186"/>
      </rPr>
      <t xml:space="preserve">Piemaksa vadītajai - 247.00*3 mēn = 741.00 No koda 1119 uz 1150 pārcelti līdzekļi 597.00 sargu aizvietošanai, jo rodas ekonomija no sargu slimšanas. Papildus naudas līdzekļi ir nepieciešami tehnisko darbinieku darba samaksas izmaksai : 63 863.77 ( izmaks. 8 mēn)/ 8 mēn. = 7982.97 ( vid. izm. 8 mēnešos) *3 mēn ( sept.,okt., nov.) = 23948.91 EUR - 16297.23 ( atlikums budžetā) = 7651.68 Eur ( nepieciešami līdzekļi) Paredzams deficīts EKK  kodā 1119 ir  izveidojies sakarā ar vidējās izpeļņas palielināšanos pie atvaļinājuma aprēķiniem. </t>
    </r>
    <r>
      <rPr>
        <b/>
        <sz val="9"/>
        <rFont val="Times New Roman"/>
        <family val="1"/>
        <charset val="186"/>
      </rPr>
      <t>MD:</t>
    </r>
    <r>
      <rPr>
        <sz val="9"/>
        <rFont val="Times New Roman"/>
        <family val="1"/>
        <charset val="186"/>
      </rPr>
      <t xml:space="preserve"> Papildus naudas līdzekļi ir nepieciešami pedagogu darba samaksai. Aprēķins: 10362.50 ( alga pedagogiem un vadītājai pēc tarifikācijas)* 4 mēn. = 41450.00 EUR Atlikums tāme uz 08.10.2019: 39801.78-1720.00 ( alga asistentam)= 38081.78 EUR Papildus nepieciešams 41450-38081.78 = 3368.22 EUR</t>
    </r>
  </si>
  <si>
    <t>Papildus naudas līdzekļi nepieciešami piemaksai par darbu spec. apstakļos. Aprēķins: 894.75 Eur+200 Eur( vadītājas piemaksa) ( pēc tarifikācijas mēnesī)*4 mēn. = 4379.00 Atlikums tāme uz 08.10.2019 : 4318 - 4379= -61 Eur (pietrūkst)</t>
  </si>
  <si>
    <t>Atlikums 4303 no 2018. gada tiek pārcelts uz prēmijam un naudas balvam.  Aprēķins: 4303/24.09% =  3468 EUR ( prēmijam) 4303-3468= 835 EUR VSAOI iemaksam.</t>
  </si>
  <si>
    <t>Veidojas līdzekļu ekonomija piemaksas. Aprēķins: 252.74( pēc tarifikācijas mēnesi)*4 mēn. = 1010.96 EUR Atlikums tāme uz 08.10.2019 2300-1011= 1289 EUR ( ekonomija)</t>
  </si>
  <si>
    <t>Aizvietošana slimības laikā. Skat. 2. pielikums.</t>
  </si>
  <si>
    <r>
      <rPr>
        <b/>
        <sz val="9"/>
        <rFont val="Times New Roman"/>
        <family val="1"/>
        <charset val="186"/>
      </rPr>
      <t xml:space="preserve"> PB</t>
    </r>
    <r>
      <rPr>
        <sz val="9"/>
        <rFont val="Times New Roman"/>
        <family val="1"/>
        <charset val="186"/>
      </rPr>
      <t xml:space="preserve">: Vsaoi d.d. Daļa no vadītājas piemaksas 741.00*24.09 % = 179.00 </t>
    </r>
    <r>
      <rPr>
        <b/>
        <sz val="9"/>
        <rFont val="Times New Roman"/>
        <family val="1"/>
        <charset val="186"/>
      </rPr>
      <t>MD</t>
    </r>
    <r>
      <rPr>
        <sz val="9"/>
        <rFont val="Times New Roman"/>
        <family val="1"/>
        <charset val="186"/>
      </rPr>
      <t xml:space="preserve"> : Atlikums 4303 no 2018. gada tiek pārcelts uz prēmijam un naudas balvam.  Aprēķins: 4303/24.09% =  3468 EUR ( prēmijam) 4303-3468= 835 EUR VSAOI iemaksam.</t>
    </r>
  </si>
  <si>
    <t>Atlikums no 2018. gada - pedagogu slimības lapu apmaksai  400.00. Aprēķins: 883.11 ( izmaksāts 8 mēn) / 8 mēn = 110.39*4= 441.56</t>
  </si>
  <si>
    <t xml:space="preserve">Finanšu līdzekļi nepieciešami siltumenerģijas apmaksai (5 dienas).  Apkure š.g. pieslēgta jau 23.09., 2018.g. -  28..09. </t>
  </si>
  <si>
    <t>Šogad par 4% pieaudzis bērnu apmeklējums. 2017./18.m.g. 76%; 2018./19. - 80%</t>
  </si>
  <si>
    <t>Līdzekļu ekonomija.Sakarā ar cepešpannu nolietošanos, ar pilnu jaudu netika izmantota plīts virtuves blokā</t>
  </si>
  <si>
    <t>Līdzekļu ekonomija. Iestādē ar. š.g. tiek veikta atkritumu šķirošana. Līguma Nr. JUR05850 2019.gada 14.janvārī.</t>
  </si>
  <si>
    <t>Līdzekķu ekonomija.Praktisko nodarbību ugunsdrošībā organizēšanā saņemts lētāks piedāvājums. Paredzēti 403 Eur , apmācība\s veiktas par 195 EUR.</t>
  </si>
  <si>
    <t>Nepieciešami papildus finansū līdzekļi , jo veikts neplānots  bērnu gultu remonts.   Ritenīšu  nomaiņa - 168 EUR</t>
  </si>
  <si>
    <t>Līdzekļu ekonomija.  Mazāks rēķins par siltummezgla tehnisko apkalpošanu un remontdarbiem . Līguma summa 462 Eur, rēķina summa apar paveiktajiem darbiem  - 310 EUR</t>
  </si>
  <si>
    <t>Nepieciešami papildus finansū līdzekļi. Šogad par 4% pieaudzis bērnu apmeklējums. 2017./18.m.g. 76%; 2018./19. - 80%</t>
  </si>
  <si>
    <t>Sakarā ar datora bojājumu veikta  programmas "Kurmis - ēdnīca" pārvietošana uz citu datoru, lai nodrošinātu programmas darbību un bērnu ēdināsanas procesu. Darbi ar IT bija saskaņoti. Darbu veica IT speciālisti.</t>
  </si>
  <si>
    <t>Līdzekļi tiek pārcelti uz EKK 2352 - 8.00; 1119 - 371.00; 1148 - 3468.00; 1210-835.00</t>
  </si>
  <si>
    <t>Nepieciešami papildus līdzekļi lainēšanas plēves iegādei (180 EUR) mācību materiāla laminēšanai logopēda darbam ar bērniem ar ATS (piktogrammas). Kalendāru iegādei - 49 EUR</t>
  </si>
  <si>
    <t>Uz EKK 2311  Sakarā ar bērnu skaita ar autiska spektra traucējuiem palielināšanos ( 17 bērni), kā prioritāte iepirktas piktogrammas  korekcijas darba procesa nodrošināšanai logopēda darbā, kuras nepieciešams ielaminēt. Laminēšanas materiāla iegāde - 180 EUR. Summu, kas paredzēta  logopēda kabineta  krēslu iegādei (200 EUR), nolemts pārcelt uz 2020.g., jo nepieciešamie krēsli noliktavā nav pieejami.</t>
  </si>
  <si>
    <t>Līdzekļu ekonomija. Nav izdevies atrast atbilstošu materiālu kāpņu seguma  krāsojuma atjaunošanai atbilstoši plānotai summai ( 200 EUR) Darbi ielikti nākošā gada remonta darbu tāmē.</t>
  </si>
  <si>
    <t>Saimniecības preču iegādei 7.57  ( atlikums no 2018. gada uzturēšanas)</t>
  </si>
  <si>
    <t>Līdzekļu ekonomija. Vajadzība iegādāties tikai portatīvā datora lādētāju (25 EUR). Ar Informācijas un komunikāciju tehnoloģijas pārvaldi saskaņots.</t>
  </si>
  <si>
    <t>Līdzekļu ekonomija sakarā ar lētāku piedāvājumu ( cepešpannu iegāde). Paredzētā summa - 105, iepirkts par 91 EUR.</t>
  </si>
  <si>
    <t xml:space="preserve">Tāme Nr. 09.11.5. </t>
  </si>
  <si>
    <t>Rūpniecības 13, Jūrmala, LV-2016</t>
  </si>
  <si>
    <t xml:space="preserve">Projekts  “Es esmu moderns skolotājs / I am a modern teacher” </t>
  </si>
  <si>
    <t>LV94TREL981304700400B</t>
  </si>
  <si>
    <t>Līdzekļu atlikums, jo 1 dalībnieks, slimības dēļ,nepiedalījās braucienā)</t>
  </si>
  <si>
    <t xml:space="preserve">  Sabiedriskais transports  komandējuma laikā Itālijā 82.00 EUR. Izmitināšana - izdevumu palielinājums par 223,00 EUR.   </t>
  </si>
  <si>
    <t>Ekonomija tiek novirzīta inventāra iegādei-stends "Erasmus+   projekta "Es esmu moderns skolotājs"uzskates līdzekļu glabāšanai un popularizēšanai</t>
  </si>
  <si>
    <t>Datoru iegāde. Līdzekļu atlikums sakarā ar to, ka 2 gab. datori tika iegādāti lētāk nekā plānots par  10,00 Eur.</t>
  </si>
  <si>
    <t xml:space="preserve"> 90000051595</t>
  </si>
  <si>
    <t>Tāme Nr.04.1.11.</t>
  </si>
  <si>
    <t>Jomas iela1/5, Jūrmala, LV-2016</t>
  </si>
  <si>
    <t>04.730</t>
  </si>
  <si>
    <t>Projekts "Starptautiskās konkurētspējas veicināšana" (uzņēmējdarbībā)/ 2019.gada aktivitātes"</t>
  </si>
  <si>
    <t>LV31TREL980200804500B</t>
  </si>
  <si>
    <t>Līdzekļu ekonomija, saņemtā ERAF līdzfinansējuma lietošana izmaksu segšanai; papildus partneru piesaiste dalībai izstādēs</t>
  </si>
  <si>
    <t>ERAF līdzfinansējums ir mazāks, jo izdevumi bija mazāki</t>
  </si>
  <si>
    <t>Tika piesaistīti iepriekš neplānoti partneri, kā arī aprīkojuma nomas segšanai Izraēlas izstādē tika iekasēta nauda no partneriem.</t>
  </si>
  <si>
    <t>Lai racionāli izlietotu pašvaldības budžetu, paredzēts segt izmaksas par aktivitāti "Convene 2020" 2019.gadā.</t>
  </si>
  <si>
    <t>Paredzēts atstāt atlikumu kontā turpmāko projekta izmaksu segšanai</t>
  </si>
  <si>
    <t>ERAF finansējums bija mazāks un tika izlietots izdevumu segšanai par 2019. un 2020.gada aktivitātēm.</t>
  </si>
  <si>
    <t>Studiju vizīte Austrijā 7.-14.11.19., 2 d x 46 eiro+ 6 d x 46 eiro x 30% = 174,80 eur, atlikums kontā 18,80 eur, papildus nepieciešami 156,00eur</t>
  </si>
  <si>
    <t>dalības maksa 70 eur, atlikums 38 eur, papildus nepieciešami 32 eur</t>
  </si>
  <si>
    <t>septembra beigās izlietoti 58% no gadā ieplānotās summas, tiek prognozēta ekonomija uz gada beigām
ekonomija radusies, jo pavasarī Lielupes 21, sakarā ar būvdarbiem, notika mazāk nodarbību un arī patēriņš bija mazāks</t>
  </si>
  <si>
    <t>Tāme Nr.08.5.1</t>
  </si>
  <si>
    <t>90010478153</t>
  </si>
  <si>
    <t>Jomas  iela 17 , Jūrmala , LV - 2015</t>
  </si>
  <si>
    <t>LV95PARX0002484572094</t>
  </si>
  <si>
    <t>LV62PARX0002484577053</t>
  </si>
  <si>
    <t>Ieturējumi no Jūrmalas Sporta servisa centra darbinieku atlīdzības par piešķirto  sakaru  limitu pārtēriņu</t>
  </si>
  <si>
    <t>Līdzekļu ekonomija (vakance - direktors), aprēķins: Eur 2264*2 mēn. = Eur 4528</t>
  </si>
  <si>
    <t>Plānojot budžetu 2019. gadam, nebija ieplānots tik liels organizēto pasākumu daudzums, kuri norisināsies tai skaitā svētku dienās, piemērām, Jūrmalas Valsts Ģimnāzijas sporta hallē 12.05., kas arī ir svētku diena, sporta hallē bija organizēts LR jaunatnes čempionāts handbolā U-12 zēniem. Tā kā šis čempionāts ir liels pasākums ar lielu cilvēku plūsmu, tika nodrošinātā normālā halles darbība ar 2 administratorēm (strādāja uz maiņu) un 1 tehnisko darbinieku uz vietās.
Kā arī 12.05. Jūrmalas pilsētas stadiona “Sloka” notika Futbola kluba Spartaks spēle ar Futbola klubu Liepāja. Tā kā šis arī ir liels pasākums, stadionā bija gan 2 administratores (strādāja uz maiņu) gan tehniskais darbinieks, apkopēja un sētnieks. Plānojot budžetu 2019. gadam, nebija ieplānots finansējums samaksai par darbu svētku dienās tehniskajiem darbiniekiem, apkopējam un sētniekiem. Kā arī iepriekš minēto pasākumu norise un arī citos sporta objektos organizētie pasākumi pagarināja sporta objektu darbību ārpus apstiprinātā darba laika, līdz ar ko daudziem darbiniekiem ir radusies pārstrāde un bija izmaksāta darba samaksa par virsstundām.
Piemaksa par svētku dienu 18.11. 1) ēkas uzraugiem : 24st.*3.603 Eur = Eur 86.47 ; 2)administratoriem: 12st.*4.darb.*3.603 Eur = Eur 172.94 ; 3)apkopējam: 12st.*3.darb.*2.5864 Eur = 93.11 ; 4)mehaņikiem : 12st.*1.darb.*5.0947Eur =  Eur 61.14 , virsstundas ēkas uzraugiem : 96st.*3.603 Eur = 345.89</t>
  </si>
  <si>
    <t>Plānojot 2019. gada budžetu, nebija ņemts vērā papildus darbs, ko veica darbinieki Latvijas Jaunatnes VIII Olimpiādes sagatavošanas posmā un Latvijas Jaunatnes VIII Olimpiādes norises laikā Jelgavā jūnijā-jūlijā mēnešos. Kā arī nebija ieplānots papildus darbs, ko veica centra darbinieks saistībā ar pašvaldības nodibinājuma “Jūrmalas Futbola attīstības atbalsta fonds” darbību un Futbola stratēģiskās attīstības plāna Jūrmalā 2019.-2022. gadam izstrādi. Piemaksas ir noteiktas atbilstoši Jūrmalas pilsētas pašvaldības institūciju amatpersonu un darbinieku atlīdzības nolikuma 51.1.punktam: Piemaksa par papildus darbu veikšanu, kas nav norādīts darbinieka amata aprakstā.</t>
  </si>
  <si>
    <t>Līdzekļi nepieciešami, lai izmaksātu  balvu par bērnu piedzimšanu referentam J.Caunem (Alga Eur 1174), saskaņā ar JPD nolikumu Nr.28 ''Jūrmalas pilsētas pašvaldības institūciju amatpersonu atlīdzības nolikumu'' 76.1.apakšpunktu.</t>
  </si>
  <si>
    <t>Līdzekļi nepieciešami, lai apmaksāt apmacībās (270 euro apmērā) tehniskajam specialistam, kā atbildīgajai personai par gāzes saimniecību, saskaņā ar Ministru kabineta noteikumiem Nr. 78  (Rīgā, 2017. gada 7. februārī) par “Dabasgāzes piegādes un lietošanas noteikumi”, kuri nosaka, ka atbildīgā persona par gāzes saimniecību gazificētā objektā un gāzes operatori ne retāk kā reizi gadā rūpīgi pārbauda dabasgāzes apgādes sistēmu un veic personu instruktāžu.</t>
  </si>
  <si>
    <t xml:space="preserve">Līdzekļu ekonomija, jo nebija nepieciešamība maksāt autoratlīdzību par skaņdarbu izmantošanu publiskās vietās. </t>
  </si>
  <si>
    <t>Tāme Nr.08.5.3</t>
  </si>
  <si>
    <t>Ņemot vērā objekta lielāku noslodzi salīdzinājumā ar pagājušo gadu, attiecīgi palielinājās arī energoresursu un atsevišķu komunālo pakalpojumu izmaksas. Savukārt ienākumi no maksas pakalpojumiem ir izpildīti pilnībā un papildus ienākumi no maksas pakalpojumiem nav iespējams prognozēt, jo iespējamie nomnieki var arī pretendēt uz atlaidi atbilstoši cenrādim, kā sabiedriskā labuma organizācijas statusa īpašnieki.
Prognozētie izdevumi gada beigās ir 17080.09 - izpildīts pamatbudžets 7042 - izpildītie maksas pakalpojumi 6372 = - 3666 euro. Kopā līdz gada beigām ir nepieciešami vēl 3666 euro, atbilstoši aprēķinām pielikumā Nr. 10.</t>
  </si>
  <si>
    <t>Ņemot vērā objekta lielāku noslodzi salīdzinājumā ar pagājušo gadu, attiecīgi palielinājās arī energoresursu un atsevišķu komunālo pakalpojumu izmaksas. Savukārt ienākumi no maksas pakalpojumiem ir izpildīti pilnībā un papildus ienākumi no maksas pakalpojumiem nav iespējams prognozēt, jo iespējamie nomnieki var arī pretendēt uz atlaidi atbilstoši cenrādim, kā sabiedriskā labuma organizācijas statusa īpašnieki. Prognozētie izdevumi gada beigās ir 3049.10 - izpildīts pamatbudžets 1701 - izpildītie maksas pakalpojumi 748 = - 600.1 euro.
Kopā līdz gada beigām ir nepieciešami vēl 600 euro, atbilstoši aprēķinām pielikumā Nr. 10.</t>
  </si>
  <si>
    <t>Ņemot vērā objekta lielāku noslodzi salīdzinājumā ar pagājušo gadu, attiecīgi palielinājās arī energoresursu un atsevišķu komunālo pakalpojumu izmaksas. Savukārt ienākumi no maksas pakalpojumiem ir izpildīti uz 60%, bet nav iespējams prognozēt ienākumu apjomu, jo vēl vairāk nomnieku nokārto sabiedriskā labuma organizācijas statusu, lai saņemtu nomas maksas atlaidi. Ienākumi no maksas pakalpojumiem līdz gada beigām varētu sastādīt 2145 euro. Prognozētie izdevumi gada beigās ir 26185.52 - izpildīts pamatbudžets 15779 - izpildītie maksas pakalpojumi 4262.19 - iespējamie ieņemumi no maksas pakalpojumiem 2145 = - 3999.3 euro. 
Kopā līdz gada beigām ir nepieciešami vēl 4000 euro apmērā, atbilstoši aprēķinām pielikumā Nr. 10.</t>
  </si>
  <si>
    <t>Tāme Nr.08.5.4</t>
  </si>
  <si>
    <t>Majoru sporta laukuma uzturēšana</t>
  </si>
  <si>
    <t>Naudas līdzekļi 82 euro apmērā nepieciešami lai nodrošinātu objekta atkritumu apmaksāšanu. (izmaks aprēķinātas nemot vērā 2018. gada atkritumu izvešanas izmaksas attiecīgajā periodā. Grozījumi nepieciešami jo 2019. gadā atritumu apsaimniekošanas tarifs palielinājās par 5.25 euro par tonnu. 
Papildus tam bija veikta sporta laukuma tirīšana - vēca, bojāta, norakstītā inventāra izmešana (plēves, slidas, treniņu inventārs u.c. atkritumi).</t>
  </si>
  <si>
    <t>Tāme Nr.08.5.5</t>
  </si>
  <si>
    <t>Sporta nama ''Taurenītis'' uzturēšana</t>
  </si>
  <si>
    <t>Ņemot vērā objekta lielāku noslodzi salīdzinājumā ar pagājušo gadu, attiecīgi palielinājās arī energoresursu un atsevišķu komunālo pakalpojumu izmaksas. Savukārt ienākumi no maksas pakalpojumiem ir izpildīti uz 60%, bet nav iespējams prognozēt ienākumu apjomu, jo vēl vairāk nomnieku nokārto sabiedriskā labuma organizācijas statusu, lai saņemtu nomas maksas atlaidi. Ienākumi no maksas pakalpojumiem līdz gada beigām varētu sastādīt 243 euro.
Prognozētie izdevumi gada beigās ir 9945.55 - izpildīts pamatbudžets 3577 - izpildītie maksas pakalpojumi 4626.04 - iespējamie ieņemumi no maksas pakalpojumiem 243 = -1499.5 euro. 
Kopā līdz gada beigām ir nepieciešami vēl 1500 euro apmērā, atbilstoši aprēķinām pielikumā Nr. 10.</t>
  </si>
  <si>
    <t>Ņemot vērā objekta lielāku noslodzi salīdzinājumā ar pagajušo gadu, attiecīgi palielinājas arī energoresursu un atsevišķu komunālo pakalpojumu izmaksas. Savukārt ienākumi no maksas pakalpojumiem ir izpildīti uz 70.5%, bet nav iespējams prognozēt ienākumu apjomu, jo vēl vairāk nomnieku nokārto sabiedriskā labuma organizācijas statusu, lai saņemtu nomas maksas atlaidi. Ienākumi no maksas pakalpojumiem līdz gada beigām varētu sastādīt 120.7 euro.
Prognozētie izdevumi gada beigās ir 1017.18 - izpildīts pamatbudžets 355 - izpildītie maksas pakalpojumi 289.27 - iespējamie ieņemumi no maksas pakalpojumiem 120.70 = -252.20 euro. 
Kopā līdz gada beigām ir nepieciešami vēl 252 euro apmērā, atbilstoši aprēķinām pielikumā Nr. 10.</t>
  </si>
  <si>
    <t>Ņemot vērā objekta lielāku noslodzi salīdzinājumā ar pagajušo gadu, attiecīgi palielinājas arī energoresursu un atsevišķu komunālo pakalpojumu izmaksas. Savukārt ienākumi no maksas pakalpojumiem ir izpildīti uz 56.4% , bet nav iespējams prognozēt ienākumu apjomu, jo vēl vairāk nomnieku nokārto sabiedriskā labuma organizācijas statusu, lai saņemtu nomas maksas atlaidi. Ienākumi no maksas pakalpojumiem līdz gada beigām varētu sastādīt 206 euro.
Prognozētie izdevumi gada beigās ir 12 858.23 - izpildīts pamatbudžets 6656 - izpildītie maksas pakalpojumi 3896.48 - iespējamie ieņemumi no maksas pakalpojumiem 206 = -2099.70 euro. 
Kopā līdz gada beigām ir nepieciešami vēl 2100 euro apmērā, atbilstoši aprēķinām pielikumā Nr. 10.</t>
  </si>
  <si>
    <t>Tāme Nr.08.5.6</t>
  </si>
  <si>
    <t>Jūrmalas pludmales centra uzturēšana</t>
  </si>
  <si>
    <t xml:space="preserve">Naudas līdzekļi 18 euro apmērā nepieciešami lai nodrošinātu objekta ūdens piegādes apmaksāšanu. (izmaks aprēķinātas nemot vērā 2018. gada ūdens nodrošināšanas izmaksas attiecīgajā periodā. Grozījumi nepieciešami, jo aizvien vairāk paliek pieprasītas pludmales centra publiski pieejamās dušas.  </t>
  </si>
  <si>
    <t>Jūrmalas Valsts ģimnāzijas sporta halles uzturēšana</t>
  </si>
  <si>
    <t>Tāme Nr.04.1.17</t>
  </si>
  <si>
    <t>Jomas iela 1/5, Jūrmala, LV-2015</t>
  </si>
  <si>
    <t>04.900.</t>
  </si>
  <si>
    <t>Projekts "Sadarbība un zināšanu nodošana dabas tūrisma attīstības veicināšanai"</t>
  </si>
  <si>
    <t>LV19TREL9802008016000</t>
  </si>
  <si>
    <t>Precizēts atbiltoši veiktajiem izdevumiem.</t>
  </si>
  <si>
    <t>Dānijā tika pavadīts par 1 dienu mazāk.</t>
  </si>
  <si>
    <t xml:space="preserve">Tika izvēlēti ekonomiski izdevīgākie viesnīcu pakalpojumu piedāvājumi un atomašīnas nomas pakalpojumi, kā arī nobraukts mazāks kilometru skaits, līdz ar to  izdevumi bija mazāki., kā arī ieejas maksa bija jāmaksā tikai 2 centros, nevis 4 centros, kā sākotnēji plānots. </t>
  </si>
  <si>
    <t>Jūrmalas pilsētas muzejs</t>
  </si>
  <si>
    <t>90000056408</t>
  </si>
  <si>
    <t>Tirgoņu iela 29, Jūrmala, LV-2015</t>
  </si>
  <si>
    <t>08.220</t>
  </si>
  <si>
    <t>Projekts "Jūrmalas brīvdabas muzeja infrastruktūras attīstība un zvejas kuģa atjaunošana"</t>
  </si>
  <si>
    <t>Konts tiks atvērts</t>
  </si>
  <si>
    <t xml:space="preserve">LAD 20% avansa maksājums no 118611,95 EUR </t>
  </si>
  <si>
    <t>Tāme Nr.08.6.5.</t>
  </si>
  <si>
    <t>Tāme Nr.08.1.5.</t>
  </si>
  <si>
    <t>Kultūras pasākumi</t>
  </si>
  <si>
    <r>
      <rPr>
        <b/>
        <sz val="9"/>
        <rFont val="Times New Roman"/>
        <family val="1"/>
        <charset val="186"/>
      </rPr>
      <t>23.pielikums</t>
    </r>
    <r>
      <rPr>
        <sz val="9"/>
        <rFont val="Times New Roman"/>
        <family val="1"/>
        <charset val="186"/>
      </rPr>
      <t xml:space="preserve"> Jūrmalas pilsētas domes</t>
    </r>
  </si>
  <si>
    <t>Kultūras nodaļa</t>
  </si>
  <si>
    <t>Jūrmala Raiņa un Aspazijas pilsēta</t>
  </si>
  <si>
    <t>JPAP_R3.3.1._202     JPKAP_U2.2_P2.2.2</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</si>
  <si>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</si>
  <si>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</si>
  <si>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</si>
  <si>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</si>
  <si>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</si>
  <si>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</si>
  <si>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Izglītības semināri nozares darbiniekiem</t>
  </si>
  <si>
    <t xml:space="preserve">JPAP_R.1.4.3._17   JPAP_R1.7.1._42    JPKAP_U4.2_P4.2.1   </t>
  </si>
  <si>
    <t>Kūrorta svētki</t>
  </si>
  <si>
    <t>Līdzekļu ekonomija izveidojās, jo tika atcelta plānotā aktivitāte un netika noslēgts līgums, kuram sākotnēji rezervējām līdzekļus.</t>
  </si>
  <si>
    <t xml:space="preserve">JPAP_R.1.4.3._17 JPAP_R1.7.1._42 JPAP_R3.3.1._191    JPAP_R3.3.1._193  JPKAP_U2.1_P2.1.2 JPKAP_U2.1._P.2.1.3 JPKAP_U2.2_P2.2.3     JPKAP_U4.1_P4.1.2 </t>
  </si>
  <si>
    <t>Kauguru svētki</t>
  </si>
  <si>
    <t xml:space="preserve">JPAP_R1.7.1._42 JPAP_R3.3.1._191   JPAP_R3.3.1._193    JPKAP_U2.2_P2.2.3     JPKAP_U4.1_P4.1.2      </t>
  </si>
  <si>
    <t>Gada balva kultūrā</t>
  </si>
  <si>
    <t>Starptautiskais Baltijas jūras koru konkurss, festivāls u.tml.</t>
  </si>
  <si>
    <t xml:space="preserve">JPAP_R1.7.1._42    JPAP_R3.3.1._193   JPKAP_U2.1_P2.1.2 JPKAP_U2.1_P2.1.3    JPKAP_U2.2_P2.2.5  </t>
  </si>
  <si>
    <t>Valsts svētku svinīgais pasākums</t>
  </si>
  <si>
    <t>JPAP_R1.7.1._43     JPKAP_U2.2_P2.2.1</t>
  </si>
  <si>
    <t xml:space="preserve">Radošā darba stipendijas, tai skaitā uzturēšanās izdevumu kompensācijas </t>
  </si>
  <si>
    <t>JPAP_R3.3.1._193     JPKAP_U4.2_P4.2.3</t>
  </si>
  <si>
    <t>Audiogida izveidošana Jūrmalas pilsētas muzejā</t>
  </si>
  <si>
    <t xml:space="preserve">JPAP_R1.7.1._42 JPAP_R3.3..1._199 JPKAP_U2.1_P2.1.1  </t>
  </si>
  <si>
    <t>Muzeja informatīvā stenda izveide</t>
  </si>
  <si>
    <t>Starptautiska festivāla organizēšana</t>
  </si>
  <si>
    <t xml:space="preserve">JPAP_R1.7.1._42 JPAP_R3.3..1._191 JPKAP_U2.1_P2.1.3  </t>
  </si>
  <si>
    <t xml:space="preserve">"Projektu konkurss par mākslinieciski augstvērtīgu vides objektu izveidi Jūrmalā" </t>
  </si>
  <si>
    <t>JPTARP_U1.2._P.1.2.8.</t>
  </si>
  <si>
    <t>Jūrmalnieču dalība koncertturnejā Australijā Rīgas Doma meiteņu kora TIARA sastāvā</t>
  </si>
  <si>
    <t>JPKAP_U1.3_U1.3.3</t>
  </si>
  <si>
    <t>Festivāls “”Rudaga” New star 2019 Latvijai 100”</t>
  </si>
  <si>
    <t>JPAP_R.1.7.1._42 JPAP_R1.7.1._43 JPAP_R3.3.1._193 JPKAP_U1.3_U1.3.3.</t>
  </si>
  <si>
    <t>Tēlniecības izstāde ''Mākslas liedags. Atspulgi''</t>
  </si>
  <si>
    <t xml:space="preserve">JPAP_R1.4.3._17 JPAP_R1.7.1._43 JPKAP_U2.1_P2.1.1  </t>
  </si>
  <si>
    <t>Interaktīvā vides objekta atklāšanas pasākums Jūrmalas brīvdabas muzejā</t>
  </si>
  <si>
    <t xml:space="preserve">JPAP_R1.4.3._17 JPAP_R1.7.1._43 JPAP_R3.3.1._199 </t>
  </si>
  <si>
    <t>Informatīvo materiālu sagatavošana un izvietošana informatīvajos stendos pašvaldības vajadzībām</t>
  </si>
  <si>
    <t>Finansējums nepieciešams autoratlīdzības līgumu slēgšanai.</t>
  </si>
  <si>
    <t>JPAP_R1.4.3._17    JPAP_R3.3.1._199   JPKAP_U2.2_P2.2.1    JPKAP_U2.2_P2.2.3</t>
  </si>
  <si>
    <t>Finansējums nepieciešams plakātu drukai (2 mobilo stendu, kas atrodas Kauguros un Bulduros informācijas nomaiņai)</t>
  </si>
  <si>
    <t>Jūrmalas pilsētas Attīstības programma 2014.-2020.gadam (JPAP)</t>
  </si>
  <si>
    <t>Rīcības virziens: R1.4.3.: Citu tūrisma pakalpojumu attīstība</t>
  </si>
  <si>
    <t>Aktivitāte: Nr. 17. Tūrisma pakalpojumu piedāvājuma dažādošana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</si>
  <si>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</si>
  <si>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</si>
  <si>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</si>
  <si>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</si>
  <si>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 193 Jūrmalas kā kultūras un mākslas pilsētas identitātes un konkurētspējas nostiprināšana</t>
  </si>
  <si>
    <t>Aktivitāte: Nr. 199 Jūrmalas muzeju popularizēšana</t>
  </si>
  <si>
    <t>Aktivitāte: Nr.202. Pilsētas tēla "Jūrmala - Raiņa un Aspazijas pilsēta" izveide</t>
  </si>
  <si>
    <t>Jūrmalas pilsētas kultūrvides attīstības plāns 2017. - 2020.gadam (JPKAP)</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</si>
  <si>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</si>
  <si>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</si>
  <si>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</si>
  <si>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</si>
  <si>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</si>
  <si>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Pasājums: P2.1.2. Dzintaru koncertzāles konkurētspējas stiprināšana nacionālā un starptautiskā mērogā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</si>
  <si>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</si>
  <si>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</si>
  <si>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</si>
  <si>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</si>
  <si>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</si>
  <si>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</si>
  <si>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</si>
  <si>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</si>
  <si>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</si>
  <si>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</si>
  <si>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</si>
  <si>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</si>
  <si>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</si>
  <si>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Jūrmalas pilsētas tūrisma attīstības rīcības plāns 2018. - 2020.gadam (JPTARP)</t>
  </si>
  <si>
    <t xml:space="preserve">uzdevums U 1.2. "Atpūtas, rekreācijas tūrisma piedāvājuma pilnveidošana vietējiem un ārvalstu viesiem" </t>
  </si>
  <si>
    <t>pasākums P.1.2.8. "Konkurss par atraktīvu, mākslinieciski augstvērtīgu vides objektu izveidi Jūrmalā".</t>
  </si>
  <si>
    <t>Finansējums 11 136 euro apmērā nebūs nepieciešams,tāpēc atgriežams pašvaldības budžetā, saskaņā ar KN iesniegumu (28.10.2019.)</t>
  </si>
  <si>
    <t>Tāme Nr.09.7.1.</t>
  </si>
  <si>
    <t>Ķemeru pamatskola</t>
  </si>
  <si>
    <t>90009251338</t>
  </si>
  <si>
    <t>Tukuma iela 10</t>
  </si>
  <si>
    <t xml:space="preserve">                                                                                                                                LV26PARX0002484572075</t>
  </si>
  <si>
    <t>LV26PARX0002484573045</t>
  </si>
  <si>
    <t>LV03PARX0002484577048</t>
  </si>
  <si>
    <t>Pēc MD sadalījuma uz 12 mēnešiem:132634-127038=5596, t.sk. +5304 pam.izgl. +292 interešu izgl.</t>
  </si>
  <si>
    <t>Saskaņā ar MD sadalījumu: pam.izgl. 90467, interešu 13963, + 67 pamatizgl. -67 interešu izgl.</t>
  </si>
  <si>
    <t>Saskaņā ar MD sadalījumu: pam.izgl. 777, interešu 31</t>
  </si>
  <si>
    <t>Saskaņā ar MD sadalījumu: pam.izgl. 22264, interešu 3412, + 77 pamatizglītībai, -77 interešu izglītībai, + 330 pamatizglītībai no slimības naudas,+ 230 trūkst līdzekļi pamatizgl.līdz gada beigām</t>
  </si>
  <si>
    <t>-100 interešu izgl., -230 pamatizgl., jo tāmes atlikums pašlaik  681.85 pēdējiem 3 mēnešiem ir  daudz par lielu.</t>
  </si>
  <si>
    <t>Līdzekļi nepieciešami naudas balvas izmaksai pedagogam I.Štrausei, sakarā ar 55 gadu darba jubileju (01.08.2019) 769.00 EUR, papildus plānotajām summām naudas balvu izmaksai pedagogiem I.Princei un V.Ozolai ,saskaņā ar tarifikācijām uz 01.09.19, nepieciešami līdzekļi 293 EUR, naudas balvas izmaksai pedagogam J.Misiņam, sakarā ar bērna piedzimšanu, saskaņā ar tarifikācijām.</t>
  </si>
  <si>
    <t>Tāme Nr.09.6.1</t>
  </si>
  <si>
    <t>Raiņa 118</t>
  </si>
  <si>
    <t>LV70PARX0002484577006</t>
  </si>
  <si>
    <r>
      <t>PB sakarā ar maksas pakalpojumu finanšu palielinājumu.                                                                                                    MD pēc 01.09.2019.tarifikācijas:                                                                                        1654,-</t>
    </r>
    <r>
      <rPr>
        <sz val="9"/>
        <rFont val="Calibri"/>
        <family val="2"/>
        <charset val="186"/>
      </rPr>
      <t>€</t>
    </r>
    <r>
      <rPr>
        <sz val="9"/>
        <rFont val="Times New Roman"/>
        <family val="1"/>
        <charset val="186"/>
      </rPr>
      <t xml:space="preserve"> finanšu palielinājums. Bērnu apmācība no 5  gadu vecuma.                                                                                         360,-</t>
    </r>
    <r>
      <rPr>
        <sz val="9"/>
        <rFont val="Calibri"/>
        <family val="2"/>
        <charset val="186"/>
      </rPr>
      <t>€</t>
    </r>
    <r>
      <rPr>
        <sz val="9"/>
        <rFont val="Times New Roman"/>
        <family val="1"/>
        <charset val="186"/>
      </rPr>
      <t xml:space="preserve">  finanšu palielinājums. Interešu izglītības programma.                                                                                                     2479,-</t>
    </r>
    <r>
      <rPr>
        <sz val="9"/>
        <rFont val="Calibri"/>
        <family val="2"/>
        <charset val="186"/>
      </rPr>
      <t>€</t>
    </r>
    <r>
      <rPr>
        <sz val="9"/>
        <rFont val="Times New Roman"/>
        <family val="1"/>
        <charset val="186"/>
      </rPr>
      <t xml:space="preserve"> finanšu samazinājums. Vispārējās izglītības programma. </t>
    </r>
  </si>
  <si>
    <t>Saskaņā ar skolas remontdarbu veicēja SIA "TORENSBERG" vienošanos par izlietotās ūdens, kanalizācijas, siltumenerģijas un elektroenerģijas atmaksu.</t>
  </si>
  <si>
    <r>
      <t>PB pēc 01.09.2019. tarifikācijas  2 pirmsskolas izglītības skolotāju un sociālā pedagoga profesionālās darbības kvalitātes pakāpes apmaksai.                                                                                                                                                                                                               MD pēc 01.09.2019. tarifikācijas:                                                                                              1278,-€ pedagogu darba samaksas palielinājums, Bērnu apmācība no 5  gadu vecuma;                                                                                                304,-€ pedagogu darba samaksas palielinājums, Interešu izglītības programma;                                                                                                      1684,-€ pedagogu darba samaksas samazinājums, Vispārējās izglītības programma.                                                                                          604,-</t>
    </r>
    <r>
      <rPr>
        <sz val="9"/>
        <rFont val="Calibri"/>
        <family val="2"/>
        <charset val="186"/>
      </rPr>
      <t>€</t>
    </r>
    <r>
      <rPr>
        <sz val="9"/>
        <rFont val="Times New Roman"/>
        <family val="1"/>
        <charset val="186"/>
      </rPr>
      <t xml:space="preserve"> pedagogu atvaļinājumu apmaksai. Vispārējās izglītības programma. </t>
    </r>
  </si>
  <si>
    <r>
      <t>PB atlikums 22,09</t>
    </r>
    <r>
      <rPr>
        <sz val="9"/>
        <rFont val="Calibri"/>
        <family val="2"/>
        <charset val="186"/>
      </rPr>
      <t>€</t>
    </r>
    <r>
      <rPr>
        <sz val="9"/>
        <rFont val="Times New Roman"/>
        <family val="1"/>
        <charset val="186"/>
      </rPr>
      <t>. Pēc 01.09.2019. tarifikācijas 2 pirmsskolas izglītības skolotāju 4,62€*2*3 mēn.= 27,72€ un sociālā pedagoga 12,74</t>
    </r>
    <r>
      <rPr>
        <sz val="9"/>
        <rFont val="Calibri"/>
        <family val="2"/>
        <charset val="186"/>
      </rPr>
      <t>€</t>
    </r>
    <r>
      <rPr>
        <sz val="9"/>
        <rFont val="Times New Roman"/>
        <family val="1"/>
        <charset val="186"/>
      </rPr>
      <t>*3 mēn=38,22€ profesionālās darbības kvalitātes 1.pakāpes apmaksai, VSAOI 2,42</t>
    </r>
    <r>
      <rPr>
        <sz val="9"/>
        <rFont val="Calibri"/>
        <family val="2"/>
        <charset val="186"/>
      </rPr>
      <t>€</t>
    </r>
    <r>
      <rPr>
        <sz val="9"/>
        <rFont val="Times New Roman"/>
        <family val="1"/>
        <charset val="186"/>
      </rPr>
      <t xml:space="preserve"> par septembri.                                                                                                MD pēc 01.09.2019. tarifikācijas:                                                                                               56,-€ 2 pedagogu 1.profesionālās darbības kvalitātes pakāpes apmaksai, Bērnu apmācība no 5  gadu vecuma;                                                                                                 12,-€ līdzekļu samazinājums par profesionālās darbības kvalitātes pakāpi, Interešu izglītības programma;                                                                                          311,-€ līdzekļu samazinājums par profesionālās darbības kvalitātes pakāpi, Vispārējās izglītības programma.                                                                                          604,-€ līdzekļu ekonomija  par profesionālās darbības kvalitātes 3.un 4.pakāpi, jo pedagogu darba nespējas lapu apmaksai tiek aprēķināts no darba algas vidējās izpeļņas. Vispārējās izglītības programma. </t>
    </r>
  </si>
  <si>
    <t>Pēc 01.09.2019. tarifikācijas:                                                                                             320,-€ līdzekļu palielinājums saskaņā ar EKK1119,1149.  Bērnu apmācība no 5  gadu vecuma.                                                                                                  68,-€ līdzekļu palielinājums saskaņā ar EKK1119,1149. Interešu izglītības programma.                                                                                             484,-€ līdzekļu samazinājums saskaņā ar EKK1119,1149.  Vispārējās izglītības programma.</t>
  </si>
  <si>
    <t>Sakarā ar maksas pakalpojumu finanšu palielinājumu.</t>
  </si>
  <si>
    <t>Tāme Nr.09.17.1.</t>
  </si>
  <si>
    <t>Jūrmalas pirmsskolas izglītības iestāde "Madara"</t>
  </si>
  <si>
    <t>90009249314</t>
  </si>
  <si>
    <t>Tērbatas iela 1, Jūrmala, LV-2016</t>
  </si>
  <si>
    <t>LV05PARX0002484572065</t>
  </si>
  <si>
    <t>LV05PARX0002484573035</t>
  </si>
  <si>
    <t>LV79PARX0002484577038</t>
  </si>
  <si>
    <t>Papildus naudas līdzekļi nepieciešami pedagogu darba samaksai, VSAOI</t>
  </si>
  <si>
    <t xml:space="preserve">Piezīme Pašvaldības budžeta samazinājuma priekšlikumam: ekonomija veidojas no darbinieka-ēkas un teritorijas dežuranta, slimības laikā neizmaksāto darba samaksu, priekšlikums EUR 580 lielo ekonomiju pārvizīt uz EKK 1150. Piezīme Valsts budžeta palielinājuma priekšlikumam: mērķdotācijas sadalījumā pa ekonomiskās klasifikācijas kodiem 2019.gada  janvāra-augusta un septembra –decembra mēnešiem piešķirto līdzekļu summa ir lielāka par 4642 EUR lielu summu nekā apstiprināts 2019.g. budžeta tamē; 368 EUR lielu summu pārvirzīt no EKK 1145 līdzekļu ekonomijas19 EUR lielu summu pārvirzīt no EKK 1149 līdzekļu ekonomijas. </t>
  </si>
  <si>
    <t>Piezīme Valsts budžeta palielinājuma priekšlikumam: mērķdotācijas sadalījumā pa ekonomiskās klasifikācijas kodiem 2019.gada  janvāra-augusta un septembra –decembra mēnešiem piešķirto līdzekļu summa ir lielāka par 394 EUR lielu summu nekā apstiprināts 2019.g. budžeta tāmē. Piezīme Valsts budžeta samazinājuma priekšlikumam: ekonomija izveidojas sakarā ar to, ka naudas līdzekļi sadalīti piemaksai par darbu īpašos apstākļu netiek pilnībā apgūti, tarificējot skolotājus, priekšlikums EUR 368 lielu summu pārvirzīt uz EKK 1119.</t>
  </si>
  <si>
    <t>Piezīme pašvaldības budžeta palielinājuma priekšlikumam: Naudas līdzekļi ir nepieciešami uz 2019.gadu ieplanotās naudas balvas (525 EUR) izmaksai 28 EUR apmērā skolotāja amatalgas un slodzes palielinājuma dēļ: 525-497=28 EUR, priekšlikums EUR 28 pārvirzīt no EKK 1149 līdzekļu ekonomijas.</t>
  </si>
  <si>
    <t>Piezīme pašvaldības budžeta samazinājuma priekšlikumam: ekonomija izveidojas sakarā ar to, ka piemaksa par kvalitātes pakāpi netiek maksāta atvaļinājuma laikā, priekšlikums EUR 28 lielu summu pārvirzīt uz EKK 1119. Piezīme Valsts budžeta samazinājuma priekšlikumam: ekonomija izveidojas sakarā ar to, ka piemaksa par kvalitātes pakāpi netiek maksāta atvaļinājuma laikā, priekšlikums EUR 19 lielu summu pārvirzīt uz EKK 1119.</t>
  </si>
  <si>
    <t>Piezīme pašvaldības budžeta palielinājuma priekšlikumam: Naudas līdzekļi nepieciešami darba samaksai aizvietojošajam darbiniekam pastavīga ēkas un teritorijas dežuranta slimības laikā : 203 st. * 2.8571 EUR/ st.=579.99</t>
  </si>
  <si>
    <t xml:space="preserve">Piezīme Valsts budžeta palielinājuma priekšlikumam: mērķdotācijas sadalījumā pa ekonomiskās klasifikācijas kodiem 2019.gada  janvāra-augusta un septembra –decembra mēnešiem piešķirto līdzekļu summa ir lielāka par 1215 EUR lielu summu nekā apstiprināts 2019.g. budžeta tamē. </t>
  </si>
  <si>
    <t>Līdzekļu ekonomija veidojas no mazāka braucienu skaita.</t>
  </si>
  <si>
    <t xml:space="preserve">Ekonomija no piemērotās atlaides perioda pagarināšanas </t>
  </si>
  <si>
    <t>Naudas līdzekļi ir nepieciešami siltumenerģijas rēķinu nomaksai. Līdzekļi siltumenerģijai tika aprēķināti pēc iepriekšējo 3 gadu vidējā patēriņa, kas neatbilda 2018/2019 sezonas patēriņam, kā arī tika paaugstināts tarifs siltumenerģijai.</t>
  </si>
  <si>
    <t>Naudas līdzekļu pārpalikums ir izveidojies, jo līdzekļi tika plānoti pēc iepriekšējo 3 gadu vidējā patēriņa, ūdens taupibas pasākumu rezultātā, patēriņš bija mazāks par prognozēto.</t>
  </si>
  <si>
    <t>Naudas līdzekļu pārpalikums ir izveidojies, jo līdzekļi tika plānoti pēc iepriekšējo 3 gadu vidējā patēriņa, elektroenerģijas taupibas pasākumu rezultātā, patēriņš bija mazāks par prognozēto.</t>
  </si>
  <si>
    <t>Papildus naudas līdzekļi nepieciešami dzerama ūdens iegādei.</t>
  </si>
  <si>
    <t>Ekonomija veidojas no kanalizācijas stāvvadu skalošanas. 2019. gada šīs pakalpojums nebija nepieciešams</t>
  </si>
  <si>
    <t>Papildus naudas līdzekļi nepieciešami jaunas zāles pļaujmašinas iegādei 310.00 EUR;  projektora iegādei 279.00</t>
  </si>
  <si>
    <t>Ekonomija veidojas no kopētāja iegādes, par šo summu ( 279.00) gribam iegādaties projektoru - tam vērtība INVENTĀRS</t>
  </si>
  <si>
    <t>M.Šteimane</t>
  </si>
  <si>
    <t>Tāme Nr.09.19.1.</t>
  </si>
  <si>
    <t>Jūrmalas pirmsskolas izglītības iestāde "Namiņš"</t>
  </si>
  <si>
    <t>90009249136</t>
  </si>
  <si>
    <t>Poruka prospekts 14, Jūrmala, LV-2008</t>
  </si>
  <si>
    <t>LV80PARX0002484572073</t>
  </si>
  <si>
    <t>LV80PARX0002484573043</t>
  </si>
  <si>
    <t>LV57PARX0002484577046</t>
  </si>
  <si>
    <t>Papildus naudas līdzekļi nepieciešāmi pedagogu darba samaksai.</t>
  </si>
  <si>
    <t xml:space="preserve">Piezīme Valsts budžeta palielinājuma priekšlikumam:  2019.gada  janvāra-augusta un septembra –decembra mēnešiem mērķdotācijā piešķirt līdzekļu summa ir lielāka apstiprināto 2019.g. budžeta tamē par 657 EUR lielu summu  </t>
  </si>
  <si>
    <t>Piezīme pašvaldības budžeta palielinājuma priekšlikumam: Naudas līdzekļi ir nepieciešami uz 2019.gadu ieplanotās naudas balvas (1250 EUR) izmaksai 300 EUR apmērā vadītāja amatalgas palielinājuma dēļ: 1250-950=300 EUR, priekšlikums EUR 300 pārvirzīt no EKK 1150 līdzekļu ekonomijas.</t>
  </si>
  <si>
    <t>Piezīme Valsts budžeta samazinājuma priekšlikumam: apstiprināta budžeta tāmes summa EKK 1149 kodā ir  par EUR 1 lielāka neka piešķirto līdzekļu summa.EKK 1149 kodā ekonomija izveidojas sakarā ar to, ka no 01.09.2019 nav tarificēti skolotāji, kam piešķirta kvalitātes pakāpe, priekšlikums EUR 33 lielu ekonomijas summu pārvirzīt uz EKK 1221.</t>
  </si>
  <si>
    <t>Piezīme pašvaldības budžeta samazinājuma priekšlikumam: ekonomija veidojas no tā, ka aizvietojošs darbinieks uz  pastāvīgo ēkas un teritorijas dežurantu atvaļinājumu laiku tika apieņemts darbā uz īsāku laiku nekā bija ieplānots, priekšlikums EUR 300 lielu ekonomijas summu pārvirzīt uz EKK 1148.</t>
  </si>
  <si>
    <t>Piezīme Valsts budžeta palielinājuma priekšlikumam: mērķdotācijas sadalījumā pa ekonomiskās klasifikācijas kodiem 2019.gada  janvāra-augusta un septembra –decembra mēnešiem piešķirto līdzekļu summa ir lielāka par 168 EUR lielu summu nekā apstiprināts 2019.g. budžeta tamē</t>
  </si>
  <si>
    <t>Piezīme mērķdotācijas budžeta palielinājuma priekšlikumam:  2019.gada  janvāra-augusta un septembra –decembra mēnešiem mērķdotācijā piešķirt līdzekļu summa ir lielāka apstiprināto 2019.g. budžeta tamē par 47 EUR lielu summu; 33 EUR pārvirzīt no 1149 koda ekonomijas- naudas līdzekļi ir nepieciešami slimības naudas samaksai.</t>
  </si>
  <si>
    <t>Naudas līdzekļi ir nepieciešāmi EKK 2212, tāpēc ka nevarēja paredzēt kāda būs abonēšanas maksa pēc atteikšanas no TET interneta pieslēguma. Mēnesi 18.68*2 = 37.36 EUR atlikums tāme uz 14.10.2019 30.77 EUR. Trūkst 37.36-30.77= 6.59 EUR</t>
  </si>
  <si>
    <t>Naudas līdzekļi ir nepieciešami siltumenerģijas rēķinu nomaksai. Līdzekļi siltumenerģijai tika aprēķināti pēc iepriekšējo 3 gadu vidējā patēriņa, kas neatbilda 2018/2019 sezonas patēriņam, kā arī tāpēc, ka sezonas vidū tika paaugstināts tarifs siltumenerģijai. 
Nepieciešamās summas aprēķins veidots, iepriekšējo trīs gadu vidējo patēriņu oktobra un novembra mēnešos un šobrīd spēkā esošo tarifu - 66.08EUR, ieskaitot PVN. 
Oktobrī: 12.87MWh*66.08EUR=850.43
Novembrī: 16.73MWh*66.08EUR=1105.52
kas kopā veido 1955.95EUR.
Tā kā šobrīd atlikumā ir 865.44EUR, tad kopā ar parsīto summu vajadzētu pietikt rēķinu apmaksai.</t>
  </si>
  <si>
    <t>Naudas līdzekļu pārpalikums ir izveidojies, jo plānojot, aprēķins tika veidots balstoties uz 3 gadu vidējo patēriņu, savukārt iestādē tiek veikti elektroenerģijas taupibas pasākumi, kā rezultātā patēriņš bija mazāks par prognozēto.</t>
  </si>
  <si>
    <t xml:space="preserve">Līdzekļi nepieciešami, samaksai par pakalpojumu, lai pārceltu ēdināšanas programmu Kurmis- ēdnīca no vecā datora uz jaunu. </t>
  </si>
  <si>
    <t>Tāme Nr.09.14.1</t>
  </si>
  <si>
    <t>Jūrmalas pirmsskolas izglītības iestāde "Bitīte"</t>
  </si>
  <si>
    <t>90009249210</t>
  </si>
  <si>
    <t>Lēdurgas iela 20a, Jūrmala, LV-2010</t>
  </si>
  <si>
    <t>LV48PARX0002484572067</t>
  </si>
  <si>
    <t>LV48PARX0002484573037</t>
  </si>
  <si>
    <t>LV48PARX00024844577040</t>
  </si>
  <si>
    <t>MD: 3879 EUR ir apstiprinātas budžeta tāmes pārsniegums par piešķirto līdzekļu apjomu.</t>
  </si>
  <si>
    <t>Piezīme Valsts budžeta samazinājuma priekšlikumam: apstiprināta budžeta tāmes summa EKK 1119 kodā ir  par EUR 3036 lielāka neka piešķirto līdzekļu summa.Piezīme Valsts budžeta palielinājuma priekšlikumam: skolotāju aizvietošanas darba apmaksai  EUR 28 piešķirti, bet nav apstiprināti 2019.g. budžeta tāmē EKK 1147 kodam un pārvirzīt EUR 37 no 1147 EKK ekonomijas, EUR 47 pārvirzīt no 1149 EKK ekonomijas.</t>
  </si>
  <si>
    <t>Piezīme Pašvaldības budžeta palielinājuma priekšlikumam: Naudas līdzekļi ir nepieciešami ēkas un teritorijas dežurantu svētku stundu apmaksai par periodā 11.2019 3.00 EUR apmērā:  (1 st.)*2.8571 eur/st.=2.8571 EUR</t>
  </si>
  <si>
    <t>Piezīme Valsts budžeta samazinājuma priekšlikumam: izveidojušos ekonomiju (piemaksas neizmaksas atvaļinājuma laikā dēļ) EUR 37 apmērā novirzīt uz EKK 1119</t>
  </si>
  <si>
    <t>Piezīme Valsts budžeta samazinājuma priekšlikumam: apstiprinātā budžeta tāmes summa EKK 1149 kodā ir  par EUR 180 lielāka neka piešķirto līdzekļu summa. Izveidojušos ekonomiju  (piemaksas netiek izmaksātas atvaļinājuma laikā un netiek apreķinātas piemaksas par noteikto kvalitātes pakāpis skolotājas atbrīvošanas dēļ) EUR 151 apmērā priekšlikums novirzīt uz EKK 1221, bet EUR 47 ekonomijas summu novirzīt uz EKK 1119.</t>
  </si>
  <si>
    <t>Piezīme pašvaldības budžeta samazinājuma priekšlikumam: Naudas līdzekļu ekonomija izveidojas pastāvīga dežuranta īsāka darba nespējas perioda dēļ.</t>
  </si>
  <si>
    <t>Piezīme Valsts budžeta samazinājuma priekšlikumam: apstiprināta budžeta tāmes summa EKK 1210 kodā ir  par EUR 691 lielāka neka piešķirto līdzekļu summa</t>
  </si>
  <si>
    <t>Piezīme Valsts budžeta palielinājuma priekšlikumam: pārvirzīt EUR 151 no EKK 1149 koda ekonomijas plānojamas slimības naudas samaksai</t>
  </si>
  <si>
    <t>Lai samazinātu apkures rēķinu, siltums noslēgts uz minimālo (10grādi), līdz ar to tika patērēta vairāk elektrība ēkas un teritorijas dežurantu dežūras laikā. Tāpēc radusies ekonomija no apkures un iztrūkums elektrībai (EKK 2223).</t>
  </si>
  <si>
    <t xml:space="preserve">Elektroenerģijas patēriņš tika pārtērēts, jo siltums PII "Bitīte" Lēdurgas ielā 20A tika  noslēgts uz minimālo (10grādi). Kopējais vidējais eletroenerģijas patēriņš mēnesī 471eur (PII "Bitīte" Lēdurgas iela 20A, PII "Lācītis" , PII "Mārīte", Mežmalas vidusskola). 2019.gada budžetā atlikums ir 465.60eur, pietrūkst 950eur. </t>
  </si>
  <si>
    <t xml:space="preserve">Pamatojoties uz Jūrmalas pilsētas domes Attīstības pārvaldes Infrastruktūras investīciju projektu nodaļas vēstules, ka būvdarbi plānoti uzsākt 2019.gada rudenī. Līdz ar to, budžetā netika iekļauti līdzekļi siltummezgla pārbaudei pirms apkures sezonas. SIA TASSMA (līg.nr.22019/24TSS). Pamatojoties uz līguma pievienotās tāmes aprēķinu, nepieciešami naudas līdzekļi 462 eur. </t>
  </si>
  <si>
    <t xml:space="preserve">Tika lauzts līgums ar frmu SIA "Veļas cehs", kuru izmaksas bija 0.80eur/1kg. Noslēgts jauns līgums ar firmu SIA "Irve", kuru izmaksas ir 1.15eur/1kg. Līdz ar to radies iztrūkums. Vidējās izmaksas mēnesī par veļas mazgāšanu 90eur (neskaitot aizkaru mazgāšanu). Aizkaru mazgāšana 1.69eur/m3, vidēji 84eur 1x pusgadā. Veļas mazgāšana 90eur x 3mēn = 270eur. 270eur+84eur = 354eur. Atlikums 2019.gada budžetā 146eur, papildus nepieciešami 208eur. </t>
  </si>
  <si>
    <t>Jūrmlas pirmsskolas izglītības iestāde "Katrīna"</t>
  </si>
  <si>
    <t>90009249155</t>
  </si>
  <si>
    <t>Salaspils iela 4, Jūrmala, LV-2010</t>
  </si>
  <si>
    <t>Iestādes uzturēšana un pirmskolas izglītības nodrošināšana</t>
  </si>
  <si>
    <t>LV10PARX0002484572072</t>
  </si>
  <si>
    <t>LV10PARX0002484573042</t>
  </si>
  <si>
    <t>LV84PARX0002484577045</t>
  </si>
  <si>
    <t xml:space="preserve">MD:Papildus naudas līdzekļi ir nepieciešami pedagogu darba samaksai 63 EUR un VSAOI 103.00; piemaksai par papildu darbu 73.00. </t>
  </si>
  <si>
    <t>Piezīme pašvaldības budžeta palielinājuma priekšlikumam: Līdzekļu ekonomija veidojas no neizmaksātas algas darbiniekiem, kas bija attaisnotā ar darba nespējas lapu B prombūtnē. Piezīme Valsts budžeta palielinājuma priekšlikumam: mērķdotācijas sadalījumā pa ekonomiskās klasifikācijas kodiem 2019.gada  janvāra-augusta un septembra –decembra mēnešiem piešķirto līdzekļu summa  ir lielāka par apstiprināta budžeta tāmē par EUR 63.</t>
  </si>
  <si>
    <t>Piezīme pašvaldības budžeta palielinājuma priekšlikumam: Naudas līdzekļi ir nepieciešami ēkas un teritorijas dežurantu svētku stundu apmaksai par periodā 11.2019 38 EUR apmērā:  (13 st.)*2.8571 eur/st.=37.14 EUR</t>
  </si>
  <si>
    <t>Piezīme Valsts budžeta palielinājuma priekšlikumam: mērķdotācijas sadalījumā pa ekonomiskās klasifikācijas kodiem 2019.gada  janvāra-augusta un septembra –decembra mēnešiem piešķirto līdzekļu summa ir lielāka par apstiprināta budžeta tāmē par EUR 73, kas nepieciešami piemaksas samaksai par 2019.g. novembri- decembri</t>
  </si>
  <si>
    <t>Piezīme Valsts budžeta palielinājuma priekšlikumam: mērķdotācijas sadalījumā pa ekonomiskās klasifikācijas kodiem 2019.gada  janvāra-augusta un septembra –decembra mēnešiem piešķirto līdzekļu summair lielāka par apstiprināta budžeta tāmē par EUR 103.</t>
  </si>
  <si>
    <t>Naudas līdzekļu ekonomija veidojas no veselības apdrošināšanas. 2019. gada decembrī apdrošināšana nebūs.</t>
  </si>
  <si>
    <t>Paskaidrojumu skat. Pielikumā Nr. 2</t>
  </si>
  <si>
    <t>Biroja preču atlikums noliktavā liecina, ka preces nav nepieciešams 2019. gadā pasūtīt.</t>
  </si>
  <si>
    <t>Tāme Nr.09.15.1.</t>
  </si>
  <si>
    <t>Tāme Nr.09.5.1.</t>
  </si>
  <si>
    <t>Jūrmalas Valsts ģimnāzija</t>
  </si>
  <si>
    <t>90000051487</t>
  </si>
  <si>
    <t>Raiņa iela 55, Jūrmala, LV-2011</t>
  </si>
  <si>
    <t>LV73PARX0002484572005</t>
  </si>
  <si>
    <t>LV39PARX0002484573005</t>
  </si>
  <si>
    <t>LV97PARX0002484577005</t>
  </si>
  <si>
    <t>Līdzekļu ekonomija novirzīta uz EKK1150</t>
  </si>
  <si>
    <t>Ekonomijas izveidojas vakances dēļ.
Vakances: direktors; izgl.metodiķi, laborants, pag.dienas grupas skolotājs</t>
  </si>
  <si>
    <t>Apkopējas ilgstošas prombūtnes laikā plānots pieņemt darbā ārštata darbinieku
(430 EUR * 2 mēn)</t>
  </si>
  <si>
    <t>Tehniskais precizējums iepriekš.grozījumos</t>
  </si>
  <si>
    <t>Līdzekļi novirzīti no EKK5238 krāsaino printera iegādei</t>
  </si>
  <si>
    <t>Līdzekļi novirzīti uz EKK5238 Stikla tāfeles iegādei</t>
  </si>
  <si>
    <t>-966 EUR Atlikums
+4000 EUR Stikla tāfele ar interaktīvo displeju 
- 426 EUR Krāsainais printeris - līdzekļi novirzīti uz EKK2312</t>
  </si>
  <si>
    <t>V. Ļaudams</t>
  </si>
  <si>
    <t>A. Krīgere</t>
  </si>
  <si>
    <t>Dubultu pr.2, Jūrmala</t>
  </si>
  <si>
    <t>04.230</t>
  </si>
  <si>
    <t>Konts tiks precizēts</t>
  </si>
  <si>
    <t>Mērķtiecīgām darbībām cīņai ar malu zvejniecību, Jūrmalas pilsētas pašvaldības policijai nepieciešams papildus aprīkojums - termālā (binokļa veida) kamera, nakts redzamības (binokļa veida) kamera, binokļi (3gab.), ķermeņa kamera ar aprīkojumu, kvadrokoptera pults,videokamera ar aprīkojumu. Nodrošinot ar papildaprīkojumu, JPPP spēs produktīvāk veikt reidus un apturēt malu zvejniecību, nodrošinot zivju resursu aizsardzību Jūrmalas pilsētas administratīvajā teritorijā.  Paredzēts JPD līdzinansējums EUR 1591.80 apmērā (18.71% no projekta izmaksām), un priekšfinansējums EUR 3457.46 apmērā.</t>
  </si>
  <si>
    <t>Zivju fonda finansējums EUR 6914.93 (81.29% no projekta izmaksām), kods 18.6.2.0.</t>
  </si>
  <si>
    <t>Trīs binokļu iegāde EUR 345.00 apmērā  JPPP Glābšanas dienesta vajadzībām, lai spētu kontrolēt kuģošanas noteikumu ievērošanu, makšķerēšanas un zvejas noteikumu ievērošanu Jūrmalas akvatorijās, kā arī, lai nodrošinātu zivju resursu aizsardzības pasākumus virszemes ūdeņos.</t>
  </si>
  <si>
    <t>Termālās (binokļa veida) kameras iegāde EUR 2950.00, nakts redzamības (binokļa veida) kameras iegāde EUR 2400.00, ķermeņa kameras ar aprīkojumu EUR 530.78 un Dji Mavic2 pro pulta EUR 631.95 iegāde, videokameras ar aprīkojumu iegāde EUR 1649.00 apmērā JPPP Glābšanas dienesta vajadzībām, lai spētu kontrolēt kuģošanas noteikumu ievērošanu, makšķerēšanas un zvejas noteikumu ievērošanu Jūrmalas akvatorijās, kā arī, lai nodrošinātu zivju resursu aizsardzību virszemes ūdeņos.</t>
  </si>
  <si>
    <t>Atgriežamie līdzekļi JPD budžētam EUR 3457.46.</t>
  </si>
  <si>
    <t>Tāme Nr.04.4.2.</t>
  </si>
  <si>
    <t>Projekts "Motocikla un aprīkojuma iegāde zivju resursu aizsardzībai"</t>
  </si>
  <si>
    <t>Tāme Nr.04.3.1.</t>
  </si>
  <si>
    <t>Pašvaldības pamatbudžets</t>
  </si>
  <si>
    <t>Līdzfinansējuma un priekšfinansējuma nodrošināšana ES un citas ārvalstu finanšu palīdzības projektu īstenošanā</t>
  </si>
  <si>
    <t>Pašvaldības budžeta kopējie izdevumu konti</t>
  </si>
  <si>
    <t>Jūrmalas pilsētas pašvaldības iestāde "Jūrmalas kapi"</t>
  </si>
  <si>
    <t>90010691331</t>
  </si>
  <si>
    <t>E. Veidenbauma iela 1, Jūrmala</t>
  </si>
  <si>
    <t>Kapsētu teritoriju apsaimniekošana</t>
  </si>
  <si>
    <t>LV06PARX0002484572144</t>
  </si>
  <si>
    <t>LV08PARX0002484577055</t>
  </si>
  <si>
    <t>Samazinam pašvaldības izdevumu daļu</t>
  </si>
  <si>
    <t>Vidēji mēsesi ieņēmumi no maksas pakalpojumiem 21516 ( izpilde uz 30.09.2019)/9 mēn. = 2390.66 mēn ( ieņēmumi) 2390.66*3 mēn. = 7172 EUR Faktiskā pārpilde uz 30.09.2019: 21516-19000= 2516 EUR Kopā ieņēmumu palielinājums: 2516+7172= 9688 EUR</t>
  </si>
  <si>
    <t>Ieņēmumu par traktora atsavināšanas (izsole)</t>
  </si>
  <si>
    <t>Papildus naudas līdzekļi nepieciešami darba algas samaksai (1.5 mēn) tehniskam darbiniekam, sakarā ar esošo divu tehnisko darbinieku ilgstošo darba nespēju un rudens lapu un zaru savākšanas nepieciešamību. Aprēķins: Oktobrim alga 517.00 EUR ; novembrim ( pus mēnesis) 258.50 Eur; Atvaļinājuma kompensācija 25.85 vid. Izp. 25.85*2.51 dienas= 64.88 Eur Kopā: 517+259+65= 841.00</t>
  </si>
  <si>
    <t>Papildus naudas līdzekļi nepieciešami VSAOI samaksai  tehniskam darbiniekam. Aprēķins : 841*24.09%= 202.59 EUR</t>
  </si>
  <si>
    <t>MP: palielina izdevumus maksas pakalpojumos, un samazina pašvaldības daļu.</t>
  </si>
  <si>
    <t>Ņemot vērā darbu ar kapsētu apmeklētājiem, prognozējama ekonomija atkritumu izvešanas apjomā 1044.00 EUR. MP: palielina izdevumus maksas pakalpojumos, un samazina pašvaldības daļu.</t>
  </si>
  <si>
    <t>Ieņēmumu par traktora atsavināšanu atgriešana JPD.</t>
  </si>
  <si>
    <t>Tāme Nr.06.3.1.</t>
  </si>
  <si>
    <t>Tāme Nr.09.27.1</t>
  </si>
  <si>
    <t>Slokas pamatskola</t>
  </si>
  <si>
    <t>90000051612</t>
  </si>
  <si>
    <t>Skolas iela 3 , Jūrmala , LV - 2010</t>
  </si>
  <si>
    <t>LV24PARX0002484572014</t>
  </si>
  <si>
    <t>LV87PARX0002484573014</t>
  </si>
  <si>
    <t>LV48PARX0002484577014</t>
  </si>
  <si>
    <t>MD  piešķirts finansējums,EUR 3173 un ekonomija EUR 2755: 1) EUR 3102 pamata un vispārējās izglītības pedagogu darba samaksai; 2) EUR 341 Interešu izglītības pedagogu darba samaksai; 3) EUR 1995 programmas Skolas soma īstenošanai, t.sk. pasākumu biļetēm un vilciena biļetēm(rēķina apmaksa); VSAOI - EUR 490</t>
  </si>
  <si>
    <t xml:space="preserve"> MD kodā 1119 pamata un vispārējās izglītības pedagogu algām (turpmāk PVisp)palielināt finansējumu par EUR 4560, t.sk. EUR 942 piešķirtais un EUR 1458 pārceltais no EKK koda 1149. Saskaņā ar 01.09.2019. tarifikāciju mēnesī finansējums EUR 20592.71. Līdz gada beigām tas būtu 4 x 20592.71 = EUR 82371. Papildus EUR 1930.72 nepieciešami līdzekļi dir.vietn.A.Baumanes atvaļinājuma apmaksai. Atvaļinājums pieprasīts pēc bērna piedzimšanas, A.Baumane septembra pedagogu tarifikācijā nav iekļauta. Līdz ar to, PVisp pedagogu algām gada beigās pietrūks finansējums EUR 3649 + 1930.72= 5579.72. Palielināt finansējumu MD Interešu izglītibas pedagogu apmaksai par EUR 341. Saskaņā ar tarifikāciju Interešu izgl.finansējums mēnesī ir EUR 975. Līdz gada beigām (x 4) būs nepieciešami EUR 3900. Papildus EUR 104.28 nepieciešami līdzekļi dir.vietn.A.Baumanes atvaļinājuma apmaksai. </t>
  </si>
  <si>
    <t xml:space="preserve"> MD kodā 1149 samazināt finansējumupar EUR 1458. Saskaņā ar 01.09.2019. Tarifikāciju mēnesī finansējums piemaksām  ir EUR 270.28. Četriem mēnešiem tas būtu 4 x 270.28 =  EUR 1081.12. Līdz ar to, gada beigās plānojams atlikums EUR 1458.69.</t>
  </si>
  <si>
    <t>MD kodā 2010 palielināt fianansējumu par EUR 490 dir.vietnieces A.Baumanes izmaksātā atvaļinājuma VSAOI.</t>
  </si>
  <si>
    <t>PB kodā 2224 tiek palielināts finansējums par EUR 200. Palielinājums nepieciešams sakarā sadzīves atkritumu apjoma palielinājumu un pakalpojuma cenas palielinājumu no 102.06 par tonnu uz 108.16 par tonnu. Pēc septembra rēķina apmaksas palikuši EUR 27. Līdz ar to, tiek plānots, ka atlikušie līdzekļi nepietiks prognozēto oktobra(110) un novembra(110) rēķinu pilnīgai nomaksai.</t>
  </si>
  <si>
    <t>MD kodā 2279 piešķirts finansējums EUR 1995 programmas Skolas soma īstenošanai, t.sk. pasākumu biļetēm un vilciena biļetēm(rēķina apmaksa).</t>
  </si>
  <si>
    <t>PB kodā 5238 samazināt finansējumu par EUR 200. Ieplānotie 2 datori tika iegādāti par lētākām cenām. Rezultātā veidojās līdzekļu ekonomija EUR 765.</t>
  </si>
  <si>
    <t>10.920</t>
  </si>
  <si>
    <t>Projekta ,,Deinstitucionalizācija un sociālie pakalpojumi personām ar invaliditāti un bērniem''</t>
  </si>
  <si>
    <t>LV34TREL981305100400B</t>
  </si>
  <si>
    <t>2000 EUR: Tā kā projekta ietvaros tiek iesaistītas vairāk ģimenes, kurās ir bērni ar invaliditāti un to auklītes/ aprūpētājas, tad ir nepieciešams palielināt atalgojuma summu pakalpojuma nodrošināšanai.
529 EUR: sakarā ar projekta koordinatra maiņu, 529 EUR nepieciešami atvaļinājuma kompensācijai nevis atvaļ.pabalstam.</t>
  </si>
  <si>
    <t xml:space="preserve"> Tā kā projekta ietvaros tiek iesaistītas vairāk ģimenes, kurās ir bērni ar invaliditāti un to auklītes/ aprūpētājas, tad ir nepieciešams palielināt DD VSAOI summu pakalpojuma nodrošināšanai.</t>
  </si>
  <si>
    <t>sakarā ar projekta koordinatra maiņu, 529 EUR nepieciešami atvaļinājuma kompensācijai nevis atvaļ.pabalstam.</t>
  </si>
  <si>
    <t>"Atelpas brīdim" finansējums 2019.g.netiks apgūts pilnībā</t>
  </si>
  <si>
    <t>Tāme Nr.10.2.9.</t>
  </si>
  <si>
    <t>Tāme Nr.9.1.12.</t>
  </si>
  <si>
    <t>LV23TREL9802008033000</t>
  </si>
  <si>
    <t>Tāme Nr.09.11.4.</t>
  </si>
  <si>
    <t>LV46TREL981304700300B</t>
  </si>
  <si>
    <t>Finansējuma aprēķins septembra-novembra algas izmaksai: Atlikums no 0.66 sl - 1328,72 EUR. Nepieciešams jaunai slodzei 850EUR*0.67 sl = 569.50EUR*3mēn =1708.50EUR.</t>
  </si>
  <si>
    <t>Atlikums 320.37 EUR. Aprēķins: 569.50EUR*24.09%=137.19EUR* 3mēn= 411.57 EUR</t>
  </si>
  <si>
    <t>Tāme Nr.09.5.3.</t>
  </si>
  <si>
    <t>LV48TREL981349300500B</t>
  </si>
  <si>
    <t>Sakarā ar iestāžu apvienošanu naudas līdzekļi tiek pārņemti no ssk. "Atvase"</t>
  </si>
  <si>
    <t>Tāme Nr.09.24.3.</t>
  </si>
  <si>
    <t>Jūrmalas sākumskola "Atvase"</t>
  </si>
  <si>
    <t>90001175873</t>
  </si>
  <si>
    <t>Raiņa 53, Jūrmala</t>
  </si>
  <si>
    <t>LV53TREL981305300300B</t>
  </si>
  <si>
    <t>Sakarā ar iestāžu apvienošanu naudas līdzekļi tiek pārcelti Jūrmalas Valsts ģimnāzijai</t>
  </si>
  <si>
    <t>Līdzekļu ekonomija sakarā ar iestāžu apvienošanu</t>
  </si>
  <si>
    <t>Tāme Nr. 09.25.1</t>
  </si>
  <si>
    <t>Sākumskola "Ābelīte"</t>
  </si>
  <si>
    <t>90009251361</t>
  </si>
  <si>
    <t>Plūdu iela 4a, Jūrmala. LV-2015</t>
  </si>
  <si>
    <t>Iestāžu uzturēšana un vispārējās izglītības nodrošināšana</t>
  </si>
  <si>
    <t>LV69PARX0002484572077</t>
  </si>
  <si>
    <t>LV69PARX0002484573047</t>
  </si>
  <si>
    <t>LV46PARX0002484577050</t>
  </si>
  <si>
    <t>Programma Latvijas skolas soma 1. semestrī EUR 679. MD pamata un visp. izgl. EUR 2175, 5-6 gadīgo izgl EUR -897, interešu izgl.EUR +31 .</t>
  </si>
  <si>
    <t>PB: Naudas līdzekļu ekonomija veidojas sakarā ar B slimības lapu. MD: Pamata un vispārējās vid.izgl. EUR+1736; 5-6 gadīgie EUR-375; interešu izgl. EUR +64</t>
  </si>
  <si>
    <t xml:space="preserve">MD:  darbu īpašos apstākļos 5-6 gadu vecuma izglītoš. EUR - 183  </t>
  </si>
  <si>
    <t>PB:Ekas un dežurantu aizvietošana atvaļinājuma laikā : aprēķins 168 h*2.8571=479.99 atvaļ.kompens. 40.00 EUR</t>
  </si>
  <si>
    <t>MD: 5-6 gadīgo EKK EUR -139; vispārējā izgl. EUR 319; interešu izgl. EUR +7 sakarā ar dažādām VSAOI likmēm (pensionāri).</t>
  </si>
  <si>
    <t>MD: pamata un vispārējās izg. EUR +120;  5-6 gadīgo izgl.  EUR -200; interešu izgl. EUR -40</t>
  </si>
  <si>
    <t xml:space="preserve">Nav nepieciešams veikt informāc.tehn.tehniskā apkope,remontu, tehnika ir darba kārtībā. </t>
  </si>
  <si>
    <t>Naudas līdzekļi nepieciešami autobusa nomai. Ekskursija - Melngalvja nams Grēcenieku iela 24. Maršruts Jūrmala - Rīga - Jūrmala , tiks pasūtīti 2 autobusi. Apmēram izmaksas 485 EUR</t>
  </si>
  <si>
    <r>
      <t xml:space="preserve">Pēc jauniem MK noteikumiem ūdens pārbaudi iestādē jāveic vienu reizi divos gados. Nākošā pārbaude 2020. gadā. </t>
    </r>
    <r>
      <rPr>
        <b/>
        <sz val="9"/>
        <rFont val="Times New Roman"/>
        <family val="1"/>
        <charset val="186"/>
      </rPr>
      <t>MD</t>
    </r>
    <r>
      <rPr>
        <sz val="9"/>
        <rFont val="Times New Roman"/>
        <family val="1"/>
        <charset val="186"/>
      </rPr>
      <t>: Naudas līdzekļi nepieciešami biļešu apmaksai ekskursijās laikā. Kopā 97 skolniekiem. Muzeja biļetes maksā 2 eur. Aprēķins: 2 eur x 97 ( skolnieki) = 194 EUR</t>
    </r>
  </si>
  <si>
    <t xml:space="preserve">Atlikums no inventāra iegādes, sakarā ar atlaidēm. </t>
  </si>
  <si>
    <t xml:space="preserve">Atlikums no spectērpu iegādes, sakarā ar atlaidēm. </t>
  </si>
  <si>
    <t>2019. gada apstiprināta budžeta tika piešķirti mazāk ( par 400.00) līdzekļi saimniecības preču iegādei. Papildus naudas līdzekļi nepieciešami : maisi lapām un teritorijas uzkopšanai  sētniekiem  (7 ruļļi x 5,71 = 39,97),  tualetes papīrs (559 gb x 0,29 = 162 (novembris, decembris)), trauku mazg.līdzeklis (40 x 0,44 = 17.60).</t>
  </si>
  <si>
    <t>Atlkums no ledusskapja iegādes, sakarā ar atlaidi.</t>
  </si>
  <si>
    <t>Tāme Nr. 09.18.1</t>
  </si>
  <si>
    <t>Jūrmalas pirmsskolas izglītības iestāde "Mārīte"</t>
  </si>
  <si>
    <t>90009249189</t>
  </si>
  <si>
    <t>Engures iela 4, Jūrmala, LV-2016</t>
  </si>
  <si>
    <t>LV64PARX0002484572070</t>
  </si>
  <si>
    <t>LV64PARX0002484573040</t>
  </si>
  <si>
    <t>LV41PARX0002484577043</t>
  </si>
  <si>
    <t xml:space="preserve">Veidojas finanšu līdzekļu ekonomija </t>
  </si>
  <si>
    <r>
      <rPr>
        <b/>
        <sz val="9"/>
        <rFont val="Times New Roman"/>
        <family val="1"/>
        <charset val="186"/>
      </rPr>
      <t xml:space="preserve">MD: </t>
    </r>
    <r>
      <rPr>
        <sz val="9"/>
        <rFont val="Times New Roman"/>
        <family val="1"/>
        <charset val="186"/>
      </rPr>
      <t>Valsts budžeta palielinājuma priekšlikumam: mērķdotācijas sadalījumā pa ekonomiskās klasifikācijas kodiem 2019.gada  janvāra-augusta un septembra –decembra mēnešiem piešķirto līdzekļu summa ir lielāka par -153.00 EUR  summu nekā apstiprināts 2019.g. budžeta tamē. Veidojas ekonomija, jo oktobra mēnesī (sporta skolotāja vakanta vieta 3 nedeļas).</t>
    </r>
  </si>
  <si>
    <t>Finanšu līdzekļu ekonomija pēc jaunas tarifikācijas nav piemaksas par īpašos apstākļos speciālās piemaksas -378.00 EUR.</t>
  </si>
  <si>
    <t>Finanšu līdzekļu ekonomija pēc jaunas tarifikācijas nav piemaksas par papildus darbu -365.00 EUR.</t>
  </si>
  <si>
    <t>Finanšu līdzekļu ekonomija pēc jaunas tarifikācijas nav piemaksas kas nav iepriekš klasificētas -848.00 EUR.</t>
  </si>
  <si>
    <t>Papildus naudas līdzekļi ir nepieciešami ūdens un kanalizāciju rēķinu apmaksai. Ūdens pārtēriņa nosegšanai ( radās avarijas rezultātā silrumpagrabā)</t>
  </si>
  <si>
    <t>Ekonomija koda 2244 veidojas no (ārdurvju koda slēdzeņu remonta, jo to iestāde veica bērnu vecāki)</t>
  </si>
  <si>
    <t>no koda 5238 papildus naudas līdzekļi ir nepieciešāmi 3 kopējamo iekārtu iegādei</t>
  </si>
  <si>
    <t>Printeru iegādes vērtība ir mazāka par 500 EUR, lai varētu tos iegādāties no koda 5238, līdz ar to veidojās līdzekļu ekonomija.</t>
  </si>
  <si>
    <t>Tāme Nr. 09.13.1</t>
  </si>
  <si>
    <t>Jūrmalas pirmsskolas izglītības iestāde "Austras koks"</t>
  </si>
  <si>
    <t>90009249140</t>
  </si>
  <si>
    <t>Tukuma iela 9, Jūrmala, LV-2012</t>
  </si>
  <si>
    <t>LV91PARX0002484572069</t>
  </si>
  <si>
    <t>LV91PARX0002484573039</t>
  </si>
  <si>
    <t>LV68PARX0002484577042</t>
  </si>
  <si>
    <t xml:space="preserve">Finanšu līdzekļi nepieciešami papildus pedagogu algu izmaksai un VSAOI </t>
  </si>
  <si>
    <r>
      <rPr>
        <b/>
        <sz val="9"/>
        <rFont val="Times New Roman"/>
        <family val="1"/>
        <charset val="186"/>
      </rPr>
      <t xml:space="preserve">MD: </t>
    </r>
    <r>
      <rPr>
        <sz val="9"/>
        <rFont val="Times New Roman"/>
        <family val="1"/>
        <charset val="186"/>
      </rPr>
      <t>Valsts budžeta palielinājuma priekšlikumam: mērķdotācijas sadalījumā pa ekonomiskās klasifikācijas kodiem 2019.gada  janvāra-augusta un septembra –decembra mēnešiem piešķirto līdzekļu summa ir lielāka par 87.00 EUR lielu summu nekā apstiprināts 2019.g. budžeta tamē; 10.00 EUR summu līdzekļu ekonomiju pārvirzīt uz EKK 1147 un 77.00 pārvirzīt uz EKK 1210 ;nepieciešami papildus darba algas samaksai tarificētiem pedagogiem 2019.g. oktobra-decembra menešos.</t>
    </r>
    <r>
      <rPr>
        <b/>
        <sz val="9"/>
        <rFont val="Times New Roman"/>
        <family val="1"/>
        <charset val="186"/>
      </rPr>
      <t>PB:</t>
    </r>
    <r>
      <rPr>
        <sz val="9"/>
        <rFont val="Times New Roman"/>
        <family val="1"/>
        <charset val="186"/>
      </rPr>
      <t xml:space="preserve"> Papildus nepieciešami līdzekļi sakarā ar pedagogu darba algas palielinājumu.</t>
    </r>
  </si>
  <si>
    <t xml:space="preserve"> MD: 2019.gada  janvāra-augusta un septembra –decembra mēnešiem piešķirto līdzekļu summa ir mazāka par 10 EUR  nekā apstiprināts 2019.g. budžeta tamē; 10 EUR summu līdzekļu ekonomiju pārvirzīta no EKK 1119 līdzekļu ekonomijas pārvirzīt uz EKK 1147;nepieciešami papildus piemaksai par papildus darbu darba algas samaksai tarificētiem pedagogiem 2019.g. </t>
  </si>
  <si>
    <t>Papildus līdzekļi nepieciešami ēku un teritorijas dažuranta aizvietošana 2 nedeļas : 475/20d.d.*10 d.= 237.50 + 30.00 ( atvaļinājuma kompensācija) = 267.50 EUR</t>
  </si>
  <si>
    <t>PB:Līdzekļu ekonomija veidojas sakara ar  ilglaicīgu darbinieku slimošanu. MD: Nepieciešami papildus līdzekļi sakarā ar pedagogu darba algas palielināšanos. Pēc 2019.gada  janvāra-augusta un septembra –decembra mēnešiem piešķirto līdzekļu summa ir mazāka par 77.00 EUR  nekā apstiprināts 2019.g. budžeta tamē. No EKK 1119 pārvirzīt 77.00 EUR.</t>
  </si>
  <si>
    <t>PB:Papildus naudas līdzekļi ir nepieciešami slimības naudas izmaksai. PB: Papildus naudas līdzekļi nepieciešami atvaļinājuma pabalsta izmaksai lietvedei 543*50% = 271.50 EUR un 578.00 EUR rezerve slimības lapas izmaksai. MD: Nepieciešami pedagogu slimības naudas izmaksai.</t>
  </si>
  <si>
    <t>Sakarā ar to, ka EKK 2243 paredzētie līdzekļi tika izlietoti neparedzētam remontam veļas žāvētājam T4250 IMESA9 149.44 EUR, pietrūka naudas līdzekļi svaru verif. Un kalibr. Rēķina apmaksai 30.00</t>
  </si>
  <si>
    <t>55 EUR PVD rēķina apmaksai saistībā ar laboratoriskiem izmeklējumiem</t>
  </si>
  <si>
    <t>putnu barotasvas iegādei</t>
  </si>
  <si>
    <t>Sakarā ar to, ka EKK 2243 paredzētie līdzekļ tika izlietoti neparedzētam remontam veļas žāvētājam T4250 IMESA9 149.44 EUR, pietrūka naudas līdzekļi svaru verif. Un kalibr. Rēķina apmaksai 30.00 un 55 EUR PVD rēķina apmaksai saistībā ar laboratoriskiem izmeklējumiem</t>
  </si>
  <si>
    <t>Līdzekļu atlikums ir nepietiekošs, tādēļ novirzāms uz ekk 2312</t>
  </si>
  <si>
    <t>Tāme Nr.09.16.1.</t>
  </si>
  <si>
    <t>Jūrmalas pirmsskolas izglītības iestāde "Lācitis"</t>
  </si>
  <si>
    <t>90009249259</t>
  </si>
  <si>
    <t>Tērbatas iela 42, Jūrmala, LV-2016</t>
  </si>
  <si>
    <t>LV37PARX0002484572071</t>
  </si>
  <si>
    <t>LV37PARX0002484573041</t>
  </si>
  <si>
    <t>LV14PARX0002484577044</t>
  </si>
  <si>
    <t>MD: Papildus naudas līdzekļi ir nepieciešami pedagogu darba samaksai</t>
  </si>
  <si>
    <t>Piezīme Valsts budžeta palielinājuma priekšlikumam: mērķdotācijas sadalījumā pa ekonomiskās klasifikācijas kodiem 2019.gada  janvāra-augusta un septembra –decembra mēnešiem piešķirto līdzekļu summa ir lielāka par apstiprināta budžeta tāmē par EUR 1540 lielu summu, un kas nepieciešama, lai veiktu darba samaksu tarificētiem skolotājiem. Priekšlikums EUR 186 lielu summu pārvirzīt no EKK 1147 ekonomijas, EUR 399 lielu summu pārvirzīt no EKK 1149 ekonomijas, EUR 180 lielu summu pārvirzīt no EKK 1210 ekonomijas, lai veiktu darba samaksu tarificētiem skolotājiem.</t>
  </si>
  <si>
    <t>Piezīme Valsts budžeta palielinājuma priekšlikumam: mērķdotācijas sadalījumā pa ekonomiskās klasifikācijas kodiem 2019.gada  janvāra-augusta un septembra –decembra mēnešiem piešķirto līdzekļu summa ir lielāka par apstiprināta budžeta tāmē par EUR 136 lielu summu. Piezīme Valsts budžeta samazinājuma priekšlikumam: ekonomija izveidojas sakarā ar to, ka naudas līdzekļi sadalīti piemaksai par papildus pedagoģisko darbu netiek pilnībā apguti sakarā ar to, ka atvaļinājuma un slimības laikā piemaksa par papildus pedagoģisko darbu netiek maksāta, priekšlikums EUR 186 lielu summu pārvirzīt uz EKK 1119.</t>
  </si>
  <si>
    <t>Piezīme pašvaldības budžeta palielinājuma priekšlikumam: Naudas līdzekļi ir nepieciešami uz 2019.gadu ieplānotās naudas balvas izmaksai 40 EUR apmērā skolotāju amatalgas palielinājuma dēļ:  750-710=40 EUR, priekšlikums EUR 40 pārvirzīt no EKK 1149 līdzekļu ekonomijas.</t>
  </si>
  <si>
    <t>Piezīme Pašvaldības un Valsts budžetu samazinājuma priekšlikumiem: Finanšu līdzekļu ekonomija veidojas  sakarā ar to, ka kopš 05.2019 nav tarificēti skolotāji, kam piešķirta 3.kvalitātes  pakāpe. Piezīme Valsts budžeta samazinājuma priekšlikumam: apstiprināta budžeta tāmes summa EKK 1149 kodā ir  par EUR 628 lielāka neka piešķirto līdzekļu summa; priekšlikums EKK 1149 kodā ekonomijas EUR 399 lielu summu pārvirzīt uz EKK 1119.</t>
  </si>
  <si>
    <t>Piezīme Valsts budžeta palielinājuma priekšlikumam: mērķdotācijas sadalījumā pa ekonomiskās klasifikācijas kodiem 2019.gada  janvāra-augusta un septembra –decembra mēnešiem piešķirto līdzekļu summa ir lielāka par apstiprināta budžeta tāmē par EUR 482 lielu summu. Piezīme Valsts budžeta samazinājuma priekšlikumam: ekonomija izveidojas sakarā ar to, ka naudas līdzekļi netiek pilnībā apguti, priekšlikums EUR 180 lielu summu pārvirzīt uz EKK 1119</t>
  </si>
  <si>
    <t>Izveidojās līdzekļu ekonomija sakarā ar to,ka nomainījās pakalpojuma sniegšanas operators-no Sia "Lattelecom"uz LMT</t>
  </si>
  <si>
    <t>Trūkst līdzekļu atkritumu izvešanai jo no 01.07.2019.Sia "Clean R"paaugstināja pakalpojuma tarifu.</t>
  </si>
  <si>
    <t>Veļas mazgāšanas pakalpojuma līgumā,kurš bija noslēgts 2018.g.18.04.pakalpojuma tarifs bija Eur 0.98 (ar PVN).Pēc līguma izbeigšanās veicām jaunu iepirkumu,kurā tarifs bija Eur 1.18 ar (PVN.)Pietrūkst līdzekļu jo tika paaugstināts pakalpojuma sniegšanas tarifs.</t>
  </si>
  <si>
    <t>Veidojās līdzekļu ekonomija,jo ūdens monitoringa veikšana izmaksāja lētāk</t>
  </si>
  <si>
    <t>Veidojās līdzekļu ekonomija,jo visu plānoto esam iegādājušies</t>
  </si>
  <si>
    <t>Tāme Nr.09.22.1.</t>
  </si>
  <si>
    <t>Jūrmalas pirmsskolas izglītības iestāde "Zvaniņš"</t>
  </si>
  <si>
    <t>90009251357</t>
  </si>
  <si>
    <t>Lībiešu iela 19, Jūrmala, LV-2015</t>
  </si>
  <si>
    <t>LV53PARX0002484572074</t>
  </si>
  <si>
    <t>LV53PARX0002484573044</t>
  </si>
  <si>
    <t>LV30PARX0002484577047</t>
  </si>
  <si>
    <t>LV64PARX0002484576047</t>
  </si>
  <si>
    <t>MD:Papildus naudas līdzekļi ir nepieciešami  (pēc tarifikācijas) pedagogu darba samaksai 3512.00 EUR un VSAOI 942.00.</t>
  </si>
  <si>
    <t>MD: Valsts budžeta palielinājuma priekšlikumam: mērķdotācijas sadalījumā pa ekonomiskās klasifikācijas kodiem 2019.gada  janvāra-augusta un septembra –decembra mēnešiem piešķirto līdzekļu summa ir mazāka par 3686.00 EUR lielu summu nekā apstiprināts 2019.g. budžeta tamē; 3292+220+174=3686.00 EUR summa nepieciešami papildus darba algas samaksai tarificētiem pedagogiem 2019.g. oktobra-decembra menešos.</t>
  </si>
  <si>
    <t>Finanšu līdzekļu ekonomija pēc jaunas tarifikācijas nav piemaksas par papildus darbu, pārvirzīt naudas līdzerkļus uz 1210 EKK - 174.00.</t>
  </si>
  <si>
    <t>MD: Valsts budžeta palielinājuma priekšlikumam: mērķdotācijas sadalījumā pa ekonomiskās klasifikācijas kodiem 2019.gada  janvāra-augusta un septembra –decembra mēnešiem piešķirto līdzekļu summa ir mazāka par 942.00 EUR lielu summu nekā apstiprināts 2019.g. budžeta tamē; 768.00 EUR summa nepieciešami papildus piemaksai par papildus darbu darba algas samaksai tarificētiem pedagogiem 2019.g. oktobra-decembra menešos un 174.00 EUR pārvirzīti no 1147 EKK. Starpība 768.00 nepieciešama papildus.</t>
  </si>
  <si>
    <t xml:space="preserve">Apkures sezona šogad bija garākā, un ir uzsāktā ātrāk, kopš 23.09.2019, sakara ar aukstiem laikapstākļiem. </t>
  </si>
  <si>
    <t>Tika paredzēts skalot iztukšotās piena pakas, kuras plānojām mest papīra konteinerā,  saņēmām no SIA Clean R aizrādījumu, ka skalotās piena pakas skaitās sadzīves atkritumi.</t>
  </si>
  <si>
    <t>Ekonomija veidojas sakarā ar labiem laikapstākļiem, kuru dēļ iestāde nebija nepieciešamība izmantot ārā prožektorus pavasarī.</t>
  </si>
  <si>
    <t>Iestādei šogad nevajadzēja maksāt dalības maksu Eko skolai.</t>
  </si>
  <si>
    <t xml:space="preserve">Atsaucoties uz MK 890 p.32. ir jānodrošina bērnu lietošanai drošas un no veselībai nekaitīga materiāla izgatavotas mēbeles, kas ir piemērotas bērna ķermeņa īpatnībām, ņemot vērā ergonomikas prasības un principus. Iestādei ir nepieciešams nomainīt bērnu krēslus, kas atbilst iepriekš minētiem noteikumiem.
Dabīgas priedes krēsls ar regulējamām kājām 21,50*20=430
</t>
  </si>
  <si>
    <t>Papildus līdzekļi ir nepieciešami lai, aprīkotu visas grupas ar papildus roku dezinfekciju, atsaucoties uz PVD aktu.</t>
  </si>
  <si>
    <t>Iegādājoties kartupeļu tīrāmo mašīnu saņēmām papildus atlaidi, ko nevarējām paredzēt.</t>
  </si>
  <si>
    <t>Tāme Nr.09.21.1.</t>
  </si>
  <si>
    <t>Rēzeknes pulka iela 28, Jūrmala, LV-2010</t>
  </si>
  <si>
    <t>Iestādes uzturēšana un pirmsskolas izglītības  nodrošināšana</t>
  </si>
  <si>
    <t>LV21PARX0002484572068</t>
  </si>
  <si>
    <t>LV21PARX0002484573038</t>
  </si>
  <si>
    <t>LV95PARX0002484577041</t>
  </si>
  <si>
    <t xml:space="preserve"> Papildus naudas līdzekļ pedagogu darba algas, piemaksu samaksai un VSAOI</t>
  </si>
  <si>
    <t>Piezīme Valsts budžeta palielinājuma priekšlikumam: mērķdotācijas piešķirto līdzekļu summa ir lielāka par 6630 EUR lielu summu nekā apstiprināts 2019.g. budžeta tamē.</t>
  </si>
  <si>
    <t xml:space="preserve">Piezīme Pašvaldības budžeta palielinājuma priekšlikumam: Naudas līdzekļi nepieciešami naksts stundu apmaksai. </t>
  </si>
  <si>
    <t>Piezīme Valsts budžeta palielinājuma priekšlikumam: mērķdotācijas piešķirto līdzekļu summa ir lielāka par 212 EUR lielu summu nekā apstiprināts 2019.g. budžeta tamē.</t>
  </si>
  <si>
    <t>Piezīme Pašvaldības budžeta palielinājuma priekšlikumam: Naudas līdzekļi nepieciešami ieplānoto naudas balvu izmaksai palielinātas amatalgas apmērā 2 skolotājiem: (750-710)*2=80</t>
  </si>
  <si>
    <t>Piezīme Valsts budžeta palielinājuma priekšlikumam: mērķdotācijas piešķirto līdzekļu summa ir lielāka par 162 EUR lielu summu nekā apstiprināts 2019.g. budžeta tamē.</t>
  </si>
  <si>
    <t>Piezīme Valsts budžeta palielinājuma priekšlikumam: mērķdotācijas piešķirto līdzekļu summa ir lielāka par 1942 EUR lielu summu nekā apstiprināts 2019.g. budžeta tamē. PB: Ekonomija veidojas no VSAOI likmju starpības darbiniekiem kas apdrošināti viesiem soc. riskiem un pensionāriem.</t>
  </si>
  <si>
    <t>Piezīme Pašvaldības budžeta palielinājuma priekšlikumam: Naudas līdzekļi nepieciešami ieplānota atvaļinājuma pabalsta izmaksai palielinātas amatalgas apmērā 1 metodiķim: (830-785)*0.45=20.25 un neieplānota bēru pabalsta izmaksai 180 EUR apmērā (apliekama daļa)</t>
  </si>
  <si>
    <t>Piezīme Pašvaldības budžeta palielinājuma priekšlikumam: Naudas līdzekļi nepieciešami neieplānota bēru pabalsta izmaksai 250 EUR apmērā (neapliekama daļa)</t>
  </si>
  <si>
    <t>Papildus naudas līdzekļi nepieciešāmi ūdens un kanalizācijas  izdevumu apmaksai. Dēļ karstās vasaras palielinājās ūdens pātēriņš dobju laistīšanai par 25 m3 ūdens vairāk nekā pagājušā gadā. Aprēķins: ūdens 25m3*1.09 eur= 27.25 notekūdeņu novadīšana:25m3*2.07= 51.75 EUR kopā: 79.00 eur</t>
  </si>
  <si>
    <t>Naudas ekonomija veidojas nomainot atlikušās 17 vecās spuldzes pret jaunām ekonomiskām spuldzēm</t>
  </si>
  <si>
    <t>Naudas līdzekļu ekonomija veidojas no bezmaksas lapu maisu iegādes. ( pilsētā tiek organizēta bezmaksas lapu izvešanai)</t>
  </si>
  <si>
    <t>Naudas līdzekļi ir nepieciešami jaunajam printerim kārtridža iegādei.</t>
  </si>
  <si>
    <t>Naudas līdzekļi ir nepieciešami jauna printera iegādei 155.00 EUR; žalūziju iegādei 386.00 EUR</t>
  </si>
  <si>
    <t>Veidojas ekonomija 203.00 EUR no divu datoru iegādes.</t>
  </si>
  <si>
    <t>Tāme Nr.09.2.1</t>
  </si>
  <si>
    <t>Jūrmalas Alternatīvā skola</t>
  </si>
  <si>
    <t>90000051665</t>
  </si>
  <si>
    <t>Viestura iela 6, Jūrmala</t>
  </si>
  <si>
    <t>LV94PARX0002484572015</t>
  </si>
  <si>
    <t>LV60PARX0002484573015</t>
  </si>
  <si>
    <t>LV21PARX0002484577015</t>
  </si>
  <si>
    <t>1)Vispārējie pedagogi tāme gadam EKK1119 eur 151388, finansējums no 01.01.-31.08.19. eur 100692 un 01.09.-31.12.19. eur 53467, kopā finansējums eur eur 154159, starpība eur -2771. Papildus piešķirtie līdzekļi vispārējiem pedagogiem eur 2418. Kopā eur 5189                                        2) Interešu izglītība tāme gadam eur 8952, finansējums no 01.01.-31.08.19. eur 6324 un 01.09.-31.12.19. eur 3299, kopā finansējums eur 9623, starpība eur -671.                              3) 5-6.gadīgo tāme gadam eur 18592, finansējums 01.01.-31.08.19. eur 12348 un 01.09.-31.12.19 eur 6632, kopā finansējums eur 18980, starpība eur -388.</t>
  </si>
  <si>
    <t>1) vispārējie pedagogi tāme gadam eur36638, finansējums no 01.01.19. eur 24424 un 01.09.-31.12.19. eur 12880, kopā finansējums eur 37304, starpība eur -666.  Papildus piešķirtie līdzekļi vispārējiem pedagogiem eur 582. Kopā eur 1248 .                           2) Interešu izglītība tāme gadam eur 2180, finansējums no 01.01.-31.08.19. eur 1544 un 01.09.-31.12.19. eur 796, kopā finansējums eur 2340, starpība eur -160.                                            3) 5-6.gadīgo tāme gadam eur 4513, finansējums 01.01.-31.08.19. eur 3008 un 01.09.-31.12.19. eur 1596, kopā finansējums eur 4604, starpība eur -91.</t>
  </si>
  <si>
    <t>Projekta "Skolas soma" ietvaros :      1. Zīmējumu teātris, zīmējumu izrāde "Vilks", 60 skolēni EUR 506.80        2. Teātra izrāde "Planēta 85" 19 skolēni EUR 189.00                           3. Izglītojoša ekskursija ritma un skaņas pasaulē 19 skolēni EUR 133.00                                                 4. Izrāde "Viņš ir pliks"20skolēni EUR 140.00                                        5. "Klase jau arī ir tas, ko mums jāiedibina-visus kopā un atsevišķi, lai par mums saka: tie ir labas klases." 15skolēni EUR 75,00                         6. Latvijā veidotu filmu seansi klasēm izglītojošiem nolūkiem"Dvēseļu putenis"  16 skolēni EUR 63.20        7. Vēstures izzināšana Stūra mājā 19 skolēni EUR 76,00</t>
  </si>
  <si>
    <t>1) Divas nerūsējoša tērauda izlietnes ar plauktu un krāniem EUR 499 par katru komplektu(kopā EUR 998,      2) Viens tvaika nosūcējs EUR 495,    3) Trīs nerūisējoša tērauda galdus ar atvilktnēm par EUR 499.99 par katru (kopā EUR 1499.97)</t>
  </si>
  <si>
    <t>Dezinfekcijas līdzekļi, papīra dvieļi, mazgājamie līdzekļi skolas darbības nodrošināšanai</t>
  </si>
  <si>
    <t xml:space="preserve"> PB: Lai nodrošinātu Jūrmalas Alternatīvās skolas higiēnas prasības un inventāra iegādi skolas virtuvei, nepieciešams papildus līdzekļi eur 4693                                            MD: 1) Projekta "Skolas soma" ietvaros piešķirtie līdzekļi mērķdotāciju budžetā 169 bērni*eur 7=eur 1183                              2) Nepietiekamais piešķirtais finansējums atlīdzībām no gada sākuma mērķdotāciju budžetā vispārējiem pedagogiem eur 3437 un papildus piešķirtie līdzekļi vispārējiem pedagogiem eur 3000, kopā vispārējiem pedagogiem eur 6437, interešu izglītības pedagogiem eur 831, 5-6gadīgo izglītības pedagogi eur 479.</t>
  </si>
  <si>
    <t>Atpūtu un sportu veicinošas infrastruktūras izveide, atjaunošana un labiekārtošana</t>
  </si>
  <si>
    <t xml:space="preserve">18.09.2019. ir izsludināts iepirkums par Publiskās slidošanas pakalpojumu organizēšanu Jūrmalas pilsētā, ar piedāvājumu iesniegšanas termiņu 30.09.2019.
26.09.2019. bija iesniegta sūdzība Iepirkumu uzraudzības birojam līdz ar ko piedāvājuma atvēršanas sanāksme ir pārcelta līdz sūdzības izskatīšanas rezultātu paziņošanai no IUB, kas ir paredzēts 31.10.2019. </t>
  </si>
  <si>
    <t>Publiskās slidošanas pakalpojuma organizēšana</t>
  </si>
  <si>
    <t>Tāme Nr.08.5.7.</t>
  </si>
  <si>
    <t>Projekts "Karjeras atbalsts vispārējās un profesionālās izglītības iestādēs"</t>
  </si>
  <si>
    <t>Projekta "Karjeras atbalsts vispārējās un profesionālās izglītības iestādēs"</t>
  </si>
  <si>
    <t xml:space="preserve">Projekts "Karjeras atbalsts vispārējās un profesionālās izglītības iestādēs" </t>
  </si>
  <si>
    <t>Projekts ''Karjeras atbalsts vispārējās un profesionālās izglītības iestādēs''</t>
  </si>
  <si>
    <t xml:space="preserve"> JPAP_R1.7.1._42 JPAP_R1.7.1._43 JPAP_R3.3.1._191   JPAP_R3.3.1._193    JPKAP_U4.2_P4.2.2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</si>
</sst>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_ ;[Red]\-#,##0\ "/>
  </numFmts>
  <fonts count="57"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9"/>
      <color theme="1"/>
      <name val="Times New Roman"/>
      <family val="1"/>
      <charset val="186"/>
    </font>
    <font>
      <b/>
      <sz val="12"/>
      <name val="Times New Roman"/>
      <family val="1"/>
      <charset val="186"/>
    </font>
    <font>
      <b/>
      <i/>
      <sz val="12"/>
      <name val="Times New Roman"/>
      <family val="1"/>
      <charset val="186"/>
    </font>
    <font>
      <sz val="9"/>
      <color theme="9"/>
      <name val="Times New Roman"/>
      <family val="1"/>
      <charset val="186"/>
    </font>
    <font>
      <b/>
      <sz val="9"/>
      <color rgb="FF00B050"/>
      <name val="Times New Roman"/>
      <family val="1"/>
      <charset val="186"/>
    </font>
    <font>
      <sz val="9"/>
      <color theme="9" tint="-0.249977111117893"/>
      <name val="Times New Roman"/>
      <family val="1"/>
      <charset val="186"/>
    </font>
    <font>
      <b/>
      <sz val="9"/>
      <color theme="9" tint="-0.249977111117893"/>
      <name val="Times New Roman"/>
      <family val="1"/>
      <charset val="186"/>
    </font>
    <font>
      <sz val="9"/>
      <color rgb="FF00B050"/>
      <name val="Times New Roman"/>
      <family val="1"/>
      <charset val="186"/>
    </font>
    <font>
      <sz val="10"/>
      <name val="Arial"/>
      <family val="2"/>
      <charset val="186"/>
    </font>
    <font>
      <b/>
      <i/>
      <sz val="10"/>
      <name val="Times New Roman"/>
      <family val="1"/>
      <charset val="186"/>
    </font>
    <font>
      <b/>
      <i/>
      <sz val="9"/>
      <name val="Times New Roman"/>
      <family val="1"/>
      <charset val="186"/>
    </font>
    <font>
      <b/>
      <sz val="9"/>
      <color rgb="FFFF0000"/>
      <name val="Times New Roman"/>
      <family val="1"/>
      <charset val="186"/>
    </font>
    <font>
      <b/>
      <sz val="9"/>
      <color rgb="FF92D050"/>
      <name val="Times New Roman"/>
      <family val="1"/>
      <charset val="186"/>
    </font>
    <font>
      <sz val="9"/>
      <color indexed="8"/>
      <name val="Times New Roman"/>
      <family val="1"/>
      <charset val="186"/>
    </font>
    <font>
      <sz val="7"/>
      <name val="Times New Roman"/>
      <family val="1"/>
      <charset val="186"/>
    </font>
    <font>
      <b/>
      <sz val="9"/>
      <color theme="1"/>
      <name val="Times New Roman"/>
      <family val="1"/>
      <charset val="186"/>
    </font>
    <font>
      <b/>
      <sz val="8"/>
      <name val="Times New Roman"/>
      <family val="1"/>
      <charset val="186"/>
    </font>
    <font>
      <sz val="9"/>
      <color theme="0"/>
      <name val="Times New Roman"/>
      <family val="1"/>
      <charset val="186"/>
    </font>
    <font>
      <b/>
      <u/>
      <sz val="9"/>
      <name val="Times New Roman"/>
      <family val="1"/>
      <charset val="186"/>
    </font>
    <font>
      <u/>
      <sz val="9"/>
      <name val="Times New Roman"/>
      <family val="1"/>
      <charset val="186"/>
    </font>
    <font>
      <sz val="11"/>
      <color theme="1"/>
      <name val="Calibri"/>
      <family val="2"/>
      <charset val="186"/>
      <scheme val="minor"/>
    </font>
    <font>
      <sz val="8"/>
      <name val="Times New Roman"/>
      <family val="1"/>
      <charset val="186"/>
    </font>
    <font>
      <u/>
      <sz val="8"/>
      <name val="Times New Roman"/>
      <family val="1"/>
      <charset val="186"/>
    </font>
    <font>
      <u/>
      <sz val="9"/>
      <color theme="1"/>
      <name val="Times New Roman"/>
      <family val="1"/>
      <charset val="186"/>
    </font>
    <font>
      <sz val="9"/>
      <color rgb="FF000000"/>
      <name val="Times New Roman"/>
      <family val="1"/>
      <charset val="186"/>
    </font>
    <font>
      <u/>
      <sz val="9"/>
      <color rgb="FF000000"/>
      <name val="Times New Roman"/>
      <family val="1"/>
      <charset val="186"/>
    </font>
    <font>
      <b/>
      <sz val="9"/>
      <color rgb="FF000000"/>
      <name val="Times New Roman"/>
      <family val="1"/>
      <charset val="186"/>
    </font>
    <font>
      <sz val="9"/>
      <name val="Arial"/>
      <family val="2"/>
      <charset val="186"/>
    </font>
    <font>
      <b/>
      <sz val="18"/>
      <name val="Times New Roman"/>
      <family val="1"/>
      <charset val="186"/>
    </font>
    <font>
      <i/>
      <sz val="12"/>
      <name val="Times New Roman"/>
      <family val="1"/>
      <charset val="186"/>
    </font>
    <font>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b/>
      <sz val="14"/>
      <name val="Times New Roman"/>
      <family val="1"/>
      <charset val="186"/>
    </font>
    <font>
      <b/>
      <sz val="11"/>
      <name val="Times New Roman"/>
      <family val="1"/>
      <charset val="186"/>
    </font>
    <font>
      <sz val="11"/>
      <color indexed="8"/>
      <name val="Calibri"/>
      <family val="2"/>
      <charset val="186"/>
    </font>
    <font>
      <sz val="11"/>
      <color theme="1"/>
      <name val="Calibri"/>
      <family val="2"/>
      <scheme val="minor"/>
    </font>
    <font>
      <sz val="11"/>
      <name val="Calibri"/>
      <family val="2"/>
      <scheme val="minor"/>
    </font>
    <font>
      <b/>
      <sz val="10"/>
      <name val="Times New Roman"/>
      <family val="1"/>
      <charset val="186"/>
    </font>
    <font>
      <strike/>
      <sz val="9"/>
      <name val="Times New Roman"/>
      <family val="1"/>
      <charset val="186"/>
    </font>
    <font>
      <sz val="11"/>
      <name val="Times New Roman"/>
      <family val="1"/>
      <charset val="186"/>
    </font>
    <font>
      <sz val="9"/>
      <color rgb="FF92D050"/>
      <name val="Times New Roman"/>
      <family val="1"/>
      <charset val="186"/>
    </font>
    <font>
      <sz val="12"/>
      <color theme="1"/>
      <name val="Times New Roman"/>
      <family val="1"/>
      <charset val="186"/>
    </font>
    <font>
      <b/>
      <sz val="14"/>
      <color theme="1"/>
      <name val="Times New Roman"/>
      <family val="1"/>
      <charset val="186"/>
    </font>
    <font>
      <sz val="9"/>
      <name val="Calibri"/>
      <family val="2"/>
      <charset val="186"/>
    </font>
  </fonts>
  <fills count="17">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rgb="FFFFCC00"/>
        <bgColor indexed="64"/>
      </patternFill>
    </fill>
  </fills>
  <borders count="1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hair">
        <color indexed="8"/>
      </left>
      <right style="hair">
        <color indexed="8"/>
      </right>
      <top style="hair">
        <color indexed="8"/>
      </top>
      <bottom style="hair">
        <color indexed="8"/>
      </bottom>
      <diagonal/>
    </border>
    <border>
      <left style="hair">
        <color indexed="64"/>
      </left>
      <right/>
      <top/>
      <bottom/>
      <diagonal/>
    </border>
    <border>
      <left style="thin">
        <color indexed="64"/>
      </left>
      <right/>
      <top style="hair">
        <color indexed="64"/>
      </top>
      <bottom/>
      <diagonal/>
    </border>
    <border>
      <left/>
      <right/>
      <top/>
      <bottom style="hair">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style="hair">
        <color indexed="64"/>
      </left>
      <right/>
      <top style="hair">
        <color indexed="64"/>
      </top>
      <bottom style="thin">
        <color indexed="64"/>
      </bottom>
      <diagonal/>
    </border>
    <border>
      <left/>
      <right style="thin">
        <color indexed="64"/>
      </right>
      <top/>
      <bottom style="thin">
        <color indexed="64"/>
      </bottom>
      <diagonal/>
    </border>
  </borders>
  <cellStyleXfs count="14">
    <xf numFmtId="0" fontId="0" fillId="0" borderId="0"/>
    <xf numFmtId="0" fontId="1" fillId="0" borderId="0"/>
    <xf numFmtId="0" fontId="1" fillId="0" borderId="0"/>
    <xf numFmtId="0" fontId="17" fillId="0" borderId="0"/>
    <xf numFmtId="0" fontId="1" fillId="0" borderId="0"/>
    <xf numFmtId="0" fontId="1" fillId="0" borderId="0"/>
    <xf numFmtId="0" fontId="1" fillId="0" borderId="0"/>
    <xf numFmtId="0" fontId="29" fillId="0" borderId="0"/>
    <xf numFmtId="0" fontId="1" fillId="0" borderId="0"/>
    <xf numFmtId="0" fontId="1" fillId="0" borderId="0"/>
    <xf numFmtId="0" fontId="47" fillId="0" borderId="0"/>
    <xf numFmtId="0" fontId="48" fillId="0" borderId="0"/>
    <xf numFmtId="0" fontId="1" fillId="0" borderId="0"/>
    <xf numFmtId="0" fontId="48" fillId="0" borderId="0"/>
  </cellStyleXfs>
  <cellXfs count="1820">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15" xfId="1" applyFont="1" applyFill="1" applyBorder="1" applyAlignment="1" applyProtection="1">
      <alignment vertical="center"/>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left" vertical="center" wrapText="1"/>
      <protection locked="0"/>
    </xf>
    <xf numFmtId="0" fontId="2" fillId="0" borderId="27" xfId="1" applyFont="1" applyFill="1" applyBorder="1" applyAlignment="1" applyProtection="1">
      <alignment vertical="center" wrapText="1"/>
    </xf>
    <xf numFmtId="0" fontId="2" fillId="0" borderId="27"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5" xfId="1" applyNumberFormat="1" applyFont="1" applyFill="1" applyBorder="1" applyAlignment="1" applyProtection="1">
      <alignment horizontal="right" vertical="center"/>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left" vertical="center" wrapText="1"/>
      <protection locked="0"/>
    </xf>
    <xf numFmtId="0" fontId="2" fillId="0" borderId="39" xfId="1" applyFont="1" applyFill="1" applyBorder="1" applyAlignment="1" applyProtection="1">
      <alignment vertical="center" wrapText="1"/>
    </xf>
    <xf numFmtId="0" fontId="2" fillId="0" borderId="39" xfId="1" applyFont="1" applyFill="1" applyBorder="1" applyAlignment="1" applyProtection="1">
      <alignment horizontal="right" vertical="center" wrapText="1"/>
    </xf>
    <xf numFmtId="3" fontId="2" fillId="0" borderId="39"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3" fontId="2" fillId="0" borderId="41"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left" vertical="center" wrapText="1"/>
      <protection locked="0"/>
    </xf>
    <xf numFmtId="0" fontId="3" fillId="0" borderId="22"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horizontal="right" vertical="center"/>
      <protection locked="0"/>
    </xf>
    <xf numFmtId="3" fontId="2" fillId="3" borderId="24"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vertical="center"/>
    </xf>
    <xf numFmtId="3" fontId="2" fillId="0" borderId="24"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3" fillId="0" borderId="43"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0" fontId="2" fillId="0" borderId="39" xfId="1" applyFont="1" applyFill="1" applyBorder="1" applyAlignment="1" applyProtection="1">
      <alignment horizontal="left" vertical="center" wrapText="1"/>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left" vertical="center" wrapText="1"/>
      <protection locked="0"/>
    </xf>
    <xf numFmtId="0" fontId="2" fillId="0" borderId="51" xfId="1" applyFont="1" applyFill="1" applyBorder="1" applyAlignment="1" applyProtection="1">
      <alignment horizontal="right" vertical="center" wrapText="1"/>
    </xf>
    <xf numFmtId="0" fontId="2" fillId="0" borderId="51"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left" vertical="center" wrapText="1"/>
      <protection locked="0"/>
    </xf>
    <xf numFmtId="0" fontId="3" fillId="0" borderId="55" xfId="1" applyFont="1" applyFill="1" applyBorder="1" applyAlignment="1" applyProtection="1">
      <alignment horizontal="center" vertical="center" wrapText="1"/>
    </xf>
    <xf numFmtId="0" fontId="3" fillId="0" borderId="55"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vertical="center"/>
    </xf>
    <xf numFmtId="0" fontId="3" fillId="0" borderId="51" xfId="1" applyFont="1" applyFill="1" applyBorder="1" applyAlignment="1" applyProtection="1">
      <alignment horizontal="center" vertical="center" wrapText="1"/>
    </xf>
    <xf numFmtId="0" fontId="3" fillId="0" borderId="51" xfId="1" applyFont="1" applyFill="1" applyBorder="1" applyAlignment="1" applyProtection="1">
      <alignment horizontal="left" vertical="center" wrapText="1"/>
    </xf>
    <xf numFmtId="0" fontId="2" fillId="0" borderId="55" xfId="1" applyFont="1" applyFill="1" applyBorder="1" applyAlignment="1" applyProtection="1">
      <alignment horizontal="right" vertical="center" wrapText="1"/>
    </xf>
    <xf numFmtId="0" fontId="2" fillId="0" borderId="55" xfId="1" applyFont="1" applyFill="1" applyBorder="1" applyAlignment="1" applyProtection="1">
      <alignment horizontal="left" vertical="center" wrapText="1"/>
    </xf>
    <xf numFmtId="3" fontId="2" fillId="0" borderId="56"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vertical="center"/>
    </xf>
    <xf numFmtId="0" fontId="2" fillId="0" borderId="55" xfId="1" applyFont="1" applyFill="1" applyBorder="1" applyAlignment="1" applyProtection="1">
      <alignment vertical="center" wrapText="1"/>
    </xf>
    <xf numFmtId="3" fontId="2" fillId="0" borderId="55"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15"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2" fillId="0" borderId="17" xfId="1" applyNumberFormat="1" applyFont="1" applyBorder="1" applyAlignment="1" applyProtection="1">
      <alignment horizontal="right" vertical="center"/>
      <protection locked="0"/>
    </xf>
    <xf numFmtId="3" fontId="2" fillId="0" borderId="18" xfId="1" applyNumberFormat="1" applyFont="1" applyBorder="1" applyAlignment="1" applyProtection="1">
      <alignment horizontal="right" vertical="center"/>
      <protection locked="0"/>
    </xf>
    <xf numFmtId="3" fontId="2" fillId="0" borderId="19" xfId="1" applyNumberFormat="1" applyFont="1" applyBorder="1" applyAlignment="1" applyProtection="1">
      <alignment vertical="center"/>
    </xf>
    <xf numFmtId="3" fontId="2" fillId="0" borderId="19" xfId="1" applyNumberFormat="1" applyFont="1" applyBorder="1" applyAlignment="1" applyProtection="1">
      <alignment horizontal="right" vertical="center"/>
    </xf>
    <xf numFmtId="3" fontId="2" fillId="0" borderId="19" xfId="1" applyNumberFormat="1" applyFont="1" applyBorder="1" applyAlignment="1" applyProtection="1">
      <alignment horizontal="left" vertical="center" wrapText="1"/>
      <protection locked="0"/>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0" fontId="3" fillId="0" borderId="59" xfId="1" applyFont="1" applyFill="1" applyBorder="1" applyAlignment="1" applyProtection="1">
      <alignment vertical="center"/>
    </xf>
    <xf numFmtId="0" fontId="3" fillId="0" borderId="59" xfId="1" applyFont="1" applyFill="1" applyBorder="1" applyAlignment="1" applyProtection="1">
      <alignmen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60"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left" vertical="center" wrapText="1"/>
      <protection locked="0"/>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horizontal="left" vertical="center" wrapText="1"/>
      <protection locked="0"/>
    </xf>
    <xf numFmtId="0" fontId="3" fillId="4" borderId="63" xfId="1" applyFont="1" applyFill="1" applyBorder="1" applyAlignment="1" applyProtection="1">
      <alignment horizontal="left" vertical="center" wrapText="1"/>
    </xf>
    <xf numFmtId="3" fontId="3" fillId="4" borderId="63" xfId="1" applyNumberFormat="1" applyFont="1" applyFill="1" applyBorder="1" applyAlignment="1" applyProtection="1">
      <alignment vertical="center"/>
    </xf>
    <xf numFmtId="3" fontId="3" fillId="4" borderId="64" xfId="1" applyNumberFormat="1" applyFont="1" applyFill="1" applyBorder="1" applyAlignment="1" applyProtection="1">
      <alignment vertical="center"/>
    </xf>
    <xf numFmtId="3" fontId="3" fillId="4" borderId="65" xfId="1" applyNumberFormat="1" applyFont="1" applyFill="1" applyBorder="1" applyAlignment="1" applyProtection="1">
      <alignment vertical="center"/>
    </xf>
    <xf numFmtId="3" fontId="3" fillId="4" borderId="66" xfId="1" applyNumberFormat="1" applyFont="1" applyFill="1" applyBorder="1" applyAlignment="1" applyProtection="1">
      <alignment vertical="center"/>
    </xf>
    <xf numFmtId="3" fontId="3" fillId="4" borderId="6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0" fontId="2" fillId="0" borderId="39" xfId="1" applyFont="1" applyFill="1" applyBorder="1" applyAlignment="1" applyProtection="1">
      <alignment horizontal="center" vertical="center" wrapText="1"/>
    </xf>
    <xf numFmtId="3" fontId="2" fillId="0" borderId="40"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3" borderId="57" xfId="1" applyNumberFormat="1" applyFont="1" applyFill="1" applyBorder="1" applyAlignment="1" applyProtection="1">
      <alignment horizontal="right" vertical="center"/>
      <protection locked="0"/>
    </xf>
    <xf numFmtId="0" fontId="2" fillId="0" borderId="15" xfId="1" applyFont="1" applyFill="1" applyBorder="1" applyAlignment="1" applyProtection="1">
      <alignment horizontal="center" vertical="center" wrapText="1"/>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3" borderId="41"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63" xfId="1" applyFont="1" applyFill="1" applyBorder="1" applyAlignment="1" applyProtection="1">
      <alignment horizontal="left" vertical="center" wrapText="1"/>
    </xf>
    <xf numFmtId="3" fontId="2" fillId="0" borderId="16" xfId="1" applyNumberFormat="1" applyFont="1" applyFill="1" applyBorder="1" applyAlignment="1" applyProtection="1">
      <alignment vertical="center"/>
    </xf>
    <xf numFmtId="0" fontId="2" fillId="0" borderId="16" xfId="1" applyFont="1" applyFill="1" applyBorder="1" applyAlignment="1" applyProtection="1">
      <alignment horizontal="right" vertical="center" wrapText="1"/>
    </xf>
    <xf numFmtId="3" fontId="2" fillId="0" borderId="67"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7"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0" fontId="3" fillId="0" borderId="63"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horizontal="left" vertical="center" wrapText="1"/>
      <protection locked="0"/>
    </xf>
    <xf numFmtId="1" fontId="3" fillId="4" borderId="63" xfId="1" applyNumberFormat="1" applyFont="1" applyFill="1" applyBorder="1" applyAlignment="1" applyProtection="1">
      <alignment horizontal="left" vertical="center" wrapText="1"/>
    </xf>
    <xf numFmtId="1" fontId="3" fillId="0" borderId="43"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0" fontId="3" fillId="4" borderId="43" xfId="1" applyFont="1" applyFill="1" applyBorder="1" applyAlignment="1" applyProtection="1">
      <alignment horizontal="left" vertical="center" wrapText="1"/>
    </xf>
    <xf numFmtId="3" fontId="3" fillId="4" borderId="43" xfId="1" applyNumberFormat="1" applyFont="1" applyFill="1" applyBorder="1" applyAlignment="1" applyProtection="1">
      <alignment vertical="center"/>
    </xf>
    <xf numFmtId="3" fontId="3" fillId="4" borderId="44" xfId="1" applyNumberFormat="1" applyFont="1" applyFill="1" applyBorder="1" applyAlignment="1" applyProtection="1">
      <alignment vertical="center"/>
    </xf>
    <xf numFmtId="3" fontId="3" fillId="4" borderId="45" xfId="1" applyNumberFormat="1" applyFont="1" applyFill="1" applyBorder="1" applyAlignment="1" applyProtection="1">
      <alignment vertical="center"/>
    </xf>
    <xf numFmtId="3" fontId="3" fillId="4" borderId="46" xfId="1" applyNumberFormat="1" applyFont="1" applyFill="1" applyBorder="1" applyAlignment="1" applyProtection="1">
      <alignment vertical="center"/>
    </xf>
    <xf numFmtId="3" fontId="3" fillId="4" borderId="46" xfId="1" applyNumberFormat="1"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xf>
    <xf numFmtId="0" fontId="3" fillId="5" borderId="70" xfId="1" applyFont="1" applyFill="1" applyBorder="1" applyAlignment="1" applyProtection="1">
      <alignment horizontal="left" vertical="center" wrapText="1"/>
    </xf>
    <xf numFmtId="0" fontId="3" fillId="5" borderId="39" xfId="1" applyFont="1" applyFill="1" applyBorder="1" applyAlignment="1" applyProtection="1">
      <alignment horizontal="left" vertical="center" wrapText="1"/>
    </xf>
    <xf numFmtId="3" fontId="3" fillId="5" borderId="55" xfId="1" applyNumberFormat="1" applyFont="1" applyFill="1" applyBorder="1" applyAlignment="1" applyProtection="1">
      <alignment vertical="center"/>
    </xf>
    <xf numFmtId="3" fontId="3" fillId="5" borderId="56" xfId="1" applyNumberFormat="1" applyFont="1" applyFill="1" applyBorder="1" applyAlignment="1" applyProtection="1">
      <alignment vertical="center"/>
    </xf>
    <xf numFmtId="3" fontId="3" fillId="5" borderId="57" xfId="1" applyNumberFormat="1" applyFont="1" applyFill="1" applyBorder="1" applyAlignment="1" applyProtection="1">
      <alignment vertical="center"/>
    </xf>
    <xf numFmtId="3" fontId="3" fillId="5" borderId="58" xfId="1" applyNumberFormat="1" applyFont="1" applyFill="1" applyBorder="1" applyAlignment="1" applyProtection="1">
      <alignment vertical="center"/>
    </xf>
    <xf numFmtId="3" fontId="3" fillId="5" borderId="58" xfId="1" applyNumberFormat="1" applyFont="1" applyFill="1" applyBorder="1" applyAlignment="1" applyProtection="1">
      <alignment horizontal="left" vertical="center" wrapText="1"/>
      <protection locked="0"/>
    </xf>
    <xf numFmtId="0" fontId="3" fillId="0" borderId="70" xfId="1" applyFont="1" applyFill="1" applyBorder="1" applyAlignment="1" applyProtection="1">
      <alignment horizontal="left" vertical="center" wrapText="1"/>
    </xf>
    <xf numFmtId="0" fontId="2" fillId="0" borderId="70" xfId="1" applyFont="1" applyFill="1" applyBorder="1" applyAlignment="1" applyProtection="1">
      <alignment horizontal="center" vertical="center" wrapText="1"/>
    </xf>
    <xf numFmtId="0" fontId="2" fillId="0" borderId="43"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3" fillId="0" borderId="73"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vertical="center"/>
    </xf>
    <xf numFmtId="0" fontId="2" fillId="0" borderId="55" xfId="1" applyFont="1" applyFill="1" applyBorder="1" applyAlignment="1" applyProtection="1">
      <alignment vertical="center"/>
    </xf>
    <xf numFmtId="0" fontId="2" fillId="0" borderId="16" xfId="1" applyFont="1" applyFill="1" applyBorder="1" applyAlignment="1" applyProtection="1">
      <alignment vertical="center"/>
    </xf>
    <xf numFmtId="0" fontId="2" fillId="0" borderId="16" xfId="1" applyFont="1" applyFill="1" applyBorder="1" applyAlignment="1" applyProtection="1">
      <alignment vertical="center" wrapText="1"/>
    </xf>
    <xf numFmtId="0" fontId="3" fillId="0" borderId="73" xfId="1" applyFont="1" applyFill="1" applyBorder="1" applyAlignment="1" applyProtection="1">
      <alignment vertical="center"/>
    </xf>
    <xf numFmtId="3" fontId="3" fillId="0" borderId="71"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0" fontId="2" fillId="0" borderId="0" xfId="1" applyFont="1" applyAlignment="1">
      <alignment vertical="center"/>
    </xf>
    <xf numFmtId="0" fontId="2" fillId="0" borderId="0" xfId="1" quotePrefix="1" applyFont="1" applyAlignment="1">
      <alignment horizontal="left" vertical="center"/>
    </xf>
    <xf numFmtId="0" fontId="11" fillId="0" borderId="0" xfId="1" applyFont="1" applyAlignment="1">
      <alignment vertical="center"/>
    </xf>
    <xf numFmtId="49" fontId="3" fillId="0" borderId="0" xfId="1" applyNumberFormat="1" applyFont="1" applyFill="1" applyAlignment="1">
      <alignment vertical="center"/>
    </xf>
    <xf numFmtId="49" fontId="3" fillId="0" borderId="0" xfId="1" applyNumberFormat="1" applyFont="1" applyAlignment="1">
      <alignment vertical="center"/>
    </xf>
    <xf numFmtId="3" fontId="3" fillId="0" borderId="41" xfId="1" applyNumberFormat="1" applyFont="1" applyBorder="1" applyAlignment="1">
      <alignment vertical="center" wrapText="1"/>
    </xf>
    <xf numFmtId="3" fontId="2" fillId="0" borderId="41" xfId="1" applyNumberFormat="1" applyFont="1" applyBorder="1" applyAlignment="1">
      <alignment vertical="center" wrapText="1"/>
    </xf>
    <xf numFmtId="0" fontId="2" fillId="0" borderId="41" xfId="1" applyFont="1" applyBorder="1" applyAlignment="1" applyProtection="1">
      <alignment horizontal="center" vertical="center" wrapText="1"/>
      <protection locked="0"/>
    </xf>
    <xf numFmtId="3" fontId="3" fillId="0" borderId="41" xfId="1" applyNumberFormat="1" applyFont="1" applyBorder="1" applyAlignment="1" applyProtection="1">
      <alignment horizontal="center" vertical="center" wrapText="1"/>
      <protection locked="0"/>
    </xf>
    <xf numFmtId="3" fontId="2" fillId="0" borderId="41" xfId="1" applyNumberFormat="1" applyFont="1" applyBorder="1" applyAlignment="1" applyProtection="1">
      <alignment horizontal="right" vertical="center" wrapText="1"/>
      <protection locked="0"/>
    </xf>
    <xf numFmtId="3" fontId="3" fillId="6" borderId="41" xfId="1" applyNumberFormat="1" applyFont="1" applyFill="1" applyBorder="1" applyAlignment="1" applyProtection="1">
      <alignment vertical="center" wrapText="1"/>
      <protection locked="0"/>
    </xf>
    <xf numFmtId="3" fontId="2" fillId="0" borderId="41" xfId="1" applyNumberFormat="1" applyFont="1" applyBorder="1" applyAlignment="1" applyProtection="1">
      <alignment vertical="center" wrapText="1"/>
      <protection locked="0"/>
    </xf>
    <xf numFmtId="3" fontId="2" fillId="0" borderId="41" xfId="1" applyNumberFormat="1" applyFont="1" applyBorder="1" applyAlignment="1" applyProtection="1">
      <alignment horizontal="center" vertical="center" wrapText="1"/>
      <protection locked="0"/>
    </xf>
    <xf numFmtId="3" fontId="3" fillId="0" borderId="41" xfId="1" applyNumberFormat="1" applyFont="1" applyFill="1" applyBorder="1" applyAlignment="1" applyProtection="1">
      <alignment vertical="center" wrapText="1"/>
      <protection locked="0"/>
    </xf>
    <xf numFmtId="0" fontId="2" fillId="0" borderId="41" xfId="1" applyFont="1" applyBorder="1" applyAlignment="1" applyProtection="1">
      <alignment horizontal="center" vertical="center"/>
      <protection locked="0"/>
    </xf>
    <xf numFmtId="3" fontId="3" fillId="0" borderId="41" xfId="1" applyNumberFormat="1" applyFont="1" applyBorder="1" applyAlignment="1" applyProtection="1">
      <alignment horizontal="center" vertical="center"/>
      <protection locked="0"/>
    </xf>
    <xf numFmtId="3" fontId="2" fillId="7" borderId="41" xfId="1" applyNumberFormat="1" applyFont="1" applyFill="1" applyBorder="1" applyAlignment="1" applyProtection="1">
      <alignment horizontal="center" vertical="center" wrapText="1"/>
      <protection locked="0"/>
    </xf>
    <xf numFmtId="0" fontId="3" fillId="0" borderId="0" xfId="1" applyFont="1" applyFill="1"/>
    <xf numFmtId="0" fontId="2" fillId="0" borderId="0" xfId="1" applyFont="1" applyAlignment="1">
      <alignment wrapText="1"/>
    </xf>
    <xf numFmtId="0" fontId="2" fillId="0" borderId="0" xfId="1" applyFont="1" applyFill="1"/>
    <xf numFmtId="0" fontId="2" fillId="0" borderId="0" xfId="1" applyFont="1"/>
    <xf numFmtId="0" fontId="2" fillId="0" borderId="0" xfId="1" applyFont="1" applyFill="1" applyAlignment="1">
      <alignment horizontal="left"/>
    </xf>
    <xf numFmtId="0" fontId="2" fillId="0" borderId="0" xfId="1" applyFont="1" applyAlignment="1">
      <alignment horizontal="left"/>
    </xf>
    <xf numFmtId="0" fontId="2" fillId="0" borderId="0" xfId="1" applyFont="1" applyAlignment="1" applyProtection="1">
      <alignment vertical="center"/>
      <protection locked="0"/>
    </xf>
    <xf numFmtId="0" fontId="2" fillId="0" borderId="0" xfId="1" applyFont="1" applyAlignment="1">
      <alignment horizontal="right" vertical="center"/>
    </xf>
    <xf numFmtId="3" fontId="12" fillId="0" borderId="41" xfId="1" applyNumberFormat="1" applyFont="1" applyFill="1" applyBorder="1" applyAlignment="1" applyProtection="1">
      <alignment horizontal="right" vertical="center"/>
      <protection locked="0"/>
    </xf>
    <xf numFmtId="3" fontId="13" fillId="0" borderId="24" xfId="1" applyNumberFormat="1" applyFont="1" applyFill="1" applyBorder="1" applyAlignment="1" applyProtection="1">
      <alignment horizontal="right" vertical="center"/>
      <protection locked="0"/>
    </xf>
    <xf numFmtId="3" fontId="12" fillId="7" borderId="45" xfId="1" applyNumberFormat="1" applyFont="1" applyFill="1" applyBorder="1" applyAlignment="1" applyProtection="1">
      <alignment horizontal="right" vertical="center"/>
      <protection locked="0"/>
    </xf>
    <xf numFmtId="3" fontId="14" fillId="0" borderId="41" xfId="1" applyNumberFormat="1" applyFont="1" applyFill="1" applyBorder="1" applyAlignment="1" applyProtection="1">
      <alignment horizontal="right" vertical="center"/>
      <protection locked="0"/>
    </xf>
    <xf numFmtId="0" fontId="2" fillId="0" borderId="39" xfId="1" applyFont="1" applyFill="1" applyBorder="1" applyAlignment="1" applyProtection="1">
      <alignment vertical="center"/>
      <protection locked="0"/>
    </xf>
    <xf numFmtId="3" fontId="15" fillId="0" borderId="41" xfId="1" applyNumberFormat="1" applyFont="1" applyFill="1" applyBorder="1" applyAlignment="1" applyProtection="1">
      <alignment horizontal="right" vertical="center"/>
      <protection locked="0"/>
    </xf>
    <xf numFmtId="3" fontId="14" fillId="0" borderId="57" xfId="1" applyNumberFormat="1" applyFont="1" applyFill="1" applyBorder="1" applyAlignment="1" applyProtection="1">
      <alignment horizontal="right" vertical="center"/>
      <protection locked="0"/>
    </xf>
    <xf numFmtId="3" fontId="2" fillId="7" borderId="58" xfId="1" applyNumberFormat="1" applyFont="1" applyFill="1" applyBorder="1" applyAlignment="1" applyProtection="1">
      <alignment horizontal="left" vertical="center" wrapText="1"/>
      <protection locked="0"/>
    </xf>
    <xf numFmtId="3" fontId="14" fillId="0" borderId="18" xfId="1" applyNumberFormat="1" applyFont="1" applyFill="1" applyBorder="1" applyAlignment="1" applyProtection="1">
      <alignment horizontal="right" vertical="center"/>
      <protection locked="0"/>
    </xf>
    <xf numFmtId="3" fontId="12" fillId="0" borderId="41" xfId="1" applyNumberFormat="1" applyFont="1" applyFill="1" applyBorder="1" applyAlignment="1" applyProtection="1">
      <alignment vertical="center"/>
      <protection locked="0"/>
    </xf>
    <xf numFmtId="3" fontId="14" fillId="0" borderId="41"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horizontal="left" vertical="center" wrapText="1"/>
      <protection locked="0"/>
    </xf>
    <xf numFmtId="3" fontId="16" fillId="0" borderId="41" xfId="1" applyNumberFormat="1" applyFont="1" applyFill="1" applyBorder="1" applyAlignment="1" applyProtection="1">
      <alignment vertical="center"/>
      <protection locked="0"/>
    </xf>
    <xf numFmtId="3" fontId="14" fillId="0" borderId="57" xfId="1" applyNumberFormat="1" applyFont="1" applyFill="1" applyBorder="1" applyAlignment="1" applyProtection="1">
      <alignment vertical="center"/>
      <protection locked="0"/>
    </xf>
    <xf numFmtId="3" fontId="13" fillId="0" borderId="41" xfId="1" applyNumberFormat="1" applyFont="1" applyFill="1" applyBorder="1" applyAlignment="1" applyProtection="1">
      <alignment vertical="center"/>
      <protection locked="0"/>
    </xf>
    <xf numFmtId="0" fontId="9" fillId="0" borderId="39" xfId="0" applyFont="1" applyBorder="1" applyAlignment="1" applyProtection="1">
      <alignment vertical="center" wrapText="1"/>
      <protection locked="0"/>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0" xfId="2" applyFont="1" applyAlignment="1"/>
    <xf numFmtId="0" fontId="2" fillId="0" borderId="0" xfId="2" applyFont="1"/>
    <xf numFmtId="0" fontId="2" fillId="0" borderId="0" xfId="2" applyFont="1" applyAlignment="1">
      <alignment horizontal="left"/>
    </xf>
    <xf numFmtId="0" fontId="10" fillId="0" borderId="0" xfId="2" applyFont="1" applyAlignment="1">
      <alignment horizontal="center"/>
    </xf>
    <xf numFmtId="0" fontId="11" fillId="0" borderId="0" xfId="2" applyFont="1" applyAlignment="1"/>
    <xf numFmtId="0" fontId="2" fillId="0" borderId="41" xfId="2" applyFont="1" applyBorder="1" applyAlignment="1">
      <alignment horizontal="center" vertical="center" wrapText="1"/>
    </xf>
    <xf numFmtId="0" fontId="2" fillId="0" borderId="41" xfId="1" applyFont="1" applyBorder="1" applyAlignment="1">
      <alignment horizontal="center" vertical="center" wrapText="1"/>
    </xf>
    <xf numFmtId="3" fontId="3" fillId="0" borderId="41" xfId="2" applyNumberFormat="1" applyFont="1" applyBorder="1" applyAlignment="1">
      <alignment horizontal="right" vertical="center" wrapText="1"/>
    </xf>
    <xf numFmtId="3" fontId="3" fillId="0" borderId="41" xfId="2" applyNumberFormat="1" applyFont="1" applyBorder="1" applyAlignment="1">
      <alignment vertical="center" wrapText="1"/>
    </xf>
    <xf numFmtId="0" fontId="2" fillId="0" borderId="75" xfId="1" applyFont="1" applyBorder="1" applyAlignment="1" applyProtection="1">
      <alignment vertical="center" wrapText="1"/>
      <protection locked="0"/>
    </xf>
    <xf numFmtId="3" fontId="3" fillId="0" borderId="41" xfId="1" applyNumberFormat="1" applyFont="1" applyFill="1" applyBorder="1" applyAlignment="1" applyProtection="1">
      <alignment horizontal="right" vertical="center" wrapText="1"/>
      <protection locked="0"/>
    </xf>
    <xf numFmtId="3" fontId="2" fillId="0" borderId="41" xfId="2" applyNumberFormat="1" applyFont="1" applyBorder="1" applyAlignment="1">
      <alignment horizontal="right" vertical="center" wrapText="1"/>
    </xf>
    <xf numFmtId="3" fontId="2" fillId="0" borderId="41" xfId="1" applyNumberFormat="1" applyFont="1" applyBorder="1" applyAlignment="1" applyProtection="1">
      <alignment horizontal="left" vertical="center" wrapText="1"/>
      <protection locked="0"/>
    </xf>
    <xf numFmtId="3" fontId="3" fillId="6" borderId="41" xfId="1" applyNumberFormat="1" applyFont="1" applyFill="1" applyBorder="1" applyAlignment="1" applyProtection="1">
      <alignment horizontal="right" vertical="center" wrapText="1"/>
      <protection locked="0"/>
    </xf>
    <xf numFmtId="0" fontId="2" fillId="0" borderId="68" xfId="1" applyFont="1" applyBorder="1" applyAlignment="1" applyProtection="1">
      <alignment horizontal="center" vertical="center" wrapText="1"/>
      <protection locked="0"/>
    </xf>
    <xf numFmtId="0" fontId="2" fillId="0" borderId="77" xfId="1" applyFont="1" applyBorder="1" applyAlignment="1" applyProtection="1">
      <alignment vertical="center" wrapText="1"/>
      <protection locked="0"/>
    </xf>
    <xf numFmtId="3" fontId="3" fillId="0" borderId="68" xfId="1" applyNumberFormat="1" applyFont="1" applyBorder="1" applyAlignment="1" applyProtection="1">
      <alignment horizontal="center" vertical="center" wrapText="1"/>
      <protection locked="0"/>
    </xf>
    <xf numFmtId="3" fontId="2" fillId="0" borderId="68" xfId="1" applyNumberFormat="1" applyFont="1" applyBorder="1" applyAlignment="1" applyProtection="1">
      <alignment horizontal="right" vertical="center" wrapText="1"/>
      <protection locked="0"/>
    </xf>
    <xf numFmtId="3" fontId="3" fillId="0" borderId="68" xfId="1" applyNumberFormat="1" applyFont="1" applyFill="1" applyBorder="1" applyAlignment="1" applyProtection="1">
      <alignment horizontal="right" vertical="center" wrapText="1"/>
      <protection locked="0"/>
    </xf>
    <xf numFmtId="3" fontId="2" fillId="0" borderId="68" xfId="1" applyNumberFormat="1" applyFont="1" applyBorder="1" applyAlignment="1" applyProtection="1">
      <alignment horizontal="left" vertical="center" wrapText="1"/>
      <protection locked="0"/>
    </xf>
    <xf numFmtId="0" fontId="2" fillId="0" borderId="0" xfId="2" applyFont="1" applyBorder="1" applyAlignment="1">
      <alignment wrapText="1"/>
    </xf>
    <xf numFmtId="0" fontId="3" fillId="0" borderId="0" xfId="1" applyFont="1" applyAlignment="1">
      <alignment vertical="center"/>
    </xf>
    <xf numFmtId="0" fontId="2" fillId="0" borderId="0" xfId="2" applyFont="1" applyAlignment="1">
      <alignment horizontal="right"/>
    </xf>
    <xf numFmtId="0" fontId="2" fillId="7" borderId="39" xfId="1" applyFont="1" applyFill="1" applyBorder="1" applyAlignment="1" applyProtection="1">
      <alignment horizontal="right" vertical="center" wrapText="1"/>
    </xf>
    <xf numFmtId="0" fontId="2" fillId="7" borderId="39" xfId="1" applyFont="1" applyFill="1" applyBorder="1" applyAlignment="1" applyProtection="1">
      <alignment horizontal="left" vertical="center" wrapText="1"/>
    </xf>
    <xf numFmtId="3" fontId="2" fillId="7" borderId="39" xfId="1" applyNumberFormat="1" applyFont="1" applyFill="1" applyBorder="1" applyAlignment="1" applyProtection="1">
      <alignment vertical="center"/>
    </xf>
    <xf numFmtId="3" fontId="2" fillId="7" borderId="40" xfId="1" applyNumberFormat="1" applyFont="1" applyFill="1" applyBorder="1" applyAlignment="1" applyProtection="1">
      <alignment horizontal="right" vertical="center"/>
      <protection locked="0"/>
    </xf>
    <xf numFmtId="3" fontId="2" fillId="7" borderId="41" xfId="1" applyNumberFormat="1" applyFont="1" applyFill="1" applyBorder="1" applyAlignment="1" applyProtection="1">
      <alignment horizontal="right" vertical="center"/>
      <protection locked="0"/>
    </xf>
    <xf numFmtId="3" fontId="2" fillId="7" borderId="42" xfId="1" applyNumberFormat="1" applyFont="1" applyFill="1" applyBorder="1" applyAlignment="1" applyProtection="1">
      <alignment vertical="center"/>
    </xf>
    <xf numFmtId="3" fontId="2" fillId="7" borderId="6" xfId="1" applyNumberFormat="1" applyFont="1" applyFill="1" applyBorder="1" applyAlignment="1" applyProtection="1">
      <alignment vertical="center" wrapText="1"/>
      <protection locked="0"/>
    </xf>
    <xf numFmtId="3" fontId="2" fillId="7" borderId="40" xfId="1" applyNumberFormat="1" applyFont="1" applyFill="1" applyBorder="1" applyAlignment="1" applyProtection="1">
      <alignment vertical="center"/>
      <protection locked="0"/>
    </xf>
    <xf numFmtId="3" fontId="2" fillId="7" borderId="41" xfId="1" applyNumberFormat="1" applyFont="1" applyFill="1" applyBorder="1" applyAlignment="1" applyProtection="1">
      <alignment vertical="center"/>
      <protection locked="0"/>
    </xf>
    <xf numFmtId="3" fontId="2" fillId="7" borderId="42" xfId="1" applyNumberFormat="1" applyFont="1" applyFill="1" applyBorder="1" applyAlignment="1" applyProtection="1">
      <alignment horizontal="left" vertical="center" wrapText="1"/>
      <protection locked="0"/>
    </xf>
    <xf numFmtId="0" fontId="2" fillId="8" borderId="39" xfId="1" applyFont="1" applyFill="1" applyBorder="1" applyAlignment="1" applyProtection="1">
      <alignment horizontal="left" vertical="center" wrapText="1"/>
    </xf>
    <xf numFmtId="3" fontId="2" fillId="8" borderId="39" xfId="1" applyNumberFormat="1" applyFont="1" applyFill="1" applyBorder="1" applyAlignment="1" applyProtection="1">
      <alignment vertical="center"/>
    </xf>
    <xf numFmtId="3" fontId="2" fillId="8" borderId="40" xfId="1" applyNumberFormat="1" applyFont="1" applyFill="1" applyBorder="1" applyAlignment="1" applyProtection="1">
      <alignment vertical="center"/>
      <protection locked="0"/>
    </xf>
    <xf numFmtId="3" fontId="2" fillId="8" borderId="41" xfId="1" applyNumberFormat="1" applyFont="1" applyFill="1" applyBorder="1" applyAlignment="1" applyProtection="1">
      <alignment vertical="center"/>
      <protection locked="0"/>
    </xf>
    <xf numFmtId="3" fontId="2" fillId="8" borderId="42" xfId="1" applyNumberFormat="1" applyFont="1" applyFill="1" applyBorder="1" applyAlignment="1" applyProtection="1">
      <alignment vertical="center"/>
    </xf>
    <xf numFmtId="3" fontId="2" fillId="8" borderId="40" xfId="1" applyNumberFormat="1" applyFont="1" applyFill="1" applyBorder="1" applyAlignment="1" applyProtection="1">
      <alignment horizontal="right" vertical="center"/>
      <protection locked="0"/>
    </xf>
    <xf numFmtId="3" fontId="2" fillId="8" borderId="41" xfId="1" applyNumberFormat="1" applyFont="1" applyFill="1" applyBorder="1" applyAlignment="1" applyProtection="1">
      <alignment horizontal="right" vertical="center"/>
      <protection locked="0"/>
    </xf>
    <xf numFmtId="3" fontId="2" fillId="8" borderId="42" xfId="1" applyNumberFormat="1" applyFont="1" applyFill="1" applyBorder="1" applyAlignment="1" applyProtection="1">
      <alignment horizontal="left" vertical="center" wrapText="1"/>
      <protection locked="0"/>
    </xf>
    <xf numFmtId="3" fontId="16" fillId="0" borderId="41" xfId="1" applyNumberFormat="1" applyFont="1" applyFill="1" applyBorder="1" applyAlignment="1" applyProtection="1">
      <alignment horizontal="right" vertical="center"/>
      <protection locked="0"/>
    </xf>
    <xf numFmtId="3" fontId="16" fillId="0" borderId="42" xfId="1" applyNumberFormat="1" applyFont="1" applyFill="1" applyBorder="1" applyAlignment="1" applyProtection="1">
      <alignment horizontal="left" vertical="center" wrapText="1"/>
      <protection locked="0"/>
    </xf>
    <xf numFmtId="3" fontId="2" fillId="7" borderId="41" xfId="1" applyNumberFormat="1" applyFont="1" applyFill="1" applyBorder="1" applyAlignment="1" applyProtection="1">
      <alignment vertical="center"/>
    </xf>
    <xf numFmtId="0" fontId="2" fillId="8" borderId="39" xfId="1" applyFont="1" applyFill="1" applyBorder="1" applyAlignment="1" applyProtection="1">
      <alignment vertical="center" wrapText="1"/>
    </xf>
    <xf numFmtId="0" fontId="2" fillId="0" borderId="0" xfId="3" applyFont="1"/>
    <xf numFmtId="0" fontId="2" fillId="0" borderId="0" xfId="4" applyFont="1" applyAlignment="1">
      <alignment horizontal="right" wrapText="1"/>
    </xf>
    <xf numFmtId="0" fontId="2" fillId="0" borderId="0" xfId="4" applyFont="1" applyAlignment="1">
      <alignment horizontal="right"/>
    </xf>
    <xf numFmtId="0" fontId="2" fillId="0" borderId="0" xfId="4" applyFont="1"/>
    <xf numFmtId="0" fontId="5" fillId="0" borderId="0" xfId="2" applyFont="1" applyAlignment="1">
      <alignment vertical="center"/>
    </xf>
    <xf numFmtId="0" fontId="2" fillId="0" borderId="0" xfId="3" applyFont="1" applyAlignment="1"/>
    <xf numFmtId="0" fontId="10" fillId="0" borderId="0" xfId="3" applyFont="1" applyAlignment="1">
      <alignment horizontal="center"/>
    </xf>
    <xf numFmtId="0" fontId="11" fillId="0" borderId="0" xfId="2" applyFont="1" applyAlignment="1">
      <alignment vertical="center"/>
    </xf>
    <xf numFmtId="0" fontId="2" fillId="0" borderId="0" xfId="2" applyFont="1" applyAlignment="1">
      <alignment vertical="center"/>
    </xf>
    <xf numFmtId="0" fontId="18" fillId="0" borderId="0" xfId="2" applyFont="1" applyAlignment="1">
      <alignment vertical="center"/>
    </xf>
    <xf numFmtId="0" fontId="19" fillId="0" borderId="0" xfId="3" applyFont="1" applyAlignment="1"/>
    <xf numFmtId="0" fontId="2" fillId="0" borderId="41" xfId="3" applyFont="1" applyBorder="1" applyAlignment="1">
      <alignment horizontal="center" vertical="center" wrapText="1"/>
    </xf>
    <xf numFmtId="0" fontId="2" fillId="0" borderId="75" xfId="3" applyFont="1" applyBorder="1" applyAlignment="1">
      <alignment horizontal="center" vertical="center" wrapText="1"/>
    </xf>
    <xf numFmtId="3" fontId="3" fillId="0" borderId="41" xfId="3" applyNumberFormat="1" applyFont="1" applyBorder="1" applyAlignment="1">
      <alignment wrapText="1"/>
    </xf>
    <xf numFmtId="0" fontId="2" fillId="0" borderId="41" xfId="3" applyFont="1" applyBorder="1" applyAlignment="1" applyProtection="1">
      <alignment wrapText="1"/>
      <protection locked="0"/>
    </xf>
    <xf numFmtId="0" fontId="2" fillId="0" borderId="41" xfId="3" applyFont="1" applyBorder="1" applyAlignment="1" applyProtection="1">
      <alignment horizontal="center" wrapText="1"/>
      <protection locked="0"/>
    </xf>
    <xf numFmtId="0" fontId="2" fillId="0" borderId="68" xfId="2" applyFont="1" applyBorder="1" applyAlignment="1" applyProtection="1">
      <alignment vertical="center" wrapText="1"/>
      <protection locked="0"/>
    </xf>
    <xf numFmtId="3" fontId="3" fillId="0" borderId="41" xfId="2" applyNumberFormat="1" applyFont="1" applyBorder="1" applyAlignment="1" applyProtection="1">
      <alignment horizontal="center" vertical="center" wrapText="1"/>
      <protection locked="0"/>
    </xf>
    <xf numFmtId="3" fontId="2" fillId="0" borderId="41" xfId="2" applyNumberFormat="1" applyFont="1" applyFill="1" applyBorder="1" applyAlignment="1" applyProtection="1">
      <alignment vertical="center" wrapText="1"/>
      <protection locked="0"/>
    </xf>
    <xf numFmtId="3" fontId="2" fillId="0" borderId="41" xfId="3" applyNumberFormat="1" applyFont="1" applyBorder="1" applyAlignment="1" applyProtection="1">
      <alignment wrapText="1"/>
      <protection locked="0"/>
    </xf>
    <xf numFmtId="3" fontId="2" fillId="0" borderId="41" xfId="3" applyNumberFormat="1" applyFont="1" applyBorder="1"/>
    <xf numFmtId="3" fontId="3" fillId="0" borderId="68" xfId="2" applyNumberFormat="1" applyFont="1" applyBorder="1" applyAlignment="1" applyProtection="1">
      <alignment horizontal="center" vertical="center" wrapText="1"/>
      <protection locked="0"/>
    </xf>
    <xf numFmtId="3" fontId="2" fillId="0" borderId="68" xfId="2" applyNumberFormat="1" applyFont="1" applyFill="1" applyBorder="1" applyAlignment="1" applyProtection="1">
      <alignment vertical="center" wrapText="1"/>
      <protection locked="0"/>
    </xf>
    <xf numFmtId="0" fontId="2" fillId="0" borderId="75" xfId="2" applyFont="1" applyBorder="1" applyAlignment="1" applyProtection="1">
      <alignment horizontal="left" vertical="center" wrapText="1"/>
      <protection locked="0"/>
    </xf>
    <xf numFmtId="3" fontId="2" fillId="7" borderId="41" xfId="3" applyNumberFormat="1" applyFont="1" applyFill="1" applyBorder="1" applyAlignment="1" applyProtection="1">
      <alignment wrapText="1"/>
      <protection locked="0"/>
    </xf>
    <xf numFmtId="3" fontId="20" fillId="0" borderId="41" xfId="2" applyNumberFormat="1" applyFont="1" applyBorder="1" applyAlignment="1" applyProtection="1">
      <alignment horizontal="center" vertical="center" wrapText="1"/>
      <protection locked="0"/>
    </xf>
    <xf numFmtId="3" fontId="2" fillId="0" borderId="81" xfId="2" applyNumberFormat="1" applyFont="1" applyFill="1" applyBorder="1" applyAlignment="1" applyProtection="1">
      <alignment vertical="center" wrapText="1"/>
      <protection locked="0"/>
    </xf>
    <xf numFmtId="0" fontId="2" fillId="0" borderId="41" xfId="2" applyFont="1" applyBorder="1" applyAlignment="1" applyProtection="1">
      <alignment horizontal="left" vertical="center" wrapText="1"/>
      <protection locked="0"/>
    </xf>
    <xf numFmtId="3" fontId="3" fillId="0" borderId="75" xfId="2" applyNumberFormat="1" applyFont="1" applyBorder="1" applyAlignment="1" applyProtection="1">
      <alignment horizontal="center" vertical="center" wrapText="1"/>
      <protection locked="0"/>
    </xf>
    <xf numFmtId="3" fontId="2" fillId="0" borderId="76" xfId="2" applyNumberFormat="1" applyFont="1" applyFill="1" applyBorder="1" applyAlignment="1" applyProtection="1">
      <alignment vertical="center" wrapText="1"/>
      <protection locked="0"/>
    </xf>
    <xf numFmtId="0" fontId="2" fillId="0" borderId="68" xfId="3" applyFont="1" applyBorder="1" applyAlignment="1" applyProtection="1">
      <alignment horizontal="center" wrapText="1"/>
      <protection locked="0"/>
    </xf>
    <xf numFmtId="0" fontId="2" fillId="0" borderId="41" xfId="3" applyFont="1" applyBorder="1" applyAlignment="1" applyProtection="1">
      <alignment horizontal="left" wrapText="1"/>
      <protection locked="0"/>
    </xf>
    <xf numFmtId="3" fontId="2" fillId="0" borderId="68" xfId="3" applyNumberFormat="1" applyFont="1" applyBorder="1" applyAlignment="1" applyProtection="1">
      <alignment wrapText="1"/>
      <protection locked="0"/>
    </xf>
    <xf numFmtId="3" fontId="2" fillId="0" borderId="68" xfId="3" applyNumberFormat="1" applyFont="1" applyBorder="1"/>
    <xf numFmtId="0" fontId="2" fillId="0" borderId="68" xfId="3" applyFont="1" applyBorder="1" applyAlignment="1" applyProtection="1">
      <alignment wrapText="1"/>
      <protection locked="0"/>
    </xf>
    <xf numFmtId="0" fontId="5" fillId="0" borderId="41" xfId="3" applyFont="1" applyBorder="1"/>
    <xf numFmtId="3" fontId="3" fillId="0" borderId="41" xfId="3" applyNumberFormat="1" applyFont="1" applyFill="1" applyBorder="1" applyAlignment="1" applyProtection="1">
      <alignment horizontal="center" wrapText="1"/>
      <protection locked="0"/>
    </xf>
    <xf numFmtId="3" fontId="2" fillId="0" borderId="41" xfId="3" applyNumberFormat="1" applyFont="1" applyFill="1" applyBorder="1" applyAlignment="1" applyProtection="1">
      <alignment wrapText="1"/>
      <protection locked="0"/>
    </xf>
    <xf numFmtId="3" fontId="2" fillId="0" borderId="41" xfId="3" applyNumberFormat="1" applyFont="1" applyFill="1" applyBorder="1"/>
    <xf numFmtId="0" fontId="2" fillId="0" borderId="41" xfId="3" applyFont="1" applyFill="1" applyBorder="1" applyAlignment="1" applyProtection="1">
      <alignment horizontal="center" wrapText="1"/>
      <protection locked="0"/>
    </xf>
    <xf numFmtId="0" fontId="2" fillId="0" borderId="75" xfId="3" applyFont="1" applyBorder="1" applyAlignment="1" applyProtection="1">
      <alignment horizontal="left" wrapText="1"/>
      <protection locked="0"/>
    </xf>
    <xf numFmtId="3" fontId="2" fillId="0" borderId="57" xfId="3" applyNumberFormat="1" applyFont="1" applyBorder="1" applyAlignment="1" applyProtection="1">
      <alignment wrapText="1"/>
      <protection locked="0"/>
    </xf>
    <xf numFmtId="0" fontId="2" fillId="0" borderId="0" xfId="3" applyFont="1" applyBorder="1" applyAlignment="1">
      <alignment wrapText="1"/>
    </xf>
    <xf numFmtId="0" fontId="18" fillId="0" borderId="0" xfId="2" applyFont="1" applyAlignment="1">
      <alignment horizontal="left" vertical="center"/>
    </xf>
    <xf numFmtId="0" fontId="2" fillId="0" borderId="0" xfId="2" applyFont="1" applyFill="1" applyAlignment="1">
      <alignment horizontal="left" vertical="center"/>
    </xf>
    <xf numFmtId="3" fontId="9" fillId="0" borderId="41" xfId="3" applyNumberFormat="1" applyFont="1" applyBorder="1" applyAlignment="1">
      <alignment vertical="center" wrapText="1"/>
    </xf>
    <xf numFmtId="0" fontId="2" fillId="0" borderId="41" xfId="3" applyFont="1" applyBorder="1" applyAlignment="1" applyProtection="1">
      <alignment horizontal="left"/>
      <protection locked="0"/>
    </xf>
    <xf numFmtId="0" fontId="2" fillId="7" borderId="41" xfId="3" applyFont="1" applyFill="1" applyBorder="1" applyAlignment="1" applyProtection="1">
      <alignment horizontal="center" wrapText="1"/>
      <protection locked="0"/>
    </xf>
    <xf numFmtId="0" fontId="2" fillId="7" borderId="75" xfId="2" applyFont="1" applyFill="1" applyBorder="1" applyAlignment="1" applyProtection="1">
      <alignment horizontal="left" vertical="center" wrapText="1"/>
      <protection locked="0"/>
    </xf>
    <xf numFmtId="3" fontId="3" fillId="7" borderId="41" xfId="2" applyNumberFormat="1" applyFont="1" applyFill="1" applyBorder="1" applyAlignment="1" applyProtection="1">
      <alignment horizontal="center" vertical="center" wrapText="1"/>
      <protection locked="0"/>
    </xf>
    <xf numFmtId="3" fontId="9" fillId="7" borderId="41" xfId="3" applyNumberFormat="1" applyFont="1" applyFill="1" applyBorder="1" applyAlignment="1">
      <alignment vertical="center" wrapText="1"/>
    </xf>
    <xf numFmtId="3" fontId="2" fillId="7" borderId="41" xfId="3" applyNumberFormat="1" applyFont="1" applyFill="1" applyBorder="1"/>
    <xf numFmtId="0" fontId="2" fillId="7" borderId="41" xfId="3" applyFont="1" applyFill="1" applyBorder="1" applyAlignment="1" applyProtection="1">
      <alignment horizontal="left"/>
      <protection locked="0"/>
    </xf>
    <xf numFmtId="3" fontId="2" fillId="7" borderId="41" xfId="3" applyNumberFormat="1" applyFont="1" applyFill="1" applyBorder="1" applyAlignment="1" applyProtection="1">
      <alignment vertical="center" wrapText="1"/>
      <protection locked="0"/>
    </xf>
    <xf numFmtId="3" fontId="2" fillId="7" borderId="41" xfId="3" applyNumberFormat="1" applyFont="1" applyFill="1" applyBorder="1" applyAlignment="1">
      <alignment horizontal="right" vertical="center"/>
    </xf>
    <xf numFmtId="0" fontId="2" fillId="7" borderId="41" xfId="3" applyFont="1" applyFill="1" applyBorder="1" applyAlignment="1" applyProtection="1">
      <alignment horizontal="center" vertical="center" wrapText="1"/>
      <protection locked="0"/>
    </xf>
    <xf numFmtId="3" fontId="2" fillId="7" borderId="41" xfId="2" applyNumberFormat="1" applyFont="1" applyFill="1" applyBorder="1" applyAlignment="1" applyProtection="1">
      <alignment vertical="center" wrapText="1"/>
      <protection locked="0"/>
    </xf>
    <xf numFmtId="0" fontId="2" fillId="7" borderId="0" xfId="3" applyFont="1" applyFill="1"/>
    <xf numFmtId="3" fontId="3" fillId="7" borderId="68" xfId="2" applyNumberFormat="1" applyFont="1" applyFill="1" applyBorder="1" applyAlignment="1" applyProtection="1">
      <alignment horizontal="center" vertical="center" wrapText="1"/>
      <protection locked="0"/>
    </xf>
    <xf numFmtId="3" fontId="2" fillId="7" borderId="68" xfId="2" applyNumberFormat="1" applyFont="1" applyFill="1" applyBorder="1" applyAlignment="1" applyProtection="1">
      <alignment vertical="center" wrapText="1"/>
      <protection locked="0"/>
    </xf>
    <xf numFmtId="3" fontId="2" fillId="7" borderId="68" xfId="3" applyNumberFormat="1" applyFont="1" applyFill="1" applyBorder="1"/>
    <xf numFmtId="3" fontId="2" fillId="0" borderId="0" xfId="3" applyNumberFormat="1" applyFont="1" applyBorder="1" applyAlignment="1">
      <alignment wrapText="1"/>
    </xf>
    <xf numFmtId="0" fontId="2" fillId="0" borderId="0" xfId="3" applyFont="1" applyBorder="1"/>
    <xf numFmtId="0" fontId="3" fillId="0" borderId="0" xfId="5" applyFont="1" applyFill="1" applyBorder="1" applyAlignment="1">
      <alignment horizontal="left" vertical="center"/>
    </xf>
    <xf numFmtId="0" fontId="2" fillId="0" borderId="41" xfId="3" applyFont="1" applyBorder="1"/>
    <xf numFmtId="0" fontId="20" fillId="0" borderId="41" xfId="3" applyFont="1" applyBorder="1" applyAlignment="1" applyProtection="1">
      <alignment wrapText="1"/>
      <protection locked="0"/>
    </xf>
    <xf numFmtId="0" fontId="2" fillId="0" borderId="79" xfId="3" applyFont="1" applyBorder="1" applyAlignment="1" applyProtection="1">
      <alignment horizontal="left" wrapText="1"/>
      <protection locked="0"/>
    </xf>
    <xf numFmtId="3" fontId="2" fillId="0" borderId="0" xfId="3" applyNumberFormat="1" applyFont="1"/>
    <xf numFmtId="0" fontId="3" fillId="0" borderId="0" xfId="2" applyFont="1"/>
    <xf numFmtId="0" fontId="2" fillId="0" borderId="0" xfId="6" applyFont="1"/>
    <xf numFmtId="0" fontId="2" fillId="0" borderId="0" xfId="3" applyFont="1" applyProtection="1">
      <protection locked="0"/>
    </xf>
    <xf numFmtId="0" fontId="17" fillId="0" borderId="0" xfId="3"/>
    <xf numFmtId="0" fontId="2" fillId="0" borderId="15" xfId="1" applyFont="1" applyFill="1" applyBorder="1" applyAlignment="1" applyProtection="1">
      <alignment horizontal="center" vertical="center" wrapText="1"/>
    </xf>
    <xf numFmtId="0" fontId="2" fillId="0" borderId="0" xfId="2" applyFont="1" applyAlignment="1">
      <alignment horizontal="left"/>
    </xf>
    <xf numFmtId="0" fontId="2" fillId="0" borderId="0" xfId="1" applyFont="1" applyBorder="1" applyAlignment="1" applyProtection="1">
      <alignment vertical="center"/>
      <protection locked="0"/>
    </xf>
    <xf numFmtId="0" fontId="2" fillId="0" borderId="0" xfId="1" applyFont="1" applyFill="1" applyBorder="1" applyAlignment="1" applyProtection="1">
      <alignment vertical="center"/>
      <protection locked="0"/>
    </xf>
    <xf numFmtId="3" fontId="3" fillId="0" borderId="42" xfId="1" applyNumberFormat="1" applyFont="1" applyFill="1" applyBorder="1" applyAlignment="1" applyProtection="1">
      <alignment horizontal="left" vertical="center" wrapText="1"/>
      <protection locked="0"/>
    </xf>
    <xf numFmtId="3" fontId="9" fillId="0" borderId="18" xfId="1" applyNumberFormat="1" applyFont="1" applyFill="1" applyBorder="1" applyAlignment="1" applyProtection="1">
      <alignment horizontal="right" vertical="center"/>
      <protection locked="0"/>
    </xf>
    <xf numFmtId="49" fontId="2" fillId="0" borderId="51" xfId="0" applyNumberFormat="1" applyFont="1" applyFill="1" applyBorder="1" applyAlignment="1" applyProtection="1">
      <alignment horizontal="left" wrapText="1"/>
      <protection locked="0"/>
    </xf>
    <xf numFmtId="3" fontId="13" fillId="0" borderId="18" xfId="1" applyNumberFormat="1" applyFont="1" applyFill="1" applyBorder="1" applyAlignment="1" applyProtection="1">
      <alignment horizontal="right" vertical="center"/>
      <protection locked="0"/>
    </xf>
    <xf numFmtId="3" fontId="21" fillId="0" borderId="53" xfId="1" applyNumberFormat="1" applyFont="1" applyFill="1" applyBorder="1" applyAlignment="1" applyProtection="1">
      <alignment horizontal="right" vertical="center"/>
      <protection locked="0"/>
    </xf>
    <xf numFmtId="3" fontId="13" fillId="0" borderId="41" xfId="1" applyNumberFormat="1" applyFont="1" applyFill="1" applyBorder="1" applyAlignment="1" applyProtection="1">
      <alignment horizontal="right" vertical="center"/>
      <protection locked="0"/>
    </xf>
    <xf numFmtId="3" fontId="21" fillId="0" borderId="41" xfId="1" applyNumberFormat="1" applyFont="1" applyFill="1" applyBorder="1" applyAlignment="1" applyProtection="1">
      <alignment horizontal="right" vertical="center"/>
      <protection locked="0"/>
    </xf>
    <xf numFmtId="3" fontId="13" fillId="0" borderId="57" xfId="1" applyNumberFormat="1" applyFont="1" applyFill="1" applyBorder="1" applyAlignment="1" applyProtection="1">
      <alignment horizontal="right" vertical="center"/>
      <protection locked="0"/>
    </xf>
    <xf numFmtId="3" fontId="21" fillId="0" borderId="41" xfId="1" applyNumberFormat="1" applyFont="1" applyFill="1" applyBorder="1" applyAlignment="1" applyProtection="1">
      <alignment vertical="center"/>
      <protection locked="0"/>
    </xf>
    <xf numFmtId="3" fontId="8" fillId="0" borderId="6" xfId="1" applyNumberFormat="1" applyFont="1" applyFill="1" applyBorder="1" applyAlignment="1" applyProtection="1">
      <alignment vertical="center" wrapText="1"/>
      <protection locked="0"/>
    </xf>
    <xf numFmtId="3" fontId="13" fillId="0" borderId="18"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wrapText="1"/>
      <protection locked="0"/>
    </xf>
    <xf numFmtId="3" fontId="21" fillId="0" borderId="57" xfId="1" applyNumberFormat="1" applyFont="1" applyFill="1" applyBorder="1" applyAlignment="1" applyProtection="1">
      <alignment vertical="center"/>
      <protection locked="0"/>
    </xf>
    <xf numFmtId="0" fontId="2" fillId="0" borderId="15" xfId="1" applyFont="1" applyFill="1" applyBorder="1" applyAlignment="1" applyProtection="1">
      <alignment horizontal="center" vertical="center" wrapText="1"/>
    </xf>
    <xf numFmtId="0" fontId="2" fillId="7" borderId="15" xfId="1" applyFont="1" applyFill="1" applyBorder="1" applyAlignment="1" applyProtection="1">
      <alignment vertical="center" wrapText="1"/>
    </xf>
    <xf numFmtId="0" fontId="2" fillId="7" borderId="15" xfId="1" applyFont="1" applyFill="1" applyBorder="1" applyAlignment="1" applyProtection="1">
      <alignment horizontal="right" vertical="center" wrapText="1"/>
    </xf>
    <xf numFmtId="3" fontId="2" fillId="7" borderId="15" xfId="1" applyNumberFormat="1" applyFont="1" applyFill="1" applyBorder="1" applyAlignment="1" applyProtection="1">
      <alignment horizontal="right" vertical="center"/>
    </xf>
    <xf numFmtId="3" fontId="2" fillId="7" borderId="17" xfId="1" applyNumberFormat="1" applyFont="1" applyFill="1" applyBorder="1" applyAlignment="1" applyProtection="1">
      <alignment horizontal="right" vertical="center"/>
      <protection locked="0"/>
    </xf>
    <xf numFmtId="3" fontId="2" fillId="7" borderId="18" xfId="1" applyNumberFormat="1" applyFont="1" applyFill="1" applyBorder="1" applyAlignment="1" applyProtection="1">
      <alignment horizontal="right" vertical="center"/>
      <protection locked="0"/>
    </xf>
    <xf numFmtId="3" fontId="2" fillId="7" borderId="19" xfId="1" applyNumberFormat="1" applyFont="1" applyFill="1" applyBorder="1" applyAlignment="1" applyProtection="1">
      <alignment horizontal="right" vertical="center"/>
    </xf>
    <xf numFmtId="3" fontId="2" fillId="7" borderId="19" xfId="1" applyNumberFormat="1" applyFont="1" applyFill="1" applyBorder="1" applyAlignment="1" applyProtection="1">
      <alignment horizontal="left" vertical="center" wrapText="1"/>
      <protection locked="0"/>
    </xf>
    <xf numFmtId="0" fontId="2" fillId="7" borderId="39" xfId="1" applyFont="1" applyFill="1" applyBorder="1" applyAlignment="1" applyProtection="1">
      <alignment vertical="center" wrapText="1"/>
    </xf>
    <xf numFmtId="3" fontId="2" fillId="7" borderId="39" xfId="1" applyNumberFormat="1" applyFont="1" applyFill="1" applyBorder="1" applyAlignment="1" applyProtection="1">
      <alignment horizontal="right" vertical="center"/>
    </xf>
    <xf numFmtId="3" fontId="2" fillId="7" borderId="42" xfId="1" applyNumberFormat="1" applyFont="1" applyFill="1" applyBorder="1" applyAlignment="1" applyProtection="1">
      <alignment horizontal="right" vertical="center"/>
    </xf>
    <xf numFmtId="0" fontId="9" fillId="0" borderId="39" xfId="0" applyFont="1" applyBorder="1" applyAlignment="1" applyProtection="1">
      <alignment horizontal="left" vertical="center" wrapText="1"/>
      <protection locked="0"/>
    </xf>
    <xf numFmtId="0" fontId="2" fillId="7" borderId="15" xfId="1" applyFont="1" applyFill="1" applyBorder="1" applyAlignment="1" applyProtection="1">
      <alignment horizontal="left" vertical="center" wrapText="1"/>
    </xf>
    <xf numFmtId="3" fontId="2" fillId="7" borderId="15" xfId="1" applyNumberFormat="1" applyFont="1" applyFill="1" applyBorder="1" applyAlignment="1" applyProtection="1">
      <alignment vertical="center"/>
    </xf>
    <xf numFmtId="3" fontId="2" fillId="7" borderId="17" xfId="1" applyNumberFormat="1" applyFont="1" applyFill="1" applyBorder="1" applyAlignment="1" applyProtection="1">
      <alignment horizontal="center" vertical="center"/>
    </xf>
    <xf numFmtId="3" fontId="2" fillId="7" borderId="18" xfId="1" applyNumberFormat="1" applyFont="1" applyFill="1" applyBorder="1" applyAlignment="1" applyProtection="1">
      <alignment horizontal="center" vertical="center"/>
    </xf>
    <xf numFmtId="3" fontId="2" fillId="7" borderId="19" xfId="1" applyNumberFormat="1" applyFont="1" applyFill="1" applyBorder="1" applyAlignment="1" applyProtection="1">
      <alignment horizontal="center" vertical="center"/>
    </xf>
    <xf numFmtId="3" fontId="2" fillId="7" borderId="17" xfId="1" applyNumberFormat="1" applyFont="1" applyFill="1" applyBorder="1" applyAlignment="1" applyProtection="1">
      <alignment horizontal="right" vertical="center"/>
    </xf>
    <xf numFmtId="3" fontId="2" fillId="7" borderId="18" xfId="1" applyNumberFormat="1" applyFont="1" applyFill="1" applyBorder="1" applyAlignment="1" applyProtection="1">
      <alignment horizontal="right" vertical="center"/>
    </xf>
    <xf numFmtId="0" fontId="9" fillId="7" borderId="39" xfId="0" applyFont="1" applyFill="1" applyBorder="1" applyAlignment="1" applyProtection="1">
      <alignment horizontal="left" vertical="center" wrapText="1"/>
      <protection locked="0"/>
    </xf>
    <xf numFmtId="0" fontId="2" fillId="7" borderId="51" xfId="1" applyFont="1" applyFill="1" applyBorder="1" applyAlignment="1" applyProtection="1">
      <alignment horizontal="right" vertical="center" wrapText="1"/>
    </xf>
    <xf numFmtId="0" fontId="2" fillId="7" borderId="51" xfId="1" applyFont="1" applyFill="1" applyBorder="1" applyAlignment="1" applyProtection="1">
      <alignment horizontal="left" vertical="center" wrapText="1"/>
    </xf>
    <xf numFmtId="3" fontId="2" fillId="7" borderId="51" xfId="1" applyNumberFormat="1" applyFont="1" applyFill="1" applyBorder="1" applyAlignment="1" applyProtection="1">
      <alignment vertical="center"/>
    </xf>
    <xf numFmtId="3" fontId="2" fillId="7" borderId="52" xfId="1" applyNumberFormat="1" applyFont="1" applyFill="1" applyBorder="1" applyAlignment="1" applyProtection="1">
      <alignment horizontal="center" vertical="center"/>
    </xf>
    <xf numFmtId="3" fontId="2" fillId="7" borderId="53" xfId="1" applyNumberFormat="1" applyFont="1" applyFill="1" applyBorder="1" applyAlignment="1" applyProtection="1">
      <alignment horizontal="center" vertical="center"/>
    </xf>
    <xf numFmtId="3" fontId="2" fillId="7" borderId="54" xfId="1" applyNumberFormat="1" applyFont="1" applyFill="1" applyBorder="1" applyAlignment="1" applyProtection="1">
      <alignment horizontal="center" vertical="center"/>
    </xf>
    <xf numFmtId="3" fontId="2" fillId="7" borderId="52" xfId="1" applyNumberFormat="1" applyFont="1" applyFill="1" applyBorder="1" applyAlignment="1" applyProtection="1">
      <alignment horizontal="right" vertical="center"/>
      <protection locked="0"/>
    </xf>
    <xf numFmtId="3" fontId="2" fillId="7" borderId="53" xfId="1" applyNumberFormat="1" applyFont="1" applyFill="1" applyBorder="1" applyAlignment="1" applyProtection="1">
      <alignment horizontal="right" vertical="center"/>
      <protection locked="0"/>
    </xf>
    <xf numFmtId="3" fontId="2" fillId="7" borderId="54" xfId="1" applyNumberFormat="1" applyFont="1" applyFill="1" applyBorder="1" applyAlignment="1" applyProtection="1">
      <alignment horizontal="right" vertical="center"/>
    </xf>
    <xf numFmtId="3" fontId="2" fillId="7" borderId="52" xfId="1" applyNumberFormat="1" applyFont="1" applyFill="1" applyBorder="1" applyAlignment="1" applyProtection="1">
      <alignment horizontal="right" vertical="center"/>
    </xf>
    <xf numFmtId="3" fontId="2" fillId="7" borderId="53" xfId="1" applyNumberFormat="1" applyFont="1" applyFill="1" applyBorder="1" applyAlignment="1" applyProtection="1">
      <alignment horizontal="right" vertical="center"/>
    </xf>
    <xf numFmtId="0" fontId="9" fillId="7" borderId="39" xfId="0" applyFont="1" applyFill="1" applyBorder="1" applyAlignment="1" applyProtection="1">
      <alignment horizontal="center" vertical="center" wrapText="1"/>
      <protection locked="0"/>
    </xf>
    <xf numFmtId="0" fontId="2" fillId="7" borderId="39" xfId="1" applyFont="1" applyFill="1" applyBorder="1" applyAlignment="1" applyProtection="1">
      <alignment horizontal="center" vertical="center" wrapText="1"/>
    </xf>
    <xf numFmtId="3" fontId="2" fillId="7" borderId="17" xfId="1" applyNumberFormat="1" applyFont="1" applyFill="1" applyBorder="1" applyAlignment="1" applyProtection="1">
      <alignment vertical="center"/>
      <protection locked="0"/>
    </xf>
    <xf numFmtId="3" fontId="2" fillId="7" borderId="18" xfId="1" applyNumberFormat="1" applyFont="1" applyFill="1" applyBorder="1" applyAlignment="1" applyProtection="1">
      <alignment vertical="center"/>
      <protection locked="0"/>
    </xf>
    <xf numFmtId="3" fontId="2" fillId="7" borderId="19" xfId="1" applyNumberFormat="1" applyFont="1" applyFill="1" applyBorder="1" applyAlignment="1" applyProtection="1">
      <alignment vertical="center"/>
    </xf>
    <xf numFmtId="3" fontId="2" fillId="7" borderId="41" xfId="2" applyNumberFormat="1"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1" xfId="0" applyFont="1" applyFill="1" applyBorder="1" applyAlignment="1" applyProtection="1">
      <alignment wrapText="1"/>
      <protection locked="0"/>
    </xf>
    <xf numFmtId="0" fontId="2" fillId="0" borderId="0" xfId="1" applyFont="1" applyAlignment="1">
      <alignment horizontal="right"/>
    </xf>
    <xf numFmtId="0" fontId="2" fillId="0" borderId="0" xfId="2" applyFont="1" applyBorder="1"/>
    <xf numFmtId="0" fontId="2" fillId="0" borderId="0" xfId="2" applyFont="1" applyBorder="1" applyAlignment="1">
      <alignment horizontal="left"/>
    </xf>
    <xf numFmtId="0" fontId="2" fillId="0" borderId="0" xfId="2" applyFont="1" applyBorder="1" applyAlignment="1" applyProtection="1">
      <protection locked="0"/>
    </xf>
    <xf numFmtId="0" fontId="2" fillId="0" borderId="0" xfId="2" applyFont="1" applyBorder="1" applyAlignment="1" applyProtection="1">
      <alignment horizontal="left"/>
      <protection locked="0"/>
    </xf>
    <xf numFmtId="0" fontId="2" fillId="0" borderId="0" xfId="2" applyFont="1" applyBorder="1" applyAlignment="1" applyProtection="1">
      <alignment horizontal="center"/>
      <protection locked="0"/>
    </xf>
    <xf numFmtId="0" fontId="2" fillId="0" borderId="0" xfId="2" applyFont="1" applyBorder="1" applyAlignment="1" applyProtection="1">
      <alignment wrapText="1"/>
      <protection locked="0"/>
    </xf>
    <xf numFmtId="0" fontId="2" fillId="0" borderId="0" xfId="2" applyFont="1" applyBorder="1" applyAlignment="1" applyProtection="1">
      <alignment horizontal="left" wrapText="1"/>
      <protection locked="0"/>
    </xf>
    <xf numFmtId="0" fontId="2" fillId="0" borderId="0" xfId="2" applyFont="1" applyBorder="1" applyAlignment="1" applyProtection="1">
      <alignment horizontal="center" wrapText="1"/>
      <protection locked="0"/>
    </xf>
    <xf numFmtId="0" fontId="10" fillId="0" borderId="0" xfId="2" applyFont="1" applyAlignment="1"/>
    <xf numFmtId="0" fontId="10" fillId="0" borderId="0" xfId="2" applyFont="1" applyBorder="1" applyAlignment="1">
      <alignment horizontal="center"/>
    </xf>
    <xf numFmtId="0" fontId="10" fillId="0" borderId="0" xfId="2" applyFont="1" applyBorder="1" applyAlignment="1">
      <alignment horizontal="left"/>
    </xf>
    <xf numFmtId="0" fontId="2" fillId="0" borderId="0" xfId="2" applyFont="1" applyBorder="1" applyAlignment="1"/>
    <xf numFmtId="0" fontId="3" fillId="0" borderId="0" xfId="2" applyFont="1" applyBorder="1" applyAlignment="1" applyProtection="1">
      <protection locked="0"/>
    </xf>
    <xf numFmtId="0" fontId="3" fillId="0" borderId="0" xfId="2" applyFont="1" applyBorder="1" applyAlignment="1" applyProtection="1">
      <alignment horizontal="left"/>
      <protection locked="0"/>
    </xf>
    <xf numFmtId="49" fontId="2" fillId="0" borderId="0" xfId="2" applyNumberFormat="1" applyFont="1" applyBorder="1" applyAlignment="1" applyProtection="1">
      <protection locked="0"/>
    </xf>
    <xf numFmtId="49" fontId="2" fillId="0" borderId="0" xfId="2" applyNumberFormat="1" applyFont="1" applyBorder="1" applyAlignment="1" applyProtection="1">
      <alignment horizontal="left"/>
      <protection locked="0"/>
    </xf>
    <xf numFmtId="49" fontId="2" fillId="0" borderId="0" xfId="2" applyNumberFormat="1" applyFont="1" applyBorder="1" applyAlignment="1" applyProtection="1">
      <alignment horizontal="center"/>
      <protection locked="0"/>
    </xf>
    <xf numFmtId="0" fontId="2" fillId="0" borderId="77" xfId="2" applyFont="1" applyBorder="1" applyAlignment="1">
      <alignment horizontal="center" vertical="center" wrapText="1"/>
    </xf>
    <xf numFmtId="0" fontId="2" fillId="0" borderId="0" xfId="2" applyFont="1" applyFill="1"/>
    <xf numFmtId="3" fontId="3" fillId="0" borderId="41" xfId="2" applyNumberFormat="1" applyFont="1" applyFill="1" applyBorder="1" applyAlignment="1">
      <alignment vertical="center" wrapText="1"/>
    </xf>
    <xf numFmtId="3" fontId="3" fillId="0" borderId="41" xfId="2" applyNumberFormat="1" applyFont="1" applyFill="1" applyBorder="1" applyAlignment="1">
      <alignment horizontal="left" vertical="center" wrapText="1"/>
    </xf>
    <xf numFmtId="3" fontId="3" fillId="0" borderId="41" xfId="2" applyNumberFormat="1" applyFont="1" applyFill="1" applyBorder="1" applyAlignment="1">
      <alignment wrapText="1"/>
    </xf>
    <xf numFmtId="0" fontId="3" fillId="0" borderId="41" xfId="2" applyFont="1" applyFill="1" applyBorder="1" applyAlignment="1">
      <alignment horizontal="center" wrapText="1"/>
    </xf>
    <xf numFmtId="0" fontId="3" fillId="0" borderId="41" xfId="2" applyFont="1" applyFill="1" applyBorder="1" applyAlignment="1">
      <alignment horizontal="left" wrapText="1"/>
    </xf>
    <xf numFmtId="3" fontId="3" fillId="0" borderId="41" xfId="2" applyNumberFormat="1" applyFont="1" applyFill="1" applyBorder="1" applyAlignment="1">
      <alignment horizontal="right" vertical="center" wrapText="1"/>
    </xf>
    <xf numFmtId="49" fontId="23" fillId="0" borderId="41" xfId="2" applyNumberFormat="1" applyFont="1" applyFill="1" applyBorder="1" applyAlignment="1">
      <alignment horizontal="center" vertical="center" wrapText="1"/>
    </xf>
    <xf numFmtId="0" fontId="2" fillId="0" borderId="41" xfId="2" applyFont="1" applyFill="1" applyBorder="1" applyAlignment="1">
      <alignment horizontal="center" wrapText="1"/>
    </xf>
    <xf numFmtId="0" fontId="2" fillId="0" borderId="41" xfId="2" applyFont="1" applyFill="1" applyBorder="1" applyAlignment="1">
      <alignment horizontal="left" wrapText="1"/>
    </xf>
    <xf numFmtId="3" fontId="3" fillId="0" borderId="41" xfId="2" applyNumberFormat="1" applyFont="1" applyFill="1" applyBorder="1" applyAlignment="1" applyProtection="1">
      <alignment vertical="center" wrapText="1"/>
      <protection locked="0"/>
    </xf>
    <xf numFmtId="3" fontId="3" fillId="0" borderId="41" xfId="2" applyNumberFormat="1" applyFont="1" applyFill="1" applyBorder="1" applyAlignment="1" applyProtection="1">
      <alignment horizontal="right" vertical="center" wrapText="1"/>
      <protection locked="0"/>
    </xf>
    <xf numFmtId="3" fontId="3" fillId="0" borderId="41" xfId="2" applyNumberFormat="1" applyFont="1" applyFill="1" applyBorder="1" applyAlignment="1" applyProtection="1">
      <alignment horizontal="left" vertical="center" wrapText="1"/>
      <protection locked="0"/>
    </xf>
    <xf numFmtId="3" fontId="2" fillId="7" borderId="41" xfId="2" applyNumberFormat="1" applyFont="1" applyFill="1" applyBorder="1" applyAlignment="1" applyProtection="1">
      <alignment horizontal="right" vertical="center" wrapText="1"/>
      <protection locked="0"/>
    </xf>
    <xf numFmtId="0" fontId="2" fillId="7" borderId="0" xfId="2" applyFont="1" applyFill="1"/>
    <xf numFmtId="3" fontId="3" fillId="0" borderId="41" xfId="2" applyNumberFormat="1" applyFont="1" applyFill="1" applyBorder="1" applyAlignment="1" applyProtection="1">
      <alignment horizontal="center" vertical="center" wrapText="1"/>
      <protection locked="0"/>
    </xf>
    <xf numFmtId="3" fontId="2" fillId="0" borderId="41" xfId="2" applyNumberFormat="1" applyFont="1" applyFill="1" applyBorder="1" applyAlignment="1" applyProtection="1">
      <alignment horizontal="right" vertical="center" wrapText="1"/>
      <protection locked="0"/>
    </xf>
    <xf numFmtId="3" fontId="2" fillId="0" borderId="41" xfId="2" applyNumberFormat="1" applyFont="1" applyFill="1" applyBorder="1" applyAlignment="1" applyProtection="1">
      <alignment horizontal="left" vertical="center" wrapText="1"/>
      <protection locked="0"/>
    </xf>
    <xf numFmtId="0" fontId="2" fillId="0" borderId="41" xfId="2" applyFont="1" applyBorder="1" applyAlignment="1" applyProtection="1">
      <alignment horizontal="left" wrapText="1"/>
      <protection locked="0"/>
    </xf>
    <xf numFmtId="0" fontId="2" fillId="0" borderId="0" xfId="2" applyFont="1" applyFill="1" applyBorder="1"/>
    <xf numFmtId="3" fontId="2" fillId="0" borderId="41" xfId="2" applyNumberFormat="1" applyFont="1" applyFill="1" applyBorder="1" applyAlignment="1" applyProtection="1">
      <alignment horizontal="center" vertical="center" wrapText="1"/>
      <protection locked="0"/>
    </xf>
    <xf numFmtId="4" fontId="2" fillId="0" borderId="0" xfId="2" applyNumberFormat="1" applyFont="1" applyFill="1" applyBorder="1"/>
    <xf numFmtId="0" fontId="3" fillId="0" borderId="41" xfId="2" applyFont="1" applyFill="1" applyBorder="1" applyAlignment="1" applyProtection="1">
      <alignment horizontal="center" vertical="center" wrapText="1"/>
      <protection locked="0"/>
    </xf>
    <xf numFmtId="0" fontId="3" fillId="0" borderId="75" xfId="2" applyFont="1" applyFill="1" applyBorder="1" applyAlignment="1" applyProtection="1">
      <alignment horizontal="left" vertical="center" wrapText="1"/>
      <protection locked="0"/>
    </xf>
    <xf numFmtId="3" fontId="3" fillId="7" borderId="41" xfId="2" applyNumberFormat="1" applyFont="1" applyFill="1" applyBorder="1" applyAlignment="1" applyProtection="1">
      <alignment horizontal="right" vertical="center" wrapText="1"/>
      <protection locked="0"/>
    </xf>
    <xf numFmtId="0" fontId="3" fillId="0" borderId="75" xfId="2" applyFont="1" applyFill="1" applyBorder="1" applyAlignment="1">
      <alignment horizontal="center"/>
    </xf>
    <xf numFmtId="0" fontId="3" fillId="0" borderId="75" xfId="2" applyFont="1" applyFill="1" applyBorder="1" applyAlignment="1">
      <alignment horizontal="left"/>
    </xf>
    <xf numFmtId="3" fontId="3" fillId="0" borderId="41" xfId="2" applyNumberFormat="1" applyFont="1" applyFill="1" applyBorder="1" applyAlignment="1">
      <alignment horizontal="center" vertical="center" wrapText="1"/>
    </xf>
    <xf numFmtId="3" fontId="3" fillId="0" borderId="41" xfId="2" applyNumberFormat="1" applyFont="1" applyFill="1" applyBorder="1" applyAlignment="1" applyProtection="1">
      <alignment wrapText="1"/>
      <protection locked="0"/>
    </xf>
    <xf numFmtId="0" fontId="3" fillId="0" borderId="75" xfId="2" applyFont="1" applyFill="1" applyBorder="1" applyAlignment="1">
      <alignment horizontal="center" wrapText="1"/>
    </xf>
    <xf numFmtId="0" fontId="3" fillId="0" borderId="76" xfId="2" applyFont="1" applyFill="1" applyBorder="1" applyAlignment="1">
      <alignment wrapText="1"/>
    </xf>
    <xf numFmtId="49" fontId="2" fillId="0" borderId="41" xfId="2" applyNumberFormat="1" applyFont="1" applyFill="1" applyBorder="1" applyAlignment="1">
      <alignment horizontal="center" vertical="center" wrapText="1"/>
    </xf>
    <xf numFmtId="3" fontId="3" fillId="7" borderId="41" xfId="2" applyNumberFormat="1" applyFont="1" applyFill="1" applyBorder="1" applyAlignment="1" applyProtection="1">
      <alignment vertical="center" wrapText="1"/>
      <protection locked="0"/>
    </xf>
    <xf numFmtId="0" fontId="3" fillId="0" borderId="41" xfId="2" applyFont="1" applyFill="1" applyBorder="1" applyAlignment="1">
      <alignment horizontal="center"/>
    </xf>
    <xf numFmtId="3" fontId="3" fillId="7" borderId="41" xfId="2" applyNumberFormat="1" applyFont="1" applyFill="1" applyBorder="1" applyAlignment="1">
      <alignment horizontal="center" vertical="center" wrapText="1"/>
    </xf>
    <xf numFmtId="3" fontId="2" fillId="7" borderId="41" xfId="2" applyNumberFormat="1" applyFont="1" applyFill="1" applyBorder="1" applyAlignment="1">
      <alignment horizontal="right" vertical="center" wrapText="1"/>
    </xf>
    <xf numFmtId="3" fontId="2" fillId="7" borderId="41" xfId="2" applyNumberFormat="1" applyFont="1" applyFill="1" applyBorder="1" applyAlignment="1">
      <alignment horizontal="left" vertical="center" wrapText="1"/>
    </xf>
    <xf numFmtId="3" fontId="2" fillId="0" borderId="41" xfId="2" applyNumberFormat="1" applyFont="1" applyFill="1" applyBorder="1" applyAlignment="1">
      <alignment horizontal="right" vertical="center" wrapText="1"/>
    </xf>
    <xf numFmtId="3" fontId="8" fillId="7" borderId="41" xfId="2" applyNumberFormat="1" applyFont="1" applyFill="1" applyBorder="1" applyAlignment="1" applyProtection="1">
      <alignment horizontal="right" vertical="center" wrapText="1"/>
      <protection locked="0"/>
    </xf>
    <xf numFmtId="3" fontId="8" fillId="7" borderId="41" xfId="2" applyNumberFormat="1" applyFont="1" applyFill="1" applyBorder="1" applyAlignment="1" applyProtection="1">
      <alignment horizontal="left" vertical="center" wrapText="1"/>
      <protection locked="0"/>
    </xf>
    <xf numFmtId="0" fontId="3" fillId="0" borderId="41" xfId="2" applyFont="1" applyFill="1" applyBorder="1" applyAlignment="1" applyProtection="1">
      <alignment horizontal="left" vertical="center" wrapText="1"/>
      <protection locked="0"/>
    </xf>
    <xf numFmtId="4" fontId="2" fillId="0" borderId="68" xfId="2" applyNumberFormat="1" applyFont="1" applyFill="1" applyBorder="1" applyAlignment="1" applyProtection="1">
      <alignment horizontal="center" vertical="center" wrapText="1"/>
      <protection locked="0"/>
    </xf>
    <xf numFmtId="0" fontId="2" fillId="0" borderId="75" xfId="2" applyFont="1" applyFill="1" applyBorder="1" applyAlignment="1" applyProtection="1">
      <alignment horizontal="center" vertical="center" wrapText="1"/>
      <protection locked="0"/>
    </xf>
    <xf numFmtId="0" fontId="2" fillId="0" borderId="76" xfId="2" applyFont="1" applyFill="1" applyBorder="1" applyAlignment="1" applyProtection="1">
      <alignment horizontal="left" vertical="center" wrapText="1"/>
      <protection locked="0"/>
    </xf>
    <xf numFmtId="3" fontId="2" fillId="0" borderId="41" xfId="2" applyNumberFormat="1" applyFont="1" applyFill="1" applyBorder="1" applyAlignment="1">
      <alignment horizontal="center" vertical="center" wrapText="1"/>
    </xf>
    <xf numFmtId="3" fontId="2" fillId="0" borderId="41" xfId="2" applyNumberFormat="1" applyFont="1" applyFill="1" applyBorder="1" applyAlignment="1">
      <alignment horizontal="left" vertical="center" wrapText="1"/>
    </xf>
    <xf numFmtId="4" fontId="2" fillId="0" borderId="57" xfId="2" applyNumberFormat="1" applyFont="1" applyFill="1" applyBorder="1" applyAlignment="1" applyProtection="1">
      <alignment horizontal="center" vertical="center" wrapText="1"/>
      <protection locked="0"/>
    </xf>
    <xf numFmtId="0" fontId="3" fillId="0" borderId="41" xfId="2" applyFont="1" applyFill="1" applyBorder="1" applyAlignment="1" applyProtection="1">
      <alignment horizontal="center" vertical="center"/>
      <protection locked="0"/>
    </xf>
    <xf numFmtId="3" fontId="3" fillId="0" borderId="41" xfId="2" applyNumberFormat="1" applyFont="1" applyFill="1" applyBorder="1" applyAlignment="1" applyProtection="1">
      <alignment horizontal="center" vertical="center"/>
      <protection locked="0"/>
    </xf>
    <xf numFmtId="3" fontId="3" fillId="7" borderId="41" xfId="2" applyNumberFormat="1" applyFont="1" applyFill="1" applyBorder="1" applyAlignment="1" applyProtection="1">
      <alignment horizontal="center" vertical="center"/>
      <protection locked="0"/>
    </xf>
    <xf numFmtId="0" fontId="3" fillId="0" borderId="79" xfId="2" applyFont="1" applyFill="1" applyBorder="1" applyAlignment="1">
      <alignment horizontal="center" wrapText="1"/>
    </xf>
    <xf numFmtId="0" fontId="2" fillId="0" borderId="85" xfId="2" applyFont="1" applyFill="1" applyBorder="1"/>
    <xf numFmtId="49" fontId="22" fillId="7" borderId="84" xfId="2" applyNumberFormat="1" applyFont="1" applyFill="1" applyBorder="1" applyAlignment="1">
      <alignment wrapText="1"/>
    </xf>
    <xf numFmtId="0" fontId="3" fillId="0" borderId="41" xfId="2" applyFont="1" applyFill="1" applyBorder="1" applyAlignment="1">
      <alignment horizontal="left" vertical="center" wrapText="1"/>
    </xf>
    <xf numFmtId="49" fontId="2" fillId="0" borderId="68" xfId="2" applyNumberFormat="1" applyFont="1" applyFill="1" applyBorder="1" applyAlignment="1">
      <alignment horizontal="center" vertical="center" wrapText="1"/>
    </xf>
    <xf numFmtId="3" fontId="3" fillId="0" borderId="68" xfId="2" applyNumberFormat="1" applyFont="1" applyFill="1" applyBorder="1" applyAlignment="1" applyProtection="1">
      <alignment horizontal="center" vertical="center" wrapText="1"/>
      <protection locked="0"/>
    </xf>
    <xf numFmtId="3" fontId="2" fillId="0" borderId="68" xfId="2" applyNumberFormat="1" applyFont="1" applyFill="1" applyBorder="1" applyAlignment="1" applyProtection="1">
      <alignment horizontal="right" vertical="center" wrapText="1"/>
      <protection locked="0"/>
    </xf>
    <xf numFmtId="3" fontId="3" fillId="0" borderId="68" xfId="2" applyNumberFormat="1" applyFont="1" applyFill="1" applyBorder="1" applyAlignment="1" applyProtection="1">
      <alignment horizontal="right" vertical="center" wrapText="1"/>
      <protection locked="0"/>
    </xf>
    <xf numFmtId="4" fontId="3" fillId="0" borderId="68" xfId="2" applyNumberFormat="1" applyFont="1" applyFill="1" applyBorder="1" applyAlignment="1" applyProtection="1">
      <alignment horizontal="right" vertical="center" wrapText="1"/>
      <protection locked="0"/>
    </xf>
    <xf numFmtId="3" fontId="3" fillId="0" borderId="5" xfId="2" applyNumberFormat="1" applyFont="1" applyFill="1" applyBorder="1" applyAlignment="1" applyProtection="1">
      <alignment horizontal="right" vertical="center" wrapText="1"/>
      <protection locked="0"/>
    </xf>
    <xf numFmtId="3" fontId="3" fillId="0" borderId="40" xfId="2" applyNumberFormat="1" applyFont="1" applyFill="1" applyBorder="1" applyAlignment="1" applyProtection="1">
      <alignment horizontal="right" vertical="center" wrapText="1"/>
      <protection locked="0"/>
    </xf>
    <xf numFmtId="3" fontId="3" fillId="0" borderId="40" xfId="2" applyNumberFormat="1" applyFont="1" applyFill="1" applyBorder="1" applyAlignment="1" applyProtection="1">
      <alignment vertical="center" wrapText="1"/>
      <protection locked="0"/>
    </xf>
    <xf numFmtId="3" fontId="3" fillId="0" borderId="41" xfId="2" applyNumberFormat="1" applyFont="1" applyFill="1" applyBorder="1" applyAlignment="1" applyProtection="1">
      <alignment horizontal="center" wrapText="1"/>
      <protection locked="0"/>
    </xf>
    <xf numFmtId="3" fontId="2" fillId="0" borderId="86" xfId="2" applyNumberFormat="1" applyFont="1" applyFill="1" applyBorder="1" applyAlignment="1" applyProtection="1">
      <alignment horizontal="right" vertical="center" wrapText="1"/>
      <protection locked="0"/>
    </xf>
    <xf numFmtId="3" fontId="2" fillId="0" borderId="41" xfId="2" applyNumberFormat="1" applyFont="1" applyBorder="1" applyAlignment="1" applyProtection="1">
      <alignment horizontal="left" wrapText="1"/>
      <protection locked="0"/>
    </xf>
    <xf numFmtId="3" fontId="3" fillId="0" borderId="78" xfId="2" applyNumberFormat="1" applyFont="1" applyFill="1" applyBorder="1" applyAlignment="1" applyProtection="1">
      <alignment horizontal="center" wrapText="1"/>
      <protection locked="0"/>
    </xf>
    <xf numFmtId="3" fontId="3" fillId="0" borderId="81" xfId="2" applyNumberFormat="1" applyFont="1" applyFill="1" applyBorder="1" applyAlignment="1" applyProtection="1">
      <alignment horizontal="center" wrapText="1"/>
      <protection locked="0"/>
    </xf>
    <xf numFmtId="3" fontId="2" fillId="0" borderId="40" xfId="2" applyNumberFormat="1" applyFont="1" applyFill="1" applyBorder="1" applyAlignment="1" applyProtection="1">
      <alignment horizontal="right" vertical="center" wrapText="1"/>
      <protection locked="0"/>
    </xf>
    <xf numFmtId="0" fontId="3" fillId="0" borderId="0" xfId="2" applyFont="1" applyFill="1" applyBorder="1" applyAlignment="1" applyProtection="1">
      <alignment horizontal="center" vertical="center" wrapText="1"/>
      <protection locked="0"/>
    </xf>
    <xf numFmtId="0" fontId="3" fillId="0" borderId="0" xfId="2" applyFont="1" applyFill="1" applyBorder="1" applyAlignment="1">
      <alignment horizontal="left" vertical="center" wrapText="1"/>
    </xf>
    <xf numFmtId="3" fontId="3" fillId="0" borderId="81" xfId="2" applyNumberFormat="1" applyFont="1" applyFill="1" applyBorder="1" applyAlignment="1" applyProtection="1">
      <alignment wrapText="1"/>
      <protection locked="0"/>
    </xf>
    <xf numFmtId="3" fontId="2" fillId="0" borderId="0" xfId="2" applyNumberFormat="1" applyFont="1" applyFill="1" applyBorder="1" applyAlignment="1" applyProtection="1">
      <alignment horizontal="right" vertical="center" wrapText="1"/>
      <protection locked="0"/>
    </xf>
    <xf numFmtId="3" fontId="2" fillId="0" borderId="81" xfId="2" applyNumberFormat="1" applyFont="1" applyFill="1" applyBorder="1" applyAlignment="1" applyProtection="1">
      <alignment horizontal="center" vertical="center" wrapText="1"/>
      <protection locked="0"/>
    </xf>
    <xf numFmtId="3" fontId="2" fillId="0" borderId="0" xfId="2" applyNumberFormat="1" applyFont="1" applyFill="1" applyBorder="1" applyAlignment="1" applyProtection="1">
      <alignment horizontal="left" vertical="center" wrapText="1"/>
      <protection locked="0"/>
    </xf>
    <xf numFmtId="49" fontId="2" fillId="0" borderId="0" xfId="2" applyNumberFormat="1" applyFont="1" applyFill="1" applyBorder="1" applyAlignment="1">
      <alignment horizontal="center" vertical="center" wrapText="1"/>
    </xf>
    <xf numFmtId="3" fontId="2" fillId="7" borderId="0" xfId="2" applyNumberFormat="1" applyFont="1" applyFill="1" applyBorder="1" applyAlignment="1" applyProtection="1">
      <alignment wrapText="1"/>
      <protection locked="0"/>
    </xf>
    <xf numFmtId="3" fontId="2" fillId="0" borderId="0" xfId="2" applyNumberFormat="1" applyFont="1" applyBorder="1" applyAlignment="1" applyProtection="1">
      <alignment wrapText="1"/>
      <protection locked="0"/>
    </xf>
    <xf numFmtId="0" fontId="24" fillId="0" borderId="0" xfId="2" applyFont="1" applyBorder="1" applyAlignment="1">
      <alignment vertical="center"/>
    </xf>
    <xf numFmtId="0" fontId="9" fillId="0" borderId="0" xfId="2" applyFont="1" applyBorder="1" applyAlignment="1"/>
    <xf numFmtId="0" fontId="24" fillId="0" borderId="0" xfId="2" applyFont="1" applyBorder="1" applyAlignment="1"/>
    <xf numFmtId="0" fontId="9" fillId="0" borderId="0" xfId="2" applyFont="1" applyFill="1" applyBorder="1" applyAlignment="1"/>
    <xf numFmtId="0" fontId="2" fillId="0" borderId="75" xfId="2" applyFont="1" applyBorder="1" applyAlignment="1">
      <alignment horizontal="center" vertical="center" wrapText="1"/>
    </xf>
    <xf numFmtId="3" fontId="2" fillId="0" borderId="22" xfId="1" applyNumberFormat="1" applyFont="1" applyFill="1" applyBorder="1" applyAlignment="1" applyProtection="1">
      <alignment horizontal="left" vertical="center" wrapText="1"/>
      <protection locked="0"/>
    </xf>
    <xf numFmtId="49" fontId="22" fillId="0" borderId="84" xfId="0" applyNumberFormat="1" applyFont="1" applyFill="1" applyBorder="1" applyAlignment="1" applyProtection="1">
      <alignment wrapText="1"/>
      <protection locked="0"/>
    </xf>
    <xf numFmtId="3" fontId="2" fillId="0" borderId="82" xfId="1" applyNumberFormat="1" applyFont="1" applyFill="1" applyBorder="1" applyAlignment="1" applyProtection="1">
      <alignment horizontal="right" vertical="center"/>
      <protection locked="0"/>
    </xf>
    <xf numFmtId="3" fontId="2" fillId="0" borderId="83"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3" fontId="2" fillId="0" borderId="6" xfId="1" applyNumberFormat="1" applyFont="1" applyFill="1" applyBorder="1" applyAlignment="1" applyProtection="1">
      <alignment horizontal="left" vertical="center" wrapText="1"/>
      <protection locked="0"/>
    </xf>
    <xf numFmtId="3" fontId="2" fillId="9" borderId="24" xfId="1" applyNumberFormat="1" applyFont="1" applyFill="1" applyBorder="1" applyAlignment="1" applyProtection="1">
      <alignment horizontal="right" vertical="center"/>
      <protection locked="0"/>
    </xf>
    <xf numFmtId="3" fontId="2" fillId="9" borderId="18" xfId="1" applyNumberFormat="1" applyFont="1" applyFill="1" applyBorder="1" applyAlignment="1" applyProtection="1">
      <alignment horizontal="right" vertical="center"/>
      <protection locked="0"/>
    </xf>
    <xf numFmtId="3" fontId="2" fillId="9" borderId="41" xfId="1" applyNumberFormat="1" applyFont="1" applyFill="1" applyBorder="1" applyAlignment="1" applyProtection="1">
      <alignment horizontal="right" vertical="center"/>
      <protection locked="0"/>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3" fillId="0" borderId="17" xfId="1" applyNumberFormat="1" applyFont="1" applyFill="1" applyBorder="1" applyAlignment="1" applyProtection="1">
      <alignment horizontal="right" vertical="center"/>
      <protection locked="0"/>
    </xf>
    <xf numFmtId="3" fontId="3" fillId="0" borderId="18" xfId="1" applyNumberFormat="1" applyFont="1" applyFill="1" applyBorder="1" applyAlignment="1" applyProtection="1">
      <alignment horizontal="right" vertical="center"/>
      <protection locked="0"/>
    </xf>
    <xf numFmtId="3" fontId="3" fillId="5" borderId="63" xfId="1" applyNumberFormat="1" applyFont="1" applyFill="1" applyBorder="1" applyAlignment="1" applyProtection="1">
      <alignment vertical="center"/>
    </xf>
    <xf numFmtId="3" fontId="3" fillId="5" borderId="64" xfId="1" applyNumberFormat="1" applyFont="1" applyFill="1" applyBorder="1" applyAlignment="1" applyProtection="1">
      <alignment vertical="center"/>
    </xf>
    <xf numFmtId="3" fontId="3" fillId="5" borderId="65" xfId="1" applyNumberFormat="1" applyFont="1" applyFill="1" applyBorder="1" applyAlignment="1" applyProtection="1">
      <alignment vertical="center"/>
    </xf>
    <xf numFmtId="3" fontId="3" fillId="5" borderId="66" xfId="1" applyNumberFormat="1" applyFont="1" applyFill="1" applyBorder="1" applyAlignment="1" applyProtection="1">
      <alignment vertical="center"/>
    </xf>
    <xf numFmtId="3" fontId="3" fillId="5" borderId="66" xfId="1" applyNumberFormat="1" applyFont="1" applyFill="1" applyBorder="1" applyAlignment="1" applyProtection="1">
      <alignment horizontal="left" vertical="center" wrapText="1"/>
      <protection locked="0"/>
    </xf>
    <xf numFmtId="3" fontId="2" fillId="5" borderId="43" xfId="1" applyNumberFormat="1" applyFont="1" applyFill="1" applyBorder="1" applyAlignment="1" applyProtection="1">
      <alignment vertical="center"/>
    </xf>
    <xf numFmtId="3" fontId="2" fillId="5" borderId="44" xfId="1" applyNumberFormat="1" applyFont="1" applyFill="1" applyBorder="1" applyAlignment="1" applyProtection="1">
      <alignment vertical="center"/>
    </xf>
    <xf numFmtId="3" fontId="2" fillId="5" borderId="45" xfId="1" applyNumberFormat="1" applyFont="1" applyFill="1" applyBorder="1" applyAlignment="1" applyProtection="1">
      <alignment vertical="center"/>
    </xf>
    <xf numFmtId="3" fontId="2" fillId="5" borderId="46" xfId="1" applyNumberFormat="1" applyFont="1" applyFill="1" applyBorder="1" applyAlignment="1" applyProtection="1">
      <alignment vertical="center"/>
    </xf>
    <xf numFmtId="3" fontId="2" fillId="5" borderId="46" xfId="1" applyNumberFormat="1" applyFont="1" applyFill="1" applyBorder="1" applyAlignment="1" applyProtection="1">
      <alignment horizontal="left" vertical="center" wrapText="1"/>
      <protection locked="0"/>
    </xf>
    <xf numFmtId="3" fontId="2" fillId="5" borderId="55" xfId="1" applyNumberFormat="1" applyFont="1" applyFill="1" applyBorder="1" applyAlignment="1" applyProtection="1">
      <alignment vertical="center"/>
    </xf>
    <xf numFmtId="3" fontId="2" fillId="5" borderId="56" xfId="1" applyNumberFormat="1" applyFont="1" applyFill="1" applyBorder="1" applyAlignment="1" applyProtection="1">
      <alignment vertical="center"/>
    </xf>
    <xf numFmtId="3" fontId="2" fillId="5" borderId="57" xfId="1" applyNumberFormat="1" applyFont="1" applyFill="1" applyBorder="1" applyAlignment="1" applyProtection="1">
      <alignment vertical="center"/>
    </xf>
    <xf numFmtId="3" fontId="2" fillId="5" borderId="58" xfId="1" applyNumberFormat="1" applyFont="1" applyFill="1" applyBorder="1" applyAlignment="1" applyProtection="1">
      <alignment vertical="center"/>
    </xf>
    <xf numFmtId="3" fontId="2" fillId="5" borderId="58" xfId="1" applyNumberFormat="1" applyFont="1" applyFill="1" applyBorder="1" applyAlignment="1" applyProtection="1">
      <alignment horizontal="left" vertical="center" wrapText="1"/>
      <protection locked="0"/>
    </xf>
    <xf numFmtId="3" fontId="2" fillId="5" borderId="15" xfId="1" applyNumberFormat="1" applyFont="1" applyFill="1" applyBorder="1" applyAlignment="1" applyProtection="1">
      <alignment vertical="center"/>
    </xf>
    <xf numFmtId="3" fontId="2" fillId="5" borderId="17" xfId="1" applyNumberFormat="1" applyFont="1" applyFill="1" applyBorder="1" applyAlignment="1" applyProtection="1">
      <alignment horizontal="right" vertical="center"/>
      <protection locked="0"/>
    </xf>
    <xf numFmtId="3" fontId="2" fillId="5" borderId="18" xfId="1" applyNumberFormat="1" applyFont="1" applyFill="1" applyBorder="1" applyAlignment="1" applyProtection="1">
      <alignment horizontal="right" vertical="center"/>
      <protection locked="0"/>
    </xf>
    <xf numFmtId="3" fontId="2" fillId="5" borderId="19" xfId="1" applyNumberFormat="1" applyFont="1" applyFill="1" applyBorder="1" applyAlignment="1" applyProtection="1">
      <alignment vertical="center"/>
    </xf>
    <xf numFmtId="3" fontId="2" fillId="5" borderId="19" xfId="1" applyNumberFormat="1" applyFont="1" applyFill="1" applyBorder="1" applyAlignment="1" applyProtection="1">
      <alignment horizontal="left" vertical="center" wrapText="1"/>
      <protection locked="0"/>
    </xf>
    <xf numFmtId="3" fontId="2" fillId="5" borderId="39" xfId="1" applyNumberFormat="1" applyFont="1" applyFill="1" applyBorder="1" applyAlignment="1" applyProtection="1">
      <alignment vertical="center"/>
    </xf>
    <xf numFmtId="3" fontId="2" fillId="5" borderId="40" xfId="1" applyNumberFormat="1" applyFont="1" applyFill="1" applyBorder="1" applyAlignment="1" applyProtection="1">
      <alignment horizontal="right" vertical="center"/>
      <protection locked="0"/>
    </xf>
    <xf numFmtId="3" fontId="2" fillId="5" borderId="41" xfId="1" applyNumberFormat="1" applyFont="1" applyFill="1" applyBorder="1" applyAlignment="1" applyProtection="1">
      <alignment horizontal="right" vertical="center"/>
      <protection locked="0"/>
    </xf>
    <xf numFmtId="3" fontId="2" fillId="5" borderId="42" xfId="1" applyNumberFormat="1" applyFont="1" applyFill="1" applyBorder="1" applyAlignment="1" applyProtection="1">
      <alignment vertical="center"/>
    </xf>
    <xf numFmtId="3" fontId="2" fillId="5" borderId="42" xfId="1" applyNumberFormat="1" applyFont="1" applyFill="1" applyBorder="1" applyAlignment="1" applyProtection="1">
      <alignment horizontal="left" vertical="center" wrapText="1"/>
      <protection locked="0"/>
    </xf>
    <xf numFmtId="3" fontId="2" fillId="5" borderId="40" xfId="1" applyNumberFormat="1" applyFont="1" applyFill="1" applyBorder="1" applyAlignment="1" applyProtection="1">
      <alignment vertical="center"/>
    </xf>
    <xf numFmtId="3" fontId="2" fillId="5" borderId="41" xfId="1" applyNumberFormat="1" applyFont="1" applyFill="1" applyBorder="1" applyAlignment="1" applyProtection="1">
      <alignment vertical="center"/>
    </xf>
    <xf numFmtId="3" fontId="2" fillId="5" borderId="56" xfId="1" applyNumberFormat="1" applyFont="1" applyFill="1" applyBorder="1" applyAlignment="1" applyProtection="1">
      <alignment horizontal="right" vertical="center"/>
      <protection locked="0"/>
    </xf>
    <xf numFmtId="3" fontId="2" fillId="5" borderId="57" xfId="1" applyNumberFormat="1" applyFont="1" applyFill="1" applyBorder="1" applyAlignment="1" applyProtection="1">
      <alignment horizontal="right" vertical="center"/>
      <protection locked="0"/>
    </xf>
    <xf numFmtId="3" fontId="2" fillId="6" borderId="55" xfId="1" applyNumberFormat="1" applyFont="1" applyFill="1" applyBorder="1" applyAlignment="1" applyProtection="1">
      <alignment vertical="center"/>
    </xf>
    <xf numFmtId="3" fontId="2" fillId="6" borderId="56" xfId="1" applyNumberFormat="1" applyFont="1" applyFill="1" applyBorder="1" applyAlignment="1" applyProtection="1">
      <alignment vertical="center"/>
    </xf>
    <xf numFmtId="3" fontId="2" fillId="6" borderId="57" xfId="1" applyNumberFormat="1" applyFont="1" applyFill="1" applyBorder="1" applyAlignment="1" applyProtection="1">
      <alignment vertical="center"/>
    </xf>
    <xf numFmtId="3" fontId="2" fillId="6" borderId="58" xfId="1" applyNumberFormat="1" applyFont="1" applyFill="1" applyBorder="1" applyAlignment="1" applyProtection="1">
      <alignment vertical="center"/>
    </xf>
    <xf numFmtId="3" fontId="2" fillId="6" borderId="15" xfId="1" applyNumberFormat="1" applyFont="1" applyFill="1" applyBorder="1" applyAlignment="1" applyProtection="1">
      <alignment vertical="center"/>
    </xf>
    <xf numFmtId="3" fontId="2" fillId="6" borderId="19" xfId="1" applyNumberFormat="1" applyFont="1" applyFill="1" applyBorder="1" applyAlignment="1" applyProtection="1">
      <alignment vertical="center"/>
    </xf>
    <xf numFmtId="3" fontId="2" fillId="6" borderId="39" xfId="1" applyNumberFormat="1" applyFont="1" applyFill="1" applyBorder="1" applyAlignment="1" applyProtection="1">
      <alignment vertical="center"/>
    </xf>
    <xf numFmtId="3" fontId="2" fillId="6" borderId="42" xfId="1" applyNumberFormat="1" applyFont="1" applyFill="1" applyBorder="1" applyAlignment="1" applyProtection="1">
      <alignment vertical="center"/>
    </xf>
    <xf numFmtId="3" fontId="2" fillId="6" borderId="43" xfId="1" applyNumberFormat="1" applyFont="1" applyFill="1" applyBorder="1" applyAlignment="1" applyProtection="1">
      <alignment vertical="center"/>
    </xf>
    <xf numFmtId="3" fontId="2" fillId="6" borderId="46" xfId="1" applyNumberFormat="1" applyFont="1" applyFill="1" applyBorder="1" applyAlignment="1" applyProtection="1">
      <alignment vertical="center"/>
    </xf>
    <xf numFmtId="3" fontId="2" fillId="6" borderId="44" xfId="1" applyNumberFormat="1" applyFont="1" applyFill="1" applyBorder="1" applyAlignment="1" applyProtection="1">
      <alignment vertical="center"/>
    </xf>
    <xf numFmtId="3" fontId="2" fillId="6" borderId="45" xfId="1" applyNumberFormat="1" applyFont="1" applyFill="1" applyBorder="1" applyAlignment="1" applyProtection="1">
      <alignment vertical="center"/>
    </xf>
    <xf numFmtId="3" fontId="2" fillId="6" borderId="17" xfId="1" applyNumberFormat="1" applyFont="1" applyFill="1" applyBorder="1" applyAlignment="1" applyProtection="1">
      <alignment vertical="center"/>
    </xf>
    <xf numFmtId="3" fontId="2" fillId="6" borderId="18" xfId="1" applyNumberFormat="1" applyFont="1" applyFill="1" applyBorder="1" applyAlignment="1" applyProtection="1">
      <alignment vertical="center"/>
    </xf>
    <xf numFmtId="0" fontId="3" fillId="5" borderId="63" xfId="1" applyFont="1" applyFill="1" applyBorder="1" applyAlignment="1" applyProtection="1">
      <alignment horizontal="left" vertical="center" wrapText="1"/>
    </xf>
    <xf numFmtId="0" fontId="3" fillId="5" borderId="43" xfId="1" applyFont="1" applyFill="1" applyBorder="1" applyAlignment="1" applyProtection="1">
      <alignment horizontal="left" vertical="center" wrapText="1"/>
    </xf>
    <xf numFmtId="0" fontId="2" fillId="5" borderId="63" xfId="1" applyFont="1" applyFill="1" applyBorder="1" applyAlignment="1" applyProtection="1">
      <alignment horizontal="left" vertical="center" wrapText="1"/>
    </xf>
    <xf numFmtId="0" fontId="2" fillId="5" borderId="15" xfId="1" applyFont="1" applyFill="1" applyBorder="1" applyAlignment="1" applyProtection="1">
      <alignment horizontal="center" vertical="center" wrapText="1"/>
    </xf>
    <xf numFmtId="0" fontId="2" fillId="5" borderId="15" xfId="1" applyFont="1" applyFill="1" applyBorder="1" applyAlignment="1" applyProtection="1">
      <alignment horizontal="left" vertical="center" wrapText="1"/>
    </xf>
    <xf numFmtId="3" fontId="2" fillId="5" borderId="17" xfId="1" applyNumberFormat="1" applyFont="1" applyFill="1" applyBorder="1" applyAlignment="1" applyProtection="1">
      <alignment vertical="center"/>
    </xf>
    <xf numFmtId="3" fontId="2" fillId="5" borderId="18" xfId="1" applyNumberFormat="1" applyFont="1" applyFill="1" applyBorder="1" applyAlignment="1" applyProtection="1">
      <alignment vertical="center"/>
    </xf>
    <xf numFmtId="0" fontId="2" fillId="5" borderId="39" xfId="1" applyFont="1" applyFill="1" applyBorder="1" applyAlignment="1" applyProtection="1">
      <alignment horizontal="right" vertical="center" wrapText="1"/>
    </xf>
    <xf numFmtId="0" fontId="2" fillId="5" borderId="39" xfId="1" applyFont="1" applyFill="1" applyBorder="1" applyAlignment="1" applyProtection="1">
      <alignment horizontal="left" vertical="center" wrapText="1"/>
    </xf>
    <xf numFmtId="3" fontId="2" fillId="5" borderId="40" xfId="1" applyNumberFormat="1" applyFont="1" applyFill="1" applyBorder="1" applyAlignment="1" applyProtection="1">
      <alignment vertical="center"/>
      <protection locked="0"/>
    </xf>
    <xf numFmtId="3" fontId="2" fillId="5" borderId="41" xfId="1" applyNumberFormat="1" applyFont="1" applyFill="1" applyBorder="1" applyAlignment="1" applyProtection="1">
      <alignment vertical="center"/>
      <protection locked="0"/>
    </xf>
    <xf numFmtId="3" fontId="2" fillId="5" borderId="16" xfId="1" applyNumberFormat="1" applyFont="1" applyFill="1" applyBorder="1" applyAlignment="1" applyProtection="1">
      <alignment vertical="center"/>
    </xf>
    <xf numFmtId="0" fontId="2" fillId="5" borderId="16" xfId="1" applyFont="1" applyFill="1" applyBorder="1" applyAlignment="1" applyProtection="1">
      <alignment horizontal="right" vertical="center" wrapText="1"/>
    </xf>
    <xf numFmtId="3" fontId="2" fillId="5" borderId="67" xfId="1" applyNumberFormat="1" applyFont="1" applyFill="1" applyBorder="1" applyAlignment="1" applyProtection="1">
      <alignment vertical="center"/>
      <protection locked="0"/>
    </xf>
    <xf numFmtId="3" fontId="2" fillId="5" borderId="68" xfId="1" applyNumberFormat="1" applyFont="1" applyFill="1" applyBorder="1" applyAlignment="1" applyProtection="1">
      <alignment vertical="center"/>
      <protection locked="0"/>
    </xf>
    <xf numFmtId="3" fontId="2" fillId="5" borderId="69" xfId="1" applyNumberFormat="1" applyFont="1" applyFill="1" applyBorder="1" applyAlignment="1" applyProtection="1">
      <alignment vertical="center"/>
    </xf>
    <xf numFmtId="3" fontId="2" fillId="5" borderId="67" xfId="1" applyNumberFormat="1" applyFont="1" applyFill="1" applyBorder="1" applyAlignment="1" applyProtection="1">
      <alignment horizontal="right" vertical="center"/>
      <protection locked="0"/>
    </xf>
    <xf numFmtId="3" fontId="2" fillId="5" borderId="68" xfId="1" applyNumberFormat="1" applyFont="1" applyFill="1" applyBorder="1" applyAlignment="1" applyProtection="1">
      <alignment horizontal="right" vertical="center"/>
      <protection locked="0"/>
    </xf>
    <xf numFmtId="3" fontId="2" fillId="5" borderId="69" xfId="1" applyNumberFormat="1" applyFont="1" applyFill="1" applyBorder="1" applyAlignment="1" applyProtection="1">
      <alignment horizontal="left" vertical="center" wrapText="1"/>
      <protection locked="0"/>
    </xf>
    <xf numFmtId="3" fontId="2" fillId="5" borderId="63" xfId="1" applyNumberFormat="1" applyFont="1" applyFill="1" applyBorder="1" applyAlignment="1" applyProtection="1">
      <alignment vertical="center"/>
    </xf>
    <xf numFmtId="3" fontId="2" fillId="5" borderId="64" xfId="1" applyNumberFormat="1" applyFont="1" applyFill="1" applyBorder="1" applyAlignment="1" applyProtection="1">
      <alignment vertical="center"/>
    </xf>
    <xf numFmtId="3" fontId="2" fillId="5" borderId="65" xfId="1" applyNumberFormat="1" applyFont="1" applyFill="1" applyBorder="1" applyAlignment="1" applyProtection="1">
      <alignment vertical="center"/>
    </xf>
    <xf numFmtId="3" fontId="2" fillId="5" borderId="66" xfId="1" applyNumberFormat="1" applyFont="1" applyFill="1" applyBorder="1" applyAlignment="1" applyProtection="1">
      <alignment vertical="center"/>
    </xf>
    <xf numFmtId="3" fontId="2" fillId="5" borderId="66" xfId="1" applyNumberFormat="1" applyFont="1" applyFill="1" applyBorder="1" applyAlignment="1" applyProtection="1">
      <alignment horizontal="left" vertical="center" wrapText="1"/>
      <protection locked="0"/>
    </xf>
    <xf numFmtId="0" fontId="2" fillId="5" borderId="55" xfId="1" applyFont="1" applyFill="1" applyBorder="1" applyAlignment="1" applyProtection="1">
      <alignment horizontal="right" vertical="center" wrapText="1"/>
    </xf>
    <xf numFmtId="0" fontId="2" fillId="5" borderId="55" xfId="1" applyFont="1" applyFill="1" applyBorder="1" applyAlignment="1" applyProtection="1">
      <alignment horizontal="left" vertical="center" wrapText="1"/>
    </xf>
    <xf numFmtId="3" fontId="2" fillId="5" borderId="56" xfId="1" applyNumberFormat="1" applyFont="1" applyFill="1" applyBorder="1" applyAlignment="1" applyProtection="1">
      <alignment vertical="center"/>
      <protection locked="0"/>
    </xf>
    <xf numFmtId="3" fontId="2" fillId="5" borderId="57" xfId="1" applyNumberFormat="1" applyFont="1" applyFill="1" applyBorder="1" applyAlignment="1" applyProtection="1">
      <alignment vertical="center"/>
      <protection locked="0"/>
    </xf>
    <xf numFmtId="0" fontId="2" fillId="5" borderId="15" xfId="1" applyFont="1" applyFill="1" applyBorder="1" applyAlignment="1" applyProtection="1">
      <alignment horizontal="right" vertical="center" wrapText="1"/>
    </xf>
    <xf numFmtId="3" fontId="2" fillId="5" borderId="17" xfId="1" applyNumberFormat="1" applyFont="1" applyFill="1" applyBorder="1" applyAlignment="1" applyProtection="1">
      <alignment vertical="center"/>
      <protection locked="0"/>
    </xf>
    <xf numFmtId="3" fontId="2" fillId="5" borderId="18" xfId="1" applyNumberFormat="1" applyFont="1" applyFill="1" applyBorder="1" applyAlignment="1" applyProtection="1">
      <alignment vertical="center"/>
      <protection locked="0"/>
    </xf>
    <xf numFmtId="1" fontId="3" fillId="5" borderId="63" xfId="1" applyNumberFormat="1" applyFont="1" applyFill="1" applyBorder="1" applyAlignment="1" applyProtection="1">
      <alignment horizontal="left" vertical="center" wrapText="1"/>
    </xf>
    <xf numFmtId="1" fontId="3" fillId="5" borderId="43" xfId="1" applyNumberFormat="1" applyFont="1" applyFill="1" applyBorder="1" applyAlignment="1" applyProtection="1">
      <alignment horizontal="left" vertical="center" wrapText="1"/>
    </xf>
    <xf numFmtId="0" fontId="2" fillId="5" borderId="43" xfId="1" applyFont="1" applyFill="1" applyBorder="1" applyAlignment="1" applyProtection="1">
      <alignment horizontal="left" vertical="center" wrapText="1"/>
    </xf>
    <xf numFmtId="0" fontId="2" fillId="5" borderId="39" xfId="1" applyFont="1" applyFill="1" applyBorder="1" applyAlignment="1" applyProtection="1">
      <alignment horizontal="center" vertical="center" wrapText="1"/>
    </xf>
    <xf numFmtId="0" fontId="3" fillId="5" borderId="15" xfId="1" applyFont="1" applyFill="1" applyBorder="1" applyAlignment="1" applyProtection="1">
      <alignment horizontal="center" vertical="center" wrapText="1"/>
    </xf>
    <xf numFmtId="0" fontId="3" fillId="5" borderId="15" xfId="1" applyFont="1" applyFill="1" applyBorder="1" applyAlignment="1" applyProtection="1">
      <alignment horizontal="left" vertical="center" wrapText="1"/>
    </xf>
    <xf numFmtId="3" fontId="3" fillId="5" borderId="15" xfId="1" applyNumberFormat="1" applyFont="1" applyFill="1" applyBorder="1" applyAlignment="1" applyProtection="1">
      <alignment vertical="center"/>
    </xf>
    <xf numFmtId="3" fontId="3" fillId="5" borderId="17" xfId="1" applyNumberFormat="1" applyFont="1" applyFill="1" applyBorder="1" applyAlignment="1" applyProtection="1">
      <alignment vertical="center"/>
    </xf>
    <xf numFmtId="3" fontId="3" fillId="5" borderId="18" xfId="1" applyNumberFormat="1" applyFont="1" applyFill="1" applyBorder="1" applyAlignment="1" applyProtection="1">
      <alignment vertical="center"/>
    </xf>
    <xf numFmtId="3" fontId="3" fillId="5" borderId="19" xfId="1" applyNumberFormat="1" applyFont="1" applyFill="1" applyBorder="1" applyAlignment="1" applyProtection="1">
      <alignment vertical="center"/>
    </xf>
    <xf numFmtId="3" fontId="3" fillId="5" borderId="19" xfId="1" applyNumberFormat="1" applyFont="1" applyFill="1" applyBorder="1" applyAlignment="1" applyProtection="1">
      <alignment horizontal="left" vertical="center" wrapText="1"/>
      <protection locked="0"/>
    </xf>
    <xf numFmtId="0" fontId="2" fillId="5" borderId="55" xfId="1" applyFont="1" applyFill="1" applyBorder="1" applyAlignment="1" applyProtection="1">
      <alignment horizontal="center" vertical="center" wrapText="1"/>
    </xf>
    <xf numFmtId="0" fontId="2" fillId="5" borderId="16" xfId="1" applyFont="1" applyFill="1" applyBorder="1" applyAlignment="1" applyProtection="1">
      <alignment horizontal="center" vertical="center" wrapText="1"/>
    </xf>
    <xf numFmtId="0" fontId="2" fillId="5" borderId="16" xfId="1" applyFont="1" applyFill="1" applyBorder="1" applyAlignment="1" applyProtection="1">
      <alignment horizontal="left" vertical="center" wrapText="1"/>
    </xf>
    <xf numFmtId="0" fontId="2" fillId="5" borderId="39" xfId="1" applyFont="1" applyFill="1" applyBorder="1" applyAlignment="1" applyProtection="1">
      <alignment vertical="center"/>
    </xf>
    <xf numFmtId="3" fontId="3" fillId="5" borderId="43" xfId="1" applyNumberFormat="1" applyFont="1" applyFill="1" applyBorder="1" applyAlignment="1" applyProtection="1">
      <alignment vertical="center"/>
    </xf>
    <xf numFmtId="3" fontId="3" fillId="5" borderId="44" xfId="1" applyNumberFormat="1" applyFont="1" applyFill="1" applyBorder="1" applyAlignment="1" applyProtection="1">
      <alignment vertical="center"/>
    </xf>
    <xf numFmtId="3" fontId="3" fillId="5" borderId="45" xfId="1" applyNumberFormat="1" applyFont="1" applyFill="1" applyBorder="1" applyAlignment="1" applyProtection="1">
      <alignment vertical="center"/>
    </xf>
    <xf numFmtId="3" fontId="3" fillId="5" borderId="46" xfId="1" applyNumberFormat="1" applyFont="1" applyFill="1" applyBorder="1" applyAlignment="1" applyProtection="1">
      <alignment vertical="center"/>
    </xf>
    <xf numFmtId="3" fontId="3" fillId="5" borderId="46" xfId="1" applyNumberFormat="1" applyFont="1" applyFill="1" applyBorder="1" applyAlignment="1" applyProtection="1">
      <alignment horizontal="left" vertical="center" wrapText="1"/>
      <protection locked="0"/>
    </xf>
    <xf numFmtId="0" fontId="3" fillId="5" borderId="51" xfId="1" applyFont="1" applyFill="1" applyBorder="1" applyAlignment="1" applyProtection="1">
      <alignment horizontal="left" vertical="center" wrapText="1"/>
    </xf>
    <xf numFmtId="0" fontId="2" fillId="5" borderId="51" xfId="1" applyFont="1" applyFill="1" applyBorder="1" applyAlignment="1" applyProtection="1">
      <alignment horizontal="left" vertical="center" wrapText="1"/>
    </xf>
    <xf numFmtId="3" fontId="2" fillId="5" borderId="51" xfId="1" applyNumberFormat="1" applyFont="1" applyFill="1" applyBorder="1" applyAlignment="1" applyProtection="1">
      <alignment vertical="center"/>
    </xf>
    <xf numFmtId="3" fontId="2" fillId="5" borderId="52" xfId="1" applyNumberFormat="1" applyFont="1" applyFill="1" applyBorder="1" applyAlignment="1" applyProtection="1">
      <alignment vertical="center"/>
    </xf>
    <xf numFmtId="3" fontId="2" fillId="5" borderId="53" xfId="1" applyNumberFormat="1" applyFont="1" applyFill="1" applyBorder="1" applyAlignment="1" applyProtection="1">
      <alignment vertical="center"/>
    </xf>
    <xf numFmtId="3" fontId="2" fillId="5" borderId="54" xfId="1" applyNumberFormat="1" applyFont="1" applyFill="1" applyBorder="1" applyAlignment="1" applyProtection="1">
      <alignment vertical="center"/>
    </xf>
    <xf numFmtId="3" fontId="2" fillId="5" borderId="54" xfId="1" applyNumberFormat="1" applyFont="1" applyFill="1" applyBorder="1" applyAlignment="1" applyProtection="1">
      <alignment horizontal="left" vertical="center" wrapText="1"/>
      <protection locked="0"/>
    </xf>
    <xf numFmtId="3" fontId="2" fillId="5" borderId="47" xfId="1" applyNumberFormat="1" applyFont="1" applyFill="1" applyBorder="1" applyAlignment="1" applyProtection="1">
      <alignment vertical="center"/>
    </xf>
    <xf numFmtId="3" fontId="2" fillId="5" borderId="48" xfId="1" applyNumberFormat="1" applyFont="1" applyFill="1" applyBorder="1" applyAlignment="1" applyProtection="1">
      <alignment vertical="center"/>
      <protection locked="0"/>
    </xf>
    <xf numFmtId="3" fontId="2" fillId="5" borderId="49" xfId="1" applyNumberFormat="1" applyFont="1" applyFill="1" applyBorder="1" applyAlignment="1" applyProtection="1">
      <alignment vertical="center"/>
      <protection locked="0"/>
    </xf>
    <xf numFmtId="3" fontId="2" fillId="5" borderId="50" xfId="1" applyNumberFormat="1" applyFont="1" applyFill="1" applyBorder="1" applyAlignment="1" applyProtection="1">
      <alignment vertical="center"/>
    </xf>
    <xf numFmtId="3" fontId="2" fillId="5" borderId="48" xfId="1" applyNumberFormat="1" applyFont="1" applyFill="1" applyBorder="1" applyAlignment="1" applyProtection="1">
      <alignment horizontal="right" vertical="center"/>
      <protection locked="0"/>
    </xf>
    <xf numFmtId="3" fontId="2" fillId="5" borderId="49" xfId="1" applyNumberFormat="1" applyFont="1" applyFill="1" applyBorder="1" applyAlignment="1" applyProtection="1">
      <alignment horizontal="right" vertical="center"/>
      <protection locked="0"/>
    </xf>
    <xf numFmtId="3" fontId="2" fillId="5" borderId="50" xfId="1" applyNumberFormat="1" applyFont="1" applyFill="1" applyBorder="1" applyAlignment="1" applyProtection="1">
      <alignment horizontal="left" vertical="center" wrapText="1"/>
      <protection locked="0"/>
    </xf>
    <xf numFmtId="3" fontId="2" fillId="10" borderId="24" xfId="1" applyNumberFormat="1" applyFont="1" applyFill="1" applyBorder="1" applyAlignment="1" applyProtection="1">
      <alignment horizontal="right" vertical="center"/>
      <protection locked="0"/>
    </xf>
    <xf numFmtId="3" fontId="25" fillId="4" borderId="46" xfId="1" applyNumberFormat="1" applyFont="1" applyFill="1" applyBorder="1" applyAlignment="1" applyProtection="1">
      <alignment horizontal="left" vertical="center" wrapText="1"/>
      <protection locked="0"/>
    </xf>
    <xf numFmtId="3" fontId="2" fillId="10" borderId="18" xfId="1" applyNumberFormat="1" applyFont="1" applyFill="1" applyBorder="1" applyAlignment="1" applyProtection="1">
      <alignment vertical="center"/>
      <protection locked="0"/>
    </xf>
    <xf numFmtId="0" fontId="2" fillId="0" borderId="15" xfId="1" applyFont="1" applyFill="1" applyBorder="1" applyAlignment="1" applyProtection="1">
      <alignment horizontal="center" vertical="center" wrapText="1"/>
    </xf>
    <xf numFmtId="0" fontId="2" fillId="0" borderId="0" xfId="1" applyFont="1" applyAlignment="1">
      <alignment horizontal="left" vertical="center"/>
    </xf>
    <xf numFmtId="0" fontId="10" fillId="0" borderId="0" xfId="1" applyFont="1" applyAlignment="1">
      <alignment horizontal="center" vertical="center"/>
    </xf>
    <xf numFmtId="0" fontId="2" fillId="0" borderId="41" xfId="1" applyFont="1" applyFill="1" applyBorder="1" applyAlignment="1">
      <alignment horizontal="center" vertical="center" wrapText="1"/>
    </xf>
    <xf numFmtId="0" fontId="2" fillId="0" borderId="6" xfId="1" applyNumberFormat="1" applyFont="1" applyFill="1" applyBorder="1" applyAlignment="1" applyProtection="1">
      <alignment horizontal="left" vertical="center" wrapText="1"/>
      <protection locked="0"/>
    </xf>
    <xf numFmtId="3" fontId="2" fillId="3" borderId="41" xfId="1" applyNumberFormat="1" applyFont="1" applyFill="1" applyBorder="1" applyAlignment="1" applyProtection="1">
      <alignment horizontal="right" vertical="center"/>
      <protection locked="0"/>
    </xf>
    <xf numFmtId="3" fontId="2" fillId="0" borderId="51" xfId="1" applyNumberFormat="1" applyFont="1" applyFill="1" applyBorder="1" applyAlignment="1" applyProtection="1">
      <alignment horizontal="left" vertical="center" wrapText="1"/>
      <protection locked="0"/>
    </xf>
    <xf numFmtId="3" fontId="2" fillId="7" borderId="57" xfId="1" applyNumberFormat="1" applyFont="1" applyFill="1" applyBorder="1" applyAlignment="1" applyProtection="1">
      <alignment horizontal="right" vertical="center"/>
      <protection locked="0"/>
    </xf>
    <xf numFmtId="3" fontId="2" fillId="3" borderId="18"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left" vertical="top" wrapText="1"/>
      <protection locked="0"/>
    </xf>
    <xf numFmtId="0" fontId="2" fillId="7" borderId="0" xfId="1" applyFont="1" applyFill="1" applyBorder="1" applyAlignment="1" applyProtection="1">
      <alignment vertical="center"/>
    </xf>
    <xf numFmtId="1" fontId="7" fillId="7" borderId="29" xfId="1" applyNumberFormat="1" applyFont="1" applyFill="1" applyBorder="1" applyAlignment="1" applyProtection="1">
      <alignment horizontal="center" vertical="center"/>
    </xf>
    <xf numFmtId="1" fontId="7" fillId="7" borderId="30" xfId="1" applyNumberFormat="1" applyFont="1" applyFill="1" applyBorder="1" applyAlignment="1" applyProtection="1">
      <alignment horizontal="center" vertical="center"/>
    </xf>
    <xf numFmtId="1" fontId="7" fillId="7" borderId="31" xfId="1" applyNumberFormat="1" applyFont="1" applyFill="1" applyBorder="1" applyAlignment="1" applyProtection="1">
      <alignment horizontal="center" vertical="center"/>
    </xf>
    <xf numFmtId="1" fontId="7" fillId="7" borderId="32" xfId="1" applyNumberFormat="1" applyFont="1" applyFill="1" applyBorder="1" applyAlignment="1" applyProtection="1">
      <alignment horizontal="center" vertical="center"/>
    </xf>
    <xf numFmtId="1" fontId="7" fillId="7" borderId="33" xfId="1" applyNumberFormat="1" applyFont="1" applyFill="1" applyBorder="1" applyAlignment="1" applyProtection="1">
      <alignment horizontal="center" vertical="center"/>
    </xf>
    <xf numFmtId="1" fontId="7" fillId="7" borderId="34" xfId="1" applyNumberFormat="1" applyFont="1" applyFill="1" applyBorder="1" applyAlignment="1" applyProtection="1">
      <alignment horizontal="center" vertical="center"/>
    </xf>
    <xf numFmtId="0" fontId="3" fillId="7" borderId="17" xfId="1" applyFont="1" applyFill="1" applyBorder="1" applyAlignment="1" applyProtection="1">
      <alignment vertical="center"/>
      <protection locked="0"/>
    </xf>
    <xf numFmtId="0" fontId="3" fillId="7" borderId="18" xfId="1" applyFont="1" applyFill="1" applyBorder="1" applyAlignment="1" applyProtection="1">
      <alignment vertical="center"/>
      <protection locked="0"/>
    </xf>
    <xf numFmtId="0" fontId="3" fillId="7" borderId="19" xfId="1" applyFont="1" applyFill="1" applyBorder="1" applyAlignment="1" applyProtection="1">
      <alignment vertical="center"/>
      <protection locked="0"/>
    </xf>
    <xf numFmtId="3" fontId="3" fillId="7" borderId="36" xfId="1" applyNumberFormat="1" applyFont="1" applyFill="1" applyBorder="1" applyAlignment="1" applyProtection="1">
      <alignment horizontal="right" vertical="center"/>
    </xf>
    <xf numFmtId="3" fontId="3" fillId="7" borderId="37" xfId="1" applyNumberFormat="1" applyFont="1" applyFill="1" applyBorder="1" applyAlignment="1" applyProtection="1">
      <alignment horizontal="right" vertical="center"/>
    </xf>
    <xf numFmtId="3" fontId="3" fillId="7" borderId="38" xfId="1" applyNumberFormat="1" applyFont="1" applyFill="1" applyBorder="1" applyAlignment="1" applyProtection="1">
      <alignment horizontal="right" vertical="center"/>
    </xf>
    <xf numFmtId="3" fontId="2" fillId="7" borderId="29" xfId="1" applyNumberFormat="1" applyFont="1" applyFill="1" applyBorder="1" applyAlignment="1" applyProtection="1">
      <alignment horizontal="right" vertical="center"/>
    </xf>
    <xf numFmtId="3" fontId="2" fillId="7" borderId="30" xfId="1" applyNumberFormat="1" applyFont="1" applyFill="1" applyBorder="1" applyAlignment="1" applyProtection="1">
      <alignment horizontal="right" vertical="center"/>
    </xf>
    <xf numFmtId="3" fontId="2" fillId="7" borderId="31" xfId="1" applyNumberFormat="1" applyFont="1" applyFill="1" applyBorder="1" applyAlignment="1" applyProtection="1">
      <alignment horizontal="right" vertical="center"/>
    </xf>
    <xf numFmtId="3" fontId="26" fillId="7" borderId="41" xfId="1" applyNumberFormat="1" applyFont="1" applyFill="1" applyBorder="1" applyAlignment="1" applyProtection="1">
      <alignment horizontal="right" vertical="center"/>
      <protection locked="0"/>
    </xf>
    <xf numFmtId="3" fontId="8" fillId="7" borderId="41" xfId="1" applyNumberFormat="1" applyFont="1" applyFill="1" applyBorder="1" applyAlignment="1" applyProtection="1">
      <alignment horizontal="right" vertical="center"/>
      <protection locked="0"/>
    </xf>
    <xf numFmtId="3" fontId="2" fillId="7" borderId="23" xfId="1" applyNumberFormat="1" applyFont="1" applyFill="1" applyBorder="1" applyAlignment="1" applyProtection="1">
      <alignment horizontal="right" vertical="center"/>
      <protection locked="0"/>
    </xf>
    <xf numFmtId="3" fontId="2" fillId="7" borderId="24" xfId="1" applyNumberFormat="1" applyFont="1" applyFill="1" applyBorder="1" applyAlignment="1" applyProtection="1">
      <alignment horizontal="right" vertical="center"/>
      <protection locked="0"/>
    </xf>
    <xf numFmtId="3" fontId="2" fillId="7" borderId="25" xfId="1" applyNumberFormat="1" applyFont="1" applyFill="1" applyBorder="1" applyAlignment="1" applyProtection="1">
      <alignment vertical="center"/>
    </xf>
    <xf numFmtId="3" fontId="2" fillId="7" borderId="23" xfId="1" applyNumberFormat="1" applyFont="1" applyFill="1" applyBorder="1" applyAlignment="1" applyProtection="1">
      <alignment horizontal="center" vertical="center"/>
    </xf>
    <xf numFmtId="3" fontId="2" fillId="7" borderId="24" xfId="1" applyNumberFormat="1" applyFont="1" applyFill="1" applyBorder="1" applyAlignment="1" applyProtection="1">
      <alignment horizontal="center" vertical="center"/>
    </xf>
    <xf numFmtId="3" fontId="2" fillId="7" borderId="25" xfId="1" applyNumberFormat="1" applyFont="1" applyFill="1" applyBorder="1" applyAlignment="1" applyProtection="1">
      <alignment horizontal="center" vertical="center"/>
    </xf>
    <xf numFmtId="3" fontId="2" fillId="7" borderId="44" xfId="1" applyNumberFormat="1" applyFont="1" applyFill="1" applyBorder="1" applyAlignment="1" applyProtection="1">
      <alignment horizontal="right" vertical="center"/>
      <protection locked="0"/>
    </xf>
    <xf numFmtId="3" fontId="2" fillId="7" borderId="45" xfId="1" applyNumberFormat="1" applyFont="1" applyFill="1" applyBorder="1" applyAlignment="1" applyProtection="1">
      <alignment horizontal="right" vertical="center"/>
      <protection locked="0"/>
    </xf>
    <xf numFmtId="3" fontId="2" fillId="7" borderId="46" xfId="1" applyNumberFormat="1" applyFont="1" applyFill="1" applyBorder="1" applyAlignment="1" applyProtection="1">
      <alignment vertical="center"/>
    </xf>
    <xf numFmtId="3" fontId="2" fillId="7" borderId="44" xfId="1" applyNumberFormat="1" applyFont="1" applyFill="1" applyBorder="1" applyAlignment="1" applyProtection="1">
      <alignment horizontal="center" vertical="center"/>
    </xf>
    <xf numFmtId="3" fontId="2" fillId="7" borderId="45" xfId="1" applyNumberFormat="1" applyFont="1" applyFill="1" applyBorder="1" applyAlignment="1" applyProtection="1">
      <alignment horizontal="center" vertical="center"/>
    </xf>
    <xf numFmtId="3" fontId="2" fillId="7" borderId="46" xfId="1" applyNumberFormat="1" applyFont="1" applyFill="1" applyBorder="1" applyAlignment="1" applyProtection="1">
      <alignment horizontal="center" vertical="center"/>
    </xf>
    <xf numFmtId="3" fontId="2" fillId="7" borderId="44" xfId="1" applyNumberFormat="1" applyFont="1" applyFill="1" applyBorder="1" applyAlignment="1" applyProtection="1">
      <alignment horizontal="right" vertical="center"/>
    </xf>
    <xf numFmtId="3" fontId="2" fillId="7" borderId="45" xfId="1" applyNumberFormat="1" applyFont="1" applyFill="1" applyBorder="1" applyAlignment="1" applyProtection="1">
      <alignment horizontal="right" vertical="center"/>
    </xf>
    <xf numFmtId="3" fontId="2" fillId="7" borderId="46" xfId="1" applyNumberFormat="1" applyFont="1" applyFill="1" applyBorder="1" applyAlignment="1" applyProtection="1">
      <alignment horizontal="right" vertical="center"/>
    </xf>
    <xf numFmtId="3" fontId="2" fillId="7" borderId="40" xfId="1" applyNumberFormat="1" applyFont="1" applyFill="1" applyBorder="1" applyAlignment="1" applyProtection="1">
      <alignment horizontal="center" vertical="center"/>
    </xf>
    <xf numFmtId="3" fontId="2" fillId="7" borderId="41" xfId="1" applyNumberFormat="1" applyFont="1" applyFill="1" applyBorder="1" applyAlignment="1" applyProtection="1">
      <alignment horizontal="center" vertical="center"/>
    </xf>
    <xf numFmtId="3" fontId="2" fillId="7" borderId="42" xfId="1" applyNumberFormat="1" applyFont="1" applyFill="1" applyBorder="1" applyAlignment="1" applyProtection="1">
      <alignment horizontal="center" vertical="center"/>
    </xf>
    <xf numFmtId="3" fontId="2" fillId="7" borderId="48" xfId="1" applyNumberFormat="1" applyFont="1" applyFill="1" applyBorder="1" applyAlignment="1" applyProtection="1">
      <alignment horizontal="center" vertical="center"/>
    </xf>
    <xf numFmtId="3" fontId="2" fillId="7" borderId="49" xfId="1" applyNumberFormat="1" applyFont="1" applyFill="1" applyBorder="1" applyAlignment="1" applyProtection="1">
      <alignment horizontal="center" vertical="center"/>
    </xf>
    <xf numFmtId="3" fontId="2" fillId="7" borderId="50" xfId="1" applyNumberFormat="1" applyFont="1" applyFill="1" applyBorder="1" applyAlignment="1" applyProtection="1">
      <alignment horizontal="center" vertical="center"/>
    </xf>
    <xf numFmtId="3" fontId="2" fillId="7" borderId="48" xfId="1" applyNumberFormat="1" applyFont="1" applyFill="1" applyBorder="1" applyAlignment="1" applyProtection="1">
      <alignment horizontal="right" vertical="center"/>
      <protection locked="0"/>
    </xf>
    <xf numFmtId="3" fontId="2" fillId="7" borderId="49" xfId="1" applyNumberFormat="1" applyFont="1" applyFill="1" applyBorder="1" applyAlignment="1" applyProtection="1">
      <alignment horizontal="right" vertical="center"/>
      <protection locked="0"/>
    </xf>
    <xf numFmtId="3" fontId="2" fillId="7" borderId="50" xfId="1" applyNumberFormat="1" applyFont="1" applyFill="1" applyBorder="1" applyAlignment="1" applyProtection="1">
      <alignment horizontal="right" vertical="center"/>
    </xf>
    <xf numFmtId="3" fontId="3" fillId="7" borderId="53" xfId="1" applyNumberFormat="1" applyFont="1" applyFill="1" applyBorder="1" applyAlignment="1" applyProtection="1">
      <alignment horizontal="right" vertical="center"/>
      <protection locked="0"/>
    </xf>
    <xf numFmtId="3" fontId="2" fillId="7" borderId="56" xfId="1" applyNumberFormat="1" applyFont="1" applyFill="1" applyBorder="1" applyAlignment="1" applyProtection="1">
      <alignment horizontal="right" vertical="center"/>
    </xf>
    <xf numFmtId="3" fontId="2" fillId="7" borderId="57" xfId="1" applyNumberFormat="1" applyFont="1" applyFill="1" applyBorder="1" applyAlignment="1" applyProtection="1">
      <alignment horizontal="right" vertical="center"/>
    </xf>
    <xf numFmtId="3" fontId="2" fillId="7" borderId="58" xfId="1" applyNumberFormat="1" applyFont="1" applyFill="1" applyBorder="1" applyAlignment="1" applyProtection="1">
      <alignment horizontal="right" vertical="center"/>
    </xf>
    <xf numFmtId="3" fontId="2" fillId="7" borderId="56" xfId="1" applyNumberFormat="1" applyFont="1" applyFill="1" applyBorder="1" applyAlignment="1" applyProtection="1">
      <alignment horizontal="center" vertical="center"/>
    </xf>
    <xf numFmtId="3" fontId="2" fillId="7" borderId="57" xfId="1" applyNumberFormat="1" applyFont="1" applyFill="1" applyBorder="1" applyAlignment="1" applyProtection="1">
      <alignment horizontal="center" vertical="center"/>
    </xf>
    <xf numFmtId="3" fontId="2" fillId="7" borderId="58" xfId="1" applyNumberFormat="1" applyFont="1" applyFill="1" applyBorder="1" applyAlignment="1" applyProtection="1">
      <alignment horizontal="center" vertical="center"/>
    </xf>
    <xf numFmtId="3" fontId="2" fillId="7" borderId="54" xfId="1" applyNumberFormat="1" applyFont="1" applyFill="1" applyBorder="1" applyAlignment="1" applyProtection="1">
      <alignment vertical="center"/>
    </xf>
    <xf numFmtId="3" fontId="2" fillId="7" borderId="56" xfId="1" applyNumberFormat="1" applyFont="1" applyFill="1" applyBorder="1" applyAlignment="1" applyProtection="1">
      <alignment horizontal="right" vertical="center"/>
      <protection locked="0"/>
    </xf>
    <xf numFmtId="3" fontId="2" fillId="7" borderId="58" xfId="1" applyNumberFormat="1" applyFont="1" applyFill="1" applyBorder="1" applyAlignment="1" applyProtection="1">
      <alignment vertical="center"/>
    </xf>
    <xf numFmtId="3" fontId="3" fillId="7" borderId="17" xfId="1" applyNumberFormat="1" applyFont="1" applyFill="1" applyBorder="1" applyAlignment="1" applyProtection="1">
      <alignment horizontal="right" vertical="center"/>
      <protection locked="0"/>
    </xf>
    <xf numFmtId="3" fontId="3" fillId="7" borderId="18" xfId="1" applyNumberFormat="1" applyFont="1" applyFill="1" applyBorder="1" applyAlignment="1" applyProtection="1">
      <alignment horizontal="right" vertical="center"/>
      <protection locked="0"/>
    </xf>
    <xf numFmtId="3" fontId="3" fillId="7" borderId="19" xfId="1" applyNumberFormat="1" applyFont="1" applyFill="1" applyBorder="1" applyAlignment="1" applyProtection="1">
      <alignment vertical="center"/>
    </xf>
    <xf numFmtId="3" fontId="3" fillId="7" borderId="36" xfId="1" applyNumberFormat="1" applyFont="1" applyFill="1" applyBorder="1" applyAlignment="1" applyProtection="1">
      <alignment vertical="center"/>
    </xf>
    <xf numFmtId="3" fontId="3" fillId="7" borderId="37" xfId="1" applyNumberFormat="1" applyFont="1" applyFill="1" applyBorder="1" applyAlignment="1" applyProtection="1">
      <alignment vertical="center"/>
    </xf>
    <xf numFmtId="3" fontId="3" fillId="7" borderId="38" xfId="1" applyNumberFormat="1" applyFont="1" applyFill="1" applyBorder="1" applyAlignment="1" applyProtection="1">
      <alignment vertical="center"/>
    </xf>
    <xf numFmtId="3" fontId="3" fillId="7" borderId="60" xfId="1" applyNumberFormat="1" applyFont="1" applyFill="1" applyBorder="1" applyAlignment="1" applyProtection="1">
      <alignment vertical="center"/>
    </xf>
    <xf numFmtId="3" fontId="3" fillId="7" borderId="61" xfId="1" applyNumberFormat="1" applyFont="1" applyFill="1" applyBorder="1" applyAlignment="1" applyProtection="1">
      <alignment vertical="center"/>
    </xf>
    <xf numFmtId="3" fontId="3" fillId="7" borderId="62" xfId="1" applyNumberFormat="1" applyFont="1" applyFill="1" applyBorder="1" applyAlignment="1" applyProtection="1">
      <alignment vertical="center"/>
    </xf>
    <xf numFmtId="3" fontId="3" fillId="7" borderId="60" xfId="1" applyNumberFormat="1" applyFont="1" applyFill="1" applyBorder="1" applyAlignment="1" applyProtection="1">
      <alignment horizontal="right" vertical="center"/>
    </xf>
    <xf numFmtId="3" fontId="3" fillId="7" borderId="61" xfId="1" applyNumberFormat="1" applyFont="1" applyFill="1" applyBorder="1" applyAlignment="1" applyProtection="1">
      <alignment horizontal="right" vertical="center"/>
    </xf>
    <xf numFmtId="3" fontId="3" fillId="7" borderId="62" xfId="1" applyNumberFormat="1" applyFont="1" applyFill="1" applyBorder="1" applyAlignment="1" applyProtection="1">
      <alignment horizontal="right" vertical="center"/>
    </xf>
    <xf numFmtId="3" fontId="3" fillId="7" borderId="17" xfId="1" applyNumberFormat="1" applyFont="1" applyFill="1" applyBorder="1" applyAlignment="1" applyProtection="1">
      <alignment vertical="center"/>
    </xf>
    <xf numFmtId="3" fontId="3" fillId="7" borderId="18" xfId="1" applyNumberFormat="1" applyFont="1" applyFill="1" applyBorder="1" applyAlignment="1" applyProtection="1">
      <alignment vertical="center"/>
    </xf>
    <xf numFmtId="0" fontId="3" fillId="11" borderId="63" xfId="1" applyFont="1" applyFill="1" applyBorder="1" applyAlignment="1" applyProtection="1">
      <alignment horizontal="left" vertical="center" wrapText="1"/>
    </xf>
    <xf numFmtId="3" fontId="3" fillId="11" borderId="63" xfId="1" applyNumberFormat="1" applyFont="1" applyFill="1" applyBorder="1" applyAlignment="1" applyProtection="1">
      <alignment vertical="center"/>
    </xf>
    <xf numFmtId="3" fontId="3" fillId="11" borderId="64" xfId="1" applyNumberFormat="1" applyFont="1" applyFill="1" applyBorder="1" applyAlignment="1" applyProtection="1">
      <alignment vertical="center"/>
    </xf>
    <xf numFmtId="3" fontId="3" fillId="11" borderId="65" xfId="1" applyNumberFormat="1" applyFont="1" applyFill="1" applyBorder="1" applyAlignment="1" applyProtection="1">
      <alignment vertical="center"/>
    </xf>
    <xf numFmtId="3" fontId="3" fillId="11" borderId="66" xfId="1" applyNumberFormat="1" applyFont="1" applyFill="1" applyBorder="1" applyAlignment="1" applyProtection="1">
      <alignment vertical="center"/>
    </xf>
    <xf numFmtId="3" fontId="3" fillId="11" borderId="66" xfId="1" applyNumberFormat="1" applyFont="1" applyFill="1" applyBorder="1" applyAlignment="1" applyProtection="1">
      <alignment horizontal="left" vertical="center" wrapText="1"/>
      <protection locked="0"/>
    </xf>
    <xf numFmtId="3" fontId="2" fillId="7" borderId="44" xfId="1" applyNumberFormat="1" applyFont="1" applyFill="1" applyBorder="1" applyAlignment="1" applyProtection="1">
      <alignment vertical="center"/>
    </xf>
    <xf numFmtId="3" fontId="2" fillId="7" borderId="45" xfId="1" applyNumberFormat="1" applyFont="1" applyFill="1" applyBorder="1" applyAlignment="1" applyProtection="1">
      <alignment vertical="center"/>
    </xf>
    <xf numFmtId="3" fontId="2" fillId="7" borderId="56" xfId="1" applyNumberFormat="1" applyFont="1" applyFill="1" applyBorder="1" applyAlignment="1" applyProtection="1">
      <alignment vertical="center"/>
    </xf>
    <xf numFmtId="3" fontId="2" fillId="7" borderId="57" xfId="1" applyNumberFormat="1" applyFont="1" applyFill="1" applyBorder="1" applyAlignment="1" applyProtection="1">
      <alignment vertical="center"/>
    </xf>
    <xf numFmtId="3" fontId="2" fillId="7" borderId="40" xfId="1" applyNumberFormat="1" applyFont="1" applyFill="1" applyBorder="1" applyAlignment="1" applyProtection="1">
      <alignment vertical="center"/>
    </xf>
    <xf numFmtId="3" fontId="2" fillId="7" borderId="17" xfId="1" applyNumberFormat="1" applyFont="1" applyFill="1" applyBorder="1" applyAlignment="1" applyProtection="1">
      <alignment vertical="center"/>
    </xf>
    <xf numFmtId="3" fontId="2" fillId="7" borderId="18" xfId="1" applyNumberFormat="1" applyFont="1" applyFill="1" applyBorder="1" applyAlignment="1" applyProtection="1">
      <alignment vertical="center"/>
    </xf>
    <xf numFmtId="3" fontId="2" fillId="9" borderId="41" xfId="1" applyNumberFormat="1" applyFont="1" applyFill="1" applyBorder="1" applyAlignment="1" applyProtection="1">
      <alignment vertical="center"/>
      <protection locked="0"/>
    </xf>
    <xf numFmtId="3" fontId="2" fillId="7" borderId="56" xfId="1" applyNumberFormat="1" applyFont="1" applyFill="1" applyBorder="1" applyAlignment="1" applyProtection="1">
      <alignment vertical="center"/>
      <protection locked="0"/>
    </xf>
    <xf numFmtId="3" fontId="2" fillId="7" borderId="57" xfId="1" applyNumberFormat="1" applyFont="1" applyFill="1" applyBorder="1" applyAlignment="1" applyProtection="1">
      <alignment vertical="center"/>
      <protection locked="0"/>
    </xf>
    <xf numFmtId="3" fontId="2" fillId="7" borderId="44" xfId="1" applyNumberFormat="1" applyFont="1" applyFill="1" applyBorder="1" applyAlignment="1" applyProtection="1">
      <alignment vertical="center"/>
      <protection locked="0"/>
    </xf>
    <xf numFmtId="3" fontId="2" fillId="7" borderId="45" xfId="1" applyNumberFormat="1" applyFont="1" applyFill="1" applyBorder="1" applyAlignment="1" applyProtection="1">
      <alignment vertical="center"/>
      <protection locked="0"/>
    </xf>
    <xf numFmtId="3" fontId="2" fillId="7" borderId="67" xfId="1" applyNumberFormat="1" applyFont="1" applyFill="1" applyBorder="1" applyAlignment="1" applyProtection="1">
      <alignment vertical="center"/>
      <protection locked="0"/>
    </xf>
    <xf numFmtId="3" fontId="2" fillId="7" borderId="68" xfId="1" applyNumberFormat="1" applyFont="1" applyFill="1" applyBorder="1" applyAlignment="1" applyProtection="1">
      <alignment vertical="center"/>
      <protection locked="0"/>
    </xf>
    <xf numFmtId="3" fontId="2" fillId="7" borderId="69" xfId="1" applyNumberFormat="1" applyFont="1" applyFill="1" applyBorder="1" applyAlignment="1" applyProtection="1">
      <alignment vertical="center"/>
    </xf>
    <xf numFmtId="3" fontId="2" fillId="7" borderId="67" xfId="1" applyNumberFormat="1" applyFont="1" applyFill="1" applyBorder="1" applyAlignment="1" applyProtection="1">
      <alignment horizontal="right" vertical="center"/>
      <protection locked="0"/>
    </xf>
    <xf numFmtId="3" fontId="2" fillId="7" borderId="68" xfId="1" applyNumberFormat="1" applyFont="1" applyFill="1" applyBorder="1" applyAlignment="1" applyProtection="1">
      <alignment horizontal="right" vertical="center"/>
      <protection locked="0"/>
    </xf>
    <xf numFmtId="3" fontId="2" fillId="7" borderId="64" xfId="1" applyNumberFormat="1" applyFont="1" applyFill="1" applyBorder="1" applyAlignment="1" applyProtection="1">
      <alignment vertical="center"/>
    </xf>
    <xf numFmtId="3" fontId="2" fillId="7" borderId="65" xfId="1" applyNumberFormat="1" applyFont="1" applyFill="1" applyBorder="1" applyAlignment="1" applyProtection="1">
      <alignment vertical="center"/>
    </xf>
    <xf numFmtId="3" fontId="2" fillId="7" borderId="66" xfId="1" applyNumberFormat="1" applyFont="1" applyFill="1" applyBorder="1" applyAlignment="1" applyProtection="1">
      <alignment vertical="center"/>
    </xf>
    <xf numFmtId="1" fontId="3" fillId="11" borderId="63" xfId="1" applyNumberFormat="1" applyFont="1" applyFill="1" applyBorder="1" applyAlignment="1" applyProtection="1">
      <alignment horizontal="left" vertical="center" wrapText="1"/>
    </xf>
    <xf numFmtId="0" fontId="3" fillId="11" borderId="43" xfId="1" applyFont="1" applyFill="1" applyBorder="1" applyAlignment="1" applyProtection="1">
      <alignment horizontal="left" vertical="center" wrapText="1"/>
    </xf>
    <xf numFmtId="3" fontId="3" fillId="11" borderId="43" xfId="1" applyNumberFormat="1" applyFont="1" applyFill="1" applyBorder="1" applyAlignment="1" applyProtection="1">
      <alignment vertical="center"/>
    </xf>
    <xf numFmtId="3" fontId="3" fillId="11" borderId="44" xfId="1" applyNumberFormat="1" applyFont="1" applyFill="1" applyBorder="1" applyAlignment="1" applyProtection="1">
      <alignment vertical="center"/>
    </xf>
    <xf numFmtId="3" fontId="3" fillId="11" borderId="45" xfId="1" applyNumberFormat="1" applyFont="1" applyFill="1" applyBorder="1" applyAlignment="1" applyProtection="1">
      <alignment vertical="center"/>
    </xf>
    <xf numFmtId="3" fontId="3" fillId="11" borderId="46" xfId="1" applyNumberFormat="1" applyFont="1" applyFill="1" applyBorder="1" applyAlignment="1" applyProtection="1">
      <alignment vertical="center"/>
    </xf>
    <xf numFmtId="3" fontId="3" fillId="11" borderId="46" xfId="1" applyNumberFormat="1" applyFont="1" applyFill="1" applyBorder="1" applyAlignment="1" applyProtection="1">
      <alignment horizontal="left" vertical="center" wrapText="1"/>
      <protection locked="0"/>
    </xf>
    <xf numFmtId="3" fontId="2" fillId="7" borderId="52" xfId="1" applyNumberFormat="1" applyFont="1" applyFill="1" applyBorder="1" applyAlignment="1" applyProtection="1">
      <alignment vertical="center"/>
    </xf>
    <xf numFmtId="3" fontId="2" fillId="7" borderId="53" xfId="1" applyNumberFormat="1" applyFont="1" applyFill="1" applyBorder="1" applyAlignment="1" applyProtection="1">
      <alignment vertical="center"/>
    </xf>
    <xf numFmtId="3" fontId="2" fillId="7" borderId="48" xfId="1" applyNumberFormat="1" applyFont="1" applyFill="1" applyBorder="1" applyAlignment="1" applyProtection="1">
      <alignment vertical="center"/>
      <protection locked="0"/>
    </xf>
    <xf numFmtId="3" fontId="2" fillId="7" borderId="49" xfId="1" applyNumberFormat="1" applyFont="1" applyFill="1" applyBorder="1" applyAlignment="1" applyProtection="1">
      <alignment vertical="center"/>
      <protection locked="0"/>
    </xf>
    <xf numFmtId="3" fontId="2" fillId="7" borderId="50" xfId="1" applyNumberFormat="1" applyFont="1" applyFill="1" applyBorder="1" applyAlignment="1" applyProtection="1">
      <alignment vertical="center"/>
    </xf>
    <xf numFmtId="0" fontId="3" fillId="11" borderId="70" xfId="1" applyFont="1" applyFill="1" applyBorder="1" applyAlignment="1" applyProtection="1">
      <alignment horizontal="left" vertical="center" wrapText="1"/>
    </xf>
    <xf numFmtId="0" fontId="3" fillId="11" borderId="39" xfId="1" applyFont="1" applyFill="1" applyBorder="1" applyAlignment="1" applyProtection="1">
      <alignment horizontal="left" vertical="center" wrapText="1"/>
    </xf>
    <xf numFmtId="3" fontId="3" fillId="11" borderId="55" xfId="1" applyNumberFormat="1" applyFont="1" applyFill="1" applyBorder="1" applyAlignment="1" applyProtection="1">
      <alignment vertical="center"/>
    </xf>
    <xf numFmtId="3" fontId="3" fillId="11" borderId="56" xfId="1" applyNumberFormat="1" applyFont="1" applyFill="1" applyBorder="1" applyAlignment="1" applyProtection="1">
      <alignment vertical="center"/>
    </xf>
    <xf numFmtId="3" fontId="3" fillId="11" borderId="57" xfId="1" applyNumberFormat="1" applyFont="1" applyFill="1" applyBorder="1" applyAlignment="1" applyProtection="1">
      <alignment vertical="center"/>
    </xf>
    <xf numFmtId="3" fontId="3" fillId="11" borderId="58" xfId="1" applyNumberFormat="1" applyFont="1" applyFill="1" applyBorder="1" applyAlignment="1" applyProtection="1">
      <alignment vertical="center"/>
    </xf>
    <xf numFmtId="3" fontId="3" fillId="11" borderId="58" xfId="1" applyNumberFormat="1" applyFont="1" applyFill="1" applyBorder="1" applyAlignment="1" applyProtection="1">
      <alignment horizontal="left" vertical="center" wrapText="1"/>
      <protection locked="0"/>
    </xf>
    <xf numFmtId="3" fontId="2" fillId="7" borderId="36" xfId="1" applyNumberFormat="1" applyFont="1" applyFill="1" applyBorder="1" applyAlignment="1" applyProtection="1">
      <alignment vertical="center"/>
    </xf>
    <xf numFmtId="3" fontId="2" fillId="7" borderId="37" xfId="1" applyNumberFormat="1" applyFont="1" applyFill="1" applyBorder="1" applyAlignment="1" applyProtection="1">
      <alignment vertical="center"/>
    </xf>
    <xf numFmtId="3" fontId="2" fillId="7" borderId="38" xfId="1" applyNumberFormat="1" applyFont="1" applyFill="1" applyBorder="1" applyAlignment="1" applyProtection="1">
      <alignment vertical="center"/>
    </xf>
    <xf numFmtId="3" fontId="3" fillId="7" borderId="71" xfId="1" applyNumberFormat="1" applyFont="1" applyFill="1" applyBorder="1" applyAlignment="1" applyProtection="1">
      <alignment vertical="center"/>
    </xf>
    <xf numFmtId="3" fontId="3" fillId="7" borderId="74" xfId="1" applyNumberFormat="1" applyFont="1" applyFill="1" applyBorder="1" applyAlignment="1" applyProtection="1">
      <alignment vertical="center"/>
    </xf>
    <xf numFmtId="3" fontId="3" fillId="7" borderId="72" xfId="1" applyNumberFormat="1" applyFont="1" applyFill="1" applyBorder="1" applyAlignment="1" applyProtection="1">
      <alignment vertical="center"/>
    </xf>
    <xf numFmtId="3" fontId="3" fillId="7" borderId="44" xfId="1" applyNumberFormat="1" applyFont="1" applyFill="1" applyBorder="1" applyAlignment="1" applyProtection="1">
      <alignment vertical="center"/>
    </xf>
    <xf numFmtId="3" fontId="3" fillId="7" borderId="45" xfId="1" applyNumberFormat="1" applyFont="1" applyFill="1" applyBorder="1" applyAlignment="1" applyProtection="1">
      <alignment vertical="center"/>
    </xf>
    <xf numFmtId="3" fontId="3" fillId="7" borderId="46" xfId="1" applyNumberFormat="1" applyFont="1" applyFill="1" applyBorder="1" applyAlignment="1" applyProtection="1">
      <alignment vertical="center"/>
    </xf>
    <xf numFmtId="3" fontId="3" fillId="7" borderId="71" xfId="1" applyNumberFormat="1" applyFont="1" applyFill="1" applyBorder="1" applyAlignment="1" applyProtection="1">
      <alignment vertical="center"/>
      <protection locked="0"/>
    </xf>
    <xf numFmtId="3" fontId="3" fillId="7" borderId="74" xfId="1" applyNumberFormat="1" applyFont="1" applyFill="1" applyBorder="1" applyAlignment="1" applyProtection="1">
      <alignment vertical="center"/>
      <protection locked="0"/>
    </xf>
    <xf numFmtId="3" fontId="2" fillId="7" borderId="72" xfId="1" applyNumberFormat="1" applyFont="1" applyFill="1" applyBorder="1" applyAlignment="1" applyProtection="1">
      <alignment vertical="center"/>
    </xf>
    <xf numFmtId="0" fontId="0" fillId="0" borderId="4" xfId="0" applyBorder="1"/>
    <xf numFmtId="3" fontId="3" fillId="0" borderId="40"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0" fontId="2" fillId="0" borderId="0" xfId="2" applyFont="1" applyAlignment="1">
      <alignment horizontal="left"/>
    </xf>
    <xf numFmtId="0" fontId="10" fillId="0" borderId="0" xfId="2" applyFont="1" applyAlignment="1">
      <alignment horizontal="center"/>
    </xf>
    <xf numFmtId="0" fontId="2" fillId="0" borderId="0" xfId="2" applyFont="1" applyBorder="1" applyAlignment="1">
      <alignment horizontal="left" vertical="center" wrapText="1"/>
    </xf>
    <xf numFmtId="0" fontId="2" fillId="0" borderId="41" xfId="2" applyFont="1" applyFill="1" applyBorder="1" applyAlignment="1" applyProtection="1">
      <alignment horizontal="center" vertical="center" wrapText="1"/>
      <protection locked="0"/>
    </xf>
    <xf numFmtId="0" fontId="3" fillId="0" borderId="41" xfId="2" applyFont="1" applyFill="1" applyBorder="1" applyAlignment="1" applyProtection="1">
      <alignment horizontal="center" vertical="center" wrapText="1"/>
      <protection locked="0"/>
    </xf>
    <xf numFmtId="3" fontId="2" fillId="0" borderId="41" xfId="2" applyNumberFormat="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vertical="center" wrapText="1"/>
      <protection locked="0"/>
    </xf>
    <xf numFmtId="0" fontId="2" fillId="0" borderId="0" xfId="1" applyFont="1" applyFill="1" applyAlignment="1">
      <alignment horizontal="right"/>
    </xf>
    <xf numFmtId="0" fontId="10" fillId="0" borderId="0" xfId="1" applyFont="1" applyFill="1" applyAlignment="1">
      <alignment horizontal="center"/>
    </xf>
    <xf numFmtId="0" fontId="11" fillId="0" borderId="0" xfId="1" applyFont="1" applyFill="1" applyAlignment="1"/>
    <xf numFmtId="0" fontId="2" fillId="0" borderId="0" xfId="1" applyFont="1" applyFill="1" applyAlignment="1"/>
    <xf numFmtId="49" fontId="3" fillId="0" borderId="0" xfId="1" applyNumberFormat="1" applyFont="1" applyFill="1" applyAlignment="1"/>
    <xf numFmtId="3" fontId="3" fillId="0" borderId="41" xfId="1" applyNumberFormat="1" applyFont="1" applyFill="1" applyBorder="1" applyAlignment="1">
      <alignment vertical="center" wrapText="1"/>
    </xf>
    <xf numFmtId="0" fontId="2" fillId="0" borderId="41" xfId="1" applyFont="1" applyFill="1" applyBorder="1" applyAlignment="1">
      <alignment horizontal="center" vertical="center"/>
    </xf>
    <xf numFmtId="1" fontId="3" fillId="0" borderId="41" xfId="1" applyNumberFormat="1" applyFont="1" applyFill="1" applyBorder="1" applyAlignment="1" applyProtection="1">
      <alignment horizontal="center" vertical="center" wrapText="1"/>
      <protection locked="0"/>
    </xf>
    <xf numFmtId="3" fontId="2" fillId="0" borderId="41" xfId="1" applyNumberFormat="1" applyFont="1" applyFill="1" applyBorder="1" applyAlignment="1">
      <alignment horizontal="right" vertical="center"/>
    </xf>
    <xf numFmtId="3" fontId="2" fillId="0" borderId="41" xfId="1" applyNumberFormat="1" applyFont="1" applyFill="1" applyBorder="1" applyAlignment="1" applyProtection="1">
      <alignment horizontal="right" vertical="center" wrapText="1"/>
      <protection locked="0"/>
    </xf>
    <xf numFmtId="3" fontId="2" fillId="0" borderId="41" xfId="1" applyNumberFormat="1" applyFont="1" applyFill="1" applyBorder="1" applyAlignment="1">
      <alignment vertical="center" wrapText="1"/>
    </xf>
    <xf numFmtId="3" fontId="2" fillId="0" borderId="41" xfId="1" applyNumberFormat="1" applyFont="1" applyFill="1" applyBorder="1" applyAlignment="1" applyProtection="1">
      <alignment horizontal="center" vertical="center" wrapText="1"/>
      <protection locked="0"/>
    </xf>
    <xf numFmtId="1" fontId="3" fillId="0" borderId="41" xfId="1" applyNumberFormat="1" applyFont="1" applyFill="1" applyBorder="1" applyAlignment="1">
      <alignment horizontal="center" vertical="center"/>
    </xf>
    <xf numFmtId="3" fontId="2" fillId="0" borderId="41" xfId="1" applyNumberFormat="1" applyFont="1" applyFill="1" applyBorder="1" applyAlignment="1">
      <alignment vertical="center"/>
    </xf>
    <xf numFmtId="0" fontId="3" fillId="0" borderId="0" xfId="1" applyFont="1" applyFill="1" applyBorder="1" applyAlignment="1">
      <alignment horizontal="right"/>
    </xf>
    <xf numFmtId="1" fontId="3" fillId="0" borderId="0" xfId="1" applyNumberFormat="1" applyFont="1" applyFill="1" applyBorder="1"/>
    <xf numFmtId="3" fontId="3" fillId="0" borderId="0" xfId="1" applyNumberFormat="1" applyFont="1" applyFill="1" applyBorder="1"/>
    <xf numFmtId="0" fontId="30" fillId="0" borderId="0" xfId="1" applyFont="1" applyFill="1"/>
    <xf numFmtId="0" fontId="30" fillId="0" borderId="0" xfId="1" applyFont="1" applyFill="1" applyBorder="1"/>
    <xf numFmtId="0" fontId="28" fillId="0" borderId="0" xfId="1" applyFont="1" applyFill="1"/>
    <xf numFmtId="0" fontId="31" fillId="0" borderId="0" xfId="1" applyFont="1" applyFill="1"/>
    <xf numFmtId="0" fontId="31" fillId="0" borderId="0" xfId="1" applyFont="1" applyFill="1" applyBorder="1"/>
    <xf numFmtId="0" fontId="25" fillId="0" borderId="0" xfId="1" applyFont="1" applyFill="1"/>
    <xf numFmtId="0" fontId="32" fillId="0" borderId="0" xfId="7" applyFont="1" applyFill="1"/>
    <xf numFmtId="0" fontId="9" fillId="0" borderId="0" xfId="7" applyFont="1" applyFill="1"/>
    <xf numFmtId="0" fontId="2" fillId="0" borderId="0" xfId="7" applyFont="1" applyFill="1"/>
    <xf numFmtId="0" fontId="33" fillId="0" borderId="0" xfId="7" applyFont="1" applyFill="1" applyAlignment="1"/>
    <xf numFmtId="0" fontId="33" fillId="0" borderId="0" xfId="7" applyFont="1" applyFill="1"/>
    <xf numFmtId="0" fontId="34" fillId="0" borderId="0" xfId="7" applyFont="1" applyFill="1"/>
    <xf numFmtId="0" fontId="35" fillId="0" borderId="0" xfId="7" applyFont="1" applyFill="1"/>
    <xf numFmtId="0" fontId="2" fillId="0" borderId="0" xfId="1" applyFont="1" applyFill="1" applyBorder="1"/>
    <xf numFmtId="3" fontId="3" fillId="0" borderId="41" xfId="1" applyNumberFormat="1" applyFont="1" applyFill="1" applyBorder="1" applyAlignment="1">
      <alignment vertical="center"/>
    </xf>
    <xf numFmtId="3" fontId="3" fillId="6" borderId="41" xfId="1" applyNumberFormat="1" applyFont="1" applyFill="1" applyBorder="1" applyAlignment="1">
      <alignment vertical="center" wrapText="1"/>
    </xf>
    <xf numFmtId="0" fontId="2" fillId="0" borderId="15" xfId="1" applyFont="1" applyFill="1" applyBorder="1" applyAlignment="1" applyProtection="1">
      <alignment horizontal="center" vertical="center" wrapText="1"/>
    </xf>
    <xf numFmtId="49" fontId="3" fillId="0" borderId="0" xfId="2" applyNumberFormat="1" applyFont="1" applyFill="1" applyAlignment="1"/>
    <xf numFmtId="49" fontId="3" fillId="0" borderId="0" xfId="2" applyNumberFormat="1" applyFont="1" applyAlignment="1"/>
    <xf numFmtId="0" fontId="2" fillId="0" borderId="41" xfId="2" applyFont="1" applyBorder="1" applyAlignment="1" applyProtection="1">
      <alignment horizontal="center" vertical="center" wrapText="1"/>
      <protection locked="0"/>
    </xf>
    <xf numFmtId="3" fontId="2" fillId="0" borderId="68" xfId="2" applyNumberFormat="1" applyFont="1" applyBorder="1" applyAlignment="1" applyProtection="1">
      <alignment horizontal="right" vertical="center" wrapText="1"/>
      <protection locked="0"/>
    </xf>
    <xf numFmtId="3" fontId="2" fillId="0" borderId="68" xfId="2" applyNumberFormat="1" applyFont="1" applyBorder="1" applyAlignment="1" applyProtection="1">
      <alignment horizontal="left" vertical="center" wrapText="1"/>
      <protection locked="0"/>
    </xf>
    <xf numFmtId="3" fontId="2" fillId="0" borderId="68" xfId="2" applyNumberFormat="1" applyFont="1" applyBorder="1" applyAlignment="1" applyProtection="1">
      <alignment horizontal="center" vertical="center"/>
      <protection locked="0"/>
    </xf>
    <xf numFmtId="3" fontId="2" fillId="0" borderId="41" xfId="2" applyNumberFormat="1" applyFont="1" applyBorder="1" applyAlignment="1" applyProtection="1">
      <alignment vertical="center" wrapText="1"/>
      <protection locked="0"/>
    </xf>
    <xf numFmtId="3" fontId="2" fillId="0" borderId="41" xfId="2" applyNumberFormat="1" applyFont="1" applyBorder="1" applyAlignment="1" applyProtection="1">
      <alignment horizontal="center" vertical="center"/>
      <protection locked="0"/>
    </xf>
    <xf numFmtId="0" fontId="2" fillId="0" borderId="0" xfId="2" applyFont="1" applyBorder="1" applyAlignment="1">
      <alignment vertical="center" wrapText="1"/>
    </xf>
    <xf numFmtId="0" fontId="2" fillId="0" borderId="0" xfId="2" applyFont="1" applyBorder="1" applyAlignment="1">
      <alignment horizontal="center" vertical="center" wrapText="1"/>
    </xf>
    <xf numFmtId="0" fontId="2" fillId="0" borderId="0" xfId="2" applyFont="1" applyAlignment="1">
      <alignment horizontal="center" vertical="center"/>
    </xf>
    <xf numFmtId="49" fontId="3" fillId="0" borderId="0" xfId="2" applyNumberFormat="1" applyFont="1" applyFill="1" applyAlignment="1">
      <alignment vertical="center"/>
    </xf>
    <xf numFmtId="49" fontId="3" fillId="0" borderId="0" xfId="2" applyNumberFormat="1" applyFont="1" applyAlignment="1">
      <alignment horizontal="center" vertical="center"/>
    </xf>
    <xf numFmtId="49" fontId="3" fillId="0" borderId="0" xfId="2" applyNumberFormat="1" applyFont="1" applyAlignment="1">
      <alignment vertical="center"/>
    </xf>
    <xf numFmtId="3" fontId="3" fillId="0" borderId="41" xfId="2" applyNumberFormat="1" applyFont="1" applyBorder="1" applyAlignment="1">
      <alignment horizontal="center" vertical="center" wrapText="1"/>
    </xf>
    <xf numFmtId="3" fontId="3" fillId="0" borderId="41" xfId="2" applyNumberFormat="1" applyFont="1" applyBorder="1" applyAlignment="1" applyProtection="1">
      <alignment horizontal="center" vertical="center"/>
      <protection locked="0"/>
    </xf>
    <xf numFmtId="3" fontId="2" fillId="0" borderId="41" xfId="2" applyNumberFormat="1" applyFont="1" applyBorder="1" applyAlignment="1" applyProtection="1">
      <alignment horizontal="center" vertical="center" wrapText="1"/>
      <protection locked="0"/>
    </xf>
    <xf numFmtId="0" fontId="2" fillId="0" borderId="41" xfId="2" applyFont="1" applyBorder="1" applyAlignment="1" applyProtection="1">
      <alignment horizontal="center" vertical="center"/>
      <protection locked="0"/>
    </xf>
    <xf numFmtId="3" fontId="3" fillId="6" borderId="41" xfId="2" applyNumberFormat="1" applyFont="1" applyFill="1" applyBorder="1" applyAlignment="1" applyProtection="1">
      <alignment vertical="center" wrapText="1"/>
      <protection locked="0"/>
    </xf>
    <xf numFmtId="3" fontId="3" fillId="6" borderId="57" xfId="2" applyNumberFormat="1" applyFont="1" applyFill="1" applyBorder="1" applyAlignment="1" applyProtection="1">
      <alignment vertical="center" wrapText="1"/>
      <protection locked="0"/>
    </xf>
    <xf numFmtId="3" fontId="2" fillId="0" borderId="57" xfId="2" applyNumberFormat="1" applyFont="1" applyBorder="1" applyAlignment="1" applyProtection="1">
      <alignment vertical="center" wrapText="1"/>
      <protection locked="0"/>
    </xf>
    <xf numFmtId="0" fontId="9" fillId="0" borderId="0" xfId="0" applyFont="1" applyAlignment="1">
      <alignment wrapText="1"/>
    </xf>
    <xf numFmtId="3" fontId="2" fillId="0" borderId="57" xfId="2" applyNumberFormat="1" applyFont="1" applyBorder="1" applyAlignment="1" applyProtection="1">
      <alignment horizontal="center" vertical="center" wrapText="1"/>
      <protection locked="0"/>
    </xf>
    <xf numFmtId="0" fontId="2" fillId="0" borderId="0" xfId="2" applyFont="1" applyBorder="1" applyAlignment="1" applyProtection="1">
      <alignment horizontal="center" vertical="center" wrapText="1"/>
      <protection locked="0"/>
    </xf>
    <xf numFmtId="3" fontId="2" fillId="0" borderId="0" xfId="2" applyNumberFormat="1" applyFont="1" applyBorder="1" applyAlignment="1" applyProtection="1">
      <alignment horizontal="center" vertical="center"/>
      <protection locked="0"/>
    </xf>
    <xf numFmtId="3" fontId="2" fillId="0" borderId="0" xfId="2" applyNumberFormat="1" applyFont="1" applyBorder="1" applyAlignment="1" applyProtection="1">
      <alignment vertical="center" wrapText="1"/>
      <protection locked="0"/>
    </xf>
    <xf numFmtId="3" fontId="2" fillId="0" borderId="0" xfId="2" applyNumberFormat="1" applyFont="1" applyBorder="1" applyAlignment="1" applyProtection="1">
      <alignment horizontal="center" vertical="center" wrapText="1"/>
      <protection locked="0"/>
    </xf>
    <xf numFmtId="3" fontId="2" fillId="0" borderId="41" xfId="0" applyNumberFormat="1" applyFont="1" applyFill="1" applyBorder="1" applyAlignment="1" applyProtection="1">
      <alignment vertical="center" wrapText="1"/>
      <protection locked="0"/>
    </xf>
    <xf numFmtId="3" fontId="2" fillId="0" borderId="0" xfId="2" applyNumberFormat="1" applyFont="1" applyAlignment="1">
      <alignment vertical="center"/>
    </xf>
    <xf numFmtId="0" fontId="36" fillId="0" borderId="0" xfId="1" applyFont="1" applyAlignment="1">
      <alignment vertical="center"/>
    </xf>
    <xf numFmtId="0" fontId="2" fillId="0" borderId="0" xfId="1" applyFont="1" applyFill="1" applyAlignment="1">
      <alignment vertical="center"/>
    </xf>
    <xf numFmtId="0" fontId="2" fillId="0" borderId="0" xfId="2" applyFont="1" applyProtection="1">
      <protection locked="0"/>
    </xf>
    <xf numFmtId="0" fontId="2" fillId="0" borderId="0" xfId="1" applyFont="1" applyBorder="1" applyAlignment="1">
      <alignment horizontal="left" vertical="center"/>
    </xf>
    <xf numFmtId="0" fontId="9" fillId="0" borderId="0" xfId="1" applyFont="1" applyFill="1" applyAlignment="1">
      <alignment horizontal="left"/>
    </xf>
    <xf numFmtId="0" fontId="29" fillId="0" borderId="0" xfId="7" applyFill="1"/>
    <xf numFmtId="0" fontId="2" fillId="0" borderId="0" xfId="2" applyFont="1" applyFill="1" applyAlignment="1">
      <alignment horizontal="center" wrapText="1"/>
    </xf>
    <xf numFmtId="0" fontId="2" fillId="0" borderId="0" xfId="2" applyFont="1" applyFill="1" applyAlignment="1"/>
    <xf numFmtId="0" fontId="3" fillId="0" borderId="0" xfId="1" applyFont="1" applyBorder="1" applyAlignment="1">
      <alignment vertical="center"/>
    </xf>
    <xf numFmtId="0" fontId="1" fillId="0" borderId="0" xfId="2" applyFill="1" applyAlignment="1"/>
    <xf numFmtId="3" fontId="2" fillId="0" borderId="0" xfId="1" applyNumberFormat="1" applyFont="1" applyFill="1" applyBorder="1" applyAlignment="1">
      <alignment vertical="center" wrapText="1"/>
    </xf>
    <xf numFmtId="0" fontId="35" fillId="0" borderId="0" xfId="2" applyFont="1" applyFill="1"/>
    <xf numFmtId="0" fontId="9" fillId="0" borderId="0" xfId="1" applyFont="1" applyFill="1" applyAlignment="1">
      <alignment horizontal="left" vertical="center"/>
    </xf>
    <xf numFmtId="0" fontId="29" fillId="0" borderId="0" xfId="7" applyFill="1" applyAlignment="1">
      <alignment vertical="center"/>
    </xf>
    <xf numFmtId="0" fontId="2" fillId="0" borderId="0" xfId="2" applyFont="1" applyFill="1" applyAlignment="1">
      <alignment horizontal="center" vertical="center" wrapText="1"/>
    </xf>
    <xf numFmtId="49" fontId="2" fillId="0" borderId="16" xfId="0" applyNumberFormat="1" applyFont="1" applyBorder="1" applyAlignment="1" applyProtection="1">
      <alignment horizontal="left" wrapText="1"/>
      <protection locked="0"/>
    </xf>
    <xf numFmtId="49" fontId="2" fillId="0" borderId="51" xfId="0" applyNumberFormat="1" applyFont="1" applyBorder="1" applyAlignment="1" applyProtection="1">
      <alignment horizontal="left" wrapText="1"/>
      <protection locked="0"/>
    </xf>
    <xf numFmtId="49" fontId="2" fillId="12" borderId="15" xfId="0" applyNumberFormat="1" applyFont="1" applyFill="1" applyBorder="1" applyAlignment="1" applyProtection="1">
      <alignment horizontal="left" wrapText="1"/>
      <protection locked="0"/>
    </xf>
    <xf numFmtId="49" fontId="2" fillId="0" borderId="39" xfId="0" applyNumberFormat="1" applyFont="1" applyBorder="1" applyAlignment="1" applyProtection="1">
      <alignment horizontal="left" wrapText="1"/>
      <protection locked="0"/>
    </xf>
    <xf numFmtId="0" fontId="2" fillId="0" borderId="87" xfId="2" applyFont="1" applyBorder="1"/>
    <xf numFmtId="0" fontId="3" fillId="0" borderId="57" xfId="2" applyFont="1" applyBorder="1" applyAlignment="1">
      <alignment wrapText="1"/>
    </xf>
    <xf numFmtId="3" fontId="3" fillId="0" borderId="57" xfId="2" applyNumberFormat="1" applyFont="1" applyBorder="1" applyAlignment="1">
      <alignment wrapText="1"/>
    </xf>
    <xf numFmtId="3" fontId="3" fillId="0" borderId="41" xfId="2" applyNumberFormat="1" applyFont="1" applyBorder="1" applyAlignment="1">
      <alignment wrapText="1"/>
    </xf>
    <xf numFmtId="0" fontId="2" fillId="0" borderId="41" xfId="2" applyFont="1" applyBorder="1" applyAlignment="1" applyProtection="1">
      <alignment wrapText="1"/>
      <protection locked="0"/>
    </xf>
    <xf numFmtId="3" fontId="3" fillId="0" borderId="41" xfId="2" applyNumberFormat="1" applyFont="1" applyBorder="1" applyAlignment="1" applyProtection="1">
      <alignment wrapText="1"/>
      <protection locked="0"/>
    </xf>
    <xf numFmtId="3" fontId="3" fillId="0" borderId="41" xfId="2" applyNumberFormat="1" applyFont="1" applyBorder="1" applyProtection="1">
      <protection locked="0"/>
    </xf>
    <xf numFmtId="3" fontId="2" fillId="0" borderId="41" xfId="2" applyNumberFormat="1" applyFont="1" applyBorder="1" applyProtection="1">
      <protection locked="0"/>
    </xf>
    <xf numFmtId="0" fontId="2" fillId="0" borderId="41" xfId="2" applyFont="1" applyBorder="1" applyAlignment="1" applyProtection="1">
      <alignment horizontal="center" wrapText="1"/>
      <protection locked="0"/>
    </xf>
    <xf numFmtId="3" fontId="2" fillId="0" borderId="41" xfId="2" applyNumberFormat="1" applyFont="1" applyBorder="1" applyAlignment="1" applyProtection="1">
      <alignment wrapText="1"/>
      <protection locked="0"/>
    </xf>
    <xf numFmtId="0" fontId="3" fillId="0" borderId="41" xfId="2" applyFont="1" applyBorder="1" applyAlignment="1" applyProtection="1">
      <alignment horizontal="center" wrapText="1"/>
      <protection locked="0"/>
    </xf>
    <xf numFmtId="0" fontId="3" fillId="0" borderId="41" xfId="2" applyFont="1" applyBorder="1" applyAlignment="1" applyProtection="1">
      <alignment wrapText="1"/>
      <protection locked="0"/>
    </xf>
    <xf numFmtId="0" fontId="2" fillId="0" borderId="41" xfId="2" applyFont="1" applyFill="1" applyBorder="1" applyAlignment="1" applyProtection="1">
      <alignment horizontal="center" wrapText="1"/>
      <protection locked="0"/>
    </xf>
    <xf numFmtId="3" fontId="3" fillId="0" borderId="41" xfId="2" applyNumberFormat="1" applyFont="1" applyFill="1" applyBorder="1" applyProtection="1">
      <protection locked="0"/>
    </xf>
    <xf numFmtId="3" fontId="2" fillId="0" borderId="41" xfId="2" applyNumberFormat="1" applyFont="1" applyFill="1" applyBorder="1" applyAlignment="1" applyProtection="1">
      <alignment wrapText="1"/>
      <protection locked="0"/>
    </xf>
    <xf numFmtId="3" fontId="2" fillId="0" borderId="41" xfId="2" applyNumberFormat="1" applyFont="1" applyFill="1" applyBorder="1" applyProtection="1">
      <protection locked="0"/>
    </xf>
    <xf numFmtId="0" fontId="2" fillId="0" borderId="41" xfId="2" applyFont="1" applyFill="1" applyBorder="1" applyAlignment="1" applyProtection="1">
      <alignment wrapText="1"/>
      <protection locked="0"/>
    </xf>
    <xf numFmtId="49" fontId="3" fillId="0" borderId="41" xfId="2" applyNumberFormat="1" applyFont="1" applyBorder="1" applyAlignment="1" applyProtection="1">
      <alignment horizontal="center" wrapText="1"/>
      <protection locked="0"/>
    </xf>
    <xf numFmtId="0" fontId="3" fillId="0" borderId="41" xfId="2" applyFont="1" applyFill="1" applyBorder="1" applyAlignment="1" applyProtection="1">
      <alignment horizontal="center" wrapText="1"/>
      <protection locked="0"/>
    </xf>
    <xf numFmtId="49" fontId="3" fillId="0" borderId="41" xfId="2" applyNumberFormat="1" applyFont="1" applyFill="1" applyBorder="1" applyAlignment="1" applyProtection="1">
      <alignment horizontal="center" wrapText="1"/>
      <protection locked="0"/>
    </xf>
    <xf numFmtId="0" fontId="3" fillId="0" borderId="41" xfId="2" applyFont="1" applyFill="1" applyBorder="1" applyAlignment="1" applyProtection="1">
      <alignment wrapText="1"/>
      <protection locked="0"/>
    </xf>
    <xf numFmtId="49" fontId="2" fillId="0" borderId="41" xfId="2" applyNumberFormat="1" applyFont="1" applyBorder="1" applyAlignment="1" applyProtection="1">
      <alignment horizontal="center" wrapText="1"/>
      <protection locked="0"/>
    </xf>
    <xf numFmtId="49" fontId="2" fillId="0" borderId="0" xfId="2" applyNumberFormat="1" applyFont="1" applyFill="1" applyBorder="1"/>
    <xf numFmtId="0" fontId="2" fillId="0" borderId="0" xfId="2" applyFont="1" applyFill="1" applyAlignment="1">
      <alignment horizontal="left"/>
    </xf>
    <xf numFmtId="0" fontId="3" fillId="0" borderId="0" xfId="2" applyFont="1" applyFill="1" applyAlignment="1">
      <alignment horizontal="left"/>
    </xf>
    <xf numFmtId="0" fontId="2" fillId="0" borderId="0" xfId="2" applyFont="1" applyFill="1" applyBorder="1" applyAlignment="1" applyProtection="1">
      <alignment horizontal="left" vertical="center"/>
      <protection locked="0"/>
    </xf>
    <xf numFmtId="0" fontId="2" fillId="0" borderId="0" xfId="2" applyFont="1" applyFill="1" applyBorder="1" applyAlignment="1" applyProtection="1">
      <alignment horizontal="left" vertical="center" wrapText="1"/>
      <protection locked="0"/>
    </xf>
    <xf numFmtId="0" fontId="2" fillId="0" borderId="0" xfId="2" applyFont="1" applyFill="1" applyBorder="1" applyAlignment="1" applyProtection="1">
      <alignment horizontal="left" vertical="top"/>
      <protection locked="0"/>
    </xf>
    <xf numFmtId="0" fontId="3" fillId="0" borderId="0" xfId="2" applyFont="1" applyFill="1" applyBorder="1" applyAlignment="1" applyProtection="1">
      <alignment horizontal="left" vertical="center"/>
      <protection locked="0"/>
    </xf>
    <xf numFmtId="0" fontId="2" fillId="0" borderId="0" xfId="2" applyFont="1" applyFill="1" applyProtection="1">
      <protection locked="0"/>
    </xf>
    <xf numFmtId="49" fontId="2" fillId="0" borderId="0" xfId="2" applyNumberFormat="1" applyFont="1" applyProtection="1">
      <protection locked="0"/>
    </xf>
    <xf numFmtId="0" fontId="2" fillId="0" borderId="0" xfId="2" applyFont="1" applyAlignment="1">
      <alignment horizontal="left" vertical="center"/>
    </xf>
    <xf numFmtId="0" fontId="10" fillId="0" borderId="0" xfId="2" applyFont="1" applyAlignment="1">
      <alignment horizontal="center" vertical="center"/>
    </xf>
    <xf numFmtId="0" fontId="10" fillId="0" borderId="0" xfId="2" applyFont="1" applyAlignment="1">
      <alignment horizontal="left" vertical="center"/>
    </xf>
    <xf numFmtId="3" fontId="2" fillId="6" borderId="41" xfId="2" applyNumberFormat="1" applyFont="1" applyFill="1" applyBorder="1" applyAlignment="1" applyProtection="1">
      <alignment vertical="center" wrapText="1"/>
      <protection locked="0"/>
    </xf>
    <xf numFmtId="3" fontId="2" fillId="0" borderId="41" xfId="2" applyNumberFormat="1" applyFont="1" applyBorder="1" applyAlignment="1">
      <alignment vertical="center" wrapText="1"/>
    </xf>
    <xf numFmtId="3" fontId="2" fillId="0" borderId="0" xfId="2" applyNumberFormat="1" applyFont="1" applyBorder="1" applyAlignment="1">
      <alignment vertical="center" wrapText="1"/>
    </xf>
    <xf numFmtId="0" fontId="3" fillId="0" borderId="0" xfId="1" applyFont="1"/>
    <xf numFmtId="0" fontId="2" fillId="0" borderId="15" xfId="1" applyFont="1" applyFill="1" applyBorder="1" applyAlignment="1" applyProtection="1">
      <alignment horizontal="center" vertical="center" wrapText="1"/>
    </xf>
    <xf numFmtId="3" fontId="3" fillId="0" borderId="68" xfId="2" applyNumberFormat="1" applyFont="1" applyFill="1" applyBorder="1" applyAlignment="1" applyProtection="1">
      <alignment horizontal="center" vertical="center" wrapText="1"/>
      <protection locked="0"/>
    </xf>
    <xf numFmtId="3" fontId="2" fillId="10" borderId="41" xfId="1" applyNumberFormat="1" applyFont="1" applyFill="1" applyBorder="1" applyAlignment="1" applyProtection="1">
      <alignment vertical="center"/>
      <protection locked="0"/>
    </xf>
    <xf numFmtId="0" fontId="2" fillId="0" borderId="15" xfId="1" applyFont="1" applyFill="1" applyBorder="1" applyAlignment="1" applyProtection="1">
      <alignment horizontal="center" vertical="center" wrapText="1"/>
    </xf>
    <xf numFmtId="3" fontId="2" fillId="0" borderId="41" xfId="1" applyNumberFormat="1" applyFont="1" applyFill="1" applyBorder="1" applyAlignment="1" applyProtection="1">
      <alignment horizontal="center" vertical="center" wrapText="1"/>
      <protection locked="0"/>
    </xf>
    <xf numFmtId="0" fontId="3" fillId="0" borderId="41" xfId="2" applyFont="1" applyBorder="1" applyAlignment="1">
      <alignment horizontal="right" vertical="center" wrapText="1"/>
    </xf>
    <xf numFmtId="0" fontId="2" fillId="0" borderId="0" xfId="2" applyFont="1" applyAlignment="1">
      <alignment horizontal="left" vertical="center"/>
    </xf>
    <xf numFmtId="0" fontId="2" fillId="0" borderId="41" xfId="2" applyFont="1" applyBorder="1" applyAlignment="1" applyProtection="1">
      <alignment horizontal="center" vertical="center" wrapText="1"/>
      <protection locked="0"/>
    </xf>
    <xf numFmtId="0" fontId="2" fillId="0" borderId="41" xfId="2" applyFont="1" applyBorder="1" applyAlignment="1" applyProtection="1">
      <alignment vertical="center" wrapText="1"/>
      <protection locked="0"/>
    </xf>
    <xf numFmtId="0" fontId="2" fillId="0" borderId="0" xfId="2" applyFont="1" applyFill="1" applyAlignment="1"/>
    <xf numFmtId="0" fontId="2" fillId="0" borderId="68" xfId="2" applyFont="1" applyBorder="1" applyAlignment="1">
      <alignment horizontal="center" vertical="center" wrapText="1"/>
    </xf>
    <xf numFmtId="0" fontId="3" fillId="0" borderId="41" xfId="2" applyFont="1" applyFill="1" applyBorder="1" applyAlignment="1" applyProtection="1">
      <alignment horizontal="center" vertical="center" wrapText="1"/>
      <protection locked="0"/>
    </xf>
    <xf numFmtId="0" fontId="3" fillId="0" borderId="41" xfId="2" applyFont="1" applyFill="1" applyBorder="1" applyAlignment="1" applyProtection="1">
      <alignment horizontal="center" vertical="center"/>
      <protection locked="0"/>
    </xf>
    <xf numFmtId="3" fontId="2" fillId="0" borderId="47" xfId="1" applyNumberFormat="1" applyFont="1" applyFill="1" applyBorder="1" applyAlignment="1" applyProtection="1">
      <alignment vertical="center" wrapText="1"/>
      <protection locked="0"/>
    </xf>
    <xf numFmtId="3" fontId="2" fillId="7" borderId="67" xfId="1" applyNumberFormat="1" applyFont="1" applyFill="1" applyBorder="1" applyAlignment="1" applyProtection="1">
      <alignment horizontal="center" vertical="center"/>
    </xf>
    <xf numFmtId="3" fontId="2" fillId="7" borderId="68" xfId="1" applyNumberFormat="1" applyFont="1" applyFill="1" applyBorder="1" applyAlignment="1" applyProtection="1">
      <alignment horizontal="center" vertical="center"/>
    </xf>
    <xf numFmtId="3" fontId="2" fillId="7" borderId="69" xfId="1" applyNumberFormat="1" applyFont="1" applyFill="1" applyBorder="1" applyAlignment="1" applyProtection="1">
      <alignment horizontal="center" vertical="center"/>
    </xf>
    <xf numFmtId="3" fontId="2" fillId="7" borderId="69"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right" vertical="center"/>
    </xf>
    <xf numFmtId="0" fontId="3" fillId="0" borderId="63" xfId="1" applyFont="1" applyFill="1" applyBorder="1" applyAlignment="1" applyProtection="1">
      <alignment horizontal="center" vertical="center" wrapText="1"/>
    </xf>
    <xf numFmtId="3" fontId="2" fillId="7" borderId="64" xfId="1" applyNumberFormat="1" applyFont="1" applyFill="1" applyBorder="1" applyAlignment="1" applyProtection="1">
      <alignment horizontal="center" vertical="center"/>
    </xf>
    <xf numFmtId="3" fontId="2" fillId="7" borderId="65" xfId="1" applyNumberFormat="1" applyFont="1" applyFill="1" applyBorder="1" applyAlignment="1" applyProtection="1">
      <alignment horizontal="center" vertical="center"/>
    </xf>
    <xf numFmtId="3" fontId="2" fillId="7" borderId="66" xfId="1" applyNumberFormat="1" applyFont="1" applyFill="1" applyBorder="1" applyAlignment="1" applyProtection="1">
      <alignment horizontal="center" vertical="center"/>
    </xf>
    <xf numFmtId="3" fontId="2" fillId="7" borderId="64" xfId="1" applyNumberFormat="1" applyFont="1" applyFill="1" applyBorder="1" applyAlignment="1" applyProtection="1">
      <alignment horizontal="right" vertical="center"/>
    </xf>
    <xf numFmtId="3" fontId="2" fillId="7" borderId="65" xfId="1" applyNumberFormat="1" applyFont="1" applyFill="1" applyBorder="1" applyAlignment="1" applyProtection="1">
      <alignment horizontal="right" vertical="center"/>
    </xf>
    <xf numFmtId="3" fontId="2" fillId="7" borderId="66"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right" vertical="center"/>
    </xf>
    <xf numFmtId="3" fontId="2" fillId="0" borderId="66"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left" vertical="center" wrapText="1"/>
      <protection locked="0"/>
    </xf>
    <xf numFmtId="3" fontId="2" fillId="0" borderId="67"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64"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41" xfId="2" quotePrefix="1" applyNumberFormat="1" applyFont="1" applyFill="1" applyBorder="1" applyAlignment="1" applyProtection="1">
      <alignment horizontal="left" vertical="top" wrapText="1"/>
      <protection locked="0"/>
    </xf>
    <xf numFmtId="0" fontId="2" fillId="0" borderId="0" xfId="2" applyFont="1" applyBorder="1" applyProtection="1">
      <protection locked="0"/>
    </xf>
    <xf numFmtId="0" fontId="2" fillId="0" borderId="0" xfId="2" applyFont="1" applyFill="1" applyBorder="1" applyAlignment="1" applyProtection="1">
      <alignment vertical="center" wrapText="1"/>
      <protection locked="0"/>
    </xf>
    <xf numFmtId="0" fontId="3" fillId="0" borderId="41" xfId="2" applyFont="1" applyBorder="1" applyAlignment="1" applyProtection="1">
      <alignment horizontal="left" wrapText="1"/>
      <protection locked="0"/>
    </xf>
    <xf numFmtId="0" fontId="3" fillId="0" borderId="41" xfId="2" applyFont="1" applyFill="1" applyBorder="1" applyAlignment="1" applyProtection="1">
      <alignment horizontal="left" wrapText="1"/>
      <protection locked="0"/>
    </xf>
    <xf numFmtId="3" fontId="2" fillId="0" borderId="41" xfId="4" applyNumberFormat="1" applyFont="1" applyBorder="1" applyAlignment="1">
      <alignment vertical="center" wrapText="1"/>
    </xf>
    <xf numFmtId="0" fontId="1" fillId="0" borderId="0" xfId="2"/>
    <xf numFmtId="0" fontId="30" fillId="0" borderId="88" xfId="1" applyFont="1" applyFill="1" applyBorder="1" applyAlignment="1">
      <alignment wrapText="1"/>
    </xf>
    <xf numFmtId="0" fontId="5" fillId="0" borderId="88" xfId="1" applyFont="1" applyFill="1" applyBorder="1" applyAlignment="1">
      <alignment horizontal="right" vertical="justify" wrapText="1"/>
    </xf>
    <xf numFmtId="3" fontId="5" fillId="0" borderId="88" xfId="1" applyNumberFormat="1" applyFont="1" applyBorder="1" applyAlignment="1">
      <alignment wrapText="1"/>
    </xf>
    <xf numFmtId="0" fontId="1" fillId="0" borderId="88" xfId="1" applyFont="1" applyBorder="1" applyAlignment="1">
      <alignment wrapText="1"/>
    </xf>
    <xf numFmtId="0" fontId="1" fillId="0" borderId="88" xfId="1" applyFont="1" applyFill="1" applyBorder="1" applyAlignment="1">
      <alignment wrapText="1"/>
    </xf>
    <xf numFmtId="0" fontId="10" fillId="0" borderId="89" xfId="1" applyFont="1" applyFill="1" applyBorder="1" applyAlignment="1">
      <alignment horizontal="center" vertical="center" wrapText="1"/>
    </xf>
    <xf numFmtId="0" fontId="10" fillId="0" borderId="90" xfId="1" applyFont="1" applyFill="1" applyBorder="1" applyAlignment="1">
      <alignment horizontal="center" vertical="center" wrapText="1"/>
    </xf>
    <xf numFmtId="3" fontId="10" fillId="0" borderId="90" xfId="1" applyNumberFormat="1" applyFont="1" applyFill="1" applyBorder="1" applyAlignment="1">
      <alignment horizontal="center" vertical="center" wrapText="1"/>
    </xf>
    <xf numFmtId="0" fontId="10" fillId="0" borderId="91" xfId="1" applyFont="1" applyFill="1" applyBorder="1" applyAlignment="1">
      <alignment horizontal="center" vertical="center" wrapText="1"/>
    </xf>
    <xf numFmtId="0" fontId="10" fillId="0" borderId="92" xfId="1" applyFont="1" applyFill="1" applyBorder="1" applyAlignment="1">
      <alignment horizontal="center" vertical="center" wrapText="1"/>
    </xf>
    <xf numFmtId="0" fontId="10" fillId="0" borderId="93" xfId="1" applyFont="1" applyFill="1" applyBorder="1" applyAlignment="1">
      <alignment horizontal="center" vertical="center" wrapText="1"/>
    </xf>
    <xf numFmtId="0" fontId="10" fillId="0" borderId="94" xfId="1" applyFont="1" applyFill="1" applyBorder="1" applyAlignment="1">
      <alignment horizontal="center" vertical="center" wrapText="1"/>
    </xf>
    <xf numFmtId="0" fontId="10" fillId="0" borderId="95" xfId="1" applyFont="1" applyFill="1" applyBorder="1" applyAlignment="1">
      <alignment vertical="center" wrapText="1"/>
    </xf>
    <xf numFmtId="0" fontId="10" fillId="0" borderId="43" xfId="1" applyFont="1" applyFill="1" applyBorder="1" applyAlignment="1">
      <alignment vertical="center" wrapText="1"/>
    </xf>
    <xf numFmtId="0" fontId="10" fillId="0" borderId="43" xfId="1" applyFont="1" applyFill="1" applyBorder="1" applyAlignment="1">
      <alignment horizontal="center" vertical="center" wrapText="1"/>
    </xf>
    <xf numFmtId="3" fontId="38" fillId="0" borderId="43" xfId="1" applyNumberFormat="1" applyFont="1" applyFill="1" applyBorder="1" applyAlignment="1">
      <alignment wrapText="1"/>
    </xf>
    <xf numFmtId="3" fontId="38" fillId="0" borderId="96" xfId="1" applyNumberFormat="1" applyFont="1" applyFill="1" applyBorder="1" applyAlignment="1">
      <alignment wrapText="1"/>
    </xf>
    <xf numFmtId="0" fontId="10" fillId="0" borderId="97" xfId="1" applyFont="1" applyFill="1" applyBorder="1" applyAlignment="1">
      <alignment vertical="center" wrapText="1"/>
    </xf>
    <xf numFmtId="0" fontId="10" fillId="0" borderId="63" xfId="1" applyFont="1" applyFill="1" applyBorder="1" applyAlignment="1">
      <alignment vertical="center" wrapText="1"/>
    </xf>
    <xf numFmtId="0" fontId="10" fillId="12" borderId="63" xfId="1" applyFont="1" applyFill="1" applyBorder="1" applyAlignment="1">
      <alignment horizontal="left" vertical="center" wrapText="1"/>
    </xf>
    <xf numFmtId="10" fontId="10" fillId="12" borderId="63" xfId="1" applyNumberFormat="1" applyFont="1" applyFill="1" applyBorder="1" applyAlignment="1">
      <alignment wrapText="1"/>
    </xf>
    <xf numFmtId="10" fontId="10" fillId="12" borderId="98" xfId="1" applyNumberFormat="1" applyFont="1" applyFill="1" applyBorder="1" applyAlignment="1">
      <alignment wrapText="1"/>
    </xf>
    <xf numFmtId="10" fontId="10" fillId="13" borderId="96" xfId="1" applyNumberFormat="1" applyFont="1" applyFill="1" applyBorder="1" applyAlignment="1">
      <alignment wrapText="1"/>
    </xf>
    <xf numFmtId="3" fontId="38" fillId="0" borderId="63" xfId="1" applyNumberFormat="1" applyFont="1" applyFill="1" applyBorder="1" applyAlignment="1">
      <alignment wrapText="1"/>
    </xf>
    <xf numFmtId="3" fontId="38" fillId="0" borderId="98" xfId="1" applyNumberFormat="1" applyFont="1" applyFill="1" applyBorder="1" applyAlignment="1">
      <alignment wrapText="1"/>
    </xf>
    <xf numFmtId="3" fontId="39" fillId="0" borderId="63" xfId="1" applyNumberFormat="1" applyFont="1" applyBorder="1" applyAlignment="1">
      <alignment wrapText="1"/>
    </xf>
    <xf numFmtId="3" fontId="39" fillId="0" borderId="98" xfId="1" applyNumberFormat="1" applyFont="1" applyBorder="1" applyAlignment="1">
      <alignment wrapText="1"/>
    </xf>
    <xf numFmtId="3" fontId="39" fillId="0" borderId="96" xfId="1" applyNumberFormat="1" applyFont="1" applyFill="1" applyBorder="1" applyAlignment="1">
      <alignment wrapText="1"/>
    </xf>
    <xf numFmtId="10" fontId="11" fillId="0" borderId="63" xfId="1" applyNumberFormat="1" applyFont="1" applyFill="1" applyBorder="1" applyAlignment="1">
      <alignment wrapText="1"/>
    </xf>
    <xf numFmtId="10" fontId="11" fillId="0" borderId="98" xfId="1" applyNumberFormat="1" applyFont="1" applyFill="1" applyBorder="1" applyAlignment="1">
      <alignment wrapText="1"/>
    </xf>
    <xf numFmtId="10" fontId="11" fillId="0" borderId="96" xfId="1" applyNumberFormat="1" applyFont="1" applyFill="1" applyBorder="1" applyAlignment="1">
      <alignment wrapText="1"/>
    </xf>
    <xf numFmtId="0" fontId="10" fillId="0" borderId="99" xfId="1" applyFont="1" applyFill="1" applyBorder="1" applyAlignment="1">
      <alignment vertical="center" wrapText="1"/>
    </xf>
    <xf numFmtId="0" fontId="10" fillId="0" borderId="11" xfId="1" applyFont="1" applyFill="1" applyBorder="1" applyAlignment="1">
      <alignment vertical="center" wrapText="1"/>
    </xf>
    <xf numFmtId="0" fontId="10" fillId="0" borderId="11" xfId="1" applyFont="1" applyFill="1" applyBorder="1" applyAlignment="1">
      <alignment horizontal="center" vertical="center" wrapText="1"/>
    </xf>
    <xf numFmtId="3" fontId="38" fillId="0" borderId="100" xfId="1" applyNumberFormat="1" applyFont="1" applyFill="1" applyBorder="1" applyAlignment="1">
      <alignment wrapText="1"/>
    </xf>
    <xf numFmtId="3" fontId="10" fillId="14" borderId="101" xfId="1" applyNumberFormat="1" applyFont="1" applyFill="1" applyBorder="1" applyAlignment="1">
      <alignment horizontal="center" vertical="center" wrapText="1"/>
    </xf>
    <xf numFmtId="0" fontId="10" fillId="15" borderId="102" xfId="1" applyFont="1" applyFill="1" applyBorder="1" applyAlignment="1">
      <alignment horizontal="center" vertical="center" wrapText="1"/>
    </xf>
    <xf numFmtId="3" fontId="10" fillId="15" borderId="102" xfId="1" applyNumberFormat="1" applyFont="1" applyFill="1" applyBorder="1" applyAlignment="1">
      <alignment horizontal="center" vertical="center" wrapText="1"/>
    </xf>
    <xf numFmtId="3" fontId="10" fillId="15" borderId="103" xfId="1" applyNumberFormat="1" applyFont="1" applyFill="1" applyBorder="1" applyAlignment="1">
      <alignment horizontal="center" vertical="center" wrapText="1"/>
    </xf>
    <xf numFmtId="3" fontId="10" fillId="0" borderId="104" xfId="1" applyNumberFormat="1" applyFont="1" applyFill="1" applyBorder="1" applyAlignment="1">
      <alignment horizontal="center" wrapText="1"/>
    </xf>
    <xf numFmtId="0" fontId="10" fillId="0" borderId="105" xfId="1" applyFont="1" applyFill="1" applyBorder="1" applyAlignment="1">
      <alignment horizontal="center" wrapText="1"/>
    </xf>
    <xf numFmtId="0" fontId="10" fillId="0" borderId="105" xfId="1" applyFont="1" applyFill="1" applyBorder="1" applyAlignment="1">
      <alignment horizontal="center" vertical="center" wrapText="1"/>
    </xf>
    <xf numFmtId="3" fontId="39" fillId="0" borderId="106" xfId="1" applyNumberFormat="1" applyFont="1" applyFill="1" applyBorder="1" applyAlignment="1">
      <alignment wrapText="1"/>
    </xf>
    <xf numFmtId="3" fontId="39" fillId="0" borderId="105" xfId="1" applyNumberFormat="1" applyFont="1" applyFill="1" applyBorder="1" applyAlignment="1">
      <alignment wrapText="1"/>
    </xf>
    <xf numFmtId="3" fontId="39" fillId="0" borderId="107" xfId="1" applyNumberFormat="1" applyFont="1" applyFill="1" applyBorder="1" applyAlignment="1">
      <alignment wrapText="1"/>
    </xf>
    <xf numFmtId="3" fontId="10" fillId="0" borderId="108" xfId="1" applyNumberFormat="1" applyFont="1" applyFill="1" applyBorder="1" applyAlignment="1">
      <alignment horizontal="center" wrapText="1"/>
    </xf>
    <xf numFmtId="0" fontId="10" fillId="0" borderId="15" xfId="1" applyFont="1" applyFill="1" applyBorder="1" applyAlignment="1">
      <alignment horizontal="center" wrapText="1"/>
    </xf>
    <xf numFmtId="0" fontId="39" fillId="0" borderId="15" xfId="1" applyFont="1" applyFill="1" applyBorder="1" applyAlignment="1">
      <alignment horizontal="center" vertical="center" wrapText="1"/>
    </xf>
    <xf numFmtId="3" fontId="40" fillId="0" borderId="86" xfId="1" applyNumberFormat="1" applyFont="1" applyFill="1" applyBorder="1" applyAlignment="1">
      <alignment horizontal="right" wrapText="1"/>
    </xf>
    <xf numFmtId="3" fontId="39" fillId="0" borderId="86" xfId="1" applyNumberFormat="1" applyFont="1" applyFill="1" applyBorder="1" applyAlignment="1">
      <alignment horizontal="right" wrapText="1"/>
    </xf>
    <xf numFmtId="3" fontId="39" fillId="0" borderId="4" xfId="1" applyNumberFormat="1" applyFont="1" applyFill="1" applyBorder="1" applyAlignment="1">
      <alignment horizontal="right" wrapText="1"/>
    </xf>
    <xf numFmtId="3" fontId="39" fillId="0" borderId="15" xfId="1" applyNumberFormat="1" applyFont="1" applyFill="1" applyBorder="1" applyAlignment="1">
      <alignment horizontal="right" wrapText="1"/>
    </xf>
    <xf numFmtId="3" fontId="39" fillId="0" borderId="15" xfId="1" applyNumberFormat="1" applyFont="1" applyFill="1" applyBorder="1" applyAlignment="1">
      <alignment wrapText="1"/>
    </xf>
    <xf numFmtId="3" fontId="39" fillId="0" borderId="109" xfId="1" applyNumberFormat="1" applyFont="1" applyFill="1" applyBorder="1" applyAlignment="1">
      <alignment wrapText="1"/>
    </xf>
    <xf numFmtId="3" fontId="10" fillId="0" borderId="110" xfId="1" applyNumberFormat="1" applyFont="1" applyFill="1" applyBorder="1" applyAlignment="1">
      <alignment horizontal="center" wrapText="1"/>
    </xf>
    <xf numFmtId="0" fontId="10" fillId="0" borderId="111" xfId="1" applyFont="1" applyFill="1" applyBorder="1" applyAlignment="1">
      <alignment horizontal="center" wrapText="1"/>
    </xf>
    <xf numFmtId="0" fontId="10" fillId="0" borderId="111" xfId="1" applyFont="1" applyFill="1" applyBorder="1" applyAlignment="1">
      <alignment horizontal="center" vertical="center" wrapText="1"/>
    </xf>
    <xf numFmtId="3" fontId="39" fillId="0" borderId="112" xfId="1" applyNumberFormat="1" applyFont="1" applyFill="1" applyBorder="1" applyAlignment="1">
      <alignment wrapText="1"/>
    </xf>
    <xf numFmtId="3" fontId="39" fillId="0" borderId="111" xfId="1" applyNumberFormat="1" applyFont="1" applyFill="1" applyBorder="1" applyAlignment="1">
      <alignment wrapText="1"/>
    </xf>
    <xf numFmtId="3" fontId="39" fillId="0" borderId="113" xfId="1" applyNumberFormat="1" applyFont="1" applyFill="1" applyBorder="1" applyAlignment="1">
      <alignment wrapText="1"/>
    </xf>
    <xf numFmtId="3" fontId="10" fillId="0" borderId="114" xfId="1" applyNumberFormat="1" applyFont="1" applyFill="1" applyBorder="1" applyAlignment="1">
      <alignment horizontal="center" wrapText="1"/>
    </xf>
    <xf numFmtId="0" fontId="10" fillId="0" borderId="115" xfId="1" applyFont="1" applyFill="1" applyBorder="1" applyAlignment="1">
      <alignment horizontal="center" wrapText="1"/>
    </xf>
    <xf numFmtId="0" fontId="39" fillId="0" borderId="115" xfId="1" applyFont="1" applyFill="1" applyBorder="1" applyAlignment="1">
      <alignment horizontal="center" vertical="center" wrapText="1"/>
    </xf>
    <xf numFmtId="3" fontId="39" fillId="0" borderId="116" xfId="1" applyNumberFormat="1" applyFont="1" applyFill="1" applyBorder="1" applyAlignment="1">
      <alignment wrapText="1"/>
    </xf>
    <xf numFmtId="3" fontId="39" fillId="0" borderId="115" xfId="1" applyNumberFormat="1" applyFont="1" applyFill="1" applyBorder="1" applyAlignment="1">
      <alignment wrapText="1"/>
    </xf>
    <xf numFmtId="3" fontId="40" fillId="0" borderId="117" xfId="1" applyNumberFormat="1" applyFont="1" applyFill="1" applyBorder="1" applyAlignment="1">
      <alignment wrapText="1"/>
    </xf>
    <xf numFmtId="3" fontId="39" fillId="0" borderId="117" xfId="1" applyNumberFormat="1" applyFont="1" applyFill="1" applyBorder="1" applyAlignment="1">
      <alignment wrapText="1"/>
    </xf>
    <xf numFmtId="3" fontId="10" fillId="0" borderId="118" xfId="1" applyNumberFormat="1" applyFont="1" applyFill="1" applyBorder="1" applyAlignment="1">
      <alignment horizontal="center" wrapText="1"/>
    </xf>
    <xf numFmtId="0" fontId="10" fillId="0" borderId="119" xfId="1" applyFont="1" applyFill="1" applyBorder="1" applyAlignment="1">
      <alignment horizontal="center" wrapText="1"/>
    </xf>
    <xf numFmtId="0" fontId="39" fillId="0" borderId="119" xfId="1" applyFont="1" applyFill="1" applyBorder="1" applyAlignment="1">
      <alignment horizontal="center" vertical="center" wrapText="1"/>
    </xf>
    <xf numFmtId="3" fontId="39" fillId="0" borderId="120" xfId="1" applyNumberFormat="1" applyFont="1" applyFill="1" applyBorder="1" applyAlignment="1">
      <alignment wrapText="1"/>
    </xf>
    <xf numFmtId="3" fontId="39" fillId="0" borderId="119" xfId="1" applyNumberFormat="1" applyFont="1" applyFill="1" applyBorder="1" applyAlignment="1">
      <alignment wrapText="1"/>
    </xf>
    <xf numFmtId="3" fontId="39" fillId="0" borderId="121" xfId="1" applyNumberFormat="1" applyFont="1" applyFill="1" applyBorder="1" applyAlignment="1">
      <alignment wrapText="1"/>
    </xf>
    <xf numFmtId="3" fontId="39" fillId="0" borderId="105" xfId="1" applyNumberFormat="1" applyFont="1" applyFill="1" applyBorder="1" applyAlignment="1">
      <alignment horizontal="right" wrapText="1"/>
    </xf>
    <xf numFmtId="3" fontId="39" fillId="0" borderId="106" xfId="1" applyNumberFormat="1" applyFont="1" applyFill="1" applyBorder="1" applyAlignment="1">
      <alignment horizontal="right" wrapText="1"/>
    </xf>
    <xf numFmtId="3" fontId="39" fillId="0" borderId="107" xfId="1" applyNumberFormat="1" applyFont="1" applyFill="1" applyBorder="1" applyAlignment="1">
      <alignment horizontal="right" wrapText="1"/>
    </xf>
    <xf numFmtId="0" fontId="10" fillId="0" borderId="119" xfId="1" applyFont="1" applyFill="1" applyBorder="1" applyAlignment="1">
      <alignment horizontal="center" vertical="center" wrapText="1"/>
    </xf>
    <xf numFmtId="0" fontId="39" fillId="0" borderId="119" xfId="1" applyFont="1" applyFill="1" applyBorder="1" applyAlignment="1">
      <alignment horizontal="center" wrapText="1"/>
    </xf>
    <xf numFmtId="3" fontId="39" fillId="0" borderId="119" xfId="1" applyNumberFormat="1" applyFont="1" applyFill="1" applyBorder="1" applyAlignment="1">
      <alignment horizontal="right" wrapText="1"/>
    </xf>
    <xf numFmtId="3" fontId="39" fillId="0" borderId="120" xfId="1" applyNumberFormat="1" applyFont="1" applyFill="1" applyBorder="1" applyAlignment="1">
      <alignment horizontal="right" wrapText="1"/>
    </xf>
    <xf numFmtId="3" fontId="39" fillId="0" borderId="121" xfId="1" applyNumberFormat="1" applyFont="1" applyFill="1" applyBorder="1" applyAlignment="1">
      <alignment horizontal="right" wrapText="1"/>
    </xf>
    <xf numFmtId="0" fontId="39" fillId="0" borderId="105" xfId="1" applyFont="1" applyFill="1" applyBorder="1" applyAlignment="1">
      <alignment wrapText="1"/>
    </xf>
    <xf numFmtId="0" fontId="1" fillId="0" borderId="0" xfId="1" applyFill="1" applyBorder="1" applyAlignment="1">
      <alignment wrapText="1"/>
    </xf>
    <xf numFmtId="0" fontId="10" fillId="0" borderId="15" xfId="1" applyFont="1" applyFill="1" applyBorder="1" applyAlignment="1">
      <alignment horizontal="center" vertical="center" wrapText="1"/>
    </xf>
    <xf numFmtId="3" fontId="39" fillId="0" borderId="109" xfId="1" applyNumberFormat="1" applyFont="1" applyFill="1" applyBorder="1" applyAlignment="1">
      <alignment horizontal="right" wrapText="1"/>
    </xf>
    <xf numFmtId="3" fontId="10" fillId="0" borderId="89" xfId="1" applyNumberFormat="1" applyFont="1" applyFill="1" applyBorder="1" applyAlignment="1">
      <alignment horizontal="center" wrapText="1"/>
    </xf>
    <xf numFmtId="0" fontId="10" fillId="0" borderId="90" xfId="1" applyFont="1" applyFill="1" applyBorder="1" applyAlignment="1">
      <alignment horizontal="center" wrapText="1"/>
    </xf>
    <xf numFmtId="3" fontId="39" fillId="0" borderId="93" xfId="1" applyNumberFormat="1" applyFont="1" applyFill="1" applyBorder="1" applyAlignment="1">
      <alignment wrapText="1"/>
    </xf>
    <xf numFmtId="3" fontId="10" fillId="0" borderId="122" xfId="1" applyNumberFormat="1" applyFont="1" applyFill="1" applyBorder="1" applyAlignment="1">
      <alignment horizontal="center" wrapText="1"/>
    </xf>
    <xf numFmtId="0" fontId="10" fillId="0" borderId="100" xfId="1" applyFont="1" applyFill="1" applyBorder="1" applyAlignment="1">
      <alignment horizontal="center" wrapText="1"/>
    </xf>
    <xf numFmtId="3" fontId="39" fillId="0" borderId="123" xfId="1" applyNumberFormat="1" applyFont="1" applyFill="1" applyBorder="1" applyAlignment="1">
      <alignment wrapText="1"/>
    </xf>
    <xf numFmtId="3" fontId="39" fillId="0" borderId="100" xfId="1" applyNumberFormat="1" applyFont="1" applyFill="1" applyBorder="1" applyAlignment="1">
      <alignment wrapText="1"/>
    </xf>
    <xf numFmtId="3" fontId="39" fillId="0" borderId="124" xfId="1" applyNumberFormat="1" applyFont="1" applyFill="1" applyBorder="1" applyAlignment="1">
      <alignment wrapText="1"/>
    </xf>
    <xf numFmtId="3" fontId="10" fillId="14" borderId="101" xfId="1" applyNumberFormat="1" applyFont="1" applyFill="1" applyBorder="1" applyAlignment="1">
      <alignment horizontal="center" wrapText="1"/>
    </xf>
    <xf numFmtId="0" fontId="10" fillId="15" borderId="119" xfId="1" applyFont="1" applyFill="1" applyBorder="1" applyAlignment="1">
      <alignment horizontal="center" vertical="center" wrapText="1"/>
    </xf>
    <xf numFmtId="3" fontId="10" fillId="15" borderId="88" xfId="1" applyNumberFormat="1" applyFont="1" applyFill="1" applyBorder="1" applyAlignment="1">
      <alignment horizontal="center" vertical="center" wrapText="1"/>
    </xf>
    <xf numFmtId="3" fontId="39" fillId="14" borderId="120" xfId="1" applyNumberFormat="1" applyFont="1" applyFill="1" applyBorder="1" applyAlignment="1">
      <alignment wrapText="1"/>
    </xf>
    <xf numFmtId="3" fontId="39" fillId="14" borderId="119" xfId="1" applyNumberFormat="1" applyFont="1" applyFill="1" applyBorder="1" applyAlignment="1">
      <alignment wrapText="1"/>
    </xf>
    <xf numFmtId="3" fontId="39" fillId="14" borderId="125" xfId="1" applyNumberFormat="1" applyFont="1" applyFill="1" applyBorder="1" applyAlignment="1">
      <alignment wrapText="1"/>
    </xf>
    <xf numFmtId="3" fontId="39" fillId="14" borderId="102" xfId="1" applyNumberFormat="1" applyFont="1" applyFill="1" applyBorder="1" applyAlignment="1">
      <alignment wrapText="1"/>
    </xf>
    <xf numFmtId="3" fontId="39" fillId="14" borderId="126" xfId="1" applyNumberFormat="1" applyFont="1" applyFill="1" applyBorder="1" applyAlignment="1">
      <alignment wrapText="1"/>
    </xf>
    <xf numFmtId="3" fontId="10" fillId="7" borderId="104" xfId="1" applyNumberFormat="1" applyFont="1" applyFill="1" applyBorder="1" applyAlignment="1">
      <alignment horizontal="center" wrapText="1"/>
    </xf>
    <xf numFmtId="0" fontId="10" fillId="7" borderId="105" xfId="1" applyFont="1" applyFill="1" applyBorder="1" applyAlignment="1">
      <alignment horizontal="center" wrapText="1"/>
    </xf>
    <xf numFmtId="3" fontId="39" fillId="7" borderId="106" xfId="1" applyNumberFormat="1" applyFont="1" applyFill="1" applyBorder="1" applyAlignment="1">
      <alignment wrapText="1"/>
    </xf>
    <xf numFmtId="3" fontId="39" fillId="7" borderId="105" xfId="1" applyNumberFormat="1" applyFont="1" applyFill="1" applyBorder="1" applyAlignment="1">
      <alignment wrapText="1"/>
    </xf>
    <xf numFmtId="3" fontId="10" fillId="7" borderId="118" xfId="1" applyNumberFormat="1" applyFont="1" applyFill="1" applyBorder="1" applyAlignment="1">
      <alignment horizontal="center" wrapText="1"/>
    </xf>
    <xf numFmtId="0" fontId="10" fillId="7" borderId="119" xfId="1" applyFont="1" applyFill="1" applyBorder="1" applyAlignment="1">
      <alignment horizontal="center" vertical="center" wrapText="1"/>
    </xf>
    <xf numFmtId="0" fontId="39" fillId="7" borderId="119" xfId="1" applyFont="1" applyFill="1" applyBorder="1" applyAlignment="1">
      <alignment horizontal="center" wrapText="1"/>
    </xf>
    <xf numFmtId="3" fontId="39" fillId="7" borderId="7" xfId="1" applyNumberFormat="1" applyFont="1" applyFill="1" applyBorder="1" applyAlignment="1">
      <alignment wrapText="1"/>
    </xf>
    <xf numFmtId="3" fontId="39" fillId="7" borderId="120" xfId="1" applyNumberFormat="1" applyFont="1" applyFill="1" applyBorder="1" applyAlignment="1">
      <alignment wrapText="1"/>
    </xf>
    <xf numFmtId="3" fontId="39" fillId="7" borderId="119" xfId="1" applyNumberFormat="1" applyFont="1" applyFill="1" applyBorder="1" applyAlignment="1">
      <alignment wrapText="1"/>
    </xf>
    <xf numFmtId="0" fontId="10" fillId="7" borderId="119" xfId="1" applyFont="1" applyFill="1" applyBorder="1" applyAlignment="1">
      <alignment horizontal="center" wrapText="1"/>
    </xf>
    <xf numFmtId="3" fontId="39" fillId="0" borderId="4" xfId="1" applyNumberFormat="1" applyFont="1" applyFill="1" applyBorder="1" applyAlignment="1">
      <alignment wrapText="1"/>
    </xf>
    <xf numFmtId="0" fontId="41" fillId="0" borderId="105" xfId="1" applyFont="1" applyFill="1" applyBorder="1" applyAlignment="1">
      <alignment horizontal="center" vertical="center" wrapText="1"/>
    </xf>
    <xf numFmtId="0" fontId="39" fillId="7" borderId="115" xfId="1" applyFont="1" applyFill="1" applyBorder="1" applyAlignment="1">
      <alignment horizontal="center" wrapText="1"/>
    </xf>
    <xf numFmtId="0" fontId="1" fillId="7" borderId="0" xfId="1" applyFill="1" applyBorder="1" applyAlignment="1">
      <alignment wrapText="1"/>
    </xf>
    <xf numFmtId="0" fontId="39" fillId="7" borderId="15" xfId="1" applyFont="1" applyFill="1" applyBorder="1" applyAlignment="1">
      <alignment horizontal="center" wrapText="1"/>
    </xf>
    <xf numFmtId="3" fontId="39" fillId="7" borderId="15" xfId="1" applyNumberFormat="1" applyFont="1" applyFill="1" applyBorder="1" applyAlignment="1">
      <alignment wrapText="1"/>
    </xf>
    <xf numFmtId="3" fontId="39" fillId="7" borderId="4" xfId="1" applyNumberFormat="1" applyFont="1" applyFill="1" applyBorder="1" applyAlignment="1">
      <alignment wrapText="1"/>
    </xf>
    <xf numFmtId="3" fontId="39" fillId="7" borderId="115" xfId="1" applyNumberFormat="1" applyFont="1" applyFill="1" applyBorder="1" applyAlignment="1">
      <alignment wrapText="1"/>
    </xf>
    <xf numFmtId="3" fontId="39" fillId="7" borderId="116" xfId="1" applyNumberFormat="1" applyFont="1" applyFill="1" applyBorder="1" applyAlignment="1">
      <alignment wrapText="1"/>
    </xf>
    <xf numFmtId="0" fontId="10" fillId="0" borderId="127" xfId="1" applyFont="1" applyFill="1" applyBorder="1" applyAlignment="1">
      <alignment horizontal="center" wrapText="1"/>
    </xf>
    <xf numFmtId="0" fontId="39" fillId="0" borderId="128" xfId="1" applyFont="1" applyFill="1" applyBorder="1" applyAlignment="1">
      <alignment horizontal="center" wrapText="1"/>
    </xf>
    <xf numFmtId="0" fontId="39" fillId="0" borderId="115" xfId="1" applyFont="1" applyFill="1" applyBorder="1" applyAlignment="1">
      <alignment horizontal="center" wrapText="1"/>
    </xf>
    <xf numFmtId="3" fontId="10" fillId="0" borderId="104" xfId="2" applyNumberFormat="1" applyFont="1" applyFill="1" applyBorder="1" applyAlignment="1">
      <alignment horizontal="center"/>
    </xf>
    <xf numFmtId="0" fontId="10" fillId="0" borderId="105" xfId="2" applyFont="1" applyFill="1" applyBorder="1" applyAlignment="1">
      <alignment horizontal="center"/>
    </xf>
    <xf numFmtId="3" fontId="39" fillId="0" borderId="105" xfId="2" applyNumberFormat="1" applyFont="1" applyFill="1" applyBorder="1"/>
    <xf numFmtId="3" fontId="39" fillId="0" borderId="129" xfId="2" applyNumberFormat="1" applyFont="1" applyFill="1" applyBorder="1"/>
    <xf numFmtId="3" fontId="10" fillId="0" borderId="114" xfId="1" applyNumberFormat="1" applyFont="1" applyFill="1" applyBorder="1" applyAlignment="1">
      <alignment horizontal="center" vertical="center" wrapText="1"/>
    </xf>
    <xf numFmtId="3" fontId="39" fillId="0" borderId="130" xfId="1" applyNumberFormat="1" applyFont="1" applyFill="1" applyBorder="1" applyAlignment="1">
      <alignment wrapText="1"/>
    </xf>
    <xf numFmtId="3" fontId="10" fillId="0" borderId="118" xfId="1" applyNumberFormat="1" applyFont="1" applyFill="1" applyBorder="1" applyAlignment="1">
      <alignment horizontal="center" vertical="center" wrapText="1"/>
    </xf>
    <xf numFmtId="3" fontId="10" fillId="0" borderId="108" xfId="1" applyNumberFormat="1" applyFont="1" applyFill="1" applyBorder="1" applyAlignment="1">
      <alignment horizontal="center" vertical="center" wrapText="1"/>
    </xf>
    <xf numFmtId="0" fontId="39" fillId="0" borderId="16" xfId="1" applyFont="1" applyFill="1" applyBorder="1" applyAlignment="1">
      <alignment horizontal="center" vertical="center" wrapText="1"/>
    </xf>
    <xf numFmtId="3" fontId="39" fillId="0" borderId="129" xfId="1" applyNumberFormat="1" applyFont="1" applyFill="1" applyBorder="1" applyAlignment="1">
      <alignment wrapText="1"/>
    </xf>
    <xf numFmtId="0" fontId="10" fillId="7" borderId="111" xfId="1" applyFont="1" applyFill="1" applyBorder="1" applyAlignment="1">
      <alignment horizontal="center" wrapText="1"/>
    </xf>
    <xf numFmtId="3" fontId="39" fillId="7" borderId="112" xfId="1" applyNumberFormat="1" applyFont="1" applyFill="1" applyBorder="1" applyAlignment="1">
      <alignment wrapText="1"/>
    </xf>
    <xf numFmtId="3" fontId="39" fillId="7" borderId="111" xfId="1" applyNumberFormat="1" applyFont="1" applyFill="1" applyBorder="1" applyAlignment="1">
      <alignment wrapText="1"/>
    </xf>
    <xf numFmtId="3" fontId="10" fillId="7" borderId="114" xfId="1" applyNumberFormat="1" applyFont="1" applyFill="1" applyBorder="1" applyAlignment="1">
      <alignment horizontal="center" wrapText="1"/>
    </xf>
    <xf numFmtId="0" fontId="10" fillId="7" borderId="115" xfId="1" applyFont="1" applyFill="1" applyBorder="1" applyAlignment="1">
      <alignment horizontal="center" wrapText="1"/>
    </xf>
    <xf numFmtId="3" fontId="39" fillId="0" borderId="115" xfId="1" applyNumberFormat="1" applyFont="1" applyBorder="1" applyAlignment="1">
      <alignment wrapText="1"/>
    </xf>
    <xf numFmtId="3" fontId="10" fillId="14" borderId="118" xfId="1" applyNumberFormat="1" applyFont="1" applyFill="1" applyBorder="1" applyAlignment="1">
      <alignment horizontal="center" wrapText="1"/>
    </xf>
    <xf numFmtId="0" fontId="10" fillId="15" borderId="119" xfId="1" applyFont="1" applyFill="1" applyBorder="1" applyAlignment="1">
      <alignment horizontal="center" wrapText="1"/>
    </xf>
    <xf numFmtId="3" fontId="10" fillId="14" borderId="102" xfId="1" applyNumberFormat="1" applyFont="1" applyFill="1" applyBorder="1" applyAlignment="1">
      <alignment horizontal="center" vertical="center" wrapText="1"/>
    </xf>
    <xf numFmtId="0" fontId="10" fillId="7" borderId="105" xfId="1" applyFont="1" applyFill="1" applyBorder="1" applyAlignment="1">
      <alignment horizontal="center" vertical="center" wrapText="1"/>
    </xf>
    <xf numFmtId="0" fontId="39" fillId="7" borderId="119" xfId="1" applyFont="1" applyFill="1" applyBorder="1" applyAlignment="1">
      <alignment horizontal="center" vertical="center" wrapText="1"/>
    </xf>
    <xf numFmtId="3" fontId="10" fillId="7" borderId="101" xfId="1" applyNumberFormat="1" applyFont="1" applyFill="1" applyBorder="1" applyAlignment="1">
      <alignment horizontal="center" wrapText="1"/>
    </xf>
    <xf numFmtId="0" fontId="10" fillId="7" borderId="102" xfId="1" applyFont="1" applyFill="1" applyBorder="1" applyAlignment="1">
      <alignment horizontal="center" wrapText="1"/>
    </xf>
    <xf numFmtId="3" fontId="39" fillId="7" borderId="125" xfId="1" applyNumberFormat="1" applyFont="1" applyFill="1" applyBorder="1" applyAlignment="1">
      <alignment wrapText="1"/>
    </xf>
    <xf numFmtId="3" fontId="39" fillId="7" borderId="102" xfId="1" applyNumberFormat="1" applyFont="1" applyFill="1" applyBorder="1" applyAlignment="1">
      <alignment wrapText="1"/>
    </xf>
    <xf numFmtId="3" fontId="39" fillId="0" borderId="102" xfId="1" applyNumberFormat="1" applyFont="1" applyFill="1" applyBorder="1" applyAlignment="1">
      <alignment wrapText="1"/>
    </xf>
    <xf numFmtId="3" fontId="39" fillId="0" borderId="125" xfId="1" applyNumberFormat="1" applyFont="1" applyFill="1" applyBorder="1" applyAlignment="1">
      <alignment wrapText="1"/>
    </xf>
    <xf numFmtId="3" fontId="39" fillId="0" borderId="126" xfId="1" applyNumberFormat="1" applyFont="1" applyFill="1" applyBorder="1" applyAlignment="1">
      <alignment wrapText="1"/>
    </xf>
    <xf numFmtId="3" fontId="10" fillId="0" borderId="131" xfId="1" applyNumberFormat="1" applyFont="1" applyFill="1" applyBorder="1" applyAlignment="1">
      <alignment horizontal="center" wrapText="1"/>
    </xf>
    <xf numFmtId="0" fontId="42" fillId="0" borderId="105" xfId="1" applyFont="1" applyFill="1" applyBorder="1" applyAlignment="1">
      <alignment wrapText="1"/>
    </xf>
    <xf numFmtId="0" fontId="42" fillId="0" borderId="106" xfId="1" applyFont="1" applyFill="1" applyBorder="1" applyAlignment="1">
      <alignment wrapText="1"/>
    </xf>
    <xf numFmtId="0" fontId="42" fillId="0" borderId="107" xfId="1" applyFont="1" applyFill="1" applyBorder="1" applyAlignment="1">
      <alignment wrapText="1"/>
    </xf>
    <xf numFmtId="3" fontId="10" fillId="7" borderId="122" xfId="1" applyNumberFormat="1" applyFont="1" applyFill="1" applyBorder="1" applyAlignment="1">
      <alignment horizontal="center" wrapText="1"/>
    </xf>
    <xf numFmtId="0" fontId="10" fillId="7" borderId="132" xfId="1" applyFont="1" applyFill="1" applyBorder="1" applyAlignment="1">
      <alignment horizontal="center" wrapText="1"/>
    </xf>
    <xf numFmtId="0" fontId="10" fillId="7" borderId="131" xfId="1" applyFont="1" applyFill="1" applyBorder="1" applyAlignment="1">
      <alignment horizontal="center" wrapText="1"/>
    </xf>
    <xf numFmtId="0" fontId="10" fillId="7" borderId="128" xfId="1" applyFont="1" applyFill="1" applyBorder="1" applyAlignment="1">
      <alignment horizontal="center" wrapText="1"/>
    </xf>
    <xf numFmtId="0" fontId="10" fillId="0" borderId="101" xfId="1" applyFont="1" applyFill="1" applyBorder="1" applyAlignment="1">
      <alignment vertical="center" wrapText="1"/>
    </xf>
    <xf numFmtId="0" fontId="10" fillId="0" borderId="102" xfId="1" applyFont="1" applyFill="1" applyBorder="1" applyAlignment="1">
      <alignment vertical="center" wrapText="1"/>
    </xf>
    <xf numFmtId="0" fontId="39" fillId="0" borderId="133" xfId="1" applyFont="1" applyFill="1" applyBorder="1" applyAlignment="1">
      <alignment horizontal="center" wrapText="1"/>
    </xf>
    <xf numFmtId="3" fontId="39" fillId="0" borderId="103" xfId="1" applyNumberFormat="1" applyFont="1" applyFill="1" applyBorder="1" applyAlignment="1">
      <alignment wrapText="1"/>
    </xf>
    <xf numFmtId="0" fontId="39" fillId="0" borderId="0" xfId="1" applyFont="1" applyFill="1" applyBorder="1" applyAlignment="1">
      <alignment wrapText="1"/>
    </xf>
    <xf numFmtId="3" fontId="39" fillId="0" borderId="0" xfId="1" applyNumberFormat="1" applyFont="1" applyFill="1" applyBorder="1" applyAlignment="1">
      <alignment wrapText="1"/>
    </xf>
    <xf numFmtId="3" fontId="39" fillId="0" borderId="0" xfId="1" applyNumberFormat="1" applyFont="1" applyBorder="1" applyAlignment="1">
      <alignment wrapText="1"/>
    </xf>
    <xf numFmtId="0" fontId="42" fillId="0" borderId="0" xfId="1" applyFont="1" applyBorder="1" applyAlignment="1">
      <alignment wrapText="1"/>
    </xf>
    <xf numFmtId="0" fontId="42" fillId="0" borderId="134" xfId="1" applyFont="1" applyBorder="1" applyAlignment="1">
      <alignment wrapText="1"/>
    </xf>
    <xf numFmtId="0" fontId="42" fillId="0" borderId="134" xfId="1" applyFont="1" applyFill="1" applyBorder="1" applyAlignment="1">
      <alignment wrapText="1"/>
    </xf>
    <xf numFmtId="0" fontId="1" fillId="0" borderId="0" xfId="1" applyBorder="1" applyAlignment="1">
      <alignment wrapText="1"/>
    </xf>
    <xf numFmtId="0" fontId="39" fillId="0" borderId="0" xfId="1" applyFont="1" applyBorder="1" applyAlignment="1">
      <alignment wrapText="1"/>
    </xf>
    <xf numFmtId="0" fontId="39" fillId="14" borderId="0" xfId="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2" applyNumberFormat="1" applyFill="1"/>
    <xf numFmtId="0" fontId="1" fillId="0" borderId="0" xfId="2" applyFill="1"/>
    <xf numFmtId="1" fontId="1" fillId="0" borderId="0" xfId="2" applyNumberFormat="1" applyFill="1"/>
    <xf numFmtId="1" fontId="1" fillId="0" borderId="0" xfId="2" applyNumberFormat="1"/>
    <xf numFmtId="0" fontId="2" fillId="0" borderId="15" xfId="1" applyFont="1" applyFill="1" applyBorder="1" applyAlignment="1" applyProtection="1">
      <alignment horizontal="center" vertical="center" wrapText="1"/>
    </xf>
    <xf numFmtId="0" fontId="2" fillId="0" borderId="0" xfId="2" applyFont="1" applyBorder="1" applyAlignment="1" applyProtection="1">
      <alignment horizontal="center"/>
      <protection locked="0"/>
    </xf>
    <xf numFmtId="0" fontId="2" fillId="7" borderId="0" xfId="1" applyFont="1" applyFill="1" applyBorder="1" applyAlignment="1" applyProtection="1">
      <alignment vertical="center"/>
      <protection locked="0"/>
    </xf>
    <xf numFmtId="3" fontId="3" fillId="7" borderId="64" xfId="1" applyNumberFormat="1" applyFont="1" applyFill="1" applyBorder="1" applyAlignment="1" applyProtection="1">
      <alignment vertical="center"/>
    </xf>
    <xf numFmtId="3" fontId="3" fillId="7" borderId="56" xfId="1" applyNumberFormat="1" applyFont="1" applyFill="1" applyBorder="1" applyAlignment="1" applyProtection="1">
      <alignment vertical="center"/>
    </xf>
    <xf numFmtId="0" fontId="1" fillId="0" borderId="0" xfId="8" applyFont="1"/>
    <xf numFmtId="0" fontId="1" fillId="0" borderId="0" xfId="8" applyFont="1" applyFill="1"/>
    <xf numFmtId="0" fontId="2" fillId="0" borderId="0" xfId="9" applyFont="1" applyAlignment="1">
      <alignment horizontal="right"/>
    </xf>
    <xf numFmtId="0" fontId="5" fillId="0" borderId="0" xfId="8" applyFont="1" applyAlignment="1">
      <alignment horizontal="right"/>
    </xf>
    <xf numFmtId="0" fontId="2" fillId="0" borderId="0" xfId="8" applyFont="1"/>
    <xf numFmtId="0" fontId="2" fillId="0" borderId="0" xfId="8" applyFont="1" applyAlignment="1"/>
    <xf numFmtId="0" fontId="45" fillId="0" borderId="0" xfId="8" applyFont="1" applyFill="1" applyAlignment="1"/>
    <xf numFmtId="0" fontId="45" fillId="0" borderId="0" xfId="8" applyFont="1" applyAlignment="1"/>
    <xf numFmtId="0" fontId="5" fillId="0" borderId="0" xfId="8" applyFont="1"/>
    <xf numFmtId="0" fontId="2" fillId="0" borderId="0" xfId="8" applyFont="1" applyAlignment="1">
      <alignment horizontal="left"/>
    </xf>
    <xf numFmtId="0" fontId="2" fillId="0" borderId="0" xfId="8" applyFont="1" applyFill="1" applyAlignment="1">
      <alignment horizontal="left"/>
    </xf>
    <xf numFmtId="0" fontId="46" fillId="0" borderId="0" xfId="8" applyFont="1" applyAlignment="1">
      <alignment horizontal="center"/>
    </xf>
    <xf numFmtId="0" fontId="2" fillId="0" borderId="0" xfId="10" applyFont="1" applyBorder="1" applyAlignment="1">
      <alignment vertical="center"/>
    </xf>
    <xf numFmtId="0" fontId="5" fillId="0" borderId="0" xfId="10" applyFont="1" applyFill="1" applyBorder="1" applyAlignment="1">
      <alignment vertical="center"/>
    </xf>
    <xf numFmtId="0" fontId="5" fillId="7" borderId="0" xfId="10" applyFont="1" applyFill="1" applyBorder="1" applyAlignment="1">
      <alignment vertical="center" wrapText="1"/>
    </xf>
    <xf numFmtId="0" fontId="5" fillId="0" borderId="0" xfId="10" applyFont="1" applyBorder="1" applyAlignment="1">
      <alignment vertical="center" wrapText="1"/>
    </xf>
    <xf numFmtId="0" fontId="49" fillId="0" borderId="0" xfId="11" applyFont="1"/>
    <xf numFmtId="0" fontId="1" fillId="0" borderId="0" xfId="8" applyFont="1" applyAlignment="1">
      <alignment horizontal="left" vertical="center"/>
    </xf>
    <xf numFmtId="0" fontId="2" fillId="0" borderId="0" xfId="10" applyFont="1"/>
    <xf numFmtId="0" fontId="3" fillId="0" borderId="0" xfId="10" applyFont="1" applyBorder="1" applyAlignment="1"/>
    <xf numFmtId="0" fontId="5" fillId="0" borderId="0" xfId="10" applyFont="1" applyFill="1" applyBorder="1" applyAlignment="1"/>
    <xf numFmtId="0" fontId="5" fillId="7" borderId="0" xfId="10" applyFont="1" applyFill="1" applyBorder="1" applyAlignment="1"/>
    <xf numFmtId="0" fontId="5" fillId="0" borderId="0" xfId="10" applyFont="1" applyBorder="1" applyAlignment="1">
      <alignment horizontal="left"/>
    </xf>
    <xf numFmtId="0" fontId="2" fillId="0" borderId="68" xfId="10" applyFont="1" applyBorder="1" applyAlignment="1">
      <alignment horizontal="center" vertical="center" wrapText="1"/>
    </xf>
    <xf numFmtId="3" fontId="2" fillId="0" borderId="41" xfId="9" applyNumberFormat="1" applyFont="1" applyBorder="1" applyAlignment="1">
      <alignment horizontal="center" vertical="center" wrapText="1"/>
    </xf>
    <xf numFmtId="0" fontId="2" fillId="0" borderId="41" xfId="2" applyFont="1" applyBorder="1" applyAlignment="1">
      <alignment vertical="center" wrapText="1"/>
    </xf>
    <xf numFmtId="3" fontId="3" fillId="0" borderId="68" xfId="10" applyNumberFormat="1" applyFont="1" applyBorder="1" applyAlignment="1">
      <alignment wrapText="1"/>
    </xf>
    <xf numFmtId="3" fontId="3" fillId="0" borderId="68" xfId="10" applyNumberFormat="1" applyFont="1" applyFill="1" applyBorder="1" applyAlignment="1">
      <alignment wrapText="1"/>
    </xf>
    <xf numFmtId="0" fontId="2" fillId="0" borderId="41" xfId="8" applyFont="1" applyBorder="1"/>
    <xf numFmtId="0" fontId="2" fillId="0" borderId="75" xfId="10" applyFont="1" applyBorder="1" applyAlignment="1">
      <alignment horizontal="center" vertical="center" wrapText="1"/>
    </xf>
    <xf numFmtId="0" fontId="2" fillId="0" borderId="41" xfId="12" applyFont="1" applyBorder="1" applyAlignment="1">
      <alignment vertical="center" wrapText="1"/>
    </xf>
    <xf numFmtId="0" fontId="3" fillId="0" borderId="41" xfId="12" applyFont="1" applyFill="1" applyBorder="1" applyAlignment="1">
      <alignment horizontal="center" vertical="center" wrapText="1"/>
    </xf>
    <xf numFmtId="3" fontId="2" fillId="0" borderId="41" xfId="12" applyNumberFormat="1" applyFont="1" applyFill="1" applyBorder="1" applyAlignment="1">
      <alignment horizontal="right" vertical="center"/>
    </xf>
    <xf numFmtId="3" fontId="2" fillId="7" borderId="41" xfId="12" applyNumberFormat="1" applyFont="1" applyFill="1" applyBorder="1" applyAlignment="1">
      <alignment horizontal="right" vertical="center"/>
    </xf>
    <xf numFmtId="3" fontId="2" fillId="0" borderId="41" xfId="12" applyNumberFormat="1" applyFont="1" applyFill="1" applyBorder="1" applyAlignment="1">
      <alignment horizontal="right" vertical="center" wrapText="1"/>
    </xf>
    <xf numFmtId="3" fontId="2" fillId="0" borderId="41" xfId="10" applyNumberFormat="1" applyFont="1" applyFill="1" applyBorder="1" applyAlignment="1">
      <alignment wrapText="1"/>
    </xf>
    <xf numFmtId="0" fontId="2" fillId="0" borderId="41" xfId="8" applyFont="1" applyBorder="1" applyAlignment="1">
      <alignment horizontal="center" vertical="center" wrapText="1"/>
    </xf>
    <xf numFmtId="0" fontId="2" fillId="0" borderId="18" xfId="10" applyFont="1" applyBorder="1" applyAlignment="1">
      <alignment horizontal="center" vertical="center" wrapText="1"/>
    </xf>
    <xf numFmtId="3" fontId="2" fillId="0" borderId="68" xfId="10" applyNumberFormat="1" applyFont="1" applyFill="1" applyBorder="1" applyAlignment="1">
      <alignment wrapText="1"/>
    </xf>
    <xf numFmtId="0" fontId="2" fillId="0" borderId="41" xfId="10" applyFont="1" applyBorder="1" applyAlignment="1">
      <alignment horizontal="center" vertical="center" wrapText="1"/>
    </xf>
    <xf numFmtId="3" fontId="2" fillId="7" borderId="41" xfId="12" applyNumberFormat="1" applyFont="1" applyFill="1" applyBorder="1" applyAlignment="1">
      <alignment horizontal="right" vertical="center" wrapText="1"/>
    </xf>
    <xf numFmtId="0" fontId="5" fillId="0" borderId="0" xfId="10" applyFont="1" applyBorder="1" applyAlignment="1">
      <alignment wrapText="1"/>
    </xf>
    <xf numFmtId="0" fontId="5" fillId="0" borderId="0" xfId="10" applyFont="1" applyFill="1" applyBorder="1" applyAlignment="1">
      <alignment wrapText="1"/>
    </xf>
    <xf numFmtId="0" fontId="5" fillId="7" borderId="0" xfId="10" applyFont="1" applyFill="1" applyBorder="1" applyAlignment="1">
      <alignment wrapText="1"/>
    </xf>
    <xf numFmtId="0" fontId="2" fillId="0" borderId="0" xfId="10" applyFont="1" applyBorder="1" applyAlignment="1"/>
    <xf numFmtId="0" fontId="5" fillId="0" borderId="0" xfId="10" applyFont="1" applyBorder="1" applyAlignment="1"/>
    <xf numFmtId="0" fontId="5" fillId="0" borderId="68" xfId="10" applyFont="1" applyBorder="1" applyAlignment="1">
      <alignment horizontal="center" vertical="center" wrapText="1"/>
    </xf>
    <xf numFmtId="3" fontId="50" fillId="0" borderId="68" xfId="10" applyNumberFormat="1" applyFont="1" applyBorder="1" applyAlignment="1">
      <alignment wrapText="1"/>
    </xf>
    <xf numFmtId="3" fontId="50" fillId="0" borderId="68" xfId="10" applyNumberFormat="1" applyFont="1" applyFill="1" applyBorder="1" applyAlignment="1">
      <alignment wrapText="1"/>
    </xf>
    <xf numFmtId="0" fontId="5" fillId="0" borderId="41" xfId="8" applyFont="1" applyBorder="1"/>
    <xf numFmtId="0" fontId="2" fillId="0" borderId="41" xfId="12" applyFont="1" applyFill="1" applyBorder="1" applyAlignment="1">
      <alignment horizontal="left" vertical="center" wrapText="1"/>
    </xf>
    <xf numFmtId="3" fontId="2" fillId="0" borderId="41" xfId="10" applyNumberFormat="1" applyFont="1" applyFill="1" applyBorder="1" applyAlignment="1">
      <alignment horizontal="left" vertical="center" wrapText="1"/>
    </xf>
    <xf numFmtId="0" fontId="2" fillId="0" borderId="0" xfId="10" applyFont="1" applyFill="1" applyBorder="1" applyAlignment="1"/>
    <xf numFmtId="0" fontId="2" fillId="7" borderId="0" xfId="10" applyFont="1" applyFill="1" applyBorder="1" applyAlignment="1"/>
    <xf numFmtId="0" fontId="36" fillId="0" borderId="0" xfId="8" applyFont="1"/>
    <xf numFmtId="0" fontId="2" fillId="0" borderId="0" xfId="10" applyFont="1" applyBorder="1" applyAlignment="1">
      <alignment horizontal="left"/>
    </xf>
    <xf numFmtId="0" fontId="2" fillId="0" borderId="68" xfId="12" applyFont="1" applyBorder="1" applyAlignment="1">
      <alignment vertical="center" wrapText="1"/>
    </xf>
    <xf numFmtId="0" fontId="3" fillId="0" borderId="68" xfId="12" applyFont="1" applyFill="1" applyBorder="1" applyAlignment="1">
      <alignment horizontal="center" vertical="center" wrapText="1"/>
    </xf>
    <xf numFmtId="3" fontId="2" fillId="0" borderId="68" xfId="12" applyNumberFormat="1" applyFont="1" applyFill="1" applyBorder="1" applyAlignment="1">
      <alignment horizontal="center" vertical="center"/>
    </xf>
    <xf numFmtId="3" fontId="2" fillId="7" borderId="41" xfId="12" applyNumberFormat="1" applyFont="1" applyFill="1" applyBorder="1" applyAlignment="1">
      <alignment horizontal="center" vertical="center"/>
    </xf>
    <xf numFmtId="0" fontId="2" fillId="0" borderId="41" xfId="8" applyFont="1" applyBorder="1" applyAlignment="1">
      <alignment horizontal="center" wrapText="1"/>
    </xf>
    <xf numFmtId="3" fontId="2" fillId="0" borderId="41" xfId="12" applyNumberFormat="1" applyFont="1" applyFill="1" applyBorder="1" applyAlignment="1">
      <alignment horizontal="center" vertical="center"/>
    </xf>
    <xf numFmtId="0" fontId="2" fillId="0" borderId="41" xfId="12" applyFont="1" applyFill="1" applyBorder="1" applyAlignment="1">
      <alignment vertical="center" wrapText="1"/>
    </xf>
    <xf numFmtId="0" fontId="1" fillId="0" borderId="0" xfId="8" applyFont="1" applyBorder="1" applyAlignment="1">
      <alignment vertical="center" wrapText="1"/>
    </xf>
    <xf numFmtId="0" fontId="1" fillId="0" borderId="0" xfId="8" applyFont="1" applyFill="1" applyBorder="1" applyAlignment="1">
      <alignment vertical="center" wrapText="1"/>
    </xf>
    <xf numFmtId="3" fontId="1" fillId="7" borderId="0" xfId="8" applyNumberFormat="1" applyFont="1" applyFill="1" applyBorder="1" applyAlignment="1">
      <alignment vertical="center" wrapText="1"/>
    </xf>
    <xf numFmtId="0" fontId="2" fillId="0" borderId="0" xfId="9" applyFont="1"/>
    <xf numFmtId="3" fontId="2" fillId="0" borderId="0" xfId="9" applyNumberFormat="1" applyFont="1"/>
    <xf numFmtId="0" fontId="1" fillId="0" borderId="0" xfId="9" applyFont="1"/>
    <xf numFmtId="0" fontId="2" fillId="0" borderId="0" xfId="1" applyFont="1" applyBorder="1" applyAlignment="1" applyProtection="1">
      <alignment horizontal="left"/>
      <protection locked="0"/>
    </xf>
    <xf numFmtId="0" fontId="2" fillId="0" borderId="0" xfId="1" applyFont="1" applyBorder="1" applyAlignment="1" applyProtection="1">
      <alignment horizontal="left" wrapText="1"/>
      <protection locked="0"/>
    </xf>
    <xf numFmtId="0" fontId="10" fillId="0" borderId="0" xfId="1" applyFont="1" applyAlignment="1">
      <alignment horizontal="center"/>
    </xf>
    <xf numFmtId="0" fontId="2" fillId="0" borderId="0" xfId="1" applyFont="1" applyAlignment="1"/>
    <xf numFmtId="49" fontId="3" fillId="0" borderId="87" xfId="2" applyNumberFormat="1" applyFont="1" applyFill="1" applyBorder="1" applyAlignment="1"/>
    <xf numFmtId="0" fontId="3" fillId="0" borderId="75" xfId="2" applyFont="1" applyFill="1" applyBorder="1" applyAlignment="1" applyProtection="1">
      <alignment horizontal="center" vertical="center" wrapText="1"/>
      <protection locked="0"/>
    </xf>
    <xf numFmtId="3" fontId="2" fillId="0" borderId="41" xfId="1" applyNumberFormat="1" applyFont="1" applyBorder="1" applyAlignment="1">
      <alignment vertical="center"/>
    </xf>
    <xf numFmtId="3" fontId="3" fillId="0" borderId="41" xfId="2" applyNumberFormat="1" applyFont="1" applyFill="1" applyBorder="1" applyAlignment="1" applyProtection="1">
      <alignment horizontal="right" vertical="center"/>
      <protection locked="0"/>
    </xf>
    <xf numFmtId="3" fontId="2" fillId="0" borderId="41" xfId="2" applyNumberFormat="1" applyFont="1" applyFill="1" applyBorder="1" applyAlignment="1" applyProtection="1">
      <alignment horizontal="right"/>
      <protection locked="0"/>
    </xf>
    <xf numFmtId="0" fontId="2" fillId="0" borderId="0" xfId="1" applyFont="1" applyBorder="1"/>
    <xf numFmtId="0" fontId="2" fillId="0" borderId="0" xfId="1" applyFont="1" applyBorder="1" applyProtection="1">
      <protection locked="0"/>
    </xf>
    <xf numFmtId="0" fontId="2" fillId="0" borderId="0" xfId="1" applyFont="1" applyProtection="1">
      <protection locked="0"/>
    </xf>
    <xf numFmtId="0" fontId="3" fillId="0" borderId="41" xfId="2" applyFont="1" applyBorder="1" applyAlignment="1">
      <alignment horizontal="center"/>
    </xf>
    <xf numFmtId="3" fontId="2" fillId="0" borderId="41" xfId="2" applyNumberFormat="1" applyFont="1" applyFill="1" applyBorder="1" applyAlignment="1">
      <alignment wrapText="1"/>
    </xf>
    <xf numFmtId="0" fontId="3" fillId="0" borderId="41" xfId="2" applyFont="1" applyFill="1" applyBorder="1" applyAlignment="1">
      <alignment horizontal="center" vertical="center"/>
    </xf>
    <xf numFmtId="3" fontId="2" fillId="0" borderId="41" xfId="2" applyNumberFormat="1" applyFont="1" applyBorder="1" applyAlignment="1" applyProtection="1">
      <alignment horizontal="right" vertical="center"/>
      <protection locked="0"/>
    </xf>
    <xf numFmtId="3" fontId="2" fillId="0" borderId="41" xfId="2" applyNumberFormat="1" applyFont="1" applyFill="1" applyBorder="1" applyAlignment="1" applyProtection="1">
      <alignment horizontal="right" vertical="center"/>
      <protection locked="0"/>
    </xf>
    <xf numFmtId="3" fontId="2" fillId="10" borderId="41" xfId="2" applyNumberFormat="1" applyFont="1" applyFill="1" applyBorder="1" applyAlignment="1" applyProtection="1">
      <alignment horizontal="right" vertical="center"/>
      <protection locked="0"/>
    </xf>
    <xf numFmtId="3" fontId="2" fillId="0" borderId="41" xfId="2" applyNumberFormat="1" applyFont="1" applyBorder="1" applyAlignment="1" applyProtection="1">
      <alignment horizontal="left" vertical="center" wrapText="1"/>
      <protection locked="0"/>
    </xf>
    <xf numFmtId="3" fontId="2" fillId="0" borderId="0" xfId="2" applyNumberFormat="1" applyFont="1" applyBorder="1" applyAlignment="1" applyProtection="1">
      <alignment vertical="center"/>
      <protection locked="0"/>
    </xf>
    <xf numFmtId="0" fontId="2" fillId="0" borderId="0" xfId="2" applyFont="1" applyBorder="1" applyAlignment="1">
      <alignment horizontal="left" vertical="center"/>
    </xf>
    <xf numFmtId="3" fontId="3" fillId="0" borderId="0" xfId="2" applyNumberFormat="1" applyFont="1" applyFill="1" applyBorder="1" applyAlignment="1" applyProtection="1">
      <alignment vertical="center"/>
      <protection locked="0"/>
    </xf>
    <xf numFmtId="3" fontId="3" fillId="0" borderId="87" xfId="2" applyNumberFormat="1" applyFont="1" applyFill="1" applyBorder="1" applyAlignment="1" applyProtection="1">
      <alignment vertical="center"/>
      <protection locked="0"/>
    </xf>
    <xf numFmtId="0" fontId="2" fillId="0" borderId="41" xfId="2" applyFont="1" applyBorder="1" applyAlignment="1" applyProtection="1">
      <alignment vertical="center"/>
      <protection locked="0"/>
    </xf>
    <xf numFmtId="3" fontId="2" fillId="0" borderId="41" xfId="2" applyNumberFormat="1" applyFont="1" applyBorder="1" applyAlignment="1" applyProtection="1">
      <alignment horizontal="right" vertical="center" wrapText="1"/>
      <protection locked="0"/>
    </xf>
    <xf numFmtId="49" fontId="3" fillId="0" borderId="87" xfId="2" applyNumberFormat="1" applyFont="1" applyFill="1" applyBorder="1" applyAlignment="1">
      <alignment vertical="center"/>
    </xf>
    <xf numFmtId="0" fontId="2" fillId="0" borderId="41" xfId="1" applyFont="1" applyBorder="1" applyAlignment="1">
      <alignment horizontal="center" vertical="center"/>
    </xf>
    <xf numFmtId="3" fontId="2" fillId="8" borderId="41" xfId="2" applyNumberFormat="1" applyFont="1" applyFill="1" applyBorder="1" applyAlignment="1" applyProtection="1">
      <alignment horizontal="right" vertical="center" wrapText="1"/>
      <protection locked="0"/>
    </xf>
    <xf numFmtId="0" fontId="2" fillId="0" borderId="41" xfId="2" applyFont="1" applyBorder="1" applyAlignment="1">
      <alignment horizontal="center" vertical="center"/>
    </xf>
    <xf numFmtId="0" fontId="2" fillId="0" borderId="0" xfId="2" applyFont="1" applyAlignment="1">
      <alignment horizontal="right" vertical="center"/>
    </xf>
    <xf numFmtId="0" fontId="2" fillId="0" borderId="0" xfId="2" applyFont="1" applyAlignment="1">
      <alignment horizontal="left" vertical="top"/>
    </xf>
    <xf numFmtId="166" fontId="2" fillId="0" borderId="0" xfId="13" applyNumberFormat="1" applyFont="1" applyFill="1" applyBorder="1" applyAlignment="1">
      <alignment vertical="center" wrapText="1"/>
    </xf>
    <xf numFmtId="166" fontId="2" fillId="0" borderId="0" xfId="13" applyNumberFormat="1" applyFont="1" applyFill="1" applyBorder="1" applyAlignment="1">
      <alignment vertical="center"/>
    </xf>
    <xf numFmtId="0" fontId="2" fillId="0" borderId="0" xfId="2" applyFont="1" applyFill="1" applyAlignment="1">
      <alignment horizontal="right" vertical="center"/>
    </xf>
    <xf numFmtId="0" fontId="2" fillId="0" borderId="0" xfId="2" applyFont="1" applyFill="1" applyAlignment="1">
      <alignment horizontal="center" vertical="center"/>
    </xf>
    <xf numFmtId="0" fontId="2" fillId="0" borderId="0" xfId="2" applyFont="1" applyFill="1" applyAlignment="1">
      <alignment vertical="center"/>
    </xf>
    <xf numFmtId="166" fontId="3" fillId="0" borderId="0" xfId="13" applyNumberFormat="1" applyFont="1" applyFill="1" applyBorder="1" applyAlignment="1">
      <alignment vertical="center"/>
    </xf>
    <xf numFmtId="0" fontId="5" fillId="0" borderId="0" xfId="2" applyFont="1" applyFill="1" applyAlignment="1">
      <alignment horizontal="right" vertical="center"/>
    </xf>
    <xf numFmtId="166" fontId="2" fillId="0" borderId="0" xfId="13" applyNumberFormat="1" applyFont="1" applyFill="1" applyBorder="1" applyAlignment="1">
      <alignment horizontal="right" vertical="center" wrapText="1"/>
    </xf>
    <xf numFmtId="166" fontId="2" fillId="0" borderId="0" xfId="13" applyNumberFormat="1" applyFont="1" applyFill="1" applyBorder="1" applyAlignment="1">
      <alignment horizontal="left" vertical="center" wrapText="1"/>
    </xf>
    <xf numFmtId="0" fontId="2" fillId="0" borderId="0" xfId="2" applyFont="1" applyFill="1" applyAlignment="1">
      <alignment horizontal="left" vertical="top"/>
    </xf>
    <xf numFmtId="166" fontId="2" fillId="0" borderId="0" xfId="13" applyNumberFormat="1" applyFont="1" applyFill="1" applyBorder="1" applyAlignment="1">
      <alignment horizontal="left" vertical="center"/>
    </xf>
    <xf numFmtId="166" fontId="2" fillId="0" borderId="0" xfId="13" applyNumberFormat="1" applyFont="1" applyFill="1" applyBorder="1" applyAlignment="1">
      <alignment horizontal="center" vertical="center" wrapText="1"/>
    </xf>
    <xf numFmtId="0" fontId="3" fillId="0" borderId="0" xfId="2" applyFont="1" applyFill="1" applyAlignment="1">
      <alignment vertical="center"/>
    </xf>
    <xf numFmtId="166" fontId="51" fillId="0" borderId="0" xfId="13" applyNumberFormat="1" applyFont="1" applyFill="1" applyBorder="1" applyAlignment="1">
      <alignment horizontal="left" vertical="center" wrapText="1"/>
    </xf>
    <xf numFmtId="0" fontId="2" fillId="0" borderId="0" xfId="2" applyFont="1" applyFill="1" applyAlignment="1" applyProtection="1">
      <alignment horizontal="center" vertical="center"/>
      <protection locked="0"/>
    </xf>
    <xf numFmtId="0" fontId="2" fillId="0" borderId="0" xfId="2" applyFont="1" applyFill="1" applyAlignment="1" applyProtection="1">
      <alignment vertical="center"/>
      <protection locked="0"/>
    </xf>
    <xf numFmtId="0" fontId="52" fillId="0" borderId="0" xfId="2" applyFont="1" applyFill="1" applyAlignment="1" applyProtection="1">
      <alignment horizontal="right" vertical="center"/>
      <protection locked="0"/>
    </xf>
    <xf numFmtId="0" fontId="2" fillId="0" borderId="0" xfId="2" applyFont="1" applyFill="1" applyAlignment="1" applyProtection="1">
      <alignment horizontal="right" vertical="center"/>
      <protection locked="0"/>
    </xf>
    <xf numFmtId="0" fontId="3" fillId="0" borderId="0" xfId="2" applyFont="1" applyFill="1"/>
    <xf numFmtId="0" fontId="2" fillId="0" borderId="0" xfId="2" applyFont="1" applyFill="1" applyAlignment="1">
      <alignment vertical="center" wrapText="1"/>
    </xf>
    <xf numFmtId="0" fontId="5" fillId="0" borderId="0" xfId="0" applyFont="1"/>
    <xf numFmtId="3" fontId="2" fillId="8" borderId="24" xfId="1" applyNumberFormat="1" applyFont="1" applyFill="1" applyBorder="1" applyAlignment="1" applyProtection="1">
      <alignment horizontal="right" vertical="center"/>
      <protection locked="0"/>
    </xf>
    <xf numFmtId="3" fontId="8" fillId="0" borderId="41" xfId="1" applyNumberFormat="1" applyFont="1" applyFill="1" applyBorder="1" applyAlignment="1" applyProtection="1">
      <alignment vertical="center"/>
      <protection locked="0"/>
    </xf>
    <xf numFmtId="0" fontId="2" fillId="2" borderId="0" xfId="1" applyFont="1" applyFill="1" applyBorder="1" applyAlignment="1" applyProtection="1">
      <alignment vertical="center" wrapText="1"/>
    </xf>
    <xf numFmtId="1" fontId="7" fillId="0" borderId="33" xfId="1" applyNumberFormat="1" applyFont="1" applyFill="1" applyBorder="1" applyAlignment="1" applyProtection="1">
      <alignment horizontal="center" vertical="center" wrapText="1"/>
    </xf>
    <xf numFmtId="0" fontId="3" fillId="0" borderId="19" xfId="1" applyFont="1" applyFill="1" applyBorder="1" applyAlignment="1" applyProtection="1">
      <alignment vertical="center" wrapText="1"/>
      <protection locked="0"/>
    </xf>
    <xf numFmtId="3" fontId="16" fillId="0" borderId="25" xfId="1" applyNumberFormat="1" applyFont="1" applyFill="1" applyBorder="1" applyAlignment="1" applyProtection="1">
      <alignment horizontal="left" vertical="center" wrapText="1"/>
      <protection locked="0"/>
    </xf>
    <xf numFmtId="3" fontId="53" fillId="0" borderId="46" xfId="1" applyNumberFormat="1" applyFont="1" applyFill="1" applyBorder="1" applyAlignment="1" applyProtection="1">
      <alignment horizontal="left" vertical="center" wrapText="1"/>
      <protection locked="0"/>
    </xf>
    <xf numFmtId="3" fontId="53" fillId="0" borderId="19" xfId="1" applyNumberFormat="1" applyFont="1" applyFill="1" applyBorder="1" applyAlignment="1" applyProtection="1">
      <alignment horizontal="left" vertical="center" wrapText="1"/>
      <protection locked="0"/>
    </xf>
    <xf numFmtId="3" fontId="53" fillId="0" borderId="42" xfId="1" applyNumberFormat="1" applyFont="1" applyFill="1" applyBorder="1" applyAlignment="1" applyProtection="1">
      <alignment horizontal="left" vertical="center" wrapText="1"/>
      <protection locked="0"/>
    </xf>
    <xf numFmtId="3" fontId="53" fillId="0" borderId="50" xfId="1" applyNumberFormat="1" applyFont="1" applyFill="1" applyBorder="1" applyAlignment="1" applyProtection="1">
      <alignment horizontal="left" vertical="center" wrapText="1"/>
      <protection locked="0"/>
    </xf>
    <xf numFmtId="3" fontId="53" fillId="0" borderId="54" xfId="1" applyNumberFormat="1" applyFont="1" applyFill="1" applyBorder="1" applyAlignment="1" applyProtection="1">
      <alignment horizontal="left" vertical="center" wrapText="1"/>
      <protection locked="0"/>
    </xf>
    <xf numFmtId="3" fontId="53" fillId="0" borderId="58" xfId="1" applyNumberFormat="1" applyFont="1" applyFill="1" applyBorder="1" applyAlignment="1" applyProtection="1">
      <alignment horizontal="left" vertical="center" wrapText="1"/>
      <protection locked="0"/>
    </xf>
    <xf numFmtId="3" fontId="53" fillId="0" borderId="19" xfId="1" applyNumberFormat="1" applyFont="1" applyBorder="1" applyAlignment="1" applyProtection="1">
      <alignment horizontal="left" vertical="center" wrapText="1"/>
      <protection locked="0"/>
    </xf>
    <xf numFmtId="3" fontId="21" fillId="0" borderId="38" xfId="1" applyNumberFormat="1" applyFont="1" applyFill="1" applyBorder="1" applyAlignment="1" applyProtection="1">
      <alignment horizontal="left" vertical="center" wrapText="1"/>
      <protection locked="0"/>
    </xf>
    <xf numFmtId="3" fontId="21" fillId="0" borderId="62" xfId="1" applyNumberFormat="1" applyFont="1" applyFill="1" applyBorder="1" applyAlignment="1" applyProtection="1">
      <alignment horizontal="left" vertical="center" wrapText="1"/>
      <protection locked="0"/>
    </xf>
    <xf numFmtId="3" fontId="21" fillId="0" borderId="19" xfId="1" applyNumberFormat="1" applyFont="1" applyFill="1" applyBorder="1" applyAlignment="1" applyProtection="1">
      <alignment horizontal="left" vertical="center" wrapText="1"/>
      <protection locked="0"/>
    </xf>
    <xf numFmtId="3" fontId="21" fillId="4" borderId="66" xfId="1" applyNumberFormat="1" applyFont="1" applyFill="1" applyBorder="1" applyAlignment="1" applyProtection="1">
      <alignment horizontal="left" vertical="center" wrapText="1"/>
      <protection locked="0"/>
    </xf>
    <xf numFmtId="3" fontId="53" fillId="0" borderId="41" xfId="1" applyNumberFormat="1" applyFont="1" applyFill="1" applyBorder="1" applyAlignment="1" applyProtection="1">
      <alignment horizontal="right" vertical="center"/>
      <protection locked="0"/>
    </xf>
    <xf numFmtId="3" fontId="16" fillId="0" borderId="18" xfId="1" applyNumberFormat="1" applyFont="1" applyFill="1" applyBorder="1" applyAlignment="1" applyProtection="1">
      <alignment horizontal="right" vertical="center"/>
      <protection locked="0"/>
    </xf>
    <xf numFmtId="3" fontId="16" fillId="0" borderId="41" xfId="1" applyNumberFormat="1" applyFont="1" applyFill="1" applyBorder="1" applyAlignment="1" applyProtection="1">
      <alignment vertical="center"/>
    </xf>
    <xf numFmtId="3" fontId="53" fillId="0" borderId="18" xfId="1" applyNumberFormat="1" applyFont="1" applyFill="1" applyBorder="1" applyAlignment="1" applyProtection="1">
      <alignment horizontal="right" vertical="center"/>
      <protection locked="0"/>
    </xf>
    <xf numFmtId="0" fontId="16" fillId="0" borderId="16" xfId="0" applyFont="1" applyBorder="1" applyAlignment="1" applyProtection="1">
      <alignment horizontal="left" vertical="top" wrapText="1"/>
      <protection locked="0"/>
    </xf>
    <xf numFmtId="3" fontId="53" fillId="0" borderId="63" xfId="1" applyNumberFormat="1" applyFont="1" applyFill="1" applyBorder="1" applyAlignment="1" applyProtection="1">
      <alignment horizontal="left" vertical="center" wrapText="1"/>
      <protection locked="0"/>
    </xf>
    <xf numFmtId="3" fontId="53" fillId="0" borderId="69" xfId="1" applyNumberFormat="1" applyFont="1" applyFill="1" applyBorder="1" applyAlignment="1" applyProtection="1">
      <alignment horizontal="left" vertical="center" wrapText="1"/>
      <protection locked="0"/>
    </xf>
    <xf numFmtId="3" fontId="53" fillId="0" borderId="66" xfId="1" applyNumberFormat="1" applyFont="1" applyFill="1" applyBorder="1" applyAlignment="1" applyProtection="1">
      <alignment horizontal="left" vertical="center" wrapText="1"/>
      <protection locked="0"/>
    </xf>
    <xf numFmtId="3" fontId="2" fillId="0" borderId="63" xfId="1" applyNumberFormat="1" applyFont="1" applyFill="1" applyBorder="1" applyAlignment="1" applyProtection="1">
      <alignment horizontal="left" vertical="center" wrapText="1"/>
      <protection locked="0"/>
    </xf>
    <xf numFmtId="3" fontId="2" fillId="0" borderId="11" xfId="1" applyNumberFormat="1" applyFont="1" applyFill="1" applyBorder="1" applyAlignment="1" applyProtection="1">
      <alignment horizontal="left" vertical="center" wrapText="1"/>
      <protection locked="0"/>
    </xf>
    <xf numFmtId="3" fontId="2" fillId="0" borderId="135"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left" vertical="center" wrapText="1"/>
      <protection locked="0"/>
    </xf>
    <xf numFmtId="0" fontId="9" fillId="0" borderId="39" xfId="1" applyFont="1" applyFill="1" applyBorder="1" applyAlignment="1" applyProtection="1">
      <alignment horizontal="right" vertical="center" wrapText="1"/>
    </xf>
    <xf numFmtId="0" fontId="9" fillId="0" borderId="39" xfId="1" applyFont="1" applyFill="1" applyBorder="1" applyAlignment="1" applyProtection="1">
      <alignment horizontal="left" vertical="center" wrapText="1"/>
    </xf>
    <xf numFmtId="3" fontId="9" fillId="0" borderId="39" xfId="1" applyNumberFormat="1" applyFont="1" applyFill="1" applyBorder="1" applyAlignment="1" applyProtection="1">
      <alignment vertical="center"/>
    </xf>
    <xf numFmtId="3" fontId="9" fillId="0" borderId="40" xfId="1" applyNumberFormat="1" applyFont="1" applyFill="1" applyBorder="1" applyAlignment="1" applyProtection="1">
      <alignment vertical="center"/>
      <protection locked="0"/>
    </xf>
    <xf numFmtId="3" fontId="9" fillId="0" borderId="41" xfId="1" applyNumberFormat="1" applyFont="1" applyFill="1" applyBorder="1" applyAlignment="1" applyProtection="1">
      <alignment vertical="center"/>
      <protection locked="0"/>
    </xf>
    <xf numFmtId="3" fontId="9" fillId="0" borderId="42" xfId="1" applyNumberFormat="1" applyFont="1" applyFill="1" applyBorder="1" applyAlignment="1" applyProtection="1">
      <alignment vertical="center"/>
    </xf>
    <xf numFmtId="3" fontId="9" fillId="0" borderId="40" xfId="1" applyNumberFormat="1" applyFont="1" applyFill="1" applyBorder="1" applyAlignment="1" applyProtection="1">
      <alignment horizontal="right" vertical="center"/>
      <protection locked="0"/>
    </xf>
    <xf numFmtId="3" fontId="9" fillId="0" borderId="41" xfId="1" applyNumberFormat="1" applyFont="1" applyFill="1" applyBorder="1" applyAlignment="1" applyProtection="1">
      <alignment horizontal="right" vertical="center"/>
      <protection locked="0"/>
    </xf>
    <xf numFmtId="3" fontId="9" fillId="0" borderId="42"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41" xfId="1" applyFont="1" applyFill="1" applyBorder="1" applyAlignment="1" applyProtection="1">
      <alignment horizontal="left" vertical="center" wrapText="1"/>
      <protection locked="0"/>
    </xf>
    <xf numFmtId="0" fontId="2" fillId="0" borderId="0" xfId="1" applyFont="1" applyAlignment="1">
      <alignment horizontal="left" vertical="center"/>
    </xf>
    <xf numFmtId="0" fontId="2" fillId="0" borderId="68" xfId="0" applyFont="1" applyBorder="1" applyAlignment="1" applyProtection="1">
      <alignment vertical="center" wrapText="1"/>
      <protection locked="0"/>
    </xf>
    <xf numFmtId="0" fontId="2" fillId="2" borderId="1" xfId="1" applyFont="1" applyFill="1" applyBorder="1" applyAlignment="1" applyProtection="1">
      <alignment vertical="center"/>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21" xfId="1" applyFont="1" applyFill="1" applyBorder="1" applyAlignment="1" applyProtection="1">
      <alignment vertical="center"/>
      <protection locked="0"/>
    </xf>
    <xf numFmtId="0" fontId="2" fillId="2" borderId="8" xfId="1" applyFont="1" applyFill="1" applyBorder="1" applyAlignment="1" applyProtection="1">
      <alignment vertical="center"/>
      <protection locked="0"/>
    </xf>
    <xf numFmtId="0" fontId="2" fillId="2" borderId="136" xfId="1" applyFont="1" applyFill="1" applyBorder="1" applyAlignment="1" applyProtection="1">
      <alignment vertical="center"/>
      <protection locked="0"/>
    </xf>
    <xf numFmtId="3" fontId="14" fillId="0" borderId="24" xfId="1" applyNumberFormat="1" applyFont="1" applyFill="1" applyBorder="1" applyAlignment="1" applyProtection="1">
      <alignment horizontal="right" vertical="center"/>
      <protection locked="0"/>
    </xf>
    <xf numFmtId="3" fontId="14" fillId="7" borderId="53" xfId="1" applyNumberFormat="1" applyFont="1" applyFill="1" applyBorder="1" applyAlignment="1" applyProtection="1">
      <alignment horizontal="right" vertical="center"/>
      <protection locked="0"/>
    </xf>
    <xf numFmtId="3" fontId="14" fillId="7" borderId="41" xfId="1" applyNumberFormat="1" applyFont="1" applyFill="1" applyBorder="1" applyAlignment="1" applyProtection="1">
      <alignment vertical="center"/>
      <protection locked="0"/>
    </xf>
    <xf numFmtId="0" fontId="2" fillId="3" borderId="39" xfId="1" applyFont="1" applyFill="1" applyBorder="1" applyAlignment="1" applyProtection="1">
      <alignment horizontal="right" vertical="center" wrapText="1"/>
    </xf>
    <xf numFmtId="0" fontId="2" fillId="3" borderId="39" xfId="1" applyFont="1" applyFill="1" applyBorder="1" applyAlignment="1" applyProtection="1">
      <alignment horizontal="left" vertical="center" wrapText="1"/>
    </xf>
    <xf numFmtId="3" fontId="2" fillId="3" borderId="39" xfId="1" applyNumberFormat="1" applyFont="1" applyFill="1" applyBorder="1" applyAlignment="1" applyProtection="1">
      <alignment vertical="center"/>
    </xf>
    <xf numFmtId="3" fontId="2" fillId="3" borderId="40" xfId="1" applyNumberFormat="1" applyFont="1" applyFill="1" applyBorder="1" applyAlignment="1" applyProtection="1">
      <alignment horizontal="right" vertical="center"/>
      <protection locked="0"/>
    </xf>
    <xf numFmtId="3" fontId="2" fillId="3" borderId="42" xfId="1" applyNumberFormat="1" applyFont="1" applyFill="1" applyBorder="1" applyAlignment="1" applyProtection="1">
      <alignment vertical="center"/>
    </xf>
    <xf numFmtId="3" fontId="2" fillId="3" borderId="42" xfId="1" applyNumberFormat="1" applyFont="1" applyFill="1" applyBorder="1" applyAlignment="1" applyProtection="1">
      <alignment horizontal="left" vertical="center" wrapText="1"/>
      <protection locked="0"/>
    </xf>
    <xf numFmtId="3" fontId="2" fillId="3" borderId="40" xfId="1" applyNumberFormat="1" applyFont="1" applyFill="1" applyBorder="1" applyAlignment="1" applyProtection="1">
      <alignment vertical="center"/>
      <protection locked="0"/>
    </xf>
    <xf numFmtId="3" fontId="2" fillId="3" borderId="18"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top" wrapText="1"/>
      <protection locked="0"/>
    </xf>
    <xf numFmtId="49" fontId="2" fillId="2" borderId="5" xfId="1" applyNumberFormat="1" applyFont="1" applyFill="1" applyBorder="1" applyAlignment="1" applyProtection="1">
      <alignment vertical="center"/>
      <protection locked="0"/>
    </xf>
    <xf numFmtId="0" fontId="54" fillId="0" borderId="0" xfId="0" applyFont="1" applyAlignment="1" applyProtection="1">
      <alignment vertical="center"/>
      <protection locked="0"/>
    </xf>
    <xf numFmtId="0" fontId="2" fillId="0" borderId="6" xfId="1" applyFont="1" applyFill="1" applyBorder="1" applyAlignment="1" applyProtection="1">
      <alignment horizontal="left" vertical="center" wrapText="1"/>
      <protection locked="0"/>
    </xf>
    <xf numFmtId="3" fontId="2" fillId="3" borderId="45" xfId="1" applyNumberFormat="1" applyFont="1" applyFill="1" applyBorder="1" applyAlignment="1" applyProtection="1">
      <alignment horizontal="right" vertical="center"/>
      <protection locked="0"/>
    </xf>
    <xf numFmtId="3" fontId="2" fillId="3" borderId="53" xfId="1" applyNumberFormat="1" applyFont="1" applyFill="1" applyBorder="1" applyAlignment="1" applyProtection="1">
      <alignment horizontal="right" vertical="center"/>
      <protection locked="0"/>
    </xf>
    <xf numFmtId="3" fontId="2" fillId="3" borderId="57" xfId="1" applyNumberFormat="1" applyFont="1" applyFill="1" applyBorder="1" applyAlignment="1" applyProtection="1">
      <alignment vertical="center"/>
      <protection locked="0"/>
    </xf>
    <xf numFmtId="0" fontId="0" fillId="7" borderId="0" xfId="0" applyFill="1"/>
    <xf numFmtId="3" fontId="8" fillId="0" borderId="40" xfId="1" applyNumberFormat="1" applyFont="1" applyFill="1" applyBorder="1" applyAlignment="1" applyProtection="1">
      <alignment horizontal="right" vertical="center"/>
      <protection locked="0"/>
    </xf>
    <xf numFmtId="3" fontId="8" fillId="0" borderId="41" xfId="1" applyNumberFormat="1" applyFont="1" applyFill="1" applyBorder="1" applyAlignment="1" applyProtection="1">
      <alignment horizontal="right" vertical="center"/>
      <protection locked="0"/>
    </xf>
    <xf numFmtId="0" fontId="9" fillId="0" borderId="63" xfId="0" applyFont="1" applyFill="1" applyBorder="1" applyAlignment="1" applyProtection="1">
      <alignment wrapText="1"/>
      <protection locked="0"/>
    </xf>
    <xf numFmtId="0" fontId="2" fillId="0" borderId="0" xfId="0" applyFont="1" applyFill="1" applyAlignment="1">
      <alignment wrapText="1"/>
    </xf>
    <xf numFmtId="0" fontId="11" fillId="0" borderId="0" xfId="1" applyFont="1" applyBorder="1" applyAlignment="1" applyProtection="1">
      <alignment horizontal="left"/>
      <protection locked="0"/>
    </xf>
    <xf numFmtId="49" fontId="3" fillId="0" borderId="87" xfId="1" applyNumberFormat="1" applyFont="1" applyFill="1" applyBorder="1" applyAlignment="1" applyProtection="1">
      <alignment horizontal="left"/>
      <protection locked="0"/>
    </xf>
    <xf numFmtId="3" fontId="3" fillId="0" borderId="41" xfId="1" applyNumberFormat="1" applyFont="1" applyFill="1" applyBorder="1" applyAlignment="1" applyProtection="1">
      <alignment horizontal="center" vertical="center" wrapText="1"/>
      <protection locked="0"/>
    </xf>
    <xf numFmtId="3" fontId="3" fillId="7" borderId="41" xfId="1" applyNumberFormat="1" applyFont="1" applyFill="1" applyBorder="1" applyAlignment="1" applyProtection="1">
      <alignment vertical="center" wrapText="1"/>
      <protection locked="0"/>
    </xf>
    <xf numFmtId="0" fontId="2" fillId="0" borderId="41" xfId="1" applyFont="1" applyFill="1" applyBorder="1" applyAlignment="1" applyProtection="1">
      <alignment horizontal="center" vertical="center" wrapText="1"/>
      <protection locked="0"/>
    </xf>
    <xf numFmtId="3" fontId="3" fillId="6" borderId="41" xfId="1" applyNumberFormat="1" applyFont="1" applyFill="1" applyBorder="1" applyAlignment="1">
      <alignment vertical="center"/>
    </xf>
    <xf numFmtId="0" fontId="2" fillId="0" borderId="41" xfId="1" applyFont="1" applyBorder="1" applyAlignment="1" applyProtection="1">
      <alignment horizontal="left" vertical="center" wrapText="1"/>
      <protection locked="0"/>
    </xf>
    <xf numFmtId="0" fontId="3" fillId="0" borderId="41" xfId="1" applyFont="1" applyBorder="1" applyAlignment="1" applyProtection="1">
      <alignment horizontal="center" vertical="center" wrapText="1"/>
      <protection locked="0"/>
    </xf>
    <xf numFmtId="0" fontId="2" fillId="0" borderId="81" xfId="1" applyFont="1" applyBorder="1" applyAlignment="1">
      <alignment vertical="center"/>
    </xf>
    <xf numFmtId="3" fontId="2" fillId="0" borderId="0" xfId="1" applyNumberFormat="1" applyFont="1" applyAlignment="1">
      <alignment vertical="center"/>
    </xf>
    <xf numFmtId="0" fontId="3" fillId="0" borderId="0" xfId="1" applyFont="1" applyAlignment="1">
      <alignment horizontal="left" indent="1"/>
    </xf>
    <xf numFmtId="3" fontId="2" fillId="0" borderId="0" xfId="1" applyNumberFormat="1" applyFont="1" applyFill="1" applyAlignment="1">
      <alignment vertical="center"/>
    </xf>
    <xf numFmtId="0" fontId="55" fillId="0" borderId="0" xfId="7" applyFont="1" applyAlignment="1">
      <alignment wrapText="1"/>
    </xf>
    <xf numFmtId="1" fontId="7" fillId="0" borderId="30" xfId="1" applyNumberFormat="1" applyFont="1" applyFill="1" applyBorder="1" applyAlignment="1" applyProtection="1">
      <alignment vertical="center"/>
    </xf>
    <xf numFmtId="1" fontId="7" fillId="0" borderId="32" xfId="1" applyNumberFormat="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16" xfId="1" applyNumberFormat="1" applyFont="1" applyFill="1" applyBorder="1" applyAlignment="1" applyProtection="1">
      <alignment horizontal="right" vertical="center"/>
    </xf>
    <xf numFmtId="3" fontId="2" fillId="7" borderId="41" xfId="1" applyNumberFormat="1" applyFont="1" applyFill="1" applyBorder="1" applyAlignment="1" applyProtection="1">
      <alignment horizontal="left" vertical="center" wrapText="1"/>
      <protection locked="0"/>
    </xf>
    <xf numFmtId="3" fontId="2" fillId="0" borderId="53" xfId="1" applyNumberFormat="1" applyFont="1" applyFill="1" applyBorder="1" applyAlignment="1" applyProtection="1">
      <alignment vertical="center"/>
      <protection locked="0"/>
    </xf>
    <xf numFmtId="3" fontId="3" fillId="0" borderId="18" xfId="1" applyNumberFormat="1" applyFont="1" applyBorder="1" applyAlignment="1" applyProtection="1">
      <alignment vertical="center"/>
      <protection locked="0"/>
    </xf>
    <xf numFmtId="3" fontId="2" fillId="0" borderId="18" xfId="1" applyNumberFormat="1" applyFont="1" applyBorder="1" applyAlignment="1" applyProtection="1">
      <alignment vertical="center"/>
      <protection locked="0"/>
    </xf>
    <xf numFmtId="3" fontId="2" fillId="7" borderId="42" xfId="1" applyNumberFormat="1" applyFont="1" applyFill="1" applyBorder="1" applyAlignment="1" applyProtection="1">
      <alignment vertical="center" wrapText="1"/>
      <protection locked="0"/>
    </xf>
    <xf numFmtId="3" fontId="2" fillId="7" borderId="46" xfId="1" applyNumberFormat="1" applyFont="1" applyFill="1" applyBorder="1" applyAlignment="1" applyProtection="1">
      <alignment horizontal="left" vertical="center" wrapText="1"/>
      <protection locked="0"/>
    </xf>
    <xf numFmtId="3" fontId="2" fillId="0" borderId="36"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vertical="center" wrapText="1"/>
      <protection locked="0"/>
    </xf>
    <xf numFmtId="3" fontId="2" fillId="0" borderId="35" xfId="1" applyNumberFormat="1" applyFont="1" applyFill="1" applyBorder="1" applyAlignment="1" applyProtection="1">
      <alignment horizontal="left" vertical="center" wrapText="1"/>
      <protection locked="0"/>
    </xf>
    <xf numFmtId="49" fontId="2" fillId="0" borderId="42" xfId="1" applyNumberFormat="1" applyFont="1" applyFill="1" applyBorder="1" applyAlignment="1" applyProtection="1">
      <alignment horizontal="left" vertical="center" wrapText="1"/>
      <protection locked="0"/>
    </xf>
    <xf numFmtId="3" fontId="2" fillId="0" borderId="16" xfId="1" applyNumberFormat="1" applyFont="1" applyFill="1" applyBorder="1" applyAlignment="1" applyProtection="1">
      <alignment horizontal="left" vertical="center" wrapText="1"/>
      <protection locked="0"/>
    </xf>
    <xf numFmtId="3" fontId="2" fillId="0" borderId="39" xfId="1" applyNumberFormat="1" applyFont="1" applyFill="1" applyBorder="1" applyAlignment="1" applyProtection="1">
      <alignment horizontal="left" vertical="center" wrapText="1"/>
      <protection locked="0"/>
    </xf>
    <xf numFmtId="3" fontId="2" fillId="7" borderId="6" xfId="1" applyNumberFormat="1" applyFont="1" applyFill="1" applyBorder="1" applyAlignment="1" applyProtection="1">
      <alignment horizontal="center" vertical="center" wrapText="1"/>
      <protection locked="0"/>
    </xf>
    <xf numFmtId="3" fontId="2" fillId="0" borderId="26" xfId="1" applyNumberFormat="1" applyFont="1" applyFill="1" applyBorder="1" applyAlignment="1" applyProtection="1">
      <alignment horizontal="center" vertical="center" wrapText="1"/>
      <protection locked="0"/>
    </xf>
    <xf numFmtId="3" fontId="2" fillId="7" borderId="6" xfId="1" applyNumberFormat="1" applyFont="1" applyFill="1" applyBorder="1" applyAlignment="1" applyProtection="1">
      <alignment horizontal="center" wrapText="1"/>
      <protection locked="0"/>
    </xf>
    <xf numFmtId="0" fontId="0" fillId="0" borderId="0" xfId="0" applyFill="1"/>
    <xf numFmtId="3" fontId="2" fillId="0" borderId="39" xfId="1" applyNumberFormat="1" applyFont="1" applyFill="1" applyBorder="1" applyAlignment="1" applyProtection="1">
      <alignment vertical="center" wrapText="1"/>
      <protection locked="0"/>
    </xf>
    <xf numFmtId="3" fontId="2" fillId="0" borderId="25" xfId="1" applyNumberFormat="1" applyFont="1" applyFill="1" applyBorder="1" applyAlignment="1" applyProtection="1">
      <alignment vertical="center"/>
      <protection locked="0"/>
    </xf>
    <xf numFmtId="3" fontId="2" fillId="9" borderId="41"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center" vertical="center"/>
    </xf>
    <xf numFmtId="3" fontId="2" fillId="0" borderId="42" xfId="1" quotePrefix="1" applyNumberFormat="1" applyFont="1" applyFill="1" applyBorder="1" applyAlignment="1" applyProtection="1">
      <alignment horizontal="left" vertical="center" wrapText="1"/>
      <protection locked="0"/>
    </xf>
    <xf numFmtId="3" fontId="2" fillId="7" borderId="25" xfId="1" applyNumberFormat="1" applyFont="1" applyFill="1" applyBorder="1" applyAlignment="1" applyProtection="1">
      <alignment horizontal="left" vertical="center" wrapText="1"/>
      <protection locked="0"/>
    </xf>
    <xf numFmtId="3" fontId="2" fillId="7" borderId="41" xfId="1" applyNumberFormat="1" applyFont="1" applyFill="1" applyBorder="1" applyAlignment="1" applyProtection="1">
      <alignment vertical="center" wrapText="1"/>
      <protection locked="0"/>
    </xf>
    <xf numFmtId="3" fontId="3" fillId="0" borderId="0"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3" fillId="7" borderId="35" xfId="1" applyNumberFormat="1" applyFont="1" applyFill="1" applyBorder="1" applyAlignment="1" applyProtection="1">
      <alignment horizontal="right" vertical="center"/>
    </xf>
    <xf numFmtId="3" fontId="2" fillId="7" borderId="27" xfId="1" applyNumberFormat="1" applyFont="1" applyFill="1" applyBorder="1" applyAlignment="1" applyProtection="1">
      <alignment horizontal="right" vertical="center"/>
    </xf>
    <xf numFmtId="3" fontId="2" fillId="7" borderId="22" xfId="1" applyNumberFormat="1" applyFont="1" applyFill="1" applyBorder="1" applyAlignment="1" applyProtection="1">
      <alignment vertical="center"/>
    </xf>
    <xf numFmtId="3" fontId="2" fillId="7" borderId="43" xfId="1" applyNumberFormat="1" applyFont="1" applyFill="1" applyBorder="1" applyAlignment="1" applyProtection="1">
      <alignment vertical="center"/>
    </xf>
    <xf numFmtId="3" fontId="3" fillId="7" borderId="35" xfId="1" applyNumberFormat="1" applyFont="1" applyFill="1" applyBorder="1" applyAlignment="1" applyProtection="1">
      <alignment vertical="center"/>
    </xf>
    <xf numFmtId="3" fontId="3" fillId="7" borderId="59" xfId="1" applyNumberFormat="1" applyFont="1" applyFill="1" applyBorder="1" applyAlignment="1" applyProtection="1">
      <alignment vertical="center"/>
    </xf>
    <xf numFmtId="3" fontId="3" fillId="7" borderId="15" xfId="1" applyNumberFormat="1" applyFont="1" applyFill="1" applyBorder="1" applyAlignment="1" applyProtection="1">
      <alignment vertical="center"/>
    </xf>
    <xf numFmtId="3" fontId="3" fillId="16" borderId="63" xfId="1" applyNumberFormat="1" applyFont="1" applyFill="1" applyBorder="1" applyAlignment="1" applyProtection="1">
      <alignment vertical="center"/>
    </xf>
    <xf numFmtId="3" fontId="3" fillId="16" borderId="64" xfId="1" applyNumberFormat="1" applyFont="1" applyFill="1" applyBorder="1" applyAlignment="1" applyProtection="1">
      <alignment vertical="center"/>
    </xf>
    <xf numFmtId="3" fontId="3" fillId="16" borderId="65" xfId="1" applyNumberFormat="1" applyFont="1" applyFill="1" applyBorder="1" applyAlignment="1" applyProtection="1">
      <alignment vertical="center"/>
    </xf>
    <xf numFmtId="3" fontId="3" fillId="16" borderId="66" xfId="1" applyNumberFormat="1" applyFont="1" applyFill="1" applyBorder="1" applyAlignment="1" applyProtection="1">
      <alignment vertical="center"/>
    </xf>
    <xf numFmtId="3" fontId="2" fillId="7" borderId="55" xfId="1" applyNumberFormat="1" applyFont="1" applyFill="1" applyBorder="1" applyAlignment="1" applyProtection="1">
      <alignment vertical="center"/>
    </xf>
    <xf numFmtId="3" fontId="2" fillId="7" borderId="16" xfId="1" applyNumberFormat="1" applyFont="1" applyFill="1" applyBorder="1" applyAlignment="1" applyProtection="1">
      <alignment vertical="center"/>
    </xf>
    <xf numFmtId="3" fontId="2" fillId="7" borderId="63" xfId="1" applyNumberFormat="1" applyFont="1" applyFill="1" applyBorder="1" applyAlignment="1" applyProtection="1">
      <alignment vertical="center"/>
    </xf>
    <xf numFmtId="3" fontId="3" fillId="16" borderId="43" xfId="1" applyNumberFormat="1" applyFont="1" applyFill="1" applyBorder="1" applyAlignment="1" applyProtection="1">
      <alignment vertical="center"/>
    </xf>
    <xf numFmtId="3" fontId="3" fillId="16" borderId="44" xfId="1" applyNumberFormat="1" applyFont="1" applyFill="1" applyBorder="1" applyAlignment="1" applyProtection="1">
      <alignment vertical="center"/>
    </xf>
    <xf numFmtId="3" fontId="3" fillId="16" borderId="45" xfId="1" applyNumberFormat="1" applyFont="1" applyFill="1" applyBorder="1" applyAlignment="1" applyProtection="1">
      <alignment vertical="center"/>
    </xf>
    <xf numFmtId="3" fontId="3" fillId="16" borderId="46" xfId="1" applyNumberFormat="1" applyFont="1" applyFill="1" applyBorder="1" applyAlignment="1" applyProtection="1">
      <alignment vertical="center"/>
    </xf>
    <xf numFmtId="3" fontId="2" fillId="7" borderId="47" xfId="1" applyNumberFormat="1" applyFont="1" applyFill="1" applyBorder="1" applyAlignment="1" applyProtection="1">
      <alignment vertical="center"/>
    </xf>
    <xf numFmtId="3" fontId="3" fillId="16" borderId="55" xfId="1" applyNumberFormat="1" applyFont="1" applyFill="1" applyBorder="1" applyAlignment="1" applyProtection="1">
      <alignment vertical="center"/>
    </xf>
    <xf numFmtId="3" fontId="3" fillId="16" borderId="56" xfId="1" applyNumberFormat="1" applyFont="1" applyFill="1" applyBorder="1" applyAlignment="1" applyProtection="1">
      <alignment vertical="center"/>
    </xf>
    <xf numFmtId="3" fontId="3" fillId="16" borderId="57" xfId="1" applyNumberFormat="1" applyFont="1" applyFill="1" applyBorder="1" applyAlignment="1" applyProtection="1">
      <alignment vertical="center"/>
    </xf>
    <xf numFmtId="3" fontId="3" fillId="16" borderId="58" xfId="1" applyNumberFormat="1" applyFont="1" applyFill="1" applyBorder="1" applyAlignment="1" applyProtection="1">
      <alignment vertical="center"/>
    </xf>
    <xf numFmtId="3" fontId="2" fillId="7" borderId="35" xfId="1" applyNumberFormat="1" applyFont="1" applyFill="1" applyBorder="1" applyAlignment="1" applyProtection="1">
      <alignment vertical="center"/>
    </xf>
    <xf numFmtId="3" fontId="3" fillId="7" borderId="73" xfId="1" applyNumberFormat="1" applyFont="1" applyFill="1" applyBorder="1" applyAlignment="1" applyProtection="1">
      <alignment vertical="center"/>
    </xf>
    <xf numFmtId="3" fontId="3" fillId="7" borderId="43"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3" fontId="2" fillId="8" borderId="45" xfId="1" applyNumberFormat="1" applyFont="1" applyFill="1" applyBorder="1" applyAlignment="1" applyProtection="1">
      <alignment horizontal="right" vertical="center"/>
      <protection locked="0"/>
    </xf>
    <xf numFmtId="3" fontId="2" fillId="8" borderId="57" xfId="1" applyNumberFormat="1" applyFont="1" applyFill="1" applyBorder="1" applyAlignment="1" applyProtection="1">
      <alignment horizontal="right" vertical="center"/>
      <protection locked="0"/>
    </xf>
    <xf numFmtId="3" fontId="2" fillId="8" borderId="18" xfId="1" applyNumberFormat="1" applyFont="1" applyFill="1" applyBorder="1" applyAlignment="1" applyProtection="1">
      <alignment horizontal="right" vertical="center"/>
      <protection locked="0"/>
    </xf>
    <xf numFmtId="0" fontId="2" fillId="0" borderId="39" xfId="0" applyFont="1" applyBorder="1" applyAlignment="1" applyProtection="1">
      <alignment vertical="center" wrapText="1"/>
      <protection locked="0"/>
    </xf>
    <xf numFmtId="3" fontId="2" fillId="0" borderId="55" xfId="1" applyNumberFormat="1" applyFont="1" applyFill="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39" xfId="0" applyFont="1" applyBorder="1" applyAlignment="1" applyProtection="1">
      <alignment wrapText="1"/>
      <protection locked="0"/>
    </xf>
    <xf numFmtId="0" fontId="2" fillId="0" borderId="51" xfId="0" applyFont="1" applyBorder="1" applyAlignment="1" applyProtection="1">
      <alignment vertical="center" wrapText="1"/>
      <protection locked="0"/>
    </xf>
    <xf numFmtId="0" fontId="2" fillId="7" borderId="39" xfId="1" applyFont="1" applyFill="1" applyBorder="1" applyAlignment="1" applyProtection="1">
      <alignment vertical="center"/>
    </xf>
    <xf numFmtId="0" fontId="2" fillId="7" borderId="43" xfId="1" applyFont="1" applyFill="1" applyBorder="1" applyAlignment="1" applyProtection="1">
      <alignment horizontal="right" vertical="center" wrapText="1"/>
    </xf>
    <xf numFmtId="3" fontId="2" fillId="0" borderId="6" xfId="1" applyNumberFormat="1" applyFont="1" applyFill="1" applyBorder="1" applyAlignment="1" applyProtection="1">
      <alignment vertical="top" wrapText="1"/>
      <protection locked="0"/>
    </xf>
    <xf numFmtId="0" fontId="2" fillId="7" borderId="15" xfId="1" applyFont="1" applyFill="1" applyBorder="1" applyAlignment="1" applyProtection="1">
      <alignment horizontal="center" vertical="center" wrapText="1"/>
    </xf>
    <xf numFmtId="0" fontId="9" fillId="0" borderId="39" xfId="0" applyFont="1" applyFill="1" applyBorder="1" applyAlignment="1">
      <alignment wrapText="1"/>
    </xf>
    <xf numFmtId="3" fontId="2" fillId="7" borderId="39" xfId="1" applyNumberFormat="1" applyFont="1" applyFill="1" applyBorder="1" applyAlignment="1" applyProtection="1">
      <alignment vertical="center" wrapText="1"/>
      <protection locked="0"/>
    </xf>
    <xf numFmtId="0" fontId="53" fillId="0" borderId="0" xfId="1" applyFont="1" applyFill="1" applyBorder="1" applyAlignment="1" applyProtection="1">
      <alignment vertical="center"/>
    </xf>
    <xf numFmtId="0" fontId="2" fillId="0" borderId="15" xfId="1" applyFont="1" applyFill="1" applyBorder="1" applyAlignment="1" applyProtection="1">
      <alignment horizontal="center" vertical="center" wrapText="1"/>
    </xf>
    <xf numFmtId="0" fontId="2" fillId="0" borderId="41" xfId="2" applyFont="1" applyBorder="1" applyAlignment="1" applyProtection="1">
      <alignment horizontal="left" vertical="center" wrapText="1"/>
      <protection locked="0"/>
    </xf>
    <xf numFmtId="3" fontId="2" fillId="0" borderId="68" xfId="2" applyNumberFormat="1" applyFont="1" applyBorder="1" applyProtection="1">
      <protection locked="0"/>
    </xf>
    <xf numFmtId="3" fontId="2" fillId="0" borderId="41" xfId="4" applyNumberFormat="1" applyFont="1" applyBorder="1" applyAlignment="1" applyProtection="1">
      <alignment horizontal="center" vertical="center" wrapText="1"/>
      <protection locked="0"/>
    </xf>
    <xf numFmtId="0" fontId="2" fillId="0" borderId="57" xfId="3" applyFont="1" applyBorder="1" applyAlignment="1" applyProtection="1">
      <alignment wrapText="1"/>
      <protection locked="0"/>
    </xf>
    <xf numFmtId="3" fontId="2" fillId="0" borderId="57" xfId="3" applyNumberFormat="1" applyFont="1" applyBorder="1"/>
    <xf numFmtId="0" fontId="2" fillId="0" borderId="57" xfId="3" applyFont="1" applyBorder="1" applyAlignment="1" applyProtection="1">
      <alignment horizontal="center" wrapText="1"/>
      <protection locked="0"/>
    </xf>
    <xf numFmtId="0" fontId="5" fillId="0" borderId="57" xfId="3" applyFont="1" applyBorder="1"/>
    <xf numFmtId="3" fontId="3" fillId="0" borderId="57" xfId="3" applyNumberFormat="1" applyFont="1" applyFill="1" applyBorder="1" applyAlignment="1" applyProtection="1">
      <alignment horizontal="center" wrapText="1"/>
      <protection locked="0"/>
    </xf>
    <xf numFmtId="3" fontId="2" fillId="0" borderId="57" xfId="3" applyNumberFormat="1" applyFont="1" applyFill="1" applyBorder="1" applyAlignment="1" applyProtection="1">
      <alignment wrapText="1"/>
      <protection locked="0"/>
    </xf>
    <xf numFmtId="3" fontId="2" fillId="7" borderId="57" xfId="3" applyNumberFormat="1" applyFont="1" applyFill="1" applyBorder="1" applyAlignment="1" applyProtection="1">
      <alignment wrapText="1"/>
      <protection locked="0"/>
    </xf>
    <xf numFmtId="3" fontId="2" fillId="0" borderId="57" xfId="3" applyNumberFormat="1" applyFont="1" applyFill="1" applyBorder="1"/>
    <xf numFmtId="0" fontId="2" fillId="0" borderId="57" xfId="3" applyFont="1" applyFill="1" applyBorder="1" applyAlignment="1" applyProtection="1">
      <alignment horizontal="center" wrapText="1"/>
      <protection locked="0"/>
    </xf>
    <xf numFmtId="0" fontId="2" fillId="0" borderId="0" xfId="3" applyFont="1" applyBorder="1" applyAlignment="1" applyProtection="1">
      <alignment vertical="center" wrapText="1"/>
      <protection locked="0"/>
    </xf>
    <xf numFmtId="0" fontId="2" fillId="0" borderId="0" xfId="2" applyFont="1" applyBorder="1" applyAlignment="1" applyProtection="1">
      <alignment vertical="center" wrapText="1"/>
      <protection locked="0"/>
    </xf>
    <xf numFmtId="3" fontId="3" fillId="0" borderId="0" xfId="2" applyNumberFormat="1" applyFont="1" applyBorder="1" applyAlignment="1" applyProtection="1">
      <alignment horizontal="center" vertical="center" wrapText="1"/>
      <protection locked="0"/>
    </xf>
    <xf numFmtId="3" fontId="2" fillId="0" borderId="0" xfId="3" applyNumberFormat="1" applyFont="1" applyBorder="1" applyAlignment="1" applyProtection="1">
      <alignment wrapText="1"/>
      <protection locked="0"/>
    </xf>
    <xf numFmtId="0" fontId="2" fillId="0" borderId="0" xfId="3" applyFont="1" applyBorder="1" applyAlignment="1" applyProtection="1">
      <alignment wrapText="1"/>
      <protection locked="0"/>
    </xf>
    <xf numFmtId="0" fontId="2" fillId="0" borderId="41" xfId="3" applyFont="1" applyBorder="1" applyAlignment="1" applyProtection="1">
      <alignment horizontal="center" vertical="center" wrapText="1"/>
      <protection locked="0"/>
    </xf>
    <xf numFmtId="0" fontId="2" fillId="0" borderId="41" xfId="3" applyFont="1" applyFill="1" applyBorder="1" applyAlignment="1" applyProtection="1">
      <alignment horizontal="center" vertical="center" wrapText="1"/>
      <protection locked="0"/>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2"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textRotation="90"/>
    </xf>
    <xf numFmtId="0" fontId="2" fillId="0" borderId="22" xfId="1" applyFont="1" applyFill="1" applyBorder="1" applyAlignment="1" applyProtection="1">
      <alignment horizontal="center" vertical="center" textRotation="90"/>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xf>
    <xf numFmtId="0" fontId="2" fillId="0" borderId="25" xfId="1" applyFont="1" applyFill="1" applyBorder="1" applyAlignment="1" applyProtection="1">
      <alignment horizontal="center" vertical="center" textRotation="90"/>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0" fontId="2" fillId="0" borderId="21" xfId="1" applyNumberFormat="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0" fontId="3" fillId="0" borderId="71" xfId="1" applyFont="1" applyFill="1" applyBorder="1" applyAlignment="1" applyProtection="1">
      <alignment horizontal="left" vertical="center"/>
    </xf>
    <xf numFmtId="0" fontId="3" fillId="0" borderId="72" xfId="1" applyFont="1" applyFill="1" applyBorder="1" applyAlignment="1" applyProtection="1">
      <alignment horizontal="left" vertical="center"/>
    </xf>
    <xf numFmtId="0" fontId="3" fillId="0" borderId="44" xfId="1" applyFont="1" applyFill="1" applyBorder="1" applyAlignment="1" applyProtection="1">
      <alignment horizontal="left" vertical="center"/>
    </xf>
    <xf numFmtId="0" fontId="3" fillId="0" borderId="46" xfId="1" applyFont="1" applyFill="1" applyBorder="1" applyAlignment="1" applyProtection="1">
      <alignment horizontal="left" vertical="center"/>
    </xf>
    <xf numFmtId="0" fontId="3" fillId="0" borderId="5" xfId="1" applyFont="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2" fillId="7" borderId="21" xfId="1" applyNumberFormat="1" applyFont="1" applyFill="1" applyBorder="1" applyAlignment="1" applyProtection="1">
      <alignment horizontal="center" vertical="center" textRotation="90" wrapText="1"/>
    </xf>
    <xf numFmtId="0" fontId="2" fillId="7" borderId="17" xfId="1" applyNumberFormat="1" applyFont="1" applyFill="1" applyBorder="1" applyAlignment="1" applyProtection="1">
      <alignment horizontal="center" vertical="center" textRotation="90" wrapText="1"/>
    </xf>
    <xf numFmtId="0" fontId="2" fillId="7" borderId="20" xfId="1" applyNumberFormat="1" applyFont="1" applyFill="1" applyBorder="1" applyAlignment="1" applyProtection="1">
      <alignment horizontal="center" vertical="center" textRotation="90" wrapText="1"/>
    </xf>
    <xf numFmtId="0" fontId="2" fillId="7" borderId="17" xfId="1" applyFont="1" applyFill="1" applyBorder="1" applyAlignment="1" applyProtection="1">
      <alignment horizontal="center" vertical="center" textRotation="90" wrapText="1"/>
    </xf>
    <xf numFmtId="0" fontId="2" fillId="7" borderId="23" xfId="1" applyFont="1" applyFill="1" applyBorder="1" applyAlignment="1" applyProtection="1">
      <alignment horizontal="center" vertical="center" textRotation="90" wrapText="1"/>
    </xf>
    <xf numFmtId="0" fontId="2" fillId="7" borderId="18" xfId="1" applyFont="1" applyFill="1" applyBorder="1" applyAlignment="1" applyProtection="1">
      <alignment horizontal="center" vertical="center" textRotation="90" wrapText="1"/>
    </xf>
    <xf numFmtId="0" fontId="2" fillId="7" borderId="24" xfId="1" applyFont="1" applyFill="1" applyBorder="1" applyAlignment="1" applyProtection="1">
      <alignment horizontal="center" vertical="center" textRotation="90" wrapText="1"/>
    </xf>
    <xf numFmtId="0" fontId="2" fillId="7" borderId="19" xfId="1" applyFont="1" applyFill="1" applyBorder="1" applyAlignment="1" applyProtection="1">
      <alignment horizontal="center" vertical="center" textRotation="90"/>
    </xf>
    <xf numFmtId="0" fontId="2" fillId="7" borderId="25" xfId="1" applyFont="1" applyFill="1" applyBorder="1" applyAlignment="1" applyProtection="1">
      <alignment horizontal="center" vertical="center" textRotation="90"/>
    </xf>
    <xf numFmtId="49" fontId="3" fillId="7" borderId="5" xfId="1" applyNumberFormat="1" applyFont="1" applyFill="1" applyBorder="1" applyAlignment="1" applyProtection="1">
      <alignment horizontal="center" vertical="center" wrapText="1"/>
      <protection locked="0"/>
    </xf>
    <xf numFmtId="49" fontId="3" fillId="7" borderId="6" xfId="1" applyNumberFormat="1" applyFont="1" applyFill="1" applyBorder="1" applyAlignment="1" applyProtection="1">
      <alignment horizontal="center" vertical="center" wrapText="1"/>
      <protection locked="0"/>
    </xf>
    <xf numFmtId="49" fontId="2" fillId="7" borderId="5" xfId="1" applyNumberFormat="1" applyFont="1" applyFill="1" applyBorder="1" applyAlignment="1" applyProtection="1">
      <alignment horizontal="center" vertical="center"/>
      <protection locked="0"/>
    </xf>
    <xf numFmtId="49" fontId="2" fillId="7" borderId="6" xfId="1" applyNumberFormat="1" applyFont="1" applyFill="1" applyBorder="1" applyAlignment="1" applyProtection="1">
      <alignment horizontal="center" vertical="center"/>
      <protection locked="0"/>
    </xf>
    <xf numFmtId="0" fontId="2" fillId="7" borderId="5" xfId="1" applyFont="1" applyFill="1" applyBorder="1" applyAlignment="1" applyProtection="1">
      <alignment horizontal="center" vertical="center"/>
      <protection locked="0"/>
    </xf>
    <xf numFmtId="0" fontId="2" fillId="7" borderId="6" xfId="1" applyFont="1" applyFill="1" applyBorder="1" applyAlignment="1" applyProtection="1">
      <alignment horizontal="center" vertical="center"/>
      <protection locked="0"/>
    </xf>
    <xf numFmtId="49" fontId="8" fillId="7" borderId="5" xfId="1" applyNumberFormat="1" applyFont="1" applyFill="1" applyBorder="1" applyAlignment="1" applyProtection="1">
      <alignment horizontal="center" vertical="center"/>
      <protection locked="0"/>
    </xf>
    <xf numFmtId="49" fontId="8" fillId="7" borderId="6" xfId="1" applyNumberFormat="1" applyFont="1" applyFill="1" applyBorder="1" applyAlignment="1" applyProtection="1">
      <alignment horizontal="center" vertical="center"/>
      <protection locked="0"/>
    </xf>
    <xf numFmtId="0" fontId="2" fillId="0" borderId="0" xfId="1" applyFont="1" applyFill="1" applyAlignment="1">
      <alignment horizontal="left"/>
    </xf>
    <xf numFmtId="0" fontId="2" fillId="0" borderId="0" xfId="1" applyFont="1" applyFill="1" applyAlignment="1">
      <alignment horizontal="right"/>
    </xf>
    <xf numFmtId="0" fontId="10" fillId="0" borderId="0" xfId="7" applyFont="1" applyAlignment="1">
      <alignment horizontal="center" vertical="center"/>
    </xf>
    <xf numFmtId="0" fontId="2" fillId="0" borderId="41" xfId="1" applyFont="1" applyFill="1" applyBorder="1" applyAlignment="1">
      <alignment horizontal="center" vertical="center"/>
    </xf>
    <xf numFmtId="0" fontId="2" fillId="0" borderId="41" xfId="1" applyFont="1" applyFill="1" applyBorder="1" applyAlignment="1">
      <alignment horizontal="left" vertical="center" wrapText="1"/>
    </xf>
    <xf numFmtId="1" fontId="2" fillId="0" borderId="41" xfId="1" applyNumberFormat="1" applyFont="1" applyFill="1" applyBorder="1" applyAlignment="1">
      <alignment horizontal="center" vertical="center" wrapText="1"/>
    </xf>
    <xf numFmtId="0" fontId="2" fillId="0" borderId="75" xfId="1" applyFont="1" applyFill="1" applyBorder="1" applyAlignment="1">
      <alignment horizontal="center" vertical="center" wrapText="1"/>
    </xf>
    <xf numFmtId="0" fontId="2" fillId="0" borderId="76" xfId="1" applyFont="1" applyFill="1" applyBorder="1" applyAlignment="1">
      <alignment horizontal="center" vertical="center" wrapText="1"/>
    </xf>
    <xf numFmtId="0" fontId="3" fillId="0" borderId="41" xfId="1" applyFont="1" applyFill="1" applyBorder="1" applyAlignment="1">
      <alignment horizontal="right" vertical="center" wrapText="1"/>
    </xf>
    <xf numFmtId="3" fontId="2" fillId="0" borderId="41" xfId="1" applyNumberFormat="1" applyFont="1" applyFill="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0" fontId="2" fillId="0" borderId="0" xfId="1" applyFont="1" applyBorder="1" applyAlignment="1">
      <alignment horizontal="left" vertical="center" wrapText="1"/>
    </xf>
    <xf numFmtId="0" fontId="2" fillId="0" borderId="0" xfId="2" applyFont="1" applyAlignment="1">
      <alignment horizontal="left"/>
    </xf>
    <xf numFmtId="0" fontId="10" fillId="0" borderId="0" xfId="2" applyFont="1" applyAlignment="1">
      <alignment horizontal="center"/>
    </xf>
    <xf numFmtId="0" fontId="2" fillId="0" borderId="0" xfId="1" applyFont="1" applyAlignment="1">
      <alignment horizontal="left" vertical="center"/>
    </xf>
    <xf numFmtId="0" fontId="3" fillId="0" borderId="41" xfId="2" applyFont="1" applyBorder="1" applyAlignment="1">
      <alignment horizontal="right" vertical="center" wrapText="1"/>
    </xf>
    <xf numFmtId="3" fontId="2" fillId="0" borderId="68"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57" xfId="1" applyNumberFormat="1" applyFont="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57" xfId="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57" xfId="1" applyFont="1" applyBorder="1" applyAlignment="1" applyProtection="1">
      <alignment horizontal="left" vertical="center" wrapText="1"/>
      <protection locked="0"/>
    </xf>
    <xf numFmtId="0" fontId="10" fillId="0" borderId="0" xfId="1" applyFont="1" applyAlignment="1">
      <alignment horizontal="center" vertical="center"/>
    </xf>
    <xf numFmtId="0" fontId="2" fillId="0" borderId="68" xfId="1" applyFont="1" applyBorder="1" applyAlignment="1" applyProtection="1">
      <alignment horizontal="center" vertical="center"/>
      <protection locked="0"/>
    </xf>
    <xf numFmtId="0" fontId="2" fillId="0" borderId="57" xfId="1" applyFont="1" applyBorder="1" applyAlignment="1" applyProtection="1">
      <alignment horizontal="center" vertical="center"/>
      <protection locked="0"/>
    </xf>
    <xf numFmtId="0" fontId="2" fillId="0" borderId="77" xfId="1" applyFont="1" applyBorder="1" applyAlignment="1" applyProtection="1">
      <alignment horizontal="left" vertical="center" wrapText="1"/>
      <protection locked="0"/>
    </xf>
    <xf numFmtId="0" fontId="2" fillId="0" borderId="78"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0" borderId="80" xfId="1" applyFont="1" applyBorder="1" applyAlignment="1" applyProtection="1">
      <alignment horizontal="left" vertical="center" wrapText="1"/>
      <protection locked="0"/>
    </xf>
    <xf numFmtId="0" fontId="2" fillId="0" borderId="68"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41" xfId="1" applyFont="1" applyFill="1" applyBorder="1" applyAlignment="1">
      <alignment horizontal="center" vertical="center" wrapText="1"/>
    </xf>
    <xf numFmtId="0" fontId="3" fillId="0" borderId="75" xfId="1" applyFont="1" applyBorder="1" applyAlignment="1">
      <alignment horizontal="right" vertical="center" wrapText="1"/>
    </xf>
    <xf numFmtId="0" fontId="3" fillId="0" borderId="5" xfId="1" applyFont="1" applyBorder="1" applyAlignment="1">
      <alignment horizontal="right" vertical="center" wrapText="1"/>
    </xf>
    <xf numFmtId="0" fontId="3" fillId="0" borderId="76" xfId="1" applyFont="1" applyBorder="1" applyAlignment="1">
      <alignment horizontal="right" vertical="center" wrapText="1"/>
    </xf>
    <xf numFmtId="0" fontId="2" fillId="0" borderId="75" xfId="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0" fontId="2" fillId="0" borderId="41" xfId="2" applyFont="1" applyBorder="1" applyAlignment="1" applyProtection="1">
      <alignment horizontal="center" vertical="center" wrapText="1"/>
      <protection locked="0"/>
    </xf>
    <xf numFmtId="0" fontId="2" fillId="0" borderId="41" xfId="2" applyFont="1" applyFill="1" applyBorder="1" applyAlignment="1" applyProtection="1">
      <alignment horizontal="left" vertical="center" wrapText="1"/>
      <protection locked="0"/>
    </xf>
    <xf numFmtId="3" fontId="2" fillId="0" borderId="41" xfId="2" applyNumberFormat="1" applyFont="1" applyFill="1" applyBorder="1" applyAlignment="1" applyProtection="1">
      <alignment horizontal="center" vertical="center" wrapText="1"/>
      <protection locked="0"/>
    </xf>
    <xf numFmtId="0" fontId="2" fillId="0" borderId="41" xfId="2" applyFont="1" applyBorder="1" applyAlignment="1" applyProtection="1">
      <alignment horizontal="left" vertical="center" wrapText="1"/>
      <protection locked="0"/>
    </xf>
    <xf numFmtId="0" fontId="2" fillId="0" borderId="0" xfId="2" applyFont="1" applyAlignment="1">
      <alignment horizontal="left" vertical="center"/>
    </xf>
    <xf numFmtId="0" fontId="10" fillId="0" borderId="0" xfId="2" applyFont="1" applyAlignment="1">
      <alignment horizontal="center" vertical="center"/>
    </xf>
    <xf numFmtId="0" fontId="2" fillId="0" borderId="41" xfId="2" applyFont="1" applyBorder="1" applyAlignment="1">
      <alignment horizontal="left" vertical="center" wrapText="1"/>
    </xf>
    <xf numFmtId="0" fontId="2" fillId="0" borderId="41" xfId="0" applyFont="1" applyFill="1" applyBorder="1" applyAlignment="1" applyProtection="1">
      <alignment horizontal="left" vertical="center" wrapText="1"/>
      <protection locked="0"/>
    </xf>
    <xf numFmtId="0" fontId="2" fillId="0" borderId="0" xfId="2" applyFont="1" applyFill="1" applyAlignment="1">
      <alignment horizontal="center" wrapText="1"/>
    </xf>
    <xf numFmtId="0" fontId="9" fillId="0" borderId="0" xfId="1" applyFont="1" applyFill="1" applyAlignment="1">
      <alignment horizontal="left"/>
    </xf>
    <xf numFmtId="0" fontId="2" fillId="0" borderId="0" xfId="2" applyFont="1" applyFill="1" applyAlignment="1"/>
    <xf numFmtId="0" fontId="2" fillId="0" borderId="0" xfId="2" applyFont="1" applyBorder="1" applyAlignment="1" applyProtection="1">
      <alignment horizontal="center" vertical="center" wrapText="1"/>
      <protection locked="0"/>
    </xf>
    <xf numFmtId="0" fontId="2" fillId="0" borderId="41" xfId="1" applyFont="1" applyBorder="1" applyAlignment="1" applyProtection="1">
      <alignment vertical="center" wrapText="1"/>
      <protection locked="0"/>
    </xf>
    <xf numFmtId="3" fontId="2" fillId="0" borderId="41" xfId="2" applyNumberFormat="1" applyFont="1" applyBorder="1" applyAlignment="1" applyProtection="1">
      <alignment horizontal="center" vertical="center" wrapText="1"/>
      <protection locked="0"/>
    </xf>
    <xf numFmtId="0" fontId="2" fillId="0" borderId="41" xfId="2" applyFont="1" applyBorder="1" applyAlignment="1" applyProtection="1">
      <alignment vertical="center" wrapText="1"/>
      <protection locked="0"/>
    </xf>
    <xf numFmtId="0" fontId="2" fillId="0" borderId="0" xfId="3" applyFont="1" applyAlignment="1">
      <alignment horizontal="left"/>
    </xf>
    <xf numFmtId="0" fontId="3" fillId="0" borderId="75" xfId="3" applyFont="1" applyBorder="1" applyAlignment="1">
      <alignment horizontal="right" wrapText="1"/>
    </xf>
    <xf numFmtId="0" fontId="3" fillId="0" borderId="5" xfId="3" applyFont="1" applyBorder="1" applyAlignment="1">
      <alignment horizontal="right" wrapText="1"/>
    </xf>
    <xf numFmtId="3" fontId="2" fillId="0" borderId="68" xfId="2" applyNumberFormat="1" applyFont="1" applyBorder="1" applyAlignment="1">
      <alignment horizontal="center" vertical="center" wrapText="1"/>
    </xf>
    <xf numFmtId="3" fontId="2" fillId="0" borderId="57" xfId="2" applyNumberFormat="1" applyFont="1" applyBorder="1" applyAlignment="1">
      <alignment horizontal="center" vertical="center" wrapText="1"/>
    </xf>
    <xf numFmtId="3" fontId="2" fillId="0" borderId="68" xfId="3" applyNumberFormat="1" applyFont="1" applyBorder="1" applyAlignment="1" applyProtection="1">
      <alignment horizontal="center" vertical="center" wrapText="1"/>
      <protection locked="0"/>
    </xf>
    <xf numFmtId="3" fontId="2" fillId="0" borderId="18" xfId="3" applyNumberFormat="1" applyFont="1" applyBorder="1" applyAlignment="1" applyProtection="1">
      <alignment horizontal="center" vertical="center" wrapText="1"/>
      <protection locked="0"/>
    </xf>
    <xf numFmtId="3" fontId="2" fillId="0" borderId="57" xfId="3" applyNumberFormat="1" applyFont="1" applyBorder="1" applyAlignment="1" applyProtection="1">
      <alignment horizontal="center" vertical="center" wrapText="1"/>
      <protection locked="0"/>
    </xf>
    <xf numFmtId="0" fontId="2" fillId="7" borderId="68" xfId="3" applyFont="1" applyFill="1" applyBorder="1" applyAlignment="1" applyProtection="1">
      <alignment horizontal="center" vertical="center" wrapText="1"/>
      <protection locked="0"/>
    </xf>
    <xf numFmtId="0" fontId="2" fillId="7" borderId="18" xfId="3" applyFont="1" applyFill="1" applyBorder="1" applyAlignment="1" applyProtection="1">
      <alignment horizontal="center" vertical="center" wrapText="1"/>
      <protection locked="0"/>
    </xf>
    <xf numFmtId="0" fontId="2" fillId="7" borderId="68" xfId="2" applyFont="1" applyFill="1" applyBorder="1" applyAlignment="1" applyProtection="1">
      <alignment horizontal="left" vertical="center" wrapText="1"/>
      <protection locked="0"/>
    </xf>
    <xf numFmtId="0" fontId="2" fillId="7" borderId="18" xfId="2" applyFont="1" applyFill="1" applyBorder="1" applyAlignment="1" applyProtection="1">
      <alignment horizontal="left" vertical="center" wrapText="1"/>
      <protection locked="0"/>
    </xf>
    <xf numFmtId="0" fontId="2" fillId="7" borderId="57" xfId="3" applyFont="1" applyFill="1" applyBorder="1" applyAlignment="1" applyProtection="1">
      <alignment horizontal="center" vertical="center" wrapText="1"/>
      <protection locked="0"/>
    </xf>
    <xf numFmtId="0" fontId="10" fillId="0" borderId="0" xfId="3" applyFont="1" applyAlignment="1">
      <alignment horizontal="center"/>
    </xf>
    <xf numFmtId="0" fontId="2" fillId="0" borderId="0" xfId="2" applyFont="1" applyFill="1" applyBorder="1" applyAlignment="1" applyProtection="1">
      <alignment horizontal="left" vertical="center" wrapText="1"/>
      <protection locked="0"/>
    </xf>
    <xf numFmtId="3" fontId="2" fillId="0" borderId="68" xfId="4" applyNumberFormat="1" applyFont="1" applyBorder="1" applyAlignment="1">
      <alignment horizontal="center" vertical="center" wrapText="1"/>
    </xf>
    <xf numFmtId="3" fontId="2" fillId="0" borderId="18" xfId="4" applyNumberFormat="1" applyFont="1" applyBorder="1" applyAlignment="1">
      <alignment horizontal="center" vertical="center" wrapText="1"/>
    </xf>
    <xf numFmtId="3" fontId="2" fillId="0" borderId="57" xfId="4" applyNumberFormat="1" applyFont="1" applyBorder="1" applyAlignment="1">
      <alignment horizontal="center" vertical="center" wrapText="1"/>
    </xf>
    <xf numFmtId="49" fontId="2" fillId="0" borderId="68" xfId="2" applyNumberFormat="1" applyFont="1" applyFill="1" applyBorder="1" applyAlignment="1" applyProtection="1">
      <alignment horizontal="center" vertical="center" wrapText="1"/>
      <protection locked="0"/>
    </xf>
    <xf numFmtId="49" fontId="2" fillId="0" borderId="18" xfId="2" applyNumberFormat="1" applyFont="1" applyFill="1" applyBorder="1" applyAlignment="1" applyProtection="1">
      <alignment horizontal="center" vertical="center" wrapText="1"/>
      <protection locked="0"/>
    </xf>
    <xf numFmtId="49" fontId="2" fillId="0" borderId="57" xfId="2" applyNumberFormat="1" applyFont="1" applyFill="1" applyBorder="1" applyAlignment="1" applyProtection="1">
      <alignment horizontal="center" vertical="center" wrapText="1"/>
      <protection locked="0"/>
    </xf>
    <xf numFmtId="0" fontId="2" fillId="0" borderId="68" xfId="2" applyFont="1" applyFill="1" applyBorder="1" applyAlignment="1" applyProtection="1">
      <alignment horizontal="left" vertical="center" wrapText="1"/>
      <protection locked="0"/>
    </xf>
    <xf numFmtId="0" fontId="2" fillId="0" borderId="18" xfId="2" applyFont="1" applyFill="1" applyBorder="1" applyAlignment="1" applyProtection="1">
      <alignment horizontal="left" vertical="center" wrapText="1"/>
      <protection locked="0"/>
    </xf>
    <xf numFmtId="0" fontId="2" fillId="0" borderId="57" xfId="2" applyFont="1" applyFill="1" applyBorder="1" applyAlignment="1" applyProtection="1">
      <alignment horizontal="left" vertical="center" wrapText="1"/>
      <protection locked="0"/>
    </xf>
    <xf numFmtId="3" fontId="2" fillId="0" borderId="68" xfId="4" applyNumberFormat="1" applyFont="1" applyFill="1" applyBorder="1" applyAlignment="1" applyProtection="1">
      <alignment horizontal="center" vertical="center" wrapText="1"/>
      <protection locked="0"/>
    </xf>
    <xf numFmtId="3" fontId="2" fillId="0" borderId="18" xfId="4" applyNumberFormat="1" applyFont="1" applyFill="1" applyBorder="1" applyAlignment="1" applyProtection="1">
      <alignment horizontal="center" vertical="center" wrapText="1"/>
      <protection locked="0"/>
    </xf>
    <xf numFmtId="3" fontId="2" fillId="0" borderId="57" xfId="4" applyNumberFormat="1" applyFont="1" applyFill="1" applyBorder="1" applyAlignment="1" applyProtection="1">
      <alignment horizontal="center" vertical="center" wrapText="1"/>
      <protection locked="0"/>
    </xf>
    <xf numFmtId="0" fontId="3" fillId="0" borderId="0" xfId="2" applyFont="1" applyFill="1" applyAlignment="1">
      <alignment horizontal="left"/>
    </xf>
    <xf numFmtId="0" fontId="2" fillId="0" borderId="68" xfId="4" applyFont="1" applyFill="1" applyBorder="1" applyAlignment="1">
      <alignment horizontal="center" vertical="center" wrapText="1"/>
    </xf>
    <xf numFmtId="0" fontId="2" fillId="0" borderId="57" xfId="4" applyFont="1" applyFill="1" applyBorder="1" applyAlignment="1">
      <alignment horizontal="center" vertical="center" wrapText="1"/>
    </xf>
    <xf numFmtId="49" fontId="2" fillId="0" borderId="68" xfId="2" applyNumberFormat="1" applyFont="1" applyBorder="1" applyAlignment="1" applyProtection="1">
      <alignment horizontal="center" vertical="center" wrapText="1"/>
      <protection locked="0"/>
    </xf>
    <xf numFmtId="49" fontId="2" fillId="0" borderId="18" xfId="2" applyNumberFormat="1" applyFont="1" applyBorder="1" applyAlignment="1" applyProtection="1">
      <alignment horizontal="center" vertical="center" wrapText="1"/>
      <protection locked="0"/>
    </xf>
    <xf numFmtId="49" fontId="2" fillId="0" borderId="57" xfId="2" applyNumberFormat="1" applyFont="1" applyBorder="1" applyAlignment="1" applyProtection="1">
      <alignment horizontal="center" vertical="center" wrapText="1"/>
      <protection locked="0"/>
    </xf>
    <xf numFmtId="0" fontId="2" fillId="0" borderId="68" xfId="2" applyFont="1" applyBorder="1" applyAlignment="1" applyProtection="1">
      <alignment horizontal="left" vertical="center" wrapText="1"/>
      <protection locked="0"/>
    </xf>
    <xf numFmtId="0" fontId="2" fillId="0" borderId="18" xfId="2" applyFont="1" applyBorder="1" applyAlignment="1" applyProtection="1">
      <alignment horizontal="left" vertical="center" wrapText="1"/>
      <protection locked="0"/>
    </xf>
    <xf numFmtId="0" fontId="2" fillId="0" borderId="57" xfId="2" applyFont="1" applyBorder="1" applyAlignment="1" applyProtection="1">
      <alignment horizontal="left" vertical="center" wrapText="1"/>
      <protection locked="0"/>
    </xf>
    <xf numFmtId="3" fontId="2" fillId="0" borderId="68" xfId="4" applyNumberFormat="1" applyFont="1" applyBorder="1" applyAlignment="1" applyProtection="1">
      <alignment horizontal="center" vertical="center" wrapText="1"/>
      <protection locked="0"/>
    </xf>
    <xf numFmtId="3" fontId="2" fillId="0" borderId="18" xfId="4" applyNumberFormat="1" applyFont="1" applyBorder="1" applyAlignment="1" applyProtection="1">
      <alignment horizontal="center" vertical="center" wrapText="1"/>
      <protection locked="0"/>
    </xf>
    <xf numFmtId="3" fontId="2" fillId="0" borderId="57" xfId="4" applyNumberFormat="1" applyFont="1" applyBorder="1" applyAlignment="1" applyProtection="1">
      <alignment horizontal="center" vertical="center" wrapText="1"/>
      <protection locked="0"/>
    </xf>
    <xf numFmtId="3" fontId="2" fillId="0" borderId="68" xfId="4" applyNumberFormat="1" applyFont="1" applyFill="1" applyBorder="1" applyAlignment="1">
      <alignment horizontal="center" vertical="center" wrapText="1"/>
    </xf>
    <xf numFmtId="3" fontId="2" fillId="0" borderId="18" xfId="4" applyNumberFormat="1" applyFont="1" applyFill="1" applyBorder="1" applyAlignment="1">
      <alignment horizontal="center" vertical="center" wrapText="1"/>
    </xf>
    <xf numFmtId="3" fontId="2" fillId="0" borderId="57" xfId="4" applyNumberFormat="1" applyFont="1" applyFill="1" applyBorder="1" applyAlignment="1">
      <alignment horizontal="center" vertical="center" wrapText="1"/>
    </xf>
    <xf numFmtId="0" fontId="2" fillId="0" borderId="68" xfId="2" quotePrefix="1" applyFont="1" applyBorder="1" applyAlignment="1" applyProtection="1">
      <alignment horizontal="left" vertical="center" wrapText="1"/>
      <protection locked="0"/>
    </xf>
    <xf numFmtId="0" fontId="2" fillId="0" borderId="18" xfId="2" quotePrefix="1" applyFont="1" applyBorder="1" applyAlignment="1" applyProtection="1">
      <alignment horizontal="left" vertical="center" wrapText="1"/>
      <protection locked="0"/>
    </xf>
    <xf numFmtId="0" fontId="2" fillId="0" borderId="57" xfId="2" quotePrefix="1" applyFont="1" applyBorder="1" applyAlignment="1" applyProtection="1">
      <alignment horizontal="left" vertical="center" wrapText="1"/>
      <protection locked="0"/>
    </xf>
    <xf numFmtId="3" fontId="30" fillId="0" borderId="68" xfId="4" applyNumberFormat="1" applyFont="1" applyFill="1" applyBorder="1" applyAlignment="1">
      <alignment horizontal="center" vertical="center" wrapText="1"/>
    </xf>
    <xf numFmtId="3" fontId="30" fillId="0" borderId="18" xfId="4" applyNumberFormat="1" applyFont="1" applyFill="1" applyBorder="1" applyAlignment="1">
      <alignment horizontal="center" vertical="center" wrapText="1"/>
    </xf>
    <xf numFmtId="3" fontId="30" fillId="0" borderId="57" xfId="4" applyNumberFormat="1" applyFont="1" applyFill="1" applyBorder="1" applyAlignment="1">
      <alignment horizontal="center" vertical="center" wrapText="1"/>
    </xf>
    <xf numFmtId="0" fontId="3" fillId="0" borderId="68" xfId="2" applyFont="1" applyBorder="1" applyAlignment="1" applyProtection="1">
      <alignment horizontal="center" vertical="center" wrapText="1"/>
      <protection locked="0"/>
    </xf>
    <xf numFmtId="0" fontId="3" fillId="0" borderId="18" xfId="2" applyFont="1" applyBorder="1" applyAlignment="1" applyProtection="1">
      <alignment horizontal="center" vertical="center" wrapText="1"/>
      <protection locked="0"/>
    </xf>
    <xf numFmtId="0" fontId="3" fillId="0" borderId="57" xfId="2" applyFont="1" applyBorder="1" applyAlignment="1" applyProtection="1">
      <alignment horizontal="center" vertical="center" wrapText="1"/>
      <protection locked="0"/>
    </xf>
    <xf numFmtId="0" fontId="3" fillId="0" borderId="68" xfId="2" applyFont="1" applyBorder="1" applyAlignment="1" applyProtection="1">
      <alignment horizontal="left" vertical="center" wrapText="1"/>
      <protection locked="0"/>
    </xf>
    <xf numFmtId="0" fontId="3" fillId="0" borderId="18" xfId="2" applyFont="1" applyBorder="1" applyAlignment="1" applyProtection="1">
      <alignment horizontal="left" vertical="center" wrapText="1"/>
      <protection locked="0"/>
    </xf>
    <xf numFmtId="0" fontId="3" fillId="0" borderId="57" xfId="2" applyFont="1" applyBorder="1" applyAlignment="1" applyProtection="1">
      <alignment horizontal="left" vertical="center" wrapText="1"/>
      <protection locked="0"/>
    </xf>
    <xf numFmtId="0" fontId="10" fillId="0" borderId="0" xfId="2" applyFont="1" applyBorder="1" applyAlignment="1">
      <alignment horizontal="center"/>
    </xf>
    <xf numFmtId="0" fontId="2" fillId="0" borderId="0" xfId="2" applyFont="1" applyBorder="1" applyAlignment="1">
      <alignment horizontal="left"/>
    </xf>
    <xf numFmtId="0" fontId="2" fillId="0" borderId="75" xfId="2" applyFont="1" applyBorder="1" applyAlignment="1">
      <alignment horizontal="center" vertical="center" wrapText="1"/>
    </xf>
    <xf numFmtId="0" fontId="2" fillId="0" borderId="76" xfId="2" applyFont="1" applyBorder="1" applyAlignment="1">
      <alignment horizontal="center" vertical="center" wrapText="1"/>
    </xf>
    <xf numFmtId="0" fontId="2" fillId="0" borderId="68" xfId="2" applyFont="1" applyBorder="1" applyAlignment="1">
      <alignment horizontal="center" vertical="center" wrapText="1"/>
    </xf>
    <xf numFmtId="0" fontId="2" fillId="0" borderId="57" xfId="2" applyFont="1" applyBorder="1" applyAlignment="1">
      <alignment horizontal="center" vertical="center" wrapText="1"/>
    </xf>
    <xf numFmtId="0" fontId="2" fillId="0" borderId="0" xfId="2" applyFont="1" applyBorder="1" applyAlignment="1" applyProtection="1">
      <alignment horizontal="left" wrapText="1"/>
      <protection locked="0"/>
    </xf>
    <xf numFmtId="0" fontId="3" fillId="0" borderId="79" xfId="2" applyFont="1" applyBorder="1" applyAlignment="1">
      <alignment horizontal="right" wrapText="1"/>
    </xf>
    <xf numFmtId="0" fontId="3" fillId="0" borderId="80" xfId="2" applyFont="1" applyBorder="1" applyAlignment="1">
      <alignment horizontal="right" wrapText="1"/>
    </xf>
    <xf numFmtId="49" fontId="3" fillId="0" borderId="87" xfId="2" applyNumberFormat="1" applyFont="1" applyBorder="1" applyAlignment="1" applyProtection="1">
      <alignment horizontal="left"/>
      <protection locked="0"/>
    </xf>
    <xf numFmtId="3" fontId="3" fillId="0" borderId="52" xfId="2" applyNumberFormat="1" applyFont="1" applyFill="1" applyBorder="1" applyAlignment="1" applyProtection="1">
      <alignment horizontal="center" vertical="center" wrapText="1"/>
      <protection locked="0"/>
    </xf>
    <xf numFmtId="3" fontId="3" fillId="0" borderId="64" xfId="2" applyNumberFormat="1" applyFont="1" applyFill="1" applyBorder="1" applyAlignment="1" applyProtection="1">
      <alignment horizontal="center" vertical="center" wrapText="1"/>
      <protection locked="0"/>
    </xf>
    <xf numFmtId="3" fontId="3" fillId="0" borderId="48" xfId="2" applyNumberFormat="1" applyFont="1" applyFill="1" applyBorder="1" applyAlignment="1" applyProtection="1">
      <alignment horizontal="center" vertical="center" wrapText="1"/>
      <protection locked="0"/>
    </xf>
    <xf numFmtId="0" fontId="3" fillId="0" borderId="53" xfId="2" applyFont="1" applyBorder="1" applyAlignment="1" applyProtection="1">
      <alignment horizontal="left" vertical="center" wrapText="1"/>
      <protection locked="0"/>
    </xf>
    <xf numFmtId="0" fontId="3" fillId="0" borderId="65" xfId="2" applyFont="1" applyBorder="1" applyAlignment="1" applyProtection="1">
      <alignment horizontal="left" vertical="center" wrapText="1"/>
      <protection locked="0"/>
    </xf>
    <xf numFmtId="0" fontId="3" fillId="0" borderId="49" xfId="2" applyFont="1" applyBorder="1" applyAlignment="1" applyProtection="1">
      <alignment horizontal="left" vertical="center" wrapText="1"/>
      <protection locked="0"/>
    </xf>
    <xf numFmtId="49" fontId="2" fillId="0" borderId="68" xfId="2" applyNumberFormat="1" applyFont="1" applyFill="1" applyBorder="1" applyAlignment="1">
      <alignment horizontal="center" vertical="center" wrapText="1"/>
    </xf>
    <xf numFmtId="49" fontId="2" fillId="0" borderId="18" xfId="2" applyNumberFormat="1" applyFont="1" applyFill="1" applyBorder="1" applyAlignment="1">
      <alignment horizontal="center" vertical="center" wrapText="1"/>
    </xf>
    <xf numFmtId="49" fontId="2" fillId="0" borderId="57" xfId="2" applyNumberFormat="1" applyFont="1" applyFill="1" applyBorder="1" applyAlignment="1">
      <alignment horizontal="center" vertical="center" wrapText="1"/>
    </xf>
    <xf numFmtId="0" fontId="2" fillId="0" borderId="0" xfId="2" applyFont="1" applyBorder="1" applyAlignment="1">
      <alignment horizontal="left" vertical="center" wrapText="1"/>
    </xf>
    <xf numFmtId="0" fontId="2" fillId="0" borderId="41" xfId="2" applyFont="1" applyFill="1" applyBorder="1" applyAlignment="1" applyProtection="1">
      <alignment horizontal="center" vertical="center" wrapText="1"/>
      <protection locked="0"/>
    </xf>
    <xf numFmtId="0" fontId="2" fillId="0" borderId="68" xfId="2" applyFont="1" applyFill="1" applyBorder="1" applyAlignment="1" applyProtection="1">
      <alignment horizontal="center" vertical="center" wrapText="1"/>
      <protection locked="0"/>
    </xf>
    <xf numFmtId="3" fontId="3" fillId="0" borderId="68" xfId="2" applyNumberFormat="1" applyFont="1" applyFill="1" applyBorder="1" applyAlignment="1" applyProtection="1">
      <alignment horizontal="center" vertical="center" wrapText="1"/>
      <protection locked="0"/>
    </xf>
    <xf numFmtId="3" fontId="3" fillId="0" borderId="18" xfId="2" applyNumberFormat="1" applyFont="1" applyFill="1" applyBorder="1" applyAlignment="1" applyProtection="1">
      <alignment horizontal="center" vertical="center" wrapText="1"/>
      <protection locked="0"/>
    </xf>
    <xf numFmtId="3" fontId="3" fillId="0" borderId="57" xfId="2" applyNumberFormat="1" applyFont="1" applyFill="1" applyBorder="1" applyAlignment="1" applyProtection="1">
      <alignment horizontal="center" vertical="center" wrapText="1"/>
      <protection locked="0"/>
    </xf>
    <xf numFmtId="0" fontId="3" fillId="0" borderId="78" xfId="2" applyFont="1" applyFill="1" applyBorder="1" applyAlignment="1" applyProtection="1">
      <alignment horizontal="left" vertical="center" wrapText="1"/>
      <protection locked="0"/>
    </xf>
    <xf numFmtId="0" fontId="3" fillId="0" borderId="20" xfId="2" applyFont="1" applyFill="1" applyBorder="1" applyAlignment="1" applyProtection="1">
      <alignment horizontal="left" vertical="center" wrapText="1"/>
      <protection locked="0"/>
    </xf>
    <xf numFmtId="0" fontId="3" fillId="0" borderId="80" xfId="2" applyFont="1" applyFill="1" applyBorder="1" applyAlignment="1" applyProtection="1">
      <alignment horizontal="left" vertical="center" wrapText="1"/>
      <protection locked="0"/>
    </xf>
    <xf numFmtId="49" fontId="2" fillId="0" borderId="41" xfId="2" applyNumberFormat="1" applyFont="1" applyFill="1" applyBorder="1" applyAlignment="1">
      <alignment horizontal="center" vertical="center" wrapText="1"/>
    </xf>
    <xf numFmtId="0" fontId="3" fillId="0" borderId="41" xfId="2" applyFont="1" applyFill="1" applyBorder="1" applyAlignment="1" applyProtection="1">
      <alignment horizontal="center" vertical="center" wrapText="1"/>
      <protection locked="0"/>
    </xf>
    <xf numFmtId="0" fontId="3" fillId="0" borderId="41" xfId="2" applyFont="1" applyFill="1" applyBorder="1" applyAlignment="1" applyProtection="1">
      <alignment horizontal="left" vertical="center" wrapText="1"/>
      <protection locked="0"/>
    </xf>
    <xf numFmtId="0" fontId="3" fillId="0" borderId="41" xfId="2" applyFont="1" applyFill="1" applyBorder="1" applyAlignment="1">
      <alignment horizontal="left" vertical="center" wrapText="1"/>
    </xf>
    <xf numFmtId="4" fontId="2" fillId="0" borderId="68" xfId="2" applyNumberFormat="1" applyFont="1" applyFill="1" applyBorder="1" applyAlignment="1" applyProtection="1">
      <alignment horizontal="center" vertical="center" wrapText="1"/>
      <protection locked="0"/>
    </xf>
    <xf numFmtId="4" fontId="2" fillId="0" borderId="18" xfId="2" applyNumberFormat="1" applyFont="1" applyFill="1" applyBorder="1" applyAlignment="1" applyProtection="1">
      <alignment horizontal="center" vertical="center" wrapText="1"/>
      <protection locked="0"/>
    </xf>
    <xf numFmtId="4" fontId="2" fillId="0" borderId="57" xfId="2" applyNumberFormat="1" applyFont="1" applyFill="1" applyBorder="1" applyAlignment="1" applyProtection="1">
      <alignment horizontal="center" vertical="center" wrapText="1"/>
      <protection locked="0"/>
    </xf>
    <xf numFmtId="0" fontId="3" fillId="0" borderId="41" xfId="2" applyFont="1" applyFill="1" applyBorder="1" applyAlignment="1" applyProtection="1">
      <alignment horizontal="center" vertical="center"/>
      <protection locked="0"/>
    </xf>
    <xf numFmtId="0" fontId="2" fillId="0" borderId="77" xfId="2" applyFont="1" applyFill="1" applyBorder="1" applyAlignment="1" applyProtection="1">
      <alignment horizontal="center" vertical="center" wrapText="1"/>
      <protection locked="0"/>
    </xf>
    <xf numFmtId="0" fontId="2" fillId="0" borderId="85" xfId="2" applyFont="1" applyFill="1" applyBorder="1" applyAlignment="1" applyProtection="1">
      <alignment horizontal="center" vertical="center" wrapText="1"/>
      <protection locked="0"/>
    </xf>
    <xf numFmtId="0" fontId="2" fillId="0" borderId="79" xfId="2" applyFont="1" applyFill="1" applyBorder="1" applyAlignment="1" applyProtection="1">
      <alignment horizontal="center" vertical="center" wrapText="1"/>
      <protection locked="0"/>
    </xf>
    <xf numFmtId="0" fontId="2" fillId="0" borderId="78" xfId="2" applyFont="1" applyFill="1" applyBorder="1" applyAlignment="1" applyProtection="1">
      <alignment horizontal="left" vertical="center" wrapText="1"/>
      <protection locked="0"/>
    </xf>
    <xf numFmtId="0" fontId="2" fillId="0" borderId="20" xfId="2" applyFont="1" applyFill="1" applyBorder="1" applyAlignment="1" applyProtection="1">
      <alignment horizontal="left" vertical="center" wrapText="1"/>
      <protection locked="0"/>
    </xf>
    <xf numFmtId="0" fontId="2" fillId="0" borderId="80" xfId="2" applyFont="1" applyFill="1" applyBorder="1" applyAlignment="1" applyProtection="1">
      <alignment horizontal="left" vertical="center" wrapText="1"/>
      <protection locked="0"/>
    </xf>
    <xf numFmtId="4" fontId="2" fillId="0" borderId="68" xfId="2" applyNumberFormat="1" applyFont="1" applyFill="1" applyBorder="1" applyAlignment="1">
      <alignment horizontal="center" vertical="center" wrapText="1"/>
    </xf>
    <xf numFmtId="4" fontId="2" fillId="0" borderId="18" xfId="2" applyNumberFormat="1" applyFont="1" applyFill="1" applyBorder="1" applyAlignment="1">
      <alignment horizontal="center" vertical="center" wrapText="1"/>
    </xf>
    <xf numFmtId="4" fontId="2" fillId="0" borderId="57" xfId="2" applyNumberFormat="1" applyFont="1" applyFill="1" applyBorder="1" applyAlignment="1">
      <alignment horizontal="center" vertical="center" wrapText="1"/>
    </xf>
    <xf numFmtId="0" fontId="2" fillId="0" borderId="18" xfId="2" applyFont="1" applyFill="1" applyBorder="1" applyAlignment="1" applyProtection="1">
      <alignment horizontal="center" vertical="center" wrapText="1"/>
      <protection locked="0"/>
    </xf>
    <xf numFmtId="0" fontId="2" fillId="0" borderId="41" xfId="2" applyFont="1" applyFill="1" applyBorder="1" applyAlignment="1" applyProtection="1">
      <alignment horizontal="left" vertical="center"/>
      <protection locked="0"/>
    </xf>
    <xf numFmtId="2" fontId="2" fillId="0" borderId="41" xfId="2" applyNumberFormat="1" applyFont="1" applyFill="1" applyBorder="1" applyAlignment="1" applyProtection="1">
      <alignment horizontal="center" vertical="center" wrapText="1"/>
      <protection locked="0"/>
    </xf>
    <xf numFmtId="0" fontId="3" fillId="0" borderId="68" xfId="2" applyFont="1" applyFill="1" applyBorder="1" applyAlignment="1" applyProtection="1">
      <alignment horizontal="center" vertical="center" wrapText="1"/>
      <protection locked="0"/>
    </xf>
    <xf numFmtId="0" fontId="3" fillId="0" borderId="18" xfId="2" applyFont="1" applyFill="1" applyBorder="1" applyAlignment="1" applyProtection="1">
      <alignment horizontal="center" vertical="center" wrapText="1"/>
      <protection locked="0"/>
    </xf>
    <xf numFmtId="0" fontId="3" fillId="0" borderId="68" xfId="2" applyFont="1" applyFill="1" applyBorder="1" applyAlignment="1" applyProtection="1">
      <alignment horizontal="left" vertical="center" wrapText="1"/>
      <protection locked="0"/>
    </xf>
    <xf numFmtId="0" fontId="3" fillId="0" borderId="18" xfId="2" applyFont="1" applyFill="1" applyBorder="1" applyAlignment="1" applyProtection="1">
      <alignment horizontal="left" vertical="center" wrapText="1"/>
      <protection locked="0"/>
    </xf>
    <xf numFmtId="3" fontId="2" fillId="0" borderId="68" xfId="2" applyNumberFormat="1" applyFont="1" applyFill="1" applyBorder="1" applyAlignment="1" applyProtection="1">
      <alignment horizontal="center" vertical="center" wrapText="1"/>
      <protection locked="0"/>
    </xf>
    <xf numFmtId="3" fontId="2" fillId="0" borderId="18" xfId="2" applyNumberFormat="1" applyFont="1" applyFill="1" applyBorder="1" applyAlignment="1" applyProtection="1">
      <alignment horizontal="center" vertical="center" wrapText="1"/>
      <protection locked="0"/>
    </xf>
    <xf numFmtId="0" fontId="3" fillId="0" borderId="57" xfId="2" applyFont="1" applyFill="1" applyBorder="1" applyAlignment="1" applyProtection="1">
      <alignment horizontal="center" vertical="center" wrapText="1"/>
      <protection locked="0"/>
    </xf>
    <xf numFmtId="0" fontId="3" fillId="7" borderId="68" xfId="2" applyFont="1" applyFill="1" applyBorder="1" applyAlignment="1" applyProtection="1">
      <alignment horizontal="left" vertical="center" wrapText="1"/>
      <protection locked="0"/>
    </xf>
    <xf numFmtId="0" fontId="3" fillId="7" borderId="18" xfId="2" applyFont="1" applyFill="1" applyBorder="1" applyAlignment="1" applyProtection="1">
      <alignment horizontal="left" vertical="center" wrapText="1"/>
      <protection locked="0"/>
    </xf>
    <xf numFmtId="0" fontId="3" fillId="7" borderId="57" xfId="2" applyFont="1" applyFill="1" applyBorder="1" applyAlignment="1" applyProtection="1">
      <alignment horizontal="left" vertical="center" wrapText="1"/>
      <protection locked="0"/>
    </xf>
    <xf numFmtId="0" fontId="3" fillId="0" borderId="68" xfId="2" applyFont="1" applyFill="1" applyBorder="1" applyAlignment="1">
      <alignment horizontal="left" vertical="center" wrapText="1"/>
    </xf>
    <xf numFmtId="0" fontId="3" fillId="0" borderId="18" xfId="2" applyFont="1" applyFill="1" applyBorder="1" applyAlignment="1">
      <alignment horizontal="left" vertical="center" wrapText="1"/>
    </xf>
    <xf numFmtId="0" fontId="3" fillId="0" borderId="57" xfId="2" applyFont="1" applyFill="1" applyBorder="1" applyAlignment="1">
      <alignment horizontal="left" vertical="center" wrapText="1"/>
    </xf>
    <xf numFmtId="165" fontId="3" fillId="0" borderId="41" xfId="2" applyNumberFormat="1" applyFont="1" applyFill="1" applyBorder="1" applyAlignment="1" applyProtection="1">
      <alignment horizontal="center" vertical="center" wrapText="1"/>
      <protection locked="0"/>
    </xf>
    <xf numFmtId="0" fontId="2" fillId="0" borderId="57" xfId="2" applyFont="1" applyFill="1" applyBorder="1" applyAlignment="1" applyProtection="1">
      <alignment horizontal="center" vertical="center" wrapText="1"/>
      <protection locked="0"/>
    </xf>
    <xf numFmtId="3" fontId="2" fillId="0" borderId="57" xfId="2" applyNumberFormat="1" applyFont="1" applyFill="1" applyBorder="1" applyAlignment="1" applyProtection="1">
      <alignment horizontal="center" vertical="center" wrapText="1"/>
      <protection locked="0"/>
    </xf>
    <xf numFmtId="164" fontId="2" fillId="0" borderId="41" xfId="2" applyNumberFormat="1" applyFont="1" applyFill="1" applyBorder="1" applyAlignment="1" applyProtection="1">
      <alignment horizontal="center" vertical="center"/>
      <protection locked="0"/>
    </xf>
    <xf numFmtId="2" fontId="2" fillId="0" borderId="68" xfId="2" applyNumberFormat="1" applyFont="1" applyFill="1" applyBorder="1" applyAlignment="1" applyProtection="1">
      <alignment horizontal="center" vertical="center" wrapText="1"/>
      <protection locked="0"/>
    </xf>
    <xf numFmtId="2" fontId="2" fillId="0" borderId="18" xfId="2" applyNumberFormat="1" applyFont="1" applyFill="1" applyBorder="1" applyAlignment="1" applyProtection="1">
      <alignment horizontal="center" vertical="center" wrapText="1"/>
      <protection locked="0"/>
    </xf>
    <xf numFmtId="2" fontId="2" fillId="0" borderId="57" xfId="2" applyNumberFormat="1" applyFont="1" applyFill="1" applyBorder="1" applyAlignment="1" applyProtection="1">
      <alignment horizontal="center" vertical="center" wrapText="1"/>
      <protection locked="0"/>
    </xf>
    <xf numFmtId="164" fontId="3" fillId="0" borderId="41" xfId="2" applyNumberFormat="1" applyFont="1" applyFill="1" applyBorder="1" applyAlignment="1" applyProtection="1">
      <alignment horizontal="center" vertical="center" wrapText="1"/>
      <protection locked="0"/>
    </xf>
    <xf numFmtId="0" fontId="3" fillId="0" borderId="41" xfId="2" applyFont="1" applyFill="1" applyBorder="1" applyAlignment="1">
      <alignment horizontal="right" wrapText="1"/>
    </xf>
    <xf numFmtId="0" fontId="2" fillId="0" borderId="68" xfId="1" applyFont="1" applyBorder="1" applyAlignment="1">
      <alignment horizontal="center" vertical="center" wrapText="1"/>
    </xf>
    <xf numFmtId="0" fontId="2" fillId="0" borderId="57" xfId="1" applyFont="1" applyBorder="1" applyAlignment="1">
      <alignment horizontal="center" vertical="center" wrapText="1"/>
    </xf>
    <xf numFmtId="0" fontId="37" fillId="0" borderId="0" xfId="1" applyFont="1" applyBorder="1" applyAlignment="1">
      <alignment horizontal="center" wrapText="1"/>
    </xf>
    <xf numFmtId="0" fontId="10" fillId="0" borderId="63" xfId="1" applyFont="1" applyFill="1" applyBorder="1" applyAlignment="1">
      <alignment horizontal="left" vertical="center"/>
    </xf>
    <xf numFmtId="0" fontId="10" fillId="0" borderId="63" xfId="1" applyFont="1" applyFill="1" applyBorder="1" applyAlignment="1">
      <alignment horizontal="left" vertical="center" wrapText="1"/>
    </xf>
    <xf numFmtId="49" fontId="2" fillId="2" borderId="5" xfId="1" applyNumberFormat="1" applyFont="1" applyFill="1" applyBorder="1" applyAlignment="1" applyProtection="1">
      <alignment horizontal="center" vertical="center" wrapText="1"/>
      <protection locked="0"/>
    </xf>
    <xf numFmtId="49" fontId="2" fillId="2" borderId="6" xfId="1" applyNumberFormat="1" applyFont="1" applyFill="1" applyBorder="1" applyAlignment="1" applyProtection="1">
      <alignment horizontal="center" vertical="center" wrapText="1"/>
      <protection locked="0"/>
    </xf>
    <xf numFmtId="0" fontId="3" fillId="0" borderId="75" xfId="2" applyFont="1" applyFill="1" applyBorder="1" applyAlignment="1">
      <alignment horizontal="right" wrapText="1"/>
    </xf>
    <xf numFmtId="0" fontId="3" fillId="0" borderId="5" xfId="2" applyFont="1" applyFill="1" applyBorder="1" applyAlignment="1">
      <alignment horizontal="right" wrapText="1"/>
    </xf>
    <xf numFmtId="0" fontId="2" fillId="0" borderId="18" xfId="2" applyFont="1" applyBorder="1" applyAlignment="1" applyProtection="1">
      <alignment horizontal="center" vertical="center"/>
      <protection locked="0"/>
    </xf>
    <xf numFmtId="0" fontId="2" fillId="0" borderId="0" xfId="1" applyFont="1" applyAlignment="1">
      <alignment horizontal="left"/>
    </xf>
    <xf numFmtId="0" fontId="10" fillId="7" borderId="0" xfId="1" applyFont="1" applyFill="1" applyAlignment="1">
      <alignment horizontal="center"/>
    </xf>
    <xf numFmtId="0" fontId="2" fillId="0" borderId="68" xfId="1" applyFont="1" applyFill="1" applyBorder="1" applyAlignment="1">
      <alignment horizontal="center" vertical="center" wrapText="1"/>
    </xf>
    <xf numFmtId="0" fontId="2" fillId="0" borderId="57" xfId="1" applyFont="1" applyFill="1" applyBorder="1" applyAlignment="1">
      <alignment horizontal="center" vertical="center" wrapText="1"/>
    </xf>
    <xf numFmtId="0" fontId="2" fillId="0" borderId="77" xfId="2" applyFont="1" applyBorder="1" applyAlignment="1" applyProtection="1">
      <alignment horizontal="left" vertical="center" wrapText="1"/>
      <protection locked="0"/>
    </xf>
    <xf numFmtId="0" fontId="2" fillId="0" borderId="85" xfId="2" applyFont="1" applyBorder="1" applyAlignment="1" applyProtection="1">
      <alignment horizontal="left" vertical="center" wrapText="1"/>
      <protection locked="0"/>
    </xf>
    <xf numFmtId="0" fontId="2" fillId="0" borderId="57" xfId="2" applyFont="1" applyBorder="1" applyAlignment="1" applyProtection="1">
      <alignment horizontal="center" vertical="center"/>
      <protection locked="0"/>
    </xf>
    <xf numFmtId="0" fontId="2" fillId="0" borderId="79" xfId="2" applyFont="1" applyBorder="1" applyAlignment="1" applyProtection="1">
      <alignment horizontal="left" vertical="center" wrapText="1"/>
      <protection locked="0"/>
    </xf>
    <xf numFmtId="0" fontId="2" fillId="0" borderId="68" xfId="2" applyFont="1" applyBorder="1" applyAlignment="1" applyProtection="1">
      <alignment horizontal="center" vertical="center"/>
      <protection locked="0"/>
    </xf>
    <xf numFmtId="0" fontId="2" fillId="0" borderId="41" xfId="2" applyFont="1" applyFill="1" applyBorder="1" applyAlignment="1" applyProtection="1">
      <alignment horizontal="center" vertical="center"/>
      <protection locked="0"/>
    </xf>
    <xf numFmtId="0" fontId="2" fillId="0" borderId="75" xfId="2" applyFont="1" applyFill="1" applyBorder="1" applyAlignment="1" applyProtection="1">
      <alignment horizontal="left" vertical="center" wrapText="1"/>
      <protection locked="0"/>
    </xf>
    <xf numFmtId="0" fontId="2" fillId="0" borderId="41" xfId="2" applyFont="1" applyBorder="1" applyAlignment="1">
      <alignment horizontal="center" vertical="center" wrapText="1"/>
    </xf>
    <xf numFmtId="0" fontId="2" fillId="0" borderId="41" xfId="2" applyFont="1" applyFill="1" applyBorder="1" applyAlignment="1">
      <alignment horizontal="left" vertical="center" wrapText="1"/>
    </xf>
    <xf numFmtId="0" fontId="2" fillId="0" borderId="78" xfId="2" applyFont="1" applyBorder="1" applyAlignment="1">
      <alignment horizontal="center" vertical="center" wrapText="1"/>
    </xf>
    <xf numFmtId="0" fontId="2" fillId="0" borderId="80" xfId="2" applyFont="1" applyBorder="1" applyAlignment="1">
      <alignment horizontal="center" vertical="center" wrapText="1"/>
    </xf>
    <xf numFmtId="0" fontId="2" fillId="0" borderId="0" xfId="2" applyFont="1" applyBorder="1" applyAlignment="1" applyProtection="1">
      <alignment horizontal="left" vertical="center" wrapText="1"/>
      <protection locked="0"/>
    </xf>
    <xf numFmtId="0" fontId="2" fillId="0" borderId="41" xfId="0" applyFont="1" applyBorder="1" applyAlignment="1">
      <alignment horizontal="center" vertical="center" wrapText="1"/>
    </xf>
    <xf numFmtId="0" fontId="2" fillId="0" borderId="0" xfId="2" applyFont="1" applyFill="1" applyAlignment="1">
      <alignment horizontal="left" vertical="center" wrapText="1"/>
    </xf>
    <xf numFmtId="0" fontId="2" fillId="0" borderId="41" xfId="2" applyFont="1" applyFill="1" applyBorder="1" applyAlignment="1" applyProtection="1">
      <alignment horizontal="right" wrapText="1"/>
      <protection locked="0"/>
    </xf>
    <xf numFmtId="0" fontId="2" fillId="0" borderId="68" xfId="2" applyFont="1" applyBorder="1" applyAlignment="1">
      <alignment horizontal="center" vertical="center"/>
    </xf>
    <xf numFmtId="0" fontId="2" fillId="0" borderId="57" xfId="2" applyFont="1" applyBorder="1" applyAlignment="1">
      <alignment horizontal="center" vertical="center"/>
    </xf>
    <xf numFmtId="3" fontId="2" fillId="0" borderId="0" xfId="9" applyNumberFormat="1" applyFont="1" applyAlignment="1">
      <alignment horizontal="left"/>
    </xf>
    <xf numFmtId="0" fontId="10" fillId="0" borderId="0" xfId="8" applyFont="1" applyAlignment="1">
      <alignment horizontal="center"/>
    </xf>
    <xf numFmtId="0" fontId="11" fillId="0" borderId="0" xfId="8" applyFont="1" applyAlignment="1">
      <alignment horizontal="left"/>
    </xf>
    <xf numFmtId="0" fontId="2" fillId="0" borderId="0" xfId="10" applyFont="1" applyBorder="1" applyAlignment="1">
      <alignment horizontal="left" vertical="center" wrapText="1"/>
    </xf>
    <xf numFmtId="0" fontId="2" fillId="0" borderId="68" xfId="10" applyFont="1" applyBorder="1" applyAlignment="1">
      <alignment horizontal="center" vertical="center" wrapText="1"/>
    </xf>
    <xf numFmtId="0" fontId="2" fillId="0" borderId="18" xfId="10" applyFont="1" applyBorder="1" applyAlignment="1">
      <alignment horizontal="center" vertical="center" wrapText="1"/>
    </xf>
    <xf numFmtId="0" fontId="2" fillId="0" borderId="57" xfId="10" applyFont="1" applyBorder="1" applyAlignment="1">
      <alignment horizontal="center" vertical="center" wrapText="1"/>
    </xf>
    <xf numFmtId="0" fontId="2" fillId="0" borderId="41" xfId="12" applyFont="1" applyBorder="1" applyAlignment="1">
      <alignment horizontal="left" vertical="center" wrapText="1"/>
    </xf>
    <xf numFmtId="0" fontId="2" fillId="0" borderId="41" xfId="8" applyFont="1" applyBorder="1" applyAlignment="1">
      <alignment horizontal="center" vertical="center" wrapText="1"/>
    </xf>
    <xf numFmtId="49" fontId="2" fillId="2" borderId="5" xfId="1" applyNumberFormat="1" applyFont="1" applyFill="1" applyBorder="1" applyAlignment="1" applyProtection="1">
      <alignment horizontal="left" vertical="top"/>
      <protection locked="0"/>
    </xf>
    <xf numFmtId="49" fontId="2" fillId="2" borderId="6" xfId="1" applyNumberFormat="1" applyFont="1" applyFill="1" applyBorder="1" applyAlignment="1" applyProtection="1">
      <alignment horizontal="left" vertical="top"/>
      <protection locked="0"/>
    </xf>
    <xf numFmtId="0" fontId="2" fillId="0" borderId="18" xfId="1" applyFont="1" applyFill="1" applyBorder="1" applyAlignment="1" applyProtection="1">
      <alignment vertical="center" textRotation="90" wrapText="1"/>
    </xf>
    <xf numFmtId="0" fontId="2" fillId="0" borderId="24" xfId="1" applyFont="1" applyFill="1" applyBorder="1" applyAlignment="1" applyProtection="1">
      <alignment vertical="center" textRotation="90" wrapText="1"/>
    </xf>
    <xf numFmtId="0" fontId="2" fillId="0" borderId="20" xfId="1" applyNumberFormat="1" applyFont="1" applyFill="1" applyBorder="1" applyAlignment="1" applyProtection="1">
      <alignment vertical="center" textRotation="90" wrapText="1"/>
    </xf>
    <xf numFmtId="49" fontId="2" fillId="2" borderId="5" xfId="1" quotePrefix="1" applyNumberFormat="1" applyFont="1" applyFill="1" applyBorder="1" applyAlignment="1" applyProtection="1">
      <alignment horizontal="center" vertical="center"/>
      <protection locked="0"/>
    </xf>
    <xf numFmtId="0" fontId="2" fillId="0" borderId="0" xfId="2" applyFont="1" applyBorder="1" applyAlignment="1">
      <alignment horizontal="center" vertical="center" wrapText="1"/>
    </xf>
    <xf numFmtId="0" fontId="2" fillId="0" borderId="87" xfId="2" applyFont="1" applyBorder="1" applyAlignment="1">
      <alignment horizontal="center" vertical="center" wrapText="1"/>
    </xf>
    <xf numFmtId="0" fontId="2" fillId="0" borderId="20" xfId="2" applyFont="1" applyBorder="1" applyAlignment="1">
      <alignment horizontal="center" vertical="center" wrapText="1"/>
    </xf>
    <xf numFmtId="0" fontId="3" fillId="0" borderId="41" xfId="1" applyFont="1" applyBorder="1" applyAlignment="1">
      <alignment horizontal="right" vertical="center" wrapText="1"/>
    </xf>
    <xf numFmtId="0" fontId="2" fillId="0" borderId="18" xfId="1" applyFont="1" applyBorder="1" applyAlignment="1" applyProtection="1">
      <alignment horizontal="center" vertical="center" wrapText="1"/>
      <protection locked="0"/>
    </xf>
    <xf numFmtId="0" fontId="2" fillId="0" borderId="18" xfId="1" applyFont="1" applyBorder="1" applyAlignment="1" applyProtection="1">
      <alignment horizontal="left" vertical="center" wrapText="1"/>
      <protection locked="0"/>
    </xf>
    <xf numFmtId="3" fontId="2" fillId="7" borderId="68" xfId="1" applyNumberFormat="1" applyFont="1" applyFill="1" applyBorder="1" applyAlignment="1" applyProtection="1">
      <alignment horizontal="center" vertical="center" wrapText="1"/>
      <protection locked="0"/>
    </xf>
    <xf numFmtId="3" fontId="2" fillId="7" borderId="18" xfId="1" applyNumberFormat="1" applyFont="1" applyFill="1" applyBorder="1" applyAlignment="1" applyProtection="1">
      <alignment horizontal="center" vertical="center" wrapText="1"/>
      <protection locked="0"/>
    </xf>
    <xf numFmtId="3" fontId="2" fillId="7" borderId="57" xfId="1" applyNumberFormat="1" applyFont="1" applyFill="1" applyBorder="1" applyAlignment="1" applyProtection="1">
      <alignment horizontal="center" vertical="center" wrapText="1"/>
      <protection locked="0"/>
    </xf>
    <xf numFmtId="3" fontId="2" fillId="0" borderId="68" xfId="1" applyNumberFormat="1" applyFont="1" applyFill="1" applyBorder="1" applyAlignment="1" applyProtection="1">
      <alignment horizontal="left" vertical="center" wrapText="1"/>
      <protection locked="0"/>
    </xf>
    <xf numFmtId="3" fontId="2" fillId="0" borderId="57" xfId="1" applyNumberFormat="1" applyFont="1" applyFill="1" applyBorder="1" applyAlignment="1" applyProtection="1">
      <alignment horizontal="left" vertical="center" wrapText="1"/>
      <protection locked="0"/>
    </xf>
    <xf numFmtId="0" fontId="2" fillId="0" borderId="41" xfId="1" applyFont="1" applyFill="1" applyBorder="1" applyAlignment="1" applyProtection="1">
      <alignment horizontal="center" vertical="center" wrapText="1"/>
      <protection locked="0"/>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3" fontId="2" fillId="0" borderId="68" xfId="1" applyNumberFormat="1" applyFont="1" applyBorder="1" applyAlignment="1">
      <alignment horizontal="left" vertical="center" wrapText="1"/>
    </xf>
    <xf numFmtId="3" fontId="2" fillId="0" borderId="18" xfId="1" applyNumberFormat="1" applyFont="1" applyBorder="1" applyAlignment="1">
      <alignment horizontal="left" vertical="center" wrapText="1"/>
    </xf>
    <xf numFmtId="3" fontId="2" fillId="0" borderId="57" xfId="1" applyNumberFormat="1" applyFont="1" applyBorder="1" applyAlignment="1">
      <alignment horizontal="left" vertical="center" wrapText="1"/>
    </xf>
    <xf numFmtId="0" fontId="2" fillId="0" borderId="41" xfId="1" applyFont="1" applyBorder="1" applyAlignment="1" applyProtection="1">
      <alignment horizontal="center" vertical="center"/>
      <protection locked="0"/>
    </xf>
    <xf numFmtId="3" fontId="2" fillId="0" borderId="68" xfId="1" applyNumberFormat="1" applyFont="1" applyFill="1" applyBorder="1" applyAlignment="1" applyProtection="1">
      <alignment horizontal="center" vertical="center" wrapText="1"/>
      <protection locked="0"/>
    </xf>
    <xf numFmtId="3" fontId="2" fillId="0" borderId="57" xfId="1" applyNumberFormat="1" applyFont="1" applyFill="1" applyBorder="1" applyAlignment="1" applyProtection="1">
      <alignment horizontal="center" vertical="center" wrapText="1"/>
      <protection locked="0"/>
    </xf>
    <xf numFmtId="0" fontId="3" fillId="0" borderId="0" xfId="1" applyFont="1" applyFill="1" applyAlignment="1">
      <alignment horizontal="left" vertical="center"/>
    </xf>
    <xf numFmtId="0" fontId="2" fillId="0" borderId="0" xfId="1" applyFont="1" applyFill="1" applyAlignment="1">
      <alignment horizontal="left" vertical="center" wrapText="1"/>
    </xf>
    <xf numFmtId="0" fontId="2" fillId="0" borderId="0" xfId="1" applyFont="1" applyFill="1" applyAlignment="1">
      <alignment vertical="center" wrapText="1"/>
    </xf>
    <xf numFmtId="0" fontId="2" fillId="0" borderId="78" xfId="1" applyFont="1" applyBorder="1" applyAlignment="1" applyProtection="1">
      <alignment horizontal="center" vertical="center" wrapText="1"/>
      <protection locked="0"/>
    </xf>
    <xf numFmtId="0" fontId="2" fillId="0" borderId="20" xfId="1" applyFont="1" applyBorder="1" applyAlignment="1" applyProtection="1">
      <alignment horizontal="center" vertical="center" wrapText="1"/>
      <protection locked="0"/>
    </xf>
    <xf numFmtId="0" fontId="2" fillId="0" borderId="80" xfId="1" applyFont="1" applyBorder="1" applyAlignment="1" applyProtection="1">
      <alignment horizontal="center" vertical="center" wrapText="1"/>
      <protection locked="0"/>
    </xf>
    <xf numFmtId="3" fontId="2" fillId="0" borderId="68" xfId="1" applyNumberFormat="1" applyFont="1" applyBorder="1" applyAlignment="1" applyProtection="1">
      <alignment horizontal="left" vertical="center" wrapText="1"/>
      <protection locked="0"/>
    </xf>
    <xf numFmtId="3" fontId="2" fillId="0" borderId="57" xfId="1" applyNumberFormat="1" applyFont="1" applyBorder="1" applyAlignment="1" applyProtection="1">
      <alignment horizontal="left" vertical="center" wrapText="1"/>
      <protection locked="0"/>
    </xf>
  </cellXfs>
  <cellStyles count="14">
    <cellStyle name="Normal" xfId="0" builtinId="0"/>
    <cellStyle name="Normal 11" xfId="2"/>
    <cellStyle name="Normal 2" xfId="1"/>
    <cellStyle name="Normal 2 2" xfId="12"/>
    <cellStyle name="Normal 2 2 2" xfId="11"/>
    <cellStyle name="Normal 2 3 2" xfId="5"/>
    <cellStyle name="Normal 2 3 2 2" xfId="6"/>
    <cellStyle name="Normal 2 3 2 3" xfId="13"/>
    <cellStyle name="Normal 3" xfId="3"/>
    <cellStyle name="Normal 3 2" xfId="7"/>
    <cellStyle name="Normal 3 2 2 2" xfId="4"/>
    <cellStyle name="Normal 3 2 2 2 2" xfId="9"/>
    <cellStyle name="Normal 6" xfId="8"/>
    <cellStyle name="Normal_budžeta nod.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16</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69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11" sqref="S11"/>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1290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1291</v>
      </c>
      <c r="D6" s="1512"/>
      <c r="E6" s="1512"/>
      <c r="F6" s="1512"/>
      <c r="G6" s="1512"/>
      <c r="H6" s="1512"/>
      <c r="I6" s="1512"/>
      <c r="J6" s="1512"/>
      <c r="K6" s="1512"/>
      <c r="L6" s="1512"/>
      <c r="M6" s="1512"/>
      <c r="N6" s="1512"/>
      <c r="O6" s="1512"/>
      <c r="P6" s="1513"/>
      <c r="Q6" s="277"/>
    </row>
    <row r="7" spans="1:17" x14ac:dyDescent="0.25">
      <c r="A7" s="7" t="s">
        <v>10</v>
      </c>
      <c r="B7" s="8"/>
      <c r="C7" s="1517" t="s">
        <v>550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1040</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411</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911015</v>
      </c>
      <c r="D20" s="32">
        <f>SUM(D21,D24,D25,D41,D43)</f>
        <v>901913</v>
      </c>
      <c r="E20" s="33">
        <f t="shared" ref="E20:F20" si="1">SUM(E21,E24,E25,E41,E43)</f>
        <v>0</v>
      </c>
      <c r="F20" s="34">
        <f t="shared" si="1"/>
        <v>901913</v>
      </c>
      <c r="G20" s="32">
        <f>SUM(G21,G24,G43)</f>
        <v>0</v>
      </c>
      <c r="H20" s="33">
        <f t="shared" ref="H20:I20" si="2">SUM(H21,H24,H43)</f>
        <v>0</v>
      </c>
      <c r="I20" s="34">
        <f t="shared" si="2"/>
        <v>0</v>
      </c>
      <c r="J20" s="32">
        <f>SUM(J21,J26,J43)</f>
        <v>9102</v>
      </c>
      <c r="K20" s="33">
        <f t="shared" ref="K20:L20" si="3">SUM(K21,K26,K43)</f>
        <v>0</v>
      </c>
      <c r="L20" s="34">
        <f t="shared" si="3"/>
        <v>9102</v>
      </c>
      <c r="M20" s="32">
        <f>SUM(M21,M45)</f>
        <v>0</v>
      </c>
      <c r="N20" s="33">
        <f t="shared" ref="N20:O20" si="4">SUM(N21,N45)</f>
        <v>0</v>
      </c>
      <c r="O20" s="34">
        <f t="shared" si="4"/>
        <v>0</v>
      </c>
      <c r="P20" s="35"/>
    </row>
    <row r="21" spans="1:16" ht="12.75" thickTop="1" x14ac:dyDescent="0.25">
      <c r="A21" s="36"/>
      <c r="B21" s="37" t="s">
        <v>39</v>
      </c>
      <c r="C21" s="38">
        <f t="shared" si="0"/>
        <v>2</v>
      </c>
      <c r="D21" s="39">
        <f>SUM(D22:D23)</f>
        <v>0</v>
      </c>
      <c r="E21" s="40">
        <f t="shared" ref="E21:F21" si="5">SUM(E22:E23)</f>
        <v>0</v>
      </c>
      <c r="F21" s="41">
        <f t="shared" si="5"/>
        <v>0</v>
      </c>
      <c r="G21" s="39">
        <f>SUM(G22:G23)</f>
        <v>0</v>
      </c>
      <c r="H21" s="40">
        <f t="shared" ref="H21:I21" si="6">SUM(H22:H23)</f>
        <v>0</v>
      </c>
      <c r="I21" s="41">
        <f t="shared" si="6"/>
        <v>0</v>
      </c>
      <c r="J21" s="39">
        <f>SUM(J22:J23)</f>
        <v>2</v>
      </c>
      <c r="K21" s="40">
        <f t="shared" ref="K21:L21" si="7">SUM(K22:K23)</f>
        <v>0</v>
      </c>
      <c r="L21" s="41">
        <f t="shared" si="7"/>
        <v>2</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v>
      </c>
      <c r="D23" s="53"/>
      <c r="E23" s="54"/>
      <c r="F23" s="55">
        <f t="shared" ref="F23:F25" si="9">D23+E23</f>
        <v>0</v>
      </c>
      <c r="G23" s="53"/>
      <c r="H23" s="54"/>
      <c r="I23" s="55">
        <f t="shared" ref="I23:I24" si="10">G23+H23</f>
        <v>0</v>
      </c>
      <c r="J23" s="53">
        <v>2</v>
      </c>
      <c r="K23" s="54"/>
      <c r="L23" s="56">
        <f>K23+J23</f>
        <v>2</v>
      </c>
      <c r="M23" s="53"/>
      <c r="N23" s="54"/>
      <c r="O23" s="55">
        <f>N23+M23</f>
        <v>0</v>
      </c>
      <c r="P23" s="57"/>
    </row>
    <row r="24" spans="1:16" s="28" customFormat="1" ht="24.75" customHeight="1" thickBot="1" x14ac:dyDescent="0.3">
      <c r="A24" s="58">
        <v>19300</v>
      </c>
      <c r="B24" s="58" t="s">
        <v>42</v>
      </c>
      <c r="C24" s="59">
        <f>F24+I24</f>
        <v>901913</v>
      </c>
      <c r="D24" s="60">
        <f>891913+10000</f>
        <v>901913</v>
      </c>
      <c r="E24" s="63"/>
      <c r="F24" s="62">
        <f t="shared" si="9"/>
        <v>901913</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9100</v>
      </c>
      <c r="D26" s="74" t="s">
        <v>43</v>
      </c>
      <c r="E26" s="75" t="s">
        <v>43</v>
      </c>
      <c r="F26" s="76" t="s">
        <v>43</v>
      </c>
      <c r="G26" s="74" t="s">
        <v>43</v>
      </c>
      <c r="H26" s="75" t="s">
        <v>43</v>
      </c>
      <c r="I26" s="76" t="s">
        <v>43</v>
      </c>
      <c r="J26" s="78">
        <f>SUM(J27,J31,J33,J36)</f>
        <v>9100</v>
      </c>
      <c r="K26" s="79">
        <f t="shared" ref="K26:L26" si="11">SUM(K27,K31,K33,K36)</f>
        <v>0</v>
      </c>
      <c r="L26" s="80">
        <f t="shared" si="11"/>
        <v>9100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9100</v>
      </c>
      <c r="D36" s="74" t="s">
        <v>43</v>
      </c>
      <c r="E36" s="75" t="s">
        <v>43</v>
      </c>
      <c r="F36" s="76" t="s">
        <v>43</v>
      </c>
      <c r="G36" s="74" t="s">
        <v>43</v>
      </c>
      <c r="H36" s="75" t="s">
        <v>43</v>
      </c>
      <c r="I36" s="76" t="s">
        <v>43</v>
      </c>
      <c r="J36" s="78">
        <f>SUM(J37:J40)</f>
        <v>9100</v>
      </c>
      <c r="K36" s="79">
        <f t="shared" ref="K36:L36" si="19">SUM(K37:K40)</f>
        <v>0</v>
      </c>
      <c r="L36" s="80">
        <f t="shared" si="19"/>
        <v>9100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9100</v>
      </c>
      <c r="D40" s="111" t="s">
        <v>43</v>
      </c>
      <c r="E40" s="112" t="s">
        <v>43</v>
      </c>
      <c r="F40" s="113" t="s">
        <v>43</v>
      </c>
      <c r="G40" s="111" t="s">
        <v>43</v>
      </c>
      <c r="H40" s="112" t="s">
        <v>43</v>
      </c>
      <c r="I40" s="113" t="s">
        <v>43</v>
      </c>
      <c r="J40" s="114">
        <v>9100</v>
      </c>
      <c r="K40" s="115"/>
      <c r="L40" s="116">
        <f t="shared" si="20"/>
        <v>9100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911015</v>
      </c>
      <c r="D50" s="159">
        <f>SUM(D51,D286)</f>
        <v>901913</v>
      </c>
      <c r="E50" s="160">
        <f t="shared" ref="E50:F50" si="26">SUM(E51,E286)</f>
        <v>0</v>
      </c>
      <c r="F50" s="161">
        <f t="shared" si="26"/>
        <v>901913</v>
      </c>
      <c r="G50" s="159">
        <f>SUM(G51,G286)</f>
        <v>0</v>
      </c>
      <c r="H50" s="160">
        <f>SUM(H51,H286)</f>
        <v>0</v>
      </c>
      <c r="I50" s="161">
        <f t="shared" ref="I50" si="27">SUM(I51,I286)</f>
        <v>0</v>
      </c>
      <c r="J50" s="32">
        <f>SUM(J51,J286)</f>
        <v>9102</v>
      </c>
      <c r="K50" s="33">
        <f t="shared" ref="K50:L50" si="28">SUM(K51,K286)</f>
        <v>0</v>
      </c>
      <c r="L50" s="34">
        <f t="shared" si="28"/>
        <v>9102</v>
      </c>
      <c r="M50" s="32">
        <f>SUM(M51,M286)</f>
        <v>0</v>
      </c>
      <c r="N50" s="33">
        <f t="shared" ref="N50:O50" si="29">SUM(N51,N286)</f>
        <v>0</v>
      </c>
      <c r="O50" s="34">
        <f t="shared" si="29"/>
        <v>0</v>
      </c>
      <c r="P50" s="35"/>
    </row>
    <row r="51" spans="1:16" s="28" customFormat="1" ht="36.75" thickTop="1" x14ac:dyDescent="0.25">
      <c r="A51" s="162"/>
      <c r="B51" s="163" t="s">
        <v>69</v>
      </c>
      <c r="C51" s="164">
        <f t="shared" si="0"/>
        <v>911015</v>
      </c>
      <c r="D51" s="165">
        <f>SUM(D52,D194)</f>
        <v>901913</v>
      </c>
      <c r="E51" s="166">
        <f t="shared" ref="E51:F51" si="30">SUM(E52,E194)</f>
        <v>0</v>
      </c>
      <c r="F51" s="167">
        <f t="shared" si="30"/>
        <v>901913</v>
      </c>
      <c r="G51" s="165">
        <f>SUM(G52,G194)</f>
        <v>0</v>
      </c>
      <c r="H51" s="166">
        <f t="shared" ref="H51:I51" si="31">SUM(H52,H194)</f>
        <v>0</v>
      </c>
      <c r="I51" s="167">
        <f t="shared" si="31"/>
        <v>0</v>
      </c>
      <c r="J51" s="168">
        <f>SUM(J52,J194)</f>
        <v>9102</v>
      </c>
      <c r="K51" s="169">
        <f t="shared" ref="K51:L51" si="32">SUM(K52,K194)</f>
        <v>0</v>
      </c>
      <c r="L51" s="170">
        <f t="shared" si="32"/>
        <v>9102</v>
      </c>
      <c r="M51" s="168">
        <f>SUM(M52,M194)</f>
        <v>0</v>
      </c>
      <c r="N51" s="169">
        <f t="shared" ref="N51:O51" si="33">SUM(N52,N194)</f>
        <v>0</v>
      </c>
      <c r="O51" s="170">
        <f t="shared" si="33"/>
        <v>0</v>
      </c>
      <c r="P51" s="171"/>
    </row>
    <row r="52" spans="1:16" s="28" customFormat="1" ht="24" x14ac:dyDescent="0.25">
      <c r="A52" s="24"/>
      <c r="B52" s="22" t="s">
        <v>70</v>
      </c>
      <c r="C52" s="172">
        <f t="shared" si="0"/>
        <v>891515</v>
      </c>
      <c r="D52" s="173">
        <f>SUM(D53,D75,D173,D187)</f>
        <v>882413</v>
      </c>
      <c r="E52" s="174">
        <f t="shared" ref="E52:F52" si="34">SUM(E53,E75,E173,E187)</f>
        <v>0</v>
      </c>
      <c r="F52" s="175">
        <f t="shared" si="34"/>
        <v>882413</v>
      </c>
      <c r="G52" s="173">
        <f>SUM(G53,G75,G173,G187)</f>
        <v>0</v>
      </c>
      <c r="H52" s="174">
        <f t="shared" ref="H52:I52" si="35">SUM(H53,H75,H173,H187)</f>
        <v>0</v>
      </c>
      <c r="I52" s="175">
        <f t="shared" si="35"/>
        <v>0</v>
      </c>
      <c r="J52" s="173">
        <f>SUM(J53,J75,J173,J187)</f>
        <v>9102</v>
      </c>
      <c r="K52" s="174">
        <f t="shared" ref="K52:L52" si="36">SUM(K53,K75,K173,K187)</f>
        <v>0</v>
      </c>
      <c r="L52" s="175">
        <f t="shared" si="36"/>
        <v>9102</v>
      </c>
      <c r="M52" s="173">
        <f>SUM(M53,M75,M173,M187)</f>
        <v>0</v>
      </c>
      <c r="N52" s="174">
        <f t="shared" ref="N52:O52" si="37">SUM(N53,N75,N173,N187)</f>
        <v>0</v>
      </c>
      <c r="O52" s="175">
        <f t="shared" si="37"/>
        <v>0</v>
      </c>
      <c r="P52" s="176"/>
    </row>
    <row r="53" spans="1:16" s="28" customFormat="1" x14ac:dyDescent="0.25">
      <c r="A53" s="177">
        <v>1000</v>
      </c>
      <c r="B53" s="177" t="s">
        <v>71</v>
      </c>
      <c r="C53" s="178">
        <f t="shared" si="0"/>
        <v>733002</v>
      </c>
      <c r="D53" s="179">
        <f>SUM(D54,D67)</f>
        <v>733002</v>
      </c>
      <c r="E53" s="180">
        <f t="shared" ref="E53:F53" si="38">SUM(E54,E67)</f>
        <v>0</v>
      </c>
      <c r="F53" s="181">
        <f t="shared" si="38"/>
        <v>733002</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571029</v>
      </c>
      <c r="D54" s="184">
        <f>SUM(D55,D58,D66)</f>
        <v>571029</v>
      </c>
      <c r="E54" s="185">
        <f t="shared" ref="E54:F54" si="42">SUM(E55,E58,E66)</f>
        <v>0</v>
      </c>
      <c r="F54" s="73">
        <f t="shared" si="42"/>
        <v>571029</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531448</v>
      </c>
      <c r="D55" s="187">
        <f>SUM(D56:D57)</f>
        <v>531448</v>
      </c>
      <c r="E55" s="188">
        <f t="shared" ref="E55:F55" si="46">SUM(E56:E57)</f>
        <v>0</v>
      </c>
      <c r="F55" s="141">
        <f t="shared" si="46"/>
        <v>531448</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customHeight="1" x14ac:dyDescent="0.25">
      <c r="A56" s="44">
        <v>1111</v>
      </c>
      <c r="B56" s="82" t="s">
        <v>74</v>
      </c>
      <c r="C56" s="83">
        <f t="shared" si="0"/>
        <v>396001</v>
      </c>
      <c r="D56" s="46">
        <f>78339+317662</f>
        <v>396001</v>
      </c>
      <c r="E56" s="47"/>
      <c r="F56" s="134">
        <f t="shared" ref="F56:F57" si="50">D56+E56</f>
        <v>396001</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75</v>
      </c>
      <c r="C57" s="90">
        <f t="shared" si="0"/>
        <v>135447</v>
      </c>
      <c r="D57" s="53">
        <f>453109-317662</f>
        <v>135447</v>
      </c>
      <c r="E57" s="54"/>
      <c r="F57" s="55">
        <f t="shared" si="50"/>
        <v>135447</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39581</v>
      </c>
      <c r="D58" s="190">
        <f>SUM(D59:D65)</f>
        <v>39581</v>
      </c>
      <c r="E58" s="191">
        <f>SUM(E59:E65)</f>
        <v>0</v>
      </c>
      <c r="F58" s="55">
        <f t="shared" ref="F58" si="54">SUM(F59:F65)</f>
        <v>39581</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1300</v>
      </c>
      <c r="D60" s="53">
        <v>1300</v>
      </c>
      <c r="E60" s="54"/>
      <c r="F60" s="55">
        <f t="shared" si="58"/>
        <v>1300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9" t="s">
        <v>80</v>
      </c>
      <c r="C62" s="90">
        <f t="shared" si="0"/>
        <v>8460</v>
      </c>
      <c r="D62" s="53">
        <v>8460</v>
      </c>
      <c r="E62" s="54"/>
      <c r="F62" s="55">
        <f t="shared" si="58"/>
        <v>8460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19880</v>
      </c>
      <c r="D63" s="53">
        <f>17880+2000</f>
        <v>19880</v>
      </c>
      <c r="E63" s="54"/>
      <c r="F63" s="55">
        <f t="shared" si="58"/>
        <v>19880</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9941</v>
      </c>
      <c r="D64" s="53">
        <v>9941</v>
      </c>
      <c r="E64" s="54"/>
      <c r="F64" s="55">
        <f t="shared" si="58"/>
        <v>9941</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161973</v>
      </c>
      <c r="D67" s="184">
        <f>SUM(D68:D69)</f>
        <v>161973</v>
      </c>
      <c r="E67" s="185">
        <f t="shared" ref="E67:F67" si="62">SUM(E68:E69)</f>
        <v>0</v>
      </c>
      <c r="F67" s="73">
        <f t="shared" si="62"/>
        <v>161973</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896">
        <v>1210</v>
      </c>
      <c r="B68" s="82" t="s">
        <v>86</v>
      </c>
      <c r="C68" s="83">
        <f t="shared" si="0"/>
        <v>132942</v>
      </c>
      <c r="D68" s="46">
        <f>124942+8000</f>
        <v>132942</v>
      </c>
      <c r="E68" s="47"/>
      <c r="F68" s="134">
        <f>D68+E68</f>
        <v>132942</v>
      </c>
      <c r="G68" s="46"/>
      <c r="H68" s="47"/>
      <c r="I68" s="134">
        <f>G68+H68</f>
        <v>0</v>
      </c>
      <c r="J68" s="46"/>
      <c r="K68" s="47"/>
      <c r="L68" s="134">
        <f>K68+J68</f>
        <v>0</v>
      </c>
      <c r="M68" s="46"/>
      <c r="N68" s="47"/>
      <c r="O68" s="134">
        <f>N68+M68</f>
        <v>0</v>
      </c>
      <c r="P68" s="49"/>
    </row>
    <row r="69" spans="1:16" ht="24" x14ac:dyDescent="0.25">
      <c r="A69" s="189">
        <v>1220</v>
      </c>
      <c r="B69" s="89" t="s">
        <v>87</v>
      </c>
      <c r="C69" s="90">
        <f t="shared" si="0"/>
        <v>29031</v>
      </c>
      <c r="D69" s="190">
        <f>SUM(D70:D74)</f>
        <v>29031</v>
      </c>
      <c r="E69" s="191">
        <f t="shared" ref="E69:F69" si="66">SUM(E70:E74)</f>
        <v>0</v>
      </c>
      <c r="F69" s="55">
        <f t="shared" si="66"/>
        <v>29031</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18584</v>
      </c>
      <c r="D70" s="53">
        <v>18584</v>
      </c>
      <c r="E70" s="54"/>
      <c r="F70" s="55">
        <f t="shared" ref="F70:F74" si="70">D70+E70</f>
        <v>18584</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4697</v>
      </c>
      <c r="D73" s="53">
        <v>4697</v>
      </c>
      <c r="E73" s="54"/>
      <c r="F73" s="55">
        <f t="shared" si="70"/>
        <v>4697</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5750</v>
      </c>
      <c r="D74" s="53">
        <v>5750</v>
      </c>
      <c r="E74" s="54"/>
      <c r="F74" s="55">
        <f t="shared" si="70"/>
        <v>5750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158513</v>
      </c>
      <c r="D75" s="179">
        <f>SUM(D76,D83,D130,D164,D165,D172)</f>
        <v>149411</v>
      </c>
      <c r="E75" s="180">
        <f t="shared" ref="E75:F75" si="74">SUM(E76,E83,E130,E164,E165,E172)</f>
        <v>0</v>
      </c>
      <c r="F75" s="181">
        <f t="shared" si="74"/>
        <v>149411</v>
      </c>
      <c r="G75" s="179">
        <f>SUM(G76,G83,G130,G164,G165,G172)</f>
        <v>0</v>
      </c>
      <c r="H75" s="180">
        <f t="shared" ref="H75:I75" si="75">SUM(H76,H83,H130,H164,H165,H172)</f>
        <v>0</v>
      </c>
      <c r="I75" s="181">
        <f t="shared" si="75"/>
        <v>0</v>
      </c>
      <c r="J75" s="179">
        <f>SUM(J76,J83,J130,J164,J165,J172)</f>
        <v>9102</v>
      </c>
      <c r="K75" s="180">
        <f t="shared" ref="K75:L75" si="76">SUM(K76,K83,K130,K164,K165,K172)</f>
        <v>0</v>
      </c>
      <c r="L75" s="181">
        <f t="shared" si="76"/>
        <v>9102</v>
      </c>
      <c r="M75" s="179">
        <f>SUM(M76,M83,M130,M164,M165,M172)</f>
        <v>0</v>
      </c>
      <c r="N75" s="180">
        <f t="shared" ref="N75:O75" si="77">SUM(N76,N83,N130,N164,N165,N172)</f>
        <v>0</v>
      </c>
      <c r="O75" s="181">
        <f t="shared" si="77"/>
        <v>0</v>
      </c>
      <c r="P75" s="182"/>
    </row>
    <row r="76" spans="1:16" ht="24" x14ac:dyDescent="0.25">
      <c r="A76" s="69">
        <v>2100</v>
      </c>
      <c r="B76" s="183" t="s">
        <v>94</v>
      </c>
      <c r="C76" s="70">
        <f t="shared" si="0"/>
        <v>62776</v>
      </c>
      <c r="D76" s="184">
        <f>SUM(D77,D80)</f>
        <v>64776</v>
      </c>
      <c r="E76" s="185">
        <f t="shared" ref="E76:F76" si="78">SUM(E77,E80)</f>
        <v>-2000</v>
      </c>
      <c r="F76" s="73">
        <f t="shared" si="78"/>
        <v>62776</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896">
        <v>2110</v>
      </c>
      <c r="B77" s="82" t="s">
        <v>95</v>
      </c>
      <c r="C77" s="83">
        <f t="shared" si="0"/>
        <v>830</v>
      </c>
      <c r="D77" s="194">
        <f>SUM(D78:D79)</f>
        <v>830</v>
      </c>
      <c r="E77" s="195">
        <f t="shared" ref="E77:F77" si="82">SUM(E78:E79)</f>
        <v>0</v>
      </c>
      <c r="F77" s="134">
        <f t="shared" si="82"/>
        <v>830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customHeight="1" x14ac:dyDescent="0.25">
      <c r="A78" s="51">
        <v>2111</v>
      </c>
      <c r="B78" s="89" t="s">
        <v>96</v>
      </c>
      <c r="C78" s="90">
        <f t="shared" si="0"/>
        <v>245</v>
      </c>
      <c r="D78" s="196">
        <v>245</v>
      </c>
      <c r="E78" s="197"/>
      <c r="F78" s="55">
        <f t="shared" ref="F78:F79" si="86">D78+E78</f>
        <v>245</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585</v>
      </c>
      <c r="D79" s="196">
        <v>585</v>
      </c>
      <c r="E79" s="197"/>
      <c r="F79" s="55">
        <f t="shared" si="86"/>
        <v>585</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61946</v>
      </c>
      <c r="D80" s="190">
        <f>SUM(D81:D82)</f>
        <v>63946</v>
      </c>
      <c r="E80" s="191">
        <f t="shared" ref="E80:F80" si="90">SUM(E81:E82)</f>
        <v>-2000</v>
      </c>
      <c r="F80" s="55">
        <f t="shared" si="90"/>
        <v>61946</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customHeight="1" x14ac:dyDescent="0.25">
      <c r="A81" s="51">
        <v>2121</v>
      </c>
      <c r="B81" s="89" t="s">
        <v>96</v>
      </c>
      <c r="C81" s="90">
        <f t="shared" si="0"/>
        <v>13100</v>
      </c>
      <c r="D81" s="196">
        <v>13100</v>
      </c>
      <c r="E81" s="197"/>
      <c r="F81" s="55">
        <f t="shared" ref="F81:F82" si="94">D81+E81</f>
        <v>13100</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9" t="s">
        <v>97</v>
      </c>
      <c r="C82" s="90">
        <f t="shared" si="0"/>
        <v>48846</v>
      </c>
      <c r="D82" s="196">
        <v>50846</v>
      </c>
      <c r="E82" s="985">
        <v>-2000</v>
      </c>
      <c r="F82" s="55">
        <f t="shared" si="94"/>
        <v>48846</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44585</v>
      </c>
      <c r="D83" s="184">
        <f>SUM(D84,D89,D95,D103,D112,D116,D122,D128)</f>
        <v>42585</v>
      </c>
      <c r="E83" s="185">
        <f t="shared" ref="E83:F83" si="98">SUM(E84,E89,E95,E103,E112,E116,E122,E128)</f>
        <v>2000</v>
      </c>
      <c r="F83" s="73">
        <f t="shared" si="98"/>
        <v>44585</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15500</v>
      </c>
      <c r="D84" s="187">
        <f>SUM(D85:D88)</f>
        <v>15500</v>
      </c>
      <c r="E84" s="188">
        <f t="shared" ref="E84:F84" si="103">SUM(E85:E88)</f>
        <v>0</v>
      </c>
      <c r="F84" s="141">
        <f t="shared" si="103"/>
        <v>15500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15500</v>
      </c>
      <c r="D88" s="196">
        <v>15500</v>
      </c>
      <c r="E88" s="197"/>
      <c r="F88" s="55">
        <f t="shared" si="107"/>
        <v>15500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26155</v>
      </c>
      <c r="D95" s="190">
        <f>SUM(D96:D102)</f>
        <v>24155</v>
      </c>
      <c r="E95" s="191">
        <f t="shared" ref="E95:F95" si="119">SUM(E96:E102)</f>
        <v>2000</v>
      </c>
      <c r="F95" s="55">
        <f t="shared" si="119"/>
        <v>26155</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7500</v>
      </c>
      <c r="D96" s="196">
        <v>7500</v>
      </c>
      <c r="E96" s="197"/>
      <c r="F96" s="55">
        <f t="shared" ref="F96:F102" si="123">D96+E96</f>
        <v>7500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13000</v>
      </c>
      <c r="D100" s="196">
        <v>11000</v>
      </c>
      <c r="E100" s="985">
        <v>2000</v>
      </c>
      <c r="F100" s="55">
        <f t="shared" si="123"/>
        <v>13000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5655</v>
      </c>
      <c r="D102" s="196">
        <v>5655</v>
      </c>
      <c r="E102" s="197"/>
      <c r="F102" s="55">
        <f t="shared" si="123"/>
        <v>5655</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2930</v>
      </c>
      <c r="D122" s="190">
        <f>SUM(D123:D127)</f>
        <v>2930</v>
      </c>
      <c r="E122" s="191">
        <f t="shared" ref="E122:F122" si="151">SUM(E123:E127)</f>
        <v>0</v>
      </c>
      <c r="F122" s="55">
        <f t="shared" si="151"/>
        <v>2930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2930</v>
      </c>
      <c r="D127" s="196">
        <v>2930</v>
      </c>
      <c r="E127" s="197"/>
      <c r="F127" s="55">
        <f t="shared" si="155"/>
        <v>2930</v>
      </c>
      <c r="G127" s="53"/>
      <c r="H127" s="54"/>
      <c r="I127" s="55">
        <f t="shared" si="156"/>
        <v>0</v>
      </c>
      <c r="J127" s="53"/>
      <c r="K127" s="54"/>
      <c r="L127" s="55">
        <f t="shared" si="157"/>
        <v>0</v>
      </c>
      <c r="M127" s="53"/>
      <c r="N127" s="54"/>
      <c r="O127" s="55">
        <f t="shared" si="158"/>
        <v>0</v>
      </c>
      <c r="P127" s="57"/>
    </row>
    <row r="128" spans="1:16" ht="48" hidden="1" x14ac:dyDescent="0.25">
      <c r="A128" s="89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48450</v>
      </c>
      <c r="D130" s="184">
        <f>SUM(D131,D136,D140,D141,D144,D151,D159,D160,D163)</f>
        <v>42050</v>
      </c>
      <c r="E130" s="185">
        <f t="shared" ref="E130:F130" si="160">SUM(E131,E136,E140,E141,E144,E151,E159,E160,E163)</f>
        <v>0</v>
      </c>
      <c r="F130" s="73">
        <f t="shared" si="160"/>
        <v>42050</v>
      </c>
      <c r="G130" s="184">
        <f>SUM(G131,G136,G140,G141,G144,G151,G159,G160,G163)</f>
        <v>0</v>
      </c>
      <c r="H130" s="185">
        <f t="shared" ref="H130:I130" si="161">SUM(H131,H136,H140,H141,H144,H151,H159,H160,H163)</f>
        <v>0</v>
      </c>
      <c r="I130" s="73">
        <f t="shared" si="161"/>
        <v>0</v>
      </c>
      <c r="J130" s="184">
        <f>SUM(J131,J136,J140,J141,J144,J151,J159,J160,J163)</f>
        <v>6400</v>
      </c>
      <c r="K130" s="185">
        <f t="shared" ref="K130:L130" si="162">SUM(K131,K136,K140,K141,K144,K151,K159,K160,K163)</f>
        <v>0</v>
      </c>
      <c r="L130" s="73">
        <f t="shared" si="162"/>
        <v>6400</v>
      </c>
      <c r="M130" s="184">
        <f>SUM(M131,M136,M140,M141,M144,M151,M159,M160,M163)</f>
        <v>0</v>
      </c>
      <c r="N130" s="185">
        <f t="shared" ref="N130:O130" si="163">SUM(N131,N136,N140,N141,N144,N151,N159,N160,N163)</f>
        <v>0</v>
      </c>
      <c r="O130" s="73">
        <f t="shared" si="163"/>
        <v>0</v>
      </c>
      <c r="P130" s="77"/>
    </row>
    <row r="131" spans="1:16" ht="24" x14ac:dyDescent="0.25">
      <c r="A131" s="896">
        <v>2310</v>
      </c>
      <c r="B131" s="82" t="s">
        <v>147</v>
      </c>
      <c r="C131" s="83">
        <f t="shared" si="102"/>
        <v>48450</v>
      </c>
      <c r="D131" s="194">
        <f t="shared" ref="D131:O131" si="164">SUM(D132:D135)</f>
        <v>42050</v>
      </c>
      <c r="E131" s="195">
        <f t="shared" si="164"/>
        <v>0</v>
      </c>
      <c r="F131" s="134">
        <f t="shared" si="164"/>
        <v>42050</v>
      </c>
      <c r="G131" s="194">
        <f t="shared" si="164"/>
        <v>0</v>
      </c>
      <c r="H131" s="195">
        <f t="shared" si="164"/>
        <v>0</v>
      </c>
      <c r="I131" s="134">
        <f t="shared" si="164"/>
        <v>0</v>
      </c>
      <c r="J131" s="194">
        <f t="shared" si="164"/>
        <v>6400</v>
      </c>
      <c r="K131" s="195">
        <f t="shared" si="164"/>
        <v>0</v>
      </c>
      <c r="L131" s="134">
        <f t="shared" si="164"/>
        <v>6400</v>
      </c>
      <c r="M131" s="194">
        <f t="shared" si="164"/>
        <v>0</v>
      </c>
      <c r="N131" s="195">
        <f t="shared" si="164"/>
        <v>0</v>
      </c>
      <c r="O131" s="134">
        <f t="shared" si="164"/>
        <v>0</v>
      </c>
      <c r="P131" s="49"/>
    </row>
    <row r="132" spans="1:16" ht="12" customHeight="1" x14ac:dyDescent="0.25">
      <c r="A132" s="51">
        <v>2311</v>
      </c>
      <c r="B132" s="89" t="s">
        <v>148</v>
      </c>
      <c r="C132" s="90">
        <f t="shared" si="102"/>
        <v>2300</v>
      </c>
      <c r="D132" s="196">
        <v>900</v>
      </c>
      <c r="E132" s="197"/>
      <c r="F132" s="55">
        <f t="shared" ref="F132:F135" si="165">D132+E132</f>
        <v>900</v>
      </c>
      <c r="G132" s="53"/>
      <c r="H132" s="54"/>
      <c r="I132" s="55">
        <f t="shared" ref="I132:I135" si="166">G132+H132</f>
        <v>0</v>
      </c>
      <c r="J132" s="53">
        <v>1400</v>
      </c>
      <c r="K132" s="54"/>
      <c r="L132" s="55">
        <f t="shared" ref="L132:L135" si="167">K132+J132</f>
        <v>1400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46150</v>
      </c>
      <c r="D135" s="196">
        <v>41150</v>
      </c>
      <c r="E135" s="197"/>
      <c r="F135" s="55">
        <f t="shared" si="165"/>
        <v>41150</v>
      </c>
      <c r="G135" s="53"/>
      <c r="H135" s="54"/>
      <c r="I135" s="55">
        <f t="shared" si="166"/>
        <v>0</v>
      </c>
      <c r="J135" s="53">
        <v>5000</v>
      </c>
      <c r="K135" s="54"/>
      <c r="L135" s="55">
        <f t="shared" si="167"/>
        <v>5000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2702</v>
      </c>
      <c r="D165" s="184">
        <f>SUM(D166,D171)</f>
        <v>0</v>
      </c>
      <c r="E165" s="185">
        <f t="shared" ref="E165:O165" si="210">SUM(E166,E171)</f>
        <v>0</v>
      </c>
      <c r="F165" s="73">
        <f t="shared" si="210"/>
        <v>0</v>
      </c>
      <c r="G165" s="184">
        <f t="shared" si="210"/>
        <v>0</v>
      </c>
      <c r="H165" s="185">
        <f t="shared" si="210"/>
        <v>0</v>
      </c>
      <c r="I165" s="73">
        <f t="shared" si="210"/>
        <v>0</v>
      </c>
      <c r="J165" s="184">
        <f t="shared" si="210"/>
        <v>2702</v>
      </c>
      <c r="K165" s="185">
        <f t="shared" si="210"/>
        <v>0</v>
      </c>
      <c r="L165" s="73">
        <f t="shared" si="210"/>
        <v>2702</v>
      </c>
      <c r="M165" s="184">
        <f t="shared" si="210"/>
        <v>0</v>
      </c>
      <c r="N165" s="185">
        <f t="shared" si="210"/>
        <v>0</v>
      </c>
      <c r="O165" s="73">
        <f t="shared" si="210"/>
        <v>0</v>
      </c>
      <c r="P165" s="77"/>
    </row>
    <row r="166" spans="1:16" ht="23.25" customHeight="1" x14ac:dyDescent="0.25">
      <c r="A166" s="896">
        <v>2510</v>
      </c>
      <c r="B166" s="82" t="s">
        <v>182</v>
      </c>
      <c r="C166" s="83">
        <f t="shared" si="193"/>
        <v>2702</v>
      </c>
      <c r="D166" s="194">
        <f>SUM(D167:D170)</f>
        <v>0</v>
      </c>
      <c r="E166" s="195">
        <f t="shared" ref="E166:O166" si="211">SUM(E167:E170)</f>
        <v>0</v>
      </c>
      <c r="F166" s="134">
        <f t="shared" si="211"/>
        <v>0</v>
      </c>
      <c r="G166" s="194">
        <f t="shared" si="211"/>
        <v>0</v>
      </c>
      <c r="H166" s="195">
        <f t="shared" si="211"/>
        <v>0</v>
      </c>
      <c r="I166" s="134">
        <f t="shared" si="211"/>
        <v>0</v>
      </c>
      <c r="J166" s="194">
        <f t="shared" si="211"/>
        <v>2702</v>
      </c>
      <c r="K166" s="195">
        <f t="shared" si="211"/>
        <v>0</v>
      </c>
      <c r="L166" s="134">
        <f t="shared" si="211"/>
        <v>2702</v>
      </c>
      <c r="M166" s="194">
        <f t="shared" si="211"/>
        <v>0</v>
      </c>
      <c r="N166" s="195">
        <f t="shared" si="211"/>
        <v>0</v>
      </c>
      <c r="O166" s="134">
        <f t="shared" si="211"/>
        <v>0</v>
      </c>
      <c r="P166" s="49"/>
    </row>
    <row r="167" spans="1:16" ht="24" customHeight="1" x14ac:dyDescent="0.25">
      <c r="A167" s="51">
        <v>2512</v>
      </c>
      <c r="B167" s="89" t="s">
        <v>183</v>
      </c>
      <c r="C167" s="90">
        <f t="shared" si="193"/>
        <v>2702</v>
      </c>
      <c r="D167" s="196"/>
      <c r="E167" s="197"/>
      <c r="F167" s="55">
        <f t="shared" ref="F167:F172" si="212">D167+E167</f>
        <v>0</v>
      </c>
      <c r="G167" s="53"/>
      <c r="H167" s="54"/>
      <c r="I167" s="55">
        <f t="shared" ref="I167:I172" si="213">G167+H167</f>
        <v>0</v>
      </c>
      <c r="J167" s="53">
        <f>2700+2</f>
        <v>2702</v>
      </c>
      <c r="K167" s="54"/>
      <c r="L167" s="55">
        <f t="shared" ref="L167:L172" si="214">K167+J167</f>
        <v>2702</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9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9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9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9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19500</v>
      </c>
      <c r="D194" s="173">
        <f t="shared" ref="D194:O194" si="259">SUM(D195,D230,D269,D283)</f>
        <v>19500</v>
      </c>
      <c r="E194" s="174">
        <f t="shared" si="259"/>
        <v>0</v>
      </c>
      <c r="F194" s="175">
        <f t="shared" si="259"/>
        <v>19500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9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246</v>
      </c>
      <c r="C230" s="178">
        <f t="shared" si="288"/>
        <v>19500</v>
      </c>
      <c r="D230" s="179">
        <f>D231+D251+D259</f>
        <v>19500</v>
      </c>
      <c r="E230" s="180">
        <f t="shared" ref="E230:F230" si="305">E231+E251+E259</f>
        <v>0</v>
      </c>
      <c r="F230" s="181">
        <f t="shared" si="305"/>
        <v>19500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89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9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9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275</v>
      </c>
      <c r="C259" s="70">
        <f t="shared" si="288"/>
        <v>19500</v>
      </c>
      <c r="D259" s="184">
        <f>SUM(D260,D264)</f>
        <v>19500</v>
      </c>
      <c r="E259" s="185">
        <f t="shared" ref="E259:O259" si="341">SUM(E260,E264)</f>
        <v>0</v>
      </c>
      <c r="F259" s="73">
        <f t="shared" si="341"/>
        <v>19500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9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x14ac:dyDescent="0.25">
      <c r="A264" s="189">
        <v>6420</v>
      </c>
      <c r="B264" s="89" t="s">
        <v>280</v>
      </c>
      <c r="C264" s="90">
        <f t="shared" si="288"/>
        <v>19500</v>
      </c>
      <c r="D264" s="190">
        <f>SUM(D265:D268)</f>
        <v>19500</v>
      </c>
      <c r="E264" s="191">
        <f t="shared" ref="E264:F264" si="347">SUM(E265:E268)</f>
        <v>0</v>
      </c>
      <c r="F264" s="55">
        <f t="shared" si="347"/>
        <v>19500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9" t="s">
        <v>282</v>
      </c>
      <c r="C266" s="90">
        <f t="shared" si="288"/>
        <v>19500</v>
      </c>
      <c r="D266" s="196">
        <v>19500</v>
      </c>
      <c r="E266" s="197"/>
      <c r="F266" s="55">
        <f t="shared" si="351"/>
        <v>19500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9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9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911015</v>
      </c>
      <c r="D289" s="252">
        <f t="shared" ref="D289:O289" si="389">SUM(D286,D269,D230,D195,D187,D173,D75,D53,D283)</f>
        <v>901913</v>
      </c>
      <c r="E289" s="253">
        <f t="shared" si="389"/>
        <v>0</v>
      </c>
      <c r="F289" s="254">
        <f t="shared" si="389"/>
        <v>901913</v>
      </c>
      <c r="G289" s="252">
        <f t="shared" si="389"/>
        <v>0</v>
      </c>
      <c r="H289" s="253">
        <f t="shared" si="389"/>
        <v>0</v>
      </c>
      <c r="I289" s="254">
        <f t="shared" si="389"/>
        <v>0</v>
      </c>
      <c r="J289" s="252">
        <f t="shared" si="389"/>
        <v>9102</v>
      </c>
      <c r="K289" s="253">
        <f t="shared" si="389"/>
        <v>0</v>
      </c>
      <c r="L289" s="254">
        <f t="shared" si="389"/>
        <v>9102</v>
      </c>
      <c r="M289" s="252">
        <f t="shared" si="389"/>
        <v>0</v>
      </c>
      <c r="N289" s="253">
        <f t="shared" si="389"/>
        <v>0</v>
      </c>
      <c r="O289" s="254">
        <f t="shared" si="389"/>
        <v>0</v>
      </c>
      <c r="P289" s="255"/>
    </row>
    <row r="290" spans="1:16" s="28" customFormat="1" ht="13.5" thickTop="1" thickBot="1" x14ac:dyDescent="0.3">
      <c r="A290" s="1544" t="s">
        <v>308</v>
      </c>
      <c r="B290" s="1545"/>
      <c r="C290" s="256">
        <f t="shared" si="371"/>
        <v>-2</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-2</v>
      </c>
      <c r="K290" s="258">
        <f t="shared" ref="K290:L290" si="392">(K26+K43)-K51</f>
        <v>0</v>
      </c>
      <c r="L290" s="259">
        <f t="shared" si="392"/>
        <v>-2</v>
      </c>
      <c r="M290" s="257">
        <f>M45-M51</f>
        <v>0</v>
      </c>
      <c r="N290" s="258">
        <f t="shared" ref="N290:O290" si="393">N45-N51</f>
        <v>0</v>
      </c>
      <c r="O290" s="259">
        <f t="shared" si="393"/>
        <v>0</v>
      </c>
      <c r="P290" s="260"/>
    </row>
    <row r="291" spans="1:16" s="28" customFormat="1" ht="12.75" thickTop="1" x14ac:dyDescent="0.25">
      <c r="A291" s="1546" t="s">
        <v>309</v>
      </c>
      <c r="B291" s="1547"/>
      <c r="C291" s="261">
        <f t="shared" si="371"/>
        <v>2</v>
      </c>
      <c r="D291" s="262">
        <f t="shared" ref="D291:O291" si="394">SUM(D292,D293)-D300+D301</f>
        <v>0</v>
      </c>
      <c r="E291" s="263">
        <f t="shared" si="394"/>
        <v>0</v>
      </c>
      <c r="F291" s="264">
        <f t="shared" si="394"/>
        <v>0</v>
      </c>
      <c r="G291" s="262">
        <f t="shared" si="394"/>
        <v>0</v>
      </c>
      <c r="H291" s="263">
        <f t="shared" si="394"/>
        <v>0</v>
      </c>
      <c r="I291" s="264">
        <f t="shared" si="394"/>
        <v>0</v>
      </c>
      <c r="J291" s="262">
        <f t="shared" si="394"/>
        <v>2</v>
      </c>
      <c r="K291" s="263">
        <f t="shared" si="394"/>
        <v>0</v>
      </c>
      <c r="L291" s="264">
        <f t="shared" si="394"/>
        <v>2</v>
      </c>
      <c r="M291" s="262">
        <f t="shared" si="394"/>
        <v>0</v>
      </c>
      <c r="N291" s="263">
        <f t="shared" si="394"/>
        <v>0</v>
      </c>
      <c r="O291" s="264">
        <f t="shared" si="394"/>
        <v>0</v>
      </c>
      <c r="P291" s="265"/>
    </row>
    <row r="292" spans="1:16" s="28" customFormat="1" ht="12.75" thickBot="1" x14ac:dyDescent="0.3">
      <c r="A292" s="157" t="s">
        <v>310</v>
      </c>
      <c r="B292" s="157" t="s">
        <v>311</v>
      </c>
      <c r="C292" s="158">
        <f t="shared" si="371"/>
        <v>2</v>
      </c>
      <c r="D292" s="159">
        <f t="shared" ref="D292:O292" si="395">D21-D286</f>
        <v>0</v>
      </c>
      <c r="E292" s="160">
        <f t="shared" si="395"/>
        <v>0</v>
      </c>
      <c r="F292" s="161">
        <f t="shared" si="395"/>
        <v>0</v>
      </c>
      <c r="G292" s="159">
        <f t="shared" si="395"/>
        <v>0</v>
      </c>
      <c r="H292" s="160">
        <f t="shared" si="395"/>
        <v>0</v>
      </c>
      <c r="I292" s="161">
        <f t="shared" si="395"/>
        <v>0</v>
      </c>
      <c r="J292" s="159">
        <f t="shared" si="395"/>
        <v>2</v>
      </c>
      <c r="K292" s="160">
        <f t="shared" si="395"/>
        <v>0</v>
      </c>
      <c r="L292" s="161">
        <f t="shared" si="395"/>
        <v>2</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ht="12.75" thickTop="1"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6+M8IAt+MesbJEGW4aZ12EPMjF3A79+hwfPkMX3jeAjeMFlR4tV1NP7OZD5mZVz6HipIADOIJ68vM0o7AcV8xQ==" saltValue="Q3syPnBnKIojwWofr/lsQA==" spinCount="100000" sheet="1" objects="1" scenarios="1" formatCells="0" formatColumns="0" formatRows="0" deleteColumns="0"/>
  <autoFilter ref="A18:P301">
    <filterColumn colId="2">
      <filters>
        <filter val="1 300"/>
        <filter val="13 000"/>
        <filter val="13 100"/>
        <filter val="132 942"/>
        <filter val="135 447"/>
        <filter val="15 500"/>
        <filter val="158 513"/>
        <filter val="161 973"/>
        <filter val="18 584"/>
        <filter val="19 500"/>
        <filter val="19 880"/>
        <filter val="2"/>
        <filter val="-2"/>
        <filter val="2 300"/>
        <filter val="2 702"/>
        <filter val="2 930"/>
        <filter val="245"/>
        <filter val="26 155"/>
        <filter val="29 031"/>
        <filter val="39 581"/>
        <filter val="396 001"/>
        <filter val="4 697"/>
        <filter val="44 585"/>
        <filter val="46 150"/>
        <filter val="48 450"/>
        <filter val="48 846"/>
        <filter val="5 655"/>
        <filter val="5 750"/>
        <filter val="531 448"/>
        <filter val="571 029"/>
        <filter val="585"/>
        <filter val="61 946"/>
        <filter val="62 776"/>
        <filter val="7 500"/>
        <filter val="733 002"/>
        <filter val="8 460"/>
        <filter val="830"/>
        <filter val="891 515"/>
        <filter val="9 100"/>
        <filter val="9 941"/>
        <filter val="901 913"/>
        <filter val="911 01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2019.gada 31.oktobra saistošajiem noteikumiem Nr.46
(protokols Nr.14, 28.punkts)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1041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1042</v>
      </c>
      <c r="D3" s="1517"/>
      <c r="E3" s="1517"/>
      <c r="F3" s="1517"/>
      <c r="G3" s="1517"/>
      <c r="H3" s="1517"/>
      <c r="I3" s="1517"/>
      <c r="J3" s="1517"/>
      <c r="K3" s="1517"/>
      <c r="L3" s="1517"/>
      <c r="M3" s="1517"/>
      <c r="N3" s="1517"/>
      <c r="O3" s="1517"/>
      <c r="P3" s="1518"/>
      <c r="Q3" s="277"/>
    </row>
    <row r="4" spans="1:17" ht="12.75" customHeight="1" x14ac:dyDescent="0.25">
      <c r="A4" s="5" t="s">
        <v>4</v>
      </c>
      <c r="B4" s="6"/>
      <c r="C4" s="1517" t="s">
        <v>1043</v>
      </c>
      <c r="D4" s="1517"/>
      <c r="E4" s="1517"/>
      <c r="F4" s="1517"/>
      <c r="G4" s="1517"/>
      <c r="H4" s="1517"/>
      <c r="I4" s="1517"/>
      <c r="J4" s="1517"/>
      <c r="K4" s="1517"/>
      <c r="L4" s="1517"/>
      <c r="M4" s="1517"/>
      <c r="N4" s="1517"/>
      <c r="O4" s="1517"/>
      <c r="P4" s="1518"/>
      <c r="Q4" s="277"/>
    </row>
    <row r="5" spans="1:17" ht="12.75" customHeight="1" x14ac:dyDescent="0.25">
      <c r="A5" s="7" t="s">
        <v>6</v>
      </c>
      <c r="B5" s="8"/>
      <c r="C5" s="1512" t="s">
        <v>1044</v>
      </c>
      <c r="D5" s="1512"/>
      <c r="E5" s="1512"/>
      <c r="F5" s="1512"/>
      <c r="G5" s="1512"/>
      <c r="H5" s="1512"/>
      <c r="I5" s="1512"/>
      <c r="J5" s="1512"/>
      <c r="K5" s="1512"/>
      <c r="L5" s="1512"/>
      <c r="M5" s="1512"/>
      <c r="N5" s="1512"/>
      <c r="O5" s="1512"/>
      <c r="P5" s="1513"/>
      <c r="Q5" s="277"/>
    </row>
    <row r="6" spans="1:17" ht="12.75" customHeight="1" x14ac:dyDescent="0.25">
      <c r="A6" s="7" t="s">
        <v>8</v>
      </c>
      <c r="B6" s="8"/>
      <c r="C6" s="1512" t="s">
        <v>1045</v>
      </c>
      <c r="D6" s="1512"/>
      <c r="E6" s="1512"/>
      <c r="F6" s="1512"/>
      <c r="G6" s="1512"/>
      <c r="H6" s="1512"/>
      <c r="I6" s="1512"/>
      <c r="J6" s="1512"/>
      <c r="K6" s="1512"/>
      <c r="L6" s="1512"/>
      <c r="M6" s="1512"/>
      <c r="N6" s="1512"/>
      <c r="O6" s="1512"/>
      <c r="P6" s="1513"/>
      <c r="Q6" s="277"/>
    </row>
    <row r="7" spans="1:17" ht="24.75" customHeight="1" x14ac:dyDescent="0.25">
      <c r="A7" s="7" t="s">
        <v>10</v>
      </c>
      <c r="B7" s="8"/>
      <c r="C7" s="1517" t="s">
        <v>1254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1046</v>
      </c>
      <c r="D9" s="1512"/>
      <c r="E9" s="1512"/>
      <c r="F9" s="1512"/>
      <c r="G9" s="1512"/>
      <c r="H9" s="1512"/>
      <c r="I9" s="1512"/>
      <c r="J9" s="1512"/>
      <c r="K9" s="1512"/>
      <c r="L9" s="1512"/>
      <c r="M9" s="1512"/>
      <c r="N9" s="1512"/>
      <c r="O9" s="1512"/>
      <c r="P9" s="1513"/>
      <c r="Q9" s="277"/>
    </row>
    <row r="10" spans="1:17" ht="12.75" customHeight="1" x14ac:dyDescent="0.25">
      <c r="A10" s="7"/>
      <c r="B10" s="8" t="s">
        <v>15</v>
      </c>
      <c r="C10" s="1512" t="s">
        <v>1047</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1048</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1029317</v>
      </c>
      <c r="D20" s="32">
        <f>SUM(D21,D24,D25,D41,D43)</f>
        <v>993681</v>
      </c>
      <c r="E20" s="33">
        <f t="shared" ref="E20:F20" si="1">SUM(E21,E24,E25,E41,E43)</f>
        <v>4580</v>
      </c>
      <c r="F20" s="34">
        <f t="shared" si="1"/>
        <v>998261</v>
      </c>
      <c r="G20" s="32">
        <f>SUM(G21,G24,G43)</f>
        <v>10724</v>
      </c>
      <c r="H20" s="33">
        <f t="shared" ref="H20:I20" si="2">SUM(H21,H24,H43)</f>
        <v>0</v>
      </c>
      <c r="I20" s="34">
        <f t="shared" si="2"/>
        <v>10724</v>
      </c>
      <c r="J20" s="32">
        <f>SUM(J21,J26,J43)</f>
        <v>20332</v>
      </c>
      <c r="K20" s="33">
        <f t="shared" ref="K20:L20" si="3">SUM(K21,K26,K43)</f>
        <v>0</v>
      </c>
      <c r="L20" s="34">
        <f t="shared" si="3"/>
        <v>20332</v>
      </c>
      <c r="M20" s="32">
        <f>SUM(M21,M45)</f>
        <v>0</v>
      </c>
      <c r="N20" s="33">
        <f t="shared" ref="N20:O20" si="4">SUM(N21,N45)</f>
        <v>0</v>
      </c>
      <c r="O20" s="34">
        <f t="shared" si="4"/>
        <v>0</v>
      </c>
      <c r="P20" s="35"/>
    </row>
    <row r="21" spans="1:16" ht="12.75" thickTop="1" x14ac:dyDescent="0.25">
      <c r="A21" s="36"/>
      <c r="B21" s="37" t="s">
        <v>39</v>
      </c>
      <c r="C21" s="38">
        <f t="shared" si="0"/>
        <v>1951</v>
      </c>
      <c r="D21" s="39">
        <f>SUM(D22:D23)</f>
        <v>0</v>
      </c>
      <c r="E21" s="40">
        <f t="shared" ref="E21:F21" si="5">SUM(E22:E23)</f>
        <v>0</v>
      </c>
      <c r="F21" s="41">
        <f t="shared" si="5"/>
        <v>0</v>
      </c>
      <c r="G21" s="39">
        <f>SUM(G22:G23)</f>
        <v>0</v>
      </c>
      <c r="H21" s="40">
        <f t="shared" ref="H21:I21" si="6">SUM(H22:H23)</f>
        <v>0</v>
      </c>
      <c r="I21" s="41">
        <f t="shared" si="6"/>
        <v>0</v>
      </c>
      <c r="J21" s="39">
        <f>SUM(J22:J23)</f>
        <v>1951</v>
      </c>
      <c r="K21" s="40">
        <f t="shared" ref="K21:L21" si="7">SUM(K22:K23)</f>
        <v>0</v>
      </c>
      <c r="L21" s="41">
        <f t="shared" si="7"/>
        <v>1951</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1951</v>
      </c>
      <c r="D23" s="53"/>
      <c r="E23" s="54"/>
      <c r="F23" s="55">
        <f t="shared" ref="F23:F25" si="9">D23+E23</f>
        <v>0</v>
      </c>
      <c r="G23" s="53"/>
      <c r="H23" s="54"/>
      <c r="I23" s="55">
        <f t="shared" ref="I23:I24" si="10">G23+H23</f>
        <v>0</v>
      </c>
      <c r="J23" s="53">
        <v>1951</v>
      </c>
      <c r="K23" s="54"/>
      <c r="L23" s="56">
        <f>K23+J23</f>
        <v>1951</v>
      </c>
      <c r="M23" s="53"/>
      <c r="N23" s="54"/>
      <c r="O23" s="55">
        <f>N23+M23</f>
        <v>0</v>
      </c>
      <c r="P23" s="57"/>
    </row>
    <row r="24" spans="1:16" s="28" customFormat="1" ht="45" customHeight="1" thickBot="1" x14ac:dyDescent="0.3">
      <c r="A24" s="58">
        <v>19300</v>
      </c>
      <c r="B24" s="58" t="s">
        <v>42</v>
      </c>
      <c r="C24" s="59">
        <f>F24+I24</f>
        <v>1008985</v>
      </c>
      <c r="D24" s="60">
        <v>993681</v>
      </c>
      <c r="E24" s="63">
        <v>4580</v>
      </c>
      <c r="F24" s="62">
        <f t="shared" si="9"/>
        <v>998261</v>
      </c>
      <c r="G24" s="60">
        <v>10724</v>
      </c>
      <c r="H24" s="63"/>
      <c r="I24" s="62">
        <f t="shared" si="10"/>
        <v>10724</v>
      </c>
      <c r="J24" s="64" t="s">
        <v>43</v>
      </c>
      <c r="K24" s="65" t="s">
        <v>43</v>
      </c>
      <c r="L24" s="66" t="s">
        <v>43</v>
      </c>
      <c r="M24" s="64" t="s">
        <v>43</v>
      </c>
      <c r="N24" s="65" t="s">
        <v>43</v>
      </c>
      <c r="O24" s="66" t="s">
        <v>43</v>
      </c>
      <c r="P24" s="67" t="s">
        <v>1049</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18067</v>
      </c>
      <c r="D26" s="74" t="s">
        <v>43</v>
      </c>
      <c r="E26" s="75" t="s">
        <v>43</v>
      </c>
      <c r="F26" s="76" t="s">
        <v>43</v>
      </c>
      <c r="G26" s="74" t="s">
        <v>43</v>
      </c>
      <c r="H26" s="75" t="s">
        <v>43</v>
      </c>
      <c r="I26" s="76" t="s">
        <v>43</v>
      </c>
      <c r="J26" s="78">
        <f>SUM(J27,J31,J33,J36)</f>
        <v>18067</v>
      </c>
      <c r="K26" s="79">
        <f t="shared" ref="K26:L26" si="11">SUM(K27,K31,K33,K36)</f>
        <v>0</v>
      </c>
      <c r="L26" s="80">
        <f t="shared" si="11"/>
        <v>18067</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15137</v>
      </c>
      <c r="D33" s="74" t="s">
        <v>43</v>
      </c>
      <c r="E33" s="75" t="s">
        <v>43</v>
      </c>
      <c r="F33" s="76" t="s">
        <v>43</v>
      </c>
      <c r="G33" s="74" t="s">
        <v>43</v>
      </c>
      <c r="H33" s="75" t="s">
        <v>43</v>
      </c>
      <c r="I33" s="76" t="s">
        <v>43</v>
      </c>
      <c r="J33" s="78">
        <f>SUM(J34:J35)</f>
        <v>15137</v>
      </c>
      <c r="K33" s="79">
        <f t="shared" ref="K33:L33" si="17">SUM(K34:K35)</f>
        <v>0</v>
      </c>
      <c r="L33" s="80">
        <f t="shared" si="17"/>
        <v>15137</v>
      </c>
      <c r="M33" s="78" t="s">
        <v>43</v>
      </c>
      <c r="N33" s="79" t="s">
        <v>43</v>
      </c>
      <c r="O33" s="80" t="s">
        <v>43</v>
      </c>
      <c r="P33" s="77"/>
    </row>
    <row r="34" spans="1:16" ht="12" customHeight="1" x14ac:dyDescent="0.25">
      <c r="A34" s="44">
        <v>21381</v>
      </c>
      <c r="B34" s="82" t="s">
        <v>53</v>
      </c>
      <c r="C34" s="83">
        <f t="shared" si="16"/>
        <v>14836</v>
      </c>
      <c r="D34" s="84" t="s">
        <v>43</v>
      </c>
      <c r="E34" s="85" t="s">
        <v>43</v>
      </c>
      <c r="F34" s="86" t="s">
        <v>43</v>
      </c>
      <c r="G34" s="84" t="s">
        <v>43</v>
      </c>
      <c r="H34" s="85" t="s">
        <v>43</v>
      </c>
      <c r="I34" s="86" t="s">
        <v>43</v>
      </c>
      <c r="J34" s="46">
        <v>14836</v>
      </c>
      <c r="K34" s="47"/>
      <c r="L34" s="48">
        <f t="shared" ref="L34:L35" si="18">K34+J34</f>
        <v>14836</v>
      </c>
      <c r="M34" s="87" t="s">
        <v>43</v>
      </c>
      <c r="N34" s="88" t="s">
        <v>43</v>
      </c>
      <c r="O34" s="48" t="s">
        <v>43</v>
      </c>
      <c r="P34" s="49"/>
    </row>
    <row r="35" spans="1:16" ht="24" customHeight="1" x14ac:dyDescent="0.25">
      <c r="A35" s="51">
        <v>21383</v>
      </c>
      <c r="B35" s="89" t="s">
        <v>54</v>
      </c>
      <c r="C35" s="90">
        <f t="shared" si="16"/>
        <v>301</v>
      </c>
      <c r="D35" s="91" t="s">
        <v>43</v>
      </c>
      <c r="E35" s="92" t="s">
        <v>43</v>
      </c>
      <c r="F35" s="93" t="s">
        <v>43</v>
      </c>
      <c r="G35" s="91" t="s">
        <v>43</v>
      </c>
      <c r="H35" s="92" t="s">
        <v>43</v>
      </c>
      <c r="I35" s="93" t="s">
        <v>43</v>
      </c>
      <c r="J35" s="53">
        <v>301</v>
      </c>
      <c r="K35" s="54"/>
      <c r="L35" s="56">
        <f t="shared" si="18"/>
        <v>301</v>
      </c>
      <c r="M35" s="94" t="s">
        <v>43</v>
      </c>
      <c r="N35" s="95" t="s">
        <v>43</v>
      </c>
      <c r="O35" s="56" t="s">
        <v>43</v>
      </c>
      <c r="P35" s="57"/>
    </row>
    <row r="36" spans="1:16" s="28" customFormat="1" ht="25.5" customHeight="1" x14ac:dyDescent="0.25">
      <c r="A36" s="81">
        <v>21390</v>
      </c>
      <c r="B36" s="69" t="s">
        <v>55</v>
      </c>
      <c r="C36" s="70">
        <f t="shared" si="16"/>
        <v>2930</v>
      </c>
      <c r="D36" s="74" t="s">
        <v>43</v>
      </c>
      <c r="E36" s="75" t="s">
        <v>43</v>
      </c>
      <c r="F36" s="76" t="s">
        <v>43</v>
      </c>
      <c r="G36" s="74" t="s">
        <v>43</v>
      </c>
      <c r="H36" s="75" t="s">
        <v>43</v>
      </c>
      <c r="I36" s="76" t="s">
        <v>43</v>
      </c>
      <c r="J36" s="78">
        <f>SUM(J37:J40)</f>
        <v>2930</v>
      </c>
      <c r="K36" s="79">
        <f t="shared" ref="K36:L36" si="19">SUM(K37:K40)</f>
        <v>0</v>
      </c>
      <c r="L36" s="80">
        <f t="shared" si="19"/>
        <v>2930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customHeight="1" x14ac:dyDescent="0.25">
      <c r="A38" s="51">
        <v>21393</v>
      </c>
      <c r="B38" s="89" t="s">
        <v>57</v>
      </c>
      <c r="C38" s="90">
        <f t="shared" si="16"/>
        <v>1480</v>
      </c>
      <c r="D38" s="91" t="s">
        <v>43</v>
      </c>
      <c r="E38" s="92" t="s">
        <v>43</v>
      </c>
      <c r="F38" s="93" t="s">
        <v>43</v>
      </c>
      <c r="G38" s="91" t="s">
        <v>43</v>
      </c>
      <c r="H38" s="92" t="s">
        <v>43</v>
      </c>
      <c r="I38" s="93" t="s">
        <v>43</v>
      </c>
      <c r="J38" s="53">
        <v>1480</v>
      </c>
      <c r="K38" s="54"/>
      <c r="L38" s="56">
        <f t="shared" si="20"/>
        <v>1480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1450</v>
      </c>
      <c r="D40" s="111" t="s">
        <v>43</v>
      </c>
      <c r="E40" s="112" t="s">
        <v>43</v>
      </c>
      <c r="F40" s="113" t="s">
        <v>43</v>
      </c>
      <c r="G40" s="111" t="s">
        <v>43</v>
      </c>
      <c r="H40" s="112" t="s">
        <v>43</v>
      </c>
      <c r="I40" s="113" t="s">
        <v>43</v>
      </c>
      <c r="J40" s="114">
        <v>1450</v>
      </c>
      <c r="K40" s="115"/>
      <c r="L40" s="116">
        <f t="shared" si="20"/>
        <v>1450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314</v>
      </c>
      <c r="D43" s="78">
        <f>D44</f>
        <v>0</v>
      </c>
      <c r="E43" s="79">
        <f t="shared" ref="E43:L43" si="22">E44</f>
        <v>0</v>
      </c>
      <c r="F43" s="80">
        <f t="shared" si="22"/>
        <v>0</v>
      </c>
      <c r="G43" s="78">
        <f t="shared" si="22"/>
        <v>0</v>
      </c>
      <c r="H43" s="79">
        <f t="shared" si="22"/>
        <v>0</v>
      </c>
      <c r="I43" s="80">
        <f t="shared" si="22"/>
        <v>0</v>
      </c>
      <c r="J43" s="78">
        <f t="shared" si="22"/>
        <v>314</v>
      </c>
      <c r="K43" s="79">
        <f t="shared" si="22"/>
        <v>0</v>
      </c>
      <c r="L43" s="80">
        <f t="shared" si="22"/>
        <v>314</v>
      </c>
      <c r="M43" s="78" t="s">
        <v>43</v>
      </c>
      <c r="N43" s="79" t="s">
        <v>43</v>
      </c>
      <c r="O43" s="80" t="s">
        <v>43</v>
      </c>
      <c r="P43" s="77"/>
    </row>
    <row r="44" spans="1:16" s="28" customFormat="1" ht="30.75" customHeight="1" x14ac:dyDescent="0.25">
      <c r="A44" s="51">
        <v>21499</v>
      </c>
      <c r="B44" s="89" t="s">
        <v>63</v>
      </c>
      <c r="C44" s="133">
        <f>F44+I44+L44</f>
        <v>314</v>
      </c>
      <c r="D44" s="46"/>
      <c r="E44" s="47"/>
      <c r="F44" s="134">
        <f>D44+E44</f>
        <v>0</v>
      </c>
      <c r="G44" s="46"/>
      <c r="H44" s="47"/>
      <c r="I44" s="134">
        <f>G44+H44</f>
        <v>0</v>
      </c>
      <c r="J44" s="46">
        <v>314</v>
      </c>
      <c r="K44" s="47"/>
      <c r="L44" s="48">
        <f>K44+J44</f>
        <v>314</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1029317</v>
      </c>
      <c r="D50" s="159">
        <f>SUM(D51,D286)</f>
        <v>993681</v>
      </c>
      <c r="E50" s="160">
        <f t="shared" ref="E50:F50" si="26">SUM(E51,E286)</f>
        <v>4580</v>
      </c>
      <c r="F50" s="161">
        <f t="shared" si="26"/>
        <v>998261</v>
      </c>
      <c r="G50" s="159">
        <f>SUM(G51,G286)</f>
        <v>10724</v>
      </c>
      <c r="H50" s="160">
        <f>SUM(H51,H286)</f>
        <v>0</v>
      </c>
      <c r="I50" s="161">
        <f t="shared" ref="I50" si="27">SUM(I51,I286)</f>
        <v>10724</v>
      </c>
      <c r="J50" s="32">
        <f>SUM(J51,J286)</f>
        <v>20332</v>
      </c>
      <c r="K50" s="33">
        <f t="shared" ref="K50:L50" si="28">SUM(K51,K286)</f>
        <v>0</v>
      </c>
      <c r="L50" s="34">
        <f t="shared" si="28"/>
        <v>20332</v>
      </c>
      <c r="M50" s="32">
        <f>SUM(M51,M286)</f>
        <v>0</v>
      </c>
      <c r="N50" s="33">
        <f t="shared" ref="N50:O50" si="29">SUM(N51,N286)</f>
        <v>0</v>
      </c>
      <c r="O50" s="34">
        <f t="shared" si="29"/>
        <v>0</v>
      </c>
      <c r="P50" s="35"/>
    </row>
    <row r="51" spans="1:16" s="28" customFormat="1" ht="36.75" thickTop="1" x14ac:dyDescent="0.25">
      <c r="A51" s="162"/>
      <c r="B51" s="163" t="s">
        <v>69</v>
      </c>
      <c r="C51" s="164">
        <f t="shared" si="0"/>
        <v>1029317</v>
      </c>
      <c r="D51" s="165">
        <f>SUM(D52,D194)</f>
        <v>993681</v>
      </c>
      <c r="E51" s="166">
        <f t="shared" ref="E51:F51" si="30">SUM(E52,E194)</f>
        <v>4580</v>
      </c>
      <c r="F51" s="167">
        <f t="shared" si="30"/>
        <v>998261</v>
      </c>
      <c r="G51" s="165">
        <f>SUM(G52,G194)</f>
        <v>10724</v>
      </c>
      <c r="H51" s="166">
        <f t="shared" ref="H51:I51" si="31">SUM(H52,H194)</f>
        <v>0</v>
      </c>
      <c r="I51" s="167">
        <f t="shared" si="31"/>
        <v>10724</v>
      </c>
      <c r="J51" s="168">
        <f>SUM(J52,J194)</f>
        <v>20332</v>
      </c>
      <c r="K51" s="169">
        <f t="shared" ref="K51:L51" si="32">SUM(K52,K194)</f>
        <v>0</v>
      </c>
      <c r="L51" s="170">
        <f t="shared" si="32"/>
        <v>20332</v>
      </c>
      <c r="M51" s="168">
        <f>SUM(M52,M194)</f>
        <v>0</v>
      </c>
      <c r="N51" s="169">
        <f t="shared" ref="N51:O51" si="33">SUM(N52,N194)</f>
        <v>0</v>
      </c>
      <c r="O51" s="170">
        <f t="shared" si="33"/>
        <v>0</v>
      </c>
      <c r="P51" s="171"/>
    </row>
    <row r="52" spans="1:16" s="28" customFormat="1" ht="24" x14ac:dyDescent="0.25">
      <c r="A52" s="24"/>
      <c r="B52" s="22" t="s">
        <v>70</v>
      </c>
      <c r="C52" s="172">
        <f t="shared" si="0"/>
        <v>987282</v>
      </c>
      <c r="D52" s="173">
        <f>SUM(D53,D75,D173,D187)</f>
        <v>956695</v>
      </c>
      <c r="E52" s="174">
        <f t="shared" ref="E52:F52" si="34">SUM(E53,E75,E173,E187)</f>
        <v>301</v>
      </c>
      <c r="F52" s="175">
        <f t="shared" si="34"/>
        <v>956996</v>
      </c>
      <c r="G52" s="173">
        <f>SUM(G53,G75,G173,G187)</f>
        <v>10724</v>
      </c>
      <c r="H52" s="174">
        <f t="shared" ref="H52:I52" si="35">SUM(H53,H75,H173,H187)</f>
        <v>0</v>
      </c>
      <c r="I52" s="175">
        <f t="shared" si="35"/>
        <v>10724</v>
      </c>
      <c r="J52" s="173">
        <f>SUM(J53,J75,J173,J187)</f>
        <v>19562</v>
      </c>
      <c r="K52" s="174">
        <f t="shared" ref="K52:L52" si="36">SUM(K53,K75,K173,K187)</f>
        <v>0</v>
      </c>
      <c r="L52" s="175">
        <f t="shared" si="36"/>
        <v>19562</v>
      </c>
      <c r="M52" s="173">
        <f>SUM(M53,M75,M173,M187)</f>
        <v>0</v>
      </c>
      <c r="N52" s="174">
        <f t="shared" ref="N52:O52" si="37">SUM(N53,N75,N173,N187)</f>
        <v>0</v>
      </c>
      <c r="O52" s="175">
        <f t="shared" si="37"/>
        <v>0</v>
      </c>
      <c r="P52" s="176"/>
    </row>
    <row r="53" spans="1:16" s="28" customFormat="1" x14ac:dyDescent="0.25">
      <c r="A53" s="177">
        <v>1000</v>
      </c>
      <c r="B53" s="177" t="s">
        <v>71</v>
      </c>
      <c r="C53" s="178">
        <f t="shared" si="0"/>
        <v>883412</v>
      </c>
      <c r="D53" s="179">
        <f>SUM(D54,D67)</f>
        <v>872474</v>
      </c>
      <c r="E53" s="180">
        <f t="shared" ref="E53:F53" si="38">SUM(E54,E67)</f>
        <v>0</v>
      </c>
      <c r="F53" s="181">
        <f t="shared" si="38"/>
        <v>872474</v>
      </c>
      <c r="G53" s="179">
        <f>SUM(G54,G67)</f>
        <v>10724</v>
      </c>
      <c r="H53" s="180">
        <f t="shared" ref="H53:I53" si="39">SUM(H54,H67)</f>
        <v>0</v>
      </c>
      <c r="I53" s="181">
        <f t="shared" si="39"/>
        <v>10724</v>
      </c>
      <c r="J53" s="179">
        <f>SUM(J54,J67)</f>
        <v>214</v>
      </c>
      <c r="K53" s="180">
        <f t="shared" ref="K53:L53" si="40">SUM(K54,K67)</f>
        <v>0</v>
      </c>
      <c r="L53" s="181">
        <f t="shared" si="40"/>
        <v>214</v>
      </c>
      <c r="M53" s="179">
        <f>SUM(M54,M67)</f>
        <v>0</v>
      </c>
      <c r="N53" s="180">
        <f t="shared" ref="N53:O53" si="41">SUM(N54,N67)</f>
        <v>0</v>
      </c>
      <c r="O53" s="181">
        <f t="shared" si="41"/>
        <v>0</v>
      </c>
      <c r="P53" s="182"/>
    </row>
    <row r="54" spans="1:16" x14ac:dyDescent="0.25">
      <c r="A54" s="69">
        <v>1100</v>
      </c>
      <c r="B54" s="183" t="s">
        <v>72</v>
      </c>
      <c r="C54" s="70">
        <f t="shared" si="0"/>
        <v>666955</v>
      </c>
      <c r="D54" s="184">
        <f>SUM(D55,D58,D66)</f>
        <v>658270</v>
      </c>
      <c r="E54" s="185">
        <f t="shared" ref="E54:F54" si="42">SUM(E55,E58,E66)</f>
        <v>0</v>
      </c>
      <c r="F54" s="73">
        <f t="shared" si="42"/>
        <v>658270</v>
      </c>
      <c r="G54" s="184">
        <f>SUM(G55,G58,G66)</f>
        <v>8685</v>
      </c>
      <c r="H54" s="185">
        <f t="shared" ref="H54:I54" si="43">SUM(H55,H58,H66)</f>
        <v>0</v>
      </c>
      <c r="I54" s="73">
        <f t="shared" si="43"/>
        <v>8685</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620218</v>
      </c>
      <c r="D55" s="187">
        <f>SUM(D56:D57)</f>
        <v>611533</v>
      </c>
      <c r="E55" s="188">
        <f t="shared" ref="E55:F55" si="46">SUM(E56:E57)</f>
        <v>0</v>
      </c>
      <c r="F55" s="141">
        <f t="shared" si="46"/>
        <v>611533</v>
      </c>
      <c r="G55" s="187">
        <f>SUM(G56:G57)</f>
        <v>8685</v>
      </c>
      <c r="H55" s="188">
        <f t="shared" ref="H55:I55" si="47">SUM(H56:H57)</f>
        <v>0</v>
      </c>
      <c r="I55" s="141">
        <f t="shared" si="47"/>
        <v>8685</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3.25" customHeight="1" x14ac:dyDescent="0.25">
      <c r="A57" s="51">
        <v>1119</v>
      </c>
      <c r="B57" s="89" t="s">
        <v>75</v>
      </c>
      <c r="C57" s="90">
        <f t="shared" si="0"/>
        <v>620218</v>
      </c>
      <c r="D57" s="53">
        <v>611533</v>
      </c>
      <c r="E57" s="54"/>
      <c r="F57" s="55">
        <f t="shared" si="50"/>
        <v>611533</v>
      </c>
      <c r="G57" s="53">
        <v>8685</v>
      </c>
      <c r="H57" s="54"/>
      <c r="I57" s="55">
        <f t="shared" si="51"/>
        <v>8685</v>
      </c>
      <c r="J57" s="53"/>
      <c r="K57" s="54"/>
      <c r="L57" s="55">
        <f t="shared" si="52"/>
        <v>0</v>
      </c>
      <c r="M57" s="53"/>
      <c r="N57" s="54"/>
      <c r="O57" s="55">
        <f t="shared" si="53"/>
        <v>0</v>
      </c>
      <c r="P57" s="57"/>
    </row>
    <row r="58" spans="1:16" x14ac:dyDescent="0.25">
      <c r="A58" s="189">
        <v>1140</v>
      </c>
      <c r="B58" s="89" t="s">
        <v>76</v>
      </c>
      <c r="C58" s="90">
        <f t="shared" si="0"/>
        <v>46737</v>
      </c>
      <c r="D58" s="190">
        <f>SUM(D59:D65)</f>
        <v>46737</v>
      </c>
      <c r="E58" s="191">
        <f>SUM(E59:E65)</f>
        <v>0</v>
      </c>
      <c r="F58" s="55">
        <f t="shared" ref="F58" si="54">SUM(F59:F65)</f>
        <v>46737</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3.25" customHeight="1" x14ac:dyDescent="0.25">
      <c r="A60" s="51">
        <v>1142</v>
      </c>
      <c r="B60" s="89" t="s">
        <v>78</v>
      </c>
      <c r="C60" s="90">
        <f t="shared" si="0"/>
        <v>4451</v>
      </c>
      <c r="D60" s="53">
        <v>4451</v>
      </c>
      <c r="E60" s="54"/>
      <c r="F60" s="55">
        <f t="shared" si="58"/>
        <v>4451</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5.75" customHeight="1" x14ac:dyDescent="0.25">
      <c r="A63" s="51">
        <v>1147</v>
      </c>
      <c r="B63" s="89" t="s">
        <v>81</v>
      </c>
      <c r="C63" s="90">
        <f t="shared" si="0"/>
        <v>10097</v>
      </c>
      <c r="D63" s="53">
        <v>10097</v>
      </c>
      <c r="E63" s="54"/>
      <c r="F63" s="55">
        <f t="shared" si="58"/>
        <v>10097</v>
      </c>
      <c r="G63" s="53"/>
      <c r="H63" s="54"/>
      <c r="I63" s="55">
        <f t="shared" si="59"/>
        <v>0</v>
      </c>
      <c r="J63" s="53"/>
      <c r="K63" s="54"/>
      <c r="L63" s="55">
        <f t="shared" si="60"/>
        <v>0</v>
      </c>
      <c r="M63" s="53"/>
      <c r="N63" s="54"/>
      <c r="O63" s="55">
        <f t="shared" si="61"/>
        <v>0</v>
      </c>
      <c r="P63" s="57"/>
    </row>
    <row r="64" spans="1:16" ht="18.75" customHeight="1" x14ac:dyDescent="0.25">
      <c r="A64" s="51">
        <v>1148</v>
      </c>
      <c r="B64" s="89" t="s">
        <v>82</v>
      </c>
      <c r="C64" s="90">
        <f t="shared" si="0"/>
        <v>32189</v>
      </c>
      <c r="D64" s="53">
        <v>32189</v>
      </c>
      <c r="E64" s="54"/>
      <c r="F64" s="55">
        <f t="shared" si="58"/>
        <v>32189</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216457</v>
      </c>
      <c r="D67" s="184">
        <f>SUM(D68:D69)</f>
        <v>214204</v>
      </c>
      <c r="E67" s="185">
        <f t="shared" ref="E67:F67" si="62">SUM(E68:E69)</f>
        <v>0</v>
      </c>
      <c r="F67" s="73">
        <f t="shared" si="62"/>
        <v>214204</v>
      </c>
      <c r="G67" s="184">
        <f>SUM(G68:G69)</f>
        <v>2039</v>
      </c>
      <c r="H67" s="185">
        <f t="shared" ref="H67:I67" si="63">SUM(H68:H69)</f>
        <v>0</v>
      </c>
      <c r="I67" s="73">
        <f t="shared" si="63"/>
        <v>2039</v>
      </c>
      <c r="J67" s="184">
        <f>SUM(J68:J69)</f>
        <v>214</v>
      </c>
      <c r="K67" s="185">
        <f t="shared" ref="K67:L67" si="64">SUM(K68:K69)</f>
        <v>0</v>
      </c>
      <c r="L67" s="73">
        <f t="shared" si="64"/>
        <v>214</v>
      </c>
      <c r="M67" s="184">
        <f>SUM(M68:M69)</f>
        <v>0</v>
      </c>
      <c r="N67" s="185">
        <f t="shared" ref="N67:O67" si="65">SUM(N68:N69)</f>
        <v>0</v>
      </c>
      <c r="O67" s="73">
        <f t="shared" si="65"/>
        <v>0</v>
      </c>
      <c r="P67" s="77"/>
    </row>
    <row r="68" spans="1:16" ht="27" customHeight="1" x14ac:dyDescent="0.25">
      <c r="A68" s="855">
        <v>1210</v>
      </c>
      <c r="B68" s="82" t="s">
        <v>86</v>
      </c>
      <c r="C68" s="83">
        <f t="shared" si="0"/>
        <v>167342</v>
      </c>
      <c r="D68" s="46">
        <v>165303</v>
      </c>
      <c r="E68" s="47"/>
      <c r="F68" s="134">
        <f>D68+E68</f>
        <v>165303</v>
      </c>
      <c r="G68" s="46">
        <v>2039</v>
      </c>
      <c r="H68" s="47"/>
      <c r="I68" s="134">
        <f>G68+H68</f>
        <v>2039</v>
      </c>
      <c r="J68" s="46"/>
      <c r="K68" s="47"/>
      <c r="L68" s="134">
        <f>K68+J68</f>
        <v>0</v>
      </c>
      <c r="M68" s="46"/>
      <c r="N68" s="47"/>
      <c r="O68" s="134">
        <f>N68+M68</f>
        <v>0</v>
      </c>
      <c r="P68" s="57"/>
    </row>
    <row r="69" spans="1:16" ht="24" x14ac:dyDescent="0.25">
      <c r="A69" s="189">
        <v>1220</v>
      </c>
      <c r="B69" s="89" t="s">
        <v>87</v>
      </c>
      <c r="C69" s="90">
        <f t="shared" si="0"/>
        <v>49115</v>
      </c>
      <c r="D69" s="190">
        <f>SUM(D70:D74)</f>
        <v>48901</v>
      </c>
      <c r="E69" s="191">
        <f t="shared" ref="E69:F69" si="66">SUM(E70:E74)</f>
        <v>0</v>
      </c>
      <c r="F69" s="55">
        <f t="shared" si="66"/>
        <v>48901</v>
      </c>
      <c r="G69" s="190">
        <f>SUM(G70:G74)</f>
        <v>0</v>
      </c>
      <c r="H69" s="191">
        <f t="shared" ref="H69:I69" si="67">SUM(H70:H74)</f>
        <v>0</v>
      </c>
      <c r="I69" s="55">
        <f t="shared" si="67"/>
        <v>0</v>
      </c>
      <c r="J69" s="190">
        <f>SUM(J70:J74)</f>
        <v>214</v>
      </c>
      <c r="K69" s="191">
        <f t="shared" ref="K69:L69" si="68">SUM(K70:K74)</f>
        <v>0</v>
      </c>
      <c r="L69" s="55">
        <f t="shared" si="68"/>
        <v>214</v>
      </c>
      <c r="M69" s="190">
        <f>SUM(M70:M74)</f>
        <v>0</v>
      </c>
      <c r="N69" s="191">
        <f t="shared" ref="N69:O69" si="69">SUM(N70:N74)</f>
        <v>0</v>
      </c>
      <c r="O69" s="55">
        <f t="shared" si="69"/>
        <v>0</v>
      </c>
      <c r="P69" s="57"/>
    </row>
    <row r="70" spans="1:16" ht="48" customHeight="1" x14ac:dyDescent="0.25">
      <c r="A70" s="51">
        <v>1221</v>
      </c>
      <c r="B70" s="89" t="s">
        <v>88</v>
      </c>
      <c r="C70" s="90">
        <f t="shared" si="0"/>
        <v>28145</v>
      </c>
      <c r="D70" s="53">
        <v>28145</v>
      </c>
      <c r="E70" s="54"/>
      <c r="F70" s="55">
        <f t="shared" ref="F70:F74" si="70">D70+E70</f>
        <v>28145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44.25" customHeight="1" x14ac:dyDescent="0.25">
      <c r="A73" s="51">
        <v>1227</v>
      </c>
      <c r="B73" s="89" t="s">
        <v>91</v>
      </c>
      <c r="C73" s="90">
        <f t="shared" si="0"/>
        <v>19637</v>
      </c>
      <c r="D73" s="53">
        <v>19423</v>
      </c>
      <c r="E73" s="54"/>
      <c r="F73" s="55">
        <f t="shared" si="70"/>
        <v>19423</v>
      </c>
      <c r="G73" s="53"/>
      <c r="H73" s="54"/>
      <c r="I73" s="55">
        <f t="shared" si="71"/>
        <v>0</v>
      </c>
      <c r="J73" s="53">
        <v>214</v>
      </c>
      <c r="K73" s="54"/>
      <c r="L73" s="55">
        <f t="shared" si="72"/>
        <v>214</v>
      </c>
      <c r="M73" s="53"/>
      <c r="N73" s="54"/>
      <c r="O73" s="55">
        <f t="shared" si="73"/>
        <v>0</v>
      </c>
      <c r="P73" s="57"/>
    </row>
    <row r="74" spans="1:16" ht="51.75" customHeight="1" x14ac:dyDescent="0.25">
      <c r="A74" s="51">
        <v>1228</v>
      </c>
      <c r="B74" s="89" t="s">
        <v>92</v>
      </c>
      <c r="C74" s="90">
        <f t="shared" si="0"/>
        <v>1333</v>
      </c>
      <c r="D74" s="53">
        <v>1333</v>
      </c>
      <c r="E74" s="54"/>
      <c r="F74" s="55">
        <f t="shared" si="70"/>
        <v>1333</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103870</v>
      </c>
      <c r="D75" s="179">
        <f>SUM(D76,D83,D130,D164,D165,D172)</f>
        <v>84221</v>
      </c>
      <c r="E75" s="180">
        <f t="shared" ref="E75:F75" si="74">SUM(E76,E83,E130,E164,E165,E172)</f>
        <v>301</v>
      </c>
      <c r="F75" s="181">
        <f t="shared" si="74"/>
        <v>84522</v>
      </c>
      <c r="G75" s="179">
        <f>SUM(G76,G83,G130,G164,G165,G172)</f>
        <v>0</v>
      </c>
      <c r="H75" s="180">
        <f t="shared" ref="H75:I75" si="75">SUM(H76,H83,H130,H164,H165,H172)</f>
        <v>0</v>
      </c>
      <c r="I75" s="181">
        <f t="shared" si="75"/>
        <v>0</v>
      </c>
      <c r="J75" s="179">
        <f>SUM(J76,J83,J130,J164,J165,J172)</f>
        <v>19348</v>
      </c>
      <c r="K75" s="180">
        <f t="shared" ref="K75:L75" si="76">SUM(K76,K83,K130,K164,K165,K172)</f>
        <v>0</v>
      </c>
      <c r="L75" s="181">
        <f t="shared" si="76"/>
        <v>19348</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55">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90459</v>
      </c>
      <c r="D83" s="184">
        <f>SUM(D84,D89,D95,D103,D112,D116,D122,D128)</f>
        <v>74594</v>
      </c>
      <c r="E83" s="185">
        <f t="shared" ref="E83:F83" si="98">SUM(E84,E89,E95,E103,E112,E116,E122,E128)</f>
        <v>0</v>
      </c>
      <c r="F83" s="73">
        <f t="shared" si="98"/>
        <v>74594</v>
      </c>
      <c r="G83" s="184">
        <f>SUM(G84,G89,G95,G103,G112,G116,G122,G128)</f>
        <v>0</v>
      </c>
      <c r="H83" s="185">
        <f t="shared" ref="H83:I83" si="99">SUM(H84,H89,H95,H103,H112,H116,H122,H128)</f>
        <v>0</v>
      </c>
      <c r="I83" s="73">
        <f t="shared" si="99"/>
        <v>0</v>
      </c>
      <c r="J83" s="184">
        <f>SUM(J84,J89,J95,J103,J112,J116,J122,J128)</f>
        <v>15865</v>
      </c>
      <c r="K83" s="185">
        <f t="shared" ref="K83:L83" si="100">SUM(K84,K89,K95,K103,K112,K116,K122,K128)</f>
        <v>0</v>
      </c>
      <c r="L83" s="73">
        <f t="shared" si="100"/>
        <v>15865</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3520</v>
      </c>
      <c r="D84" s="187">
        <f>SUM(D85:D88)</f>
        <v>3420</v>
      </c>
      <c r="E84" s="188">
        <f t="shared" ref="E84:F84" si="103">SUM(E85:E88)</f>
        <v>0</v>
      </c>
      <c r="F84" s="141">
        <f t="shared" si="103"/>
        <v>3420</v>
      </c>
      <c r="G84" s="187">
        <f>SUM(G85:G88)</f>
        <v>0</v>
      </c>
      <c r="H84" s="188">
        <f t="shared" ref="H84:I84" si="104">SUM(H85:H88)</f>
        <v>0</v>
      </c>
      <c r="I84" s="141">
        <f t="shared" si="104"/>
        <v>0</v>
      </c>
      <c r="J84" s="187">
        <f>SUM(J85:J88)</f>
        <v>100</v>
      </c>
      <c r="K84" s="188">
        <f t="shared" ref="K84:L84" si="105">SUM(K85:K88)</f>
        <v>0</v>
      </c>
      <c r="L84" s="141">
        <f t="shared" si="105"/>
        <v>100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42.75" customHeight="1" x14ac:dyDescent="0.25">
      <c r="A86" s="51">
        <v>2212</v>
      </c>
      <c r="B86" s="89" t="s">
        <v>102</v>
      </c>
      <c r="C86" s="90">
        <f t="shared" si="102"/>
        <v>2946</v>
      </c>
      <c r="D86" s="196">
        <v>2896</v>
      </c>
      <c r="E86" s="197"/>
      <c r="F86" s="55">
        <f t="shared" si="107"/>
        <v>2896</v>
      </c>
      <c r="G86" s="53"/>
      <c r="H86" s="54"/>
      <c r="I86" s="55">
        <f t="shared" si="108"/>
        <v>0</v>
      </c>
      <c r="J86" s="53">
        <v>50</v>
      </c>
      <c r="K86" s="54"/>
      <c r="L86" s="55">
        <f t="shared" si="109"/>
        <v>50</v>
      </c>
      <c r="M86" s="53"/>
      <c r="N86" s="54"/>
      <c r="O86" s="55">
        <f t="shared" si="110"/>
        <v>0</v>
      </c>
      <c r="P86" s="57"/>
    </row>
    <row r="87" spans="1:16" ht="27.75" customHeight="1" x14ac:dyDescent="0.25">
      <c r="A87" s="51">
        <v>2214</v>
      </c>
      <c r="B87" s="89" t="s">
        <v>103</v>
      </c>
      <c r="C87" s="90">
        <f t="shared" si="102"/>
        <v>508</v>
      </c>
      <c r="D87" s="196">
        <v>458</v>
      </c>
      <c r="E87" s="197"/>
      <c r="F87" s="55">
        <f t="shared" si="107"/>
        <v>458</v>
      </c>
      <c r="G87" s="53"/>
      <c r="H87" s="54"/>
      <c r="I87" s="55">
        <f t="shared" si="108"/>
        <v>0</v>
      </c>
      <c r="J87" s="53">
        <v>50</v>
      </c>
      <c r="K87" s="54"/>
      <c r="L87" s="55">
        <f t="shared" si="109"/>
        <v>50</v>
      </c>
      <c r="M87" s="53"/>
      <c r="N87" s="54"/>
      <c r="O87" s="55">
        <f t="shared" si="110"/>
        <v>0</v>
      </c>
      <c r="P87" s="57"/>
    </row>
    <row r="88" spans="1:16" ht="16.5" customHeight="1" x14ac:dyDescent="0.25">
      <c r="A88" s="51">
        <v>2219</v>
      </c>
      <c r="B88" s="89" t="s">
        <v>104</v>
      </c>
      <c r="C88" s="90">
        <f t="shared" si="102"/>
        <v>66</v>
      </c>
      <c r="D88" s="196">
        <v>66</v>
      </c>
      <c r="E88" s="197"/>
      <c r="F88" s="55">
        <f t="shared" si="107"/>
        <v>66</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70859</v>
      </c>
      <c r="D89" s="190">
        <f>SUM(D90:D94)</f>
        <v>58977</v>
      </c>
      <c r="E89" s="191">
        <f t="shared" ref="E89:F89" si="111">SUM(E90:E94)</f>
        <v>0</v>
      </c>
      <c r="F89" s="55">
        <f t="shared" si="111"/>
        <v>58977</v>
      </c>
      <c r="G89" s="190">
        <f>SUM(G90:G94)</f>
        <v>0</v>
      </c>
      <c r="H89" s="191">
        <f t="shared" ref="H89:I89" si="112">SUM(H90:H94)</f>
        <v>0</v>
      </c>
      <c r="I89" s="55">
        <f t="shared" si="112"/>
        <v>0</v>
      </c>
      <c r="J89" s="190">
        <f>SUM(J90:J94)</f>
        <v>11882</v>
      </c>
      <c r="K89" s="191">
        <f t="shared" ref="K89:L89" si="113">SUM(K90:K94)</f>
        <v>0</v>
      </c>
      <c r="L89" s="55">
        <f t="shared" si="113"/>
        <v>11882</v>
      </c>
      <c r="M89" s="190">
        <f>SUM(M90:M94)</f>
        <v>0</v>
      </c>
      <c r="N89" s="191">
        <f t="shared" ref="N89:O89" si="114">SUM(N90:N94)</f>
        <v>0</v>
      </c>
      <c r="O89" s="55">
        <f t="shared" si="114"/>
        <v>0</v>
      </c>
      <c r="P89" s="57"/>
    </row>
    <row r="90" spans="1:16" ht="28.5" customHeight="1" x14ac:dyDescent="0.25">
      <c r="A90" s="51">
        <v>2221</v>
      </c>
      <c r="B90" s="89" t="s">
        <v>106</v>
      </c>
      <c r="C90" s="90">
        <f t="shared" si="102"/>
        <v>34721</v>
      </c>
      <c r="D90" s="196">
        <v>29076</v>
      </c>
      <c r="E90" s="197"/>
      <c r="F90" s="55">
        <f t="shared" ref="F90:F94" si="115">D90+E90</f>
        <v>29076</v>
      </c>
      <c r="G90" s="53"/>
      <c r="H90" s="54"/>
      <c r="I90" s="55">
        <f t="shared" ref="I90:I94" si="116">G90+H90</f>
        <v>0</v>
      </c>
      <c r="J90" s="53">
        <v>5645</v>
      </c>
      <c r="K90" s="54"/>
      <c r="L90" s="55">
        <f t="shared" ref="L90:L94" si="117">K90+J90</f>
        <v>5645</v>
      </c>
      <c r="M90" s="53"/>
      <c r="N90" s="54"/>
      <c r="O90" s="55">
        <f t="shared" ref="O90:O94" si="118">N90+M90</f>
        <v>0</v>
      </c>
      <c r="P90" s="57"/>
    </row>
    <row r="91" spans="1:16" ht="28.5" customHeight="1" x14ac:dyDescent="0.25">
      <c r="A91" s="51">
        <v>2222</v>
      </c>
      <c r="B91" s="89" t="s">
        <v>107</v>
      </c>
      <c r="C91" s="90">
        <f t="shared" si="102"/>
        <v>3350</v>
      </c>
      <c r="D91" s="196">
        <v>2565</v>
      </c>
      <c r="E91" s="197"/>
      <c r="F91" s="55">
        <f t="shared" si="115"/>
        <v>2565</v>
      </c>
      <c r="G91" s="53"/>
      <c r="H91" s="54"/>
      <c r="I91" s="55">
        <f t="shared" si="116"/>
        <v>0</v>
      </c>
      <c r="J91" s="53">
        <v>785</v>
      </c>
      <c r="K91" s="54"/>
      <c r="L91" s="55">
        <f t="shared" si="117"/>
        <v>785</v>
      </c>
      <c r="M91" s="53"/>
      <c r="N91" s="54"/>
      <c r="O91" s="55">
        <f t="shared" si="118"/>
        <v>0</v>
      </c>
      <c r="P91" s="57"/>
    </row>
    <row r="92" spans="1:16" ht="27.75" customHeight="1" x14ac:dyDescent="0.25">
      <c r="A92" s="51">
        <v>2223</v>
      </c>
      <c r="B92" s="89" t="s">
        <v>108</v>
      </c>
      <c r="C92" s="90">
        <f t="shared" si="102"/>
        <v>31453</v>
      </c>
      <c r="D92" s="196">
        <v>26581</v>
      </c>
      <c r="E92" s="197"/>
      <c r="F92" s="55">
        <f t="shared" si="115"/>
        <v>26581</v>
      </c>
      <c r="G92" s="53"/>
      <c r="H92" s="54"/>
      <c r="I92" s="55">
        <f t="shared" si="116"/>
        <v>0</v>
      </c>
      <c r="J92" s="53">
        <v>4872</v>
      </c>
      <c r="K92" s="54"/>
      <c r="L92" s="55">
        <f t="shared" si="117"/>
        <v>4872</v>
      </c>
      <c r="M92" s="53"/>
      <c r="N92" s="54"/>
      <c r="O92" s="55">
        <f t="shared" si="118"/>
        <v>0</v>
      </c>
      <c r="P92" s="57"/>
    </row>
    <row r="93" spans="1:16" ht="56.25" customHeight="1" x14ac:dyDescent="0.25">
      <c r="A93" s="51">
        <v>2224</v>
      </c>
      <c r="B93" s="89" t="s">
        <v>109</v>
      </c>
      <c r="C93" s="90">
        <f t="shared" si="102"/>
        <v>1335</v>
      </c>
      <c r="D93" s="196">
        <v>755</v>
      </c>
      <c r="E93" s="197"/>
      <c r="F93" s="55">
        <f t="shared" si="115"/>
        <v>755</v>
      </c>
      <c r="G93" s="53"/>
      <c r="H93" s="54"/>
      <c r="I93" s="55">
        <f t="shared" si="116"/>
        <v>0</v>
      </c>
      <c r="J93" s="53">
        <v>580</v>
      </c>
      <c r="K93" s="54"/>
      <c r="L93" s="55">
        <f t="shared" si="117"/>
        <v>580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2204</v>
      </c>
      <c r="D95" s="190">
        <f>SUM(D96:D102)</f>
        <v>1600</v>
      </c>
      <c r="E95" s="191">
        <f t="shared" ref="E95:F95" si="119">SUM(E96:E102)</f>
        <v>0</v>
      </c>
      <c r="F95" s="55">
        <f t="shared" si="119"/>
        <v>1600</v>
      </c>
      <c r="G95" s="190">
        <f>SUM(G96:G102)</f>
        <v>0</v>
      </c>
      <c r="H95" s="191">
        <f t="shared" ref="H95:I95" si="120">SUM(H96:H102)</f>
        <v>0</v>
      </c>
      <c r="I95" s="55">
        <f t="shared" si="120"/>
        <v>0</v>
      </c>
      <c r="J95" s="190">
        <f>SUM(J96:J102)</f>
        <v>604</v>
      </c>
      <c r="K95" s="191">
        <f t="shared" ref="K95:L95" si="121">SUM(K96:K102)</f>
        <v>0</v>
      </c>
      <c r="L95" s="55">
        <f t="shared" si="121"/>
        <v>604</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34.5" customHeight="1" x14ac:dyDescent="0.25">
      <c r="A101" s="51">
        <v>2236</v>
      </c>
      <c r="B101" s="89" t="s">
        <v>117</v>
      </c>
      <c r="C101" s="90">
        <f t="shared" si="102"/>
        <v>559</v>
      </c>
      <c r="D101" s="196"/>
      <c r="E101" s="197"/>
      <c r="F101" s="55">
        <f t="shared" si="123"/>
        <v>0</v>
      </c>
      <c r="G101" s="53"/>
      <c r="H101" s="54"/>
      <c r="I101" s="55">
        <f t="shared" si="124"/>
        <v>0</v>
      </c>
      <c r="J101" s="53">
        <v>559</v>
      </c>
      <c r="K101" s="54"/>
      <c r="L101" s="55">
        <f t="shared" si="125"/>
        <v>559</v>
      </c>
      <c r="M101" s="53"/>
      <c r="N101" s="54"/>
      <c r="O101" s="55">
        <f t="shared" si="126"/>
        <v>0</v>
      </c>
      <c r="P101" s="57"/>
    </row>
    <row r="102" spans="1:16" ht="24" customHeight="1" x14ac:dyDescent="0.25">
      <c r="A102" s="51">
        <v>2239</v>
      </c>
      <c r="B102" s="89" t="s">
        <v>118</v>
      </c>
      <c r="C102" s="90">
        <f t="shared" si="102"/>
        <v>1645</v>
      </c>
      <c r="D102" s="196">
        <v>1600</v>
      </c>
      <c r="E102" s="197"/>
      <c r="F102" s="55">
        <f t="shared" si="123"/>
        <v>1600</v>
      </c>
      <c r="G102" s="53"/>
      <c r="H102" s="54"/>
      <c r="I102" s="55">
        <f t="shared" si="124"/>
        <v>0</v>
      </c>
      <c r="J102" s="53">
        <v>45</v>
      </c>
      <c r="K102" s="54"/>
      <c r="L102" s="55">
        <f t="shared" si="125"/>
        <v>45</v>
      </c>
      <c r="M102" s="53"/>
      <c r="N102" s="54"/>
      <c r="O102" s="55">
        <f t="shared" si="126"/>
        <v>0</v>
      </c>
      <c r="P102" s="57"/>
    </row>
    <row r="103" spans="1:16" ht="36" x14ac:dyDescent="0.25">
      <c r="A103" s="189">
        <v>2240</v>
      </c>
      <c r="B103" s="89" t="s">
        <v>119</v>
      </c>
      <c r="C103" s="90">
        <f t="shared" si="102"/>
        <v>13439</v>
      </c>
      <c r="D103" s="190">
        <f>SUM(D104:D111)</f>
        <v>10518</v>
      </c>
      <c r="E103" s="191">
        <f t="shared" ref="E103:F103" si="127">SUM(E104:E111)</f>
        <v>0</v>
      </c>
      <c r="F103" s="55">
        <f t="shared" si="127"/>
        <v>10518</v>
      </c>
      <c r="G103" s="190">
        <f>SUM(G104:G111)</f>
        <v>0</v>
      </c>
      <c r="H103" s="191">
        <f t="shared" ref="H103:I103" si="128">SUM(H104:H111)</f>
        <v>0</v>
      </c>
      <c r="I103" s="55">
        <f t="shared" si="128"/>
        <v>0</v>
      </c>
      <c r="J103" s="190">
        <f>SUM(J104:J111)</f>
        <v>2921</v>
      </c>
      <c r="K103" s="191">
        <f t="shared" ref="K103:L103" si="129">SUM(K104:K111)</f>
        <v>0</v>
      </c>
      <c r="L103" s="55">
        <f t="shared" si="129"/>
        <v>2921</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1565</v>
      </c>
      <c r="D106" s="196">
        <v>485</v>
      </c>
      <c r="E106" s="197"/>
      <c r="F106" s="55">
        <f t="shared" si="131"/>
        <v>485</v>
      </c>
      <c r="G106" s="53"/>
      <c r="H106" s="54"/>
      <c r="I106" s="55">
        <f t="shared" si="132"/>
        <v>0</v>
      </c>
      <c r="J106" s="53">
        <v>1080</v>
      </c>
      <c r="K106" s="54"/>
      <c r="L106" s="55">
        <f t="shared" si="133"/>
        <v>1080</v>
      </c>
      <c r="M106" s="53"/>
      <c r="N106" s="54"/>
      <c r="O106" s="55">
        <f t="shared" si="134"/>
        <v>0</v>
      </c>
      <c r="P106" s="57"/>
    </row>
    <row r="107" spans="1:16" ht="12" customHeight="1" x14ac:dyDescent="0.25">
      <c r="A107" s="51">
        <v>2244</v>
      </c>
      <c r="B107" s="89" t="s">
        <v>123</v>
      </c>
      <c r="C107" s="90">
        <f t="shared" si="102"/>
        <v>9324</v>
      </c>
      <c r="D107" s="196">
        <v>8433</v>
      </c>
      <c r="E107" s="197"/>
      <c r="F107" s="55">
        <f t="shared" si="131"/>
        <v>8433</v>
      </c>
      <c r="G107" s="53"/>
      <c r="H107" s="54"/>
      <c r="I107" s="55">
        <f t="shared" si="132"/>
        <v>0</v>
      </c>
      <c r="J107" s="53">
        <v>891</v>
      </c>
      <c r="K107" s="54"/>
      <c r="L107" s="55">
        <f t="shared" si="133"/>
        <v>891</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2550</v>
      </c>
      <c r="D111" s="196">
        <v>1600</v>
      </c>
      <c r="E111" s="197"/>
      <c r="F111" s="55">
        <f t="shared" si="131"/>
        <v>1600</v>
      </c>
      <c r="G111" s="53"/>
      <c r="H111" s="54"/>
      <c r="I111" s="55">
        <f t="shared" si="132"/>
        <v>0</v>
      </c>
      <c r="J111" s="53">
        <v>950</v>
      </c>
      <c r="K111" s="54"/>
      <c r="L111" s="55">
        <f t="shared" si="133"/>
        <v>950</v>
      </c>
      <c r="M111" s="53"/>
      <c r="N111" s="54"/>
      <c r="O111" s="55">
        <f t="shared" si="134"/>
        <v>0</v>
      </c>
      <c r="P111" s="57"/>
    </row>
    <row r="112" spans="1:16" x14ac:dyDescent="0.25">
      <c r="A112" s="189">
        <v>2250</v>
      </c>
      <c r="B112" s="89" t="s">
        <v>128</v>
      </c>
      <c r="C112" s="90">
        <f t="shared" si="102"/>
        <v>150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150</v>
      </c>
      <c r="K112" s="191">
        <f t="shared" ref="K112:L112" si="137">SUM(K113:K115)</f>
        <v>0</v>
      </c>
      <c r="L112" s="55">
        <f t="shared" si="137"/>
        <v>150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150</v>
      </c>
      <c r="D115" s="196"/>
      <c r="E115" s="197"/>
      <c r="F115" s="55">
        <f t="shared" si="139"/>
        <v>0</v>
      </c>
      <c r="G115" s="53"/>
      <c r="H115" s="54"/>
      <c r="I115" s="55">
        <f t="shared" si="140"/>
        <v>0</v>
      </c>
      <c r="J115" s="53">
        <v>150</v>
      </c>
      <c r="K115" s="54"/>
      <c r="L115" s="55">
        <f t="shared" si="141"/>
        <v>150</v>
      </c>
      <c r="M115" s="53"/>
      <c r="N115" s="54"/>
      <c r="O115" s="55">
        <f t="shared" si="142"/>
        <v>0</v>
      </c>
      <c r="P115" s="57"/>
    </row>
    <row r="116" spans="1:16" x14ac:dyDescent="0.25">
      <c r="A116" s="189">
        <v>2260</v>
      </c>
      <c r="B116" s="89" t="s">
        <v>132</v>
      </c>
      <c r="C116" s="90">
        <f t="shared" si="102"/>
        <v>237</v>
      </c>
      <c r="D116" s="190">
        <f>SUM(D117:D121)</f>
        <v>79</v>
      </c>
      <c r="E116" s="191">
        <f t="shared" ref="E116:F116" si="143">SUM(E117:E121)</f>
        <v>0</v>
      </c>
      <c r="F116" s="55">
        <f t="shared" si="143"/>
        <v>79</v>
      </c>
      <c r="G116" s="190">
        <f>SUM(G117:G121)</f>
        <v>0</v>
      </c>
      <c r="H116" s="191">
        <f t="shared" ref="H116:I116" si="144">SUM(H117:H121)</f>
        <v>0</v>
      </c>
      <c r="I116" s="55">
        <f t="shared" si="144"/>
        <v>0</v>
      </c>
      <c r="J116" s="190">
        <f>SUM(J117:J121)</f>
        <v>158</v>
      </c>
      <c r="K116" s="191">
        <f t="shared" ref="K116:L116" si="145">SUM(K117:K121)</f>
        <v>0</v>
      </c>
      <c r="L116" s="55">
        <f t="shared" si="145"/>
        <v>158</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140</v>
      </c>
      <c r="D120" s="196"/>
      <c r="E120" s="197"/>
      <c r="F120" s="55">
        <f t="shared" si="147"/>
        <v>0</v>
      </c>
      <c r="G120" s="53"/>
      <c r="H120" s="54"/>
      <c r="I120" s="55">
        <f t="shared" si="148"/>
        <v>0</v>
      </c>
      <c r="J120" s="53">
        <v>140</v>
      </c>
      <c r="K120" s="54"/>
      <c r="L120" s="55">
        <f t="shared" si="149"/>
        <v>140</v>
      </c>
      <c r="M120" s="53"/>
      <c r="N120" s="54"/>
      <c r="O120" s="55">
        <f t="shared" si="150"/>
        <v>0</v>
      </c>
      <c r="P120" s="57"/>
    </row>
    <row r="121" spans="1:16" ht="12.75" customHeight="1" x14ac:dyDescent="0.25">
      <c r="A121" s="51">
        <v>2269</v>
      </c>
      <c r="B121" s="89" t="s">
        <v>137</v>
      </c>
      <c r="C121" s="90">
        <f t="shared" si="102"/>
        <v>97</v>
      </c>
      <c r="D121" s="196">
        <v>79</v>
      </c>
      <c r="E121" s="197"/>
      <c r="F121" s="55">
        <f t="shared" si="147"/>
        <v>79</v>
      </c>
      <c r="G121" s="53"/>
      <c r="H121" s="54"/>
      <c r="I121" s="55">
        <f t="shared" si="148"/>
        <v>0</v>
      </c>
      <c r="J121" s="53">
        <v>18</v>
      </c>
      <c r="K121" s="54"/>
      <c r="L121" s="55">
        <f t="shared" si="149"/>
        <v>18</v>
      </c>
      <c r="M121" s="53"/>
      <c r="N121" s="54"/>
      <c r="O121" s="55">
        <f t="shared" si="150"/>
        <v>0</v>
      </c>
      <c r="P121" s="57"/>
    </row>
    <row r="122" spans="1:16" x14ac:dyDescent="0.25">
      <c r="A122" s="189">
        <v>2270</v>
      </c>
      <c r="B122" s="89" t="s">
        <v>138</v>
      </c>
      <c r="C122" s="90">
        <f t="shared" si="102"/>
        <v>50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50</v>
      </c>
      <c r="K122" s="191">
        <f t="shared" ref="K122:L122" si="153">SUM(K123:K127)</f>
        <v>0</v>
      </c>
      <c r="L122" s="55">
        <f t="shared" si="153"/>
        <v>50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1.5" customHeight="1" x14ac:dyDescent="0.25">
      <c r="A127" s="51">
        <v>2279</v>
      </c>
      <c r="B127" s="89" t="s">
        <v>143</v>
      </c>
      <c r="C127" s="90">
        <f t="shared" si="102"/>
        <v>50</v>
      </c>
      <c r="D127" s="196"/>
      <c r="E127" s="197"/>
      <c r="F127" s="55">
        <f t="shared" si="155"/>
        <v>0</v>
      </c>
      <c r="G127" s="53"/>
      <c r="H127" s="54"/>
      <c r="I127" s="55">
        <f t="shared" si="156"/>
        <v>0</v>
      </c>
      <c r="J127" s="53">
        <v>50</v>
      </c>
      <c r="K127" s="54"/>
      <c r="L127" s="55">
        <f t="shared" si="157"/>
        <v>50</v>
      </c>
      <c r="M127" s="53"/>
      <c r="N127" s="54"/>
      <c r="O127" s="55">
        <f t="shared" si="158"/>
        <v>0</v>
      </c>
      <c r="P127" s="57"/>
    </row>
    <row r="128" spans="1:16" ht="48" hidden="1" x14ac:dyDescent="0.25">
      <c r="A128" s="855">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13411</v>
      </c>
      <c r="D130" s="184">
        <f>SUM(D131,D136,D140,D141,D144,D151,D159,D160,D163)</f>
        <v>9627</v>
      </c>
      <c r="E130" s="185">
        <f t="shared" ref="E130:F130" si="160">SUM(E131,E136,E140,E141,E144,E151,E159,E160,E163)</f>
        <v>301</v>
      </c>
      <c r="F130" s="73">
        <f t="shared" si="160"/>
        <v>9928</v>
      </c>
      <c r="G130" s="184">
        <f>SUM(G131,G136,G140,G141,G144,G151,G159,G160,G163)</f>
        <v>0</v>
      </c>
      <c r="H130" s="185">
        <f t="shared" ref="H130:I130" si="161">SUM(H131,H136,H140,H141,H144,H151,H159,H160,H163)</f>
        <v>0</v>
      </c>
      <c r="I130" s="73">
        <f t="shared" si="161"/>
        <v>0</v>
      </c>
      <c r="J130" s="184">
        <f>SUM(J131,J136,J140,J141,J144,J151,J159,J160,J163)</f>
        <v>3483</v>
      </c>
      <c r="K130" s="185">
        <f t="shared" ref="K130:L130" si="162">SUM(K131,K136,K140,K141,K144,K151,K159,K160,K163)</f>
        <v>0</v>
      </c>
      <c r="L130" s="73">
        <f t="shared" si="162"/>
        <v>3483</v>
      </c>
      <c r="M130" s="184">
        <f>SUM(M131,M136,M140,M141,M144,M151,M159,M160,M163)</f>
        <v>0</v>
      </c>
      <c r="N130" s="185">
        <f t="shared" ref="N130:O130" si="163">SUM(N131,N136,N140,N141,N144,N151,N159,N160,N163)</f>
        <v>0</v>
      </c>
      <c r="O130" s="73">
        <f t="shared" si="163"/>
        <v>0</v>
      </c>
      <c r="P130" s="77"/>
    </row>
    <row r="131" spans="1:16" ht="24" x14ac:dyDescent="0.25">
      <c r="A131" s="855">
        <v>2310</v>
      </c>
      <c r="B131" s="82" t="s">
        <v>147</v>
      </c>
      <c r="C131" s="83">
        <f t="shared" si="102"/>
        <v>5766</v>
      </c>
      <c r="D131" s="194">
        <f t="shared" ref="D131:O131" si="164">SUM(D132:D135)</f>
        <v>3925</v>
      </c>
      <c r="E131" s="195">
        <f t="shared" si="164"/>
        <v>301</v>
      </c>
      <c r="F131" s="134">
        <f t="shared" si="164"/>
        <v>4226</v>
      </c>
      <c r="G131" s="194">
        <f t="shared" si="164"/>
        <v>0</v>
      </c>
      <c r="H131" s="195">
        <f t="shared" si="164"/>
        <v>0</v>
      </c>
      <c r="I131" s="134">
        <f t="shared" si="164"/>
        <v>0</v>
      </c>
      <c r="J131" s="194">
        <f t="shared" si="164"/>
        <v>1540</v>
      </c>
      <c r="K131" s="195">
        <f t="shared" si="164"/>
        <v>0</v>
      </c>
      <c r="L131" s="134">
        <f t="shared" si="164"/>
        <v>1540</v>
      </c>
      <c r="M131" s="194">
        <f t="shared" si="164"/>
        <v>0</v>
      </c>
      <c r="N131" s="195">
        <f t="shared" si="164"/>
        <v>0</v>
      </c>
      <c r="O131" s="134">
        <f t="shared" si="164"/>
        <v>0</v>
      </c>
      <c r="P131" s="49"/>
    </row>
    <row r="132" spans="1:16" ht="12" customHeight="1" x14ac:dyDescent="0.25">
      <c r="A132" s="51">
        <v>2311</v>
      </c>
      <c r="B132" s="89" t="s">
        <v>148</v>
      </c>
      <c r="C132" s="90">
        <f t="shared" si="102"/>
        <v>1431</v>
      </c>
      <c r="D132" s="196">
        <v>1271</v>
      </c>
      <c r="E132" s="197"/>
      <c r="F132" s="55">
        <f t="shared" ref="F132:F135" si="165">D132+E132</f>
        <v>1271</v>
      </c>
      <c r="G132" s="53"/>
      <c r="H132" s="54"/>
      <c r="I132" s="55">
        <f t="shared" ref="I132:I135" si="166">G132+H132</f>
        <v>0</v>
      </c>
      <c r="J132" s="53">
        <v>160</v>
      </c>
      <c r="K132" s="54"/>
      <c r="L132" s="55">
        <f t="shared" ref="L132:L135" si="167">K132+J132</f>
        <v>160</v>
      </c>
      <c r="M132" s="53"/>
      <c r="N132" s="54"/>
      <c r="O132" s="55">
        <f t="shared" ref="O132:O135" si="168">N132+M132</f>
        <v>0</v>
      </c>
      <c r="P132" s="57"/>
    </row>
    <row r="133" spans="1:16" ht="27" customHeight="1" x14ac:dyDescent="0.25">
      <c r="A133" s="51">
        <v>2312</v>
      </c>
      <c r="B133" s="89" t="s">
        <v>149</v>
      </c>
      <c r="C133" s="90">
        <f t="shared" si="102"/>
        <v>4155</v>
      </c>
      <c r="D133" s="196">
        <v>2654</v>
      </c>
      <c r="E133" s="197">
        <v>301</v>
      </c>
      <c r="F133" s="55">
        <f t="shared" si="165"/>
        <v>2955</v>
      </c>
      <c r="G133" s="53"/>
      <c r="H133" s="54"/>
      <c r="I133" s="55">
        <f t="shared" si="166"/>
        <v>0</v>
      </c>
      <c r="J133" s="53">
        <v>1200</v>
      </c>
      <c r="K133" s="54"/>
      <c r="L133" s="55">
        <f t="shared" si="167"/>
        <v>1200</v>
      </c>
      <c r="M133" s="53"/>
      <c r="N133" s="54"/>
      <c r="O133" s="55">
        <f t="shared" si="168"/>
        <v>0</v>
      </c>
      <c r="P133" s="57" t="s">
        <v>1050</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180</v>
      </c>
      <c r="D135" s="196"/>
      <c r="E135" s="197"/>
      <c r="F135" s="55">
        <f t="shared" si="165"/>
        <v>0</v>
      </c>
      <c r="G135" s="53"/>
      <c r="H135" s="54"/>
      <c r="I135" s="55">
        <f t="shared" si="166"/>
        <v>0</v>
      </c>
      <c r="J135" s="53">
        <v>180</v>
      </c>
      <c r="K135" s="54"/>
      <c r="L135" s="55">
        <f t="shared" si="167"/>
        <v>180</v>
      </c>
      <c r="M135" s="53"/>
      <c r="N135" s="54"/>
      <c r="O135" s="55">
        <f t="shared" si="168"/>
        <v>0</v>
      </c>
      <c r="P135" s="57"/>
    </row>
    <row r="136" spans="1:16" x14ac:dyDescent="0.25">
      <c r="A136" s="189">
        <v>2320</v>
      </c>
      <c r="B136" s="89" t="s">
        <v>152</v>
      </c>
      <c r="C136" s="90">
        <f t="shared" si="102"/>
        <v>1502</v>
      </c>
      <c r="D136" s="190">
        <f>SUM(D137:D139)</f>
        <v>1502</v>
      </c>
      <c r="E136" s="191">
        <f t="shared" ref="E136:F136" si="169">SUM(E137:E139)</f>
        <v>0</v>
      </c>
      <c r="F136" s="55">
        <f t="shared" si="169"/>
        <v>1502</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1502</v>
      </c>
      <c r="D138" s="196">
        <v>1502</v>
      </c>
      <c r="E138" s="197"/>
      <c r="F138" s="55">
        <f t="shared" si="173"/>
        <v>1502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5713</v>
      </c>
      <c r="D144" s="187">
        <f>SUM(D145:D150)</f>
        <v>4200</v>
      </c>
      <c r="E144" s="188">
        <f t="shared" ref="E144:F144" si="185">SUM(E145:E150)</f>
        <v>0</v>
      </c>
      <c r="F144" s="141">
        <f t="shared" si="185"/>
        <v>4200</v>
      </c>
      <c r="G144" s="187">
        <f>SUM(G145:G150)</f>
        <v>0</v>
      </c>
      <c r="H144" s="188">
        <f t="shared" ref="H144:I144" si="186">SUM(H145:H150)</f>
        <v>0</v>
      </c>
      <c r="I144" s="141">
        <f t="shared" si="186"/>
        <v>0</v>
      </c>
      <c r="J144" s="187">
        <f>SUM(J145:J150)</f>
        <v>1513</v>
      </c>
      <c r="K144" s="188">
        <f t="shared" ref="K144:L144" si="187">SUM(K145:K150)</f>
        <v>0</v>
      </c>
      <c r="L144" s="141">
        <f t="shared" si="187"/>
        <v>1513</v>
      </c>
      <c r="M144" s="187">
        <f>SUM(M145:M150)</f>
        <v>0</v>
      </c>
      <c r="N144" s="188">
        <f t="shared" ref="N144:O144" si="188">SUM(N145:N150)</f>
        <v>0</v>
      </c>
      <c r="O144" s="141">
        <f t="shared" si="188"/>
        <v>0</v>
      </c>
      <c r="P144" s="129"/>
    </row>
    <row r="145" spans="1:16" ht="12" customHeight="1" x14ac:dyDescent="0.25">
      <c r="A145" s="44">
        <v>2351</v>
      </c>
      <c r="B145" s="82" t="s">
        <v>161</v>
      </c>
      <c r="C145" s="83">
        <f t="shared" si="102"/>
        <v>400</v>
      </c>
      <c r="D145" s="199">
        <v>300</v>
      </c>
      <c r="E145" s="200"/>
      <c r="F145" s="134">
        <f t="shared" ref="F145:F150" si="189">D145+E145</f>
        <v>300</v>
      </c>
      <c r="G145" s="46"/>
      <c r="H145" s="47"/>
      <c r="I145" s="134">
        <f t="shared" ref="I145:I150" si="190">G145+H145</f>
        <v>0</v>
      </c>
      <c r="J145" s="46">
        <v>100</v>
      </c>
      <c r="K145" s="47"/>
      <c r="L145" s="134">
        <f t="shared" ref="L145:L150" si="191">K145+J145</f>
        <v>100</v>
      </c>
      <c r="M145" s="46"/>
      <c r="N145" s="47"/>
      <c r="O145" s="134">
        <f t="shared" ref="O145:O150" si="192">N145+M145</f>
        <v>0</v>
      </c>
      <c r="P145" s="49"/>
    </row>
    <row r="146" spans="1:16" ht="14.25" customHeight="1" x14ac:dyDescent="0.25">
      <c r="A146" s="51">
        <v>2352</v>
      </c>
      <c r="B146" s="89" t="s">
        <v>162</v>
      </c>
      <c r="C146" s="90">
        <f t="shared" si="102"/>
        <v>5131</v>
      </c>
      <c r="D146" s="196">
        <v>3900</v>
      </c>
      <c r="E146" s="197"/>
      <c r="F146" s="55">
        <f t="shared" si="189"/>
        <v>3900</v>
      </c>
      <c r="G146" s="53"/>
      <c r="H146" s="54"/>
      <c r="I146" s="55">
        <f t="shared" si="190"/>
        <v>0</v>
      </c>
      <c r="J146" s="53">
        <v>1231</v>
      </c>
      <c r="K146" s="54"/>
      <c r="L146" s="55">
        <f t="shared" si="191"/>
        <v>1231</v>
      </c>
      <c r="M146" s="53"/>
      <c r="N146" s="54"/>
      <c r="O146" s="55">
        <f t="shared" si="192"/>
        <v>0</v>
      </c>
      <c r="P146" s="57"/>
    </row>
    <row r="147" spans="1:16" ht="24" customHeight="1" x14ac:dyDescent="0.25">
      <c r="A147" s="51">
        <v>2353</v>
      </c>
      <c r="B147" s="89" t="s">
        <v>163</v>
      </c>
      <c r="C147" s="90">
        <f t="shared" si="102"/>
        <v>150</v>
      </c>
      <c r="D147" s="196"/>
      <c r="E147" s="197"/>
      <c r="F147" s="55">
        <f t="shared" si="189"/>
        <v>0</v>
      </c>
      <c r="G147" s="53"/>
      <c r="H147" s="54"/>
      <c r="I147" s="55">
        <f t="shared" si="190"/>
        <v>0</v>
      </c>
      <c r="J147" s="53">
        <v>150</v>
      </c>
      <c r="K147" s="54"/>
      <c r="L147" s="55">
        <f t="shared" si="191"/>
        <v>150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32</v>
      </c>
      <c r="D149" s="196"/>
      <c r="E149" s="197"/>
      <c r="F149" s="55">
        <f t="shared" si="189"/>
        <v>0</v>
      </c>
      <c r="G149" s="53"/>
      <c r="H149" s="54"/>
      <c r="I149" s="55">
        <f t="shared" si="190"/>
        <v>0</v>
      </c>
      <c r="J149" s="53">
        <v>32</v>
      </c>
      <c r="K149" s="54"/>
      <c r="L149" s="55">
        <f t="shared" si="191"/>
        <v>32</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179</v>
      </c>
      <c r="C163" s="143">
        <f t="shared" si="193"/>
        <v>430</v>
      </c>
      <c r="D163" s="203"/>
      <c r="E163" s="204"/>
      <c r="F163" s="141">
        <f t="shared" si="206"/>
        <v>0</v>
      </c>
      <c r="G163" s="144"/>
      <c r="H163" s="145"/>
      <c r="I163" s="141">
        <f t="shared" si="207"/>
        <v>0</v>
      </c>
      <c r="J163" s="144">
        <v>430</v>
      </c>
      <c r="K163" s="145"/>
      <c r="L163" s="141">
        <f t="shared" si="208"/>
        <v>430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855">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55">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55">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55">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55">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42035</v>
      </c>
      <c r="D194" s="173">
        <f t="shared" ref="D194:O194" si="259">SUM(D195,D230,D269,D283)</f>
        <v>36986</v>
      </c>
      <c r="E194" s="174">
        <f t="shared" si="259"/>
        <v>4279</v>
      </c>
      <c r="F194" s="175">
        <f t="shared" si="259"/>
        <v>41265</v>
      </c>
      <c r="G194" s="173">
        <f t="shared" si="259"/>
        <v>0</v>
      </c>
      <c r="H194" s="174">
        <f t="shared" si="259"/>
        <v>0</v>
      </c>
      <c r="I194" s="175">
        <f t="shared" si="259"/>
        <v>0</v>
      </c>
      <c r="J194" s="173">
        <f t="shared" si="259"/>
        <v>770</v>
      </c>
      <c r="K194" s="174">
        <f t="shared" si="259"/>
        <v>0</v>
      </c>
      <c r="L194" s="175">
        <f t="shared" si="259"/>
        <v>770</v>
      </c>
      <c r="M194" s="173">
        <f t="shared" si="259"/>
        <v>0</v>
      </c>
      <c r="N194" s="174">
        <f t="shared" si="259"/>
        <v>0</v>
      </c>
      <c r="O194" s="175">
        <f t="shared" si="259"/>
        <v>0</v>
      </c>
      <c r="P194" s="176"/>
    </row>
    <row r="195" spans="1:16" x14ac:dyDescent="0.25">
      <c r="A195" s="177">
        <v>5000</v>
      </c>
      <c r="B195" s="177" t="s">
        <v>211</v>
      </c>
      <c r="C195" s="178">
        <f t="shared" si="193"/>
        <v>42035</v>
      </c>
      <c r="D195" s="179">
        <f>D196+D204</f>
        <v>36986</v>
      </c>
      <c r="E195" s="180">
        <f t="shared" ref="E195:F195" si="260">E196+E204</f>
        <v>4279</v>
      </c>
      <c r="F195" s="181">
        <f t="shared" si="260"/>
        <v>41265</v>
      </c>
      <c r="G195" s="179">
        <f>G196+G204</f>
        <v>0</v>
      </c>
      <c r="H195" s="180">
        <f t="shared" ref="H195:I195" si="261">H196+H204</f>
        <v>0</v>
      </c>
      <c r="I195" s="181">
        <f t="shared" si="261"/>
        <v>0</v>
      </c>
      <c r="J195" s="179">
        <f>J196+J204</f>
        <v>770</v>
      </c>
      <c r="K195" s="180">
        <f t="shared" ref="K195:L195" si="262">K196+K204</f>
        <v>0</v>
      </c>
      <c r="L195" s="181">
        <f t="shared" si="262"/>
        <v>770</v>
      </c>
      <c r="M195" s="179">
        <f>M196+M204</f>
        <v>0</v>
      </c>
      <c r="N195" s="180">
        <f t="shared" ref="N195:O195" si="263">N196+N204</f>
        <v>0</v>
      </c>
      <c r="O195" s="181">
        <f t="shared" si="263"/>
        <v>0</v>
      </c>
      <c r="P195" s="182"/>
    </row>
    <row r="196" spans="1:16" x14ac:dyDescent="0.25">
      <c r="A196" s="69">
        <v>5100</v>
      </c>
      <c r="B196" s="183" t="s">
        <v>212</v>
      </c>
      <c r="C196" s="70">
        <f t="shared" si="193"/>
        <v>970</v>
      </c>
      <c r="D196" s="184">
        <f>D197+D198+D201+D202+D203</f>
        <v>200</v>
      </c>
      <c r="E196" s="185">
        <f t="shared" ref="E196:F196" si="264">E197+E198+E201+E202+E203</f>
        <v>0</v>
      </c>
      <c r="F196" s="73">
        <f t="shared" si="264"/>
        <v>200</v>
      </c>
      <c r="G196" s="184">
        <f>G197+G198+G201+G202+G203</f>
        <v>0</v>
      </c>
      <c r="H196" s="185">
        <f t="shared" ref="H196:I196" si="265">H197+H198+H201+H202+H203</f>
        <v>0</v>
      </c>
      <c r="I196" s="73">
        <f t="shared" si="265"/>
        <v>0</v>
      </c>
      <c r="J196" s="184">
        <f>J197+J198+J201+J202+J203</f>
        <v>770</v>
      </c>
      <c r="K196" s="185">
        <f t="shared" ref="K196:L196" si="266">K197+K198+K201+K202+K203</f>
        <v>0</v>
      </c>
      <c r="L196" s="73">
        <f t="shared" si="266"/>
        <v>770</v>
      </c>
      <c r="M196" s="184">
        <f>M197+M198+M201+M202+M203</f>
        <v>0</v>
      </c>
      <c r="N196" s="185">
        <f t="shared" ref="N196:O196" si="267">N197+N198+N201+N202+N203</f>
        <v>0</v>
      </c>
      <c r="O196" s="73">
        <f t="shared" si="267"/>
        <v>0</v>
      </c>
      <c r="P196" s="77"/>
    </row>
    <row r="197" spans="1:16" ht="12" hidden="1" customHeight="1" x14ac:dyDescent="0.25">
      <c r="A197" s="855">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970</v>
      </c>
      <c r="D198" s="190">
        <f>D199+D200</f>
        <v>200</v>
      </c>
      <c r="E198" s="191">
        <f t="shared" ref="E198:F198" si="268">E199+E200</f>
        <v>0</v>
      </c>
      <c r="F198" s="55">
        <f t="shared" si="268"/>
        <v>200</v>
      </c>
      <c r="G198" s="190">
        <f>G199+G200</f>
        <v>0</v>
      </c>
      <c r="H198" s="191">
        <f t="shared" ref="H198:I198" si="269">H199+H200</f>
        <v>0</v>
      </c>
      <c r="I198" s="55">
        <f t="shared" si="269"/>
        <v>0</v>
      </c>
      <c r="J198" s="190">
        <f>J199+J200</f>
        <v>770</v>
      </c>
      <c r="K198" s="191">
        <f t="shared" ref="K198:L198" si="270">K199+K200</f>
        <v>0</v>
      </c>
      <c r="L198" s="55">
        <f t="shared" si="270"/>
        <v>770</v>
      </c>
      <c r="M198" s="190">
        <f>M199+M200</f>
        <v>0</v>
      </c>
      <c r="N198" s="191">
        <f t="shared" ref="N198:O198" si="271">N199+N200</f>
        <v>0</v>
      </c>
      <c r="O198" s="55">
        <f t="shared" si="271"/>
        <v>0</v>
      </c>
      <c r="P198" s="57"/>
    </row>
    <row r="199" spans="1:16" ht="18.75" customHeight="1" x14ac:dyDescent="0.2">
      <c r="A199" s="51">
        <v>5121</v>
      </c>
      <c r="B199" s="89" t="s">
        <v>215</v>
      </c>
      <c r="C199" s="90">
        <f t="shared" si="193"/>
        <v>970</v>
      </c>
      <c r="D199" s="196">
        <v>200</v>
      </c>
      <c r="E199" s="197"/>
      <c r="F199" s="55">
        <f t="shared" ref="F199:F203" si="272">D199+E199</f>
        <v>200</v>
      </c>
      <c r="G199" s="53"/>
      <c r="H199" s="54"/>
      <c r="I199" s="55">
        <f t="shared" ref="I199:I203" si="273">G199+H199</f>
        <v>0</v>
      </c>
      <c r="J199" s="53">
        <v>770</v>
      </c>
      <c r="K199" s="54"/>
      <c r="L199" s="55">
        <f t="shared" ref="L199:L203" si="274">K199+J199</f>
        <v>770</v>
      </c>
      <c r="M199" s="53"/>
      <c r="N199" s="54"/>
      <c r="O199" s="55">
        <f t="shared" ref="O199:O203" si="275">N199+M199</f>
        <v>0</v>
      </c>
      <c r="P199" s="941"/>
    </row>
    <row r="200" spans="1:16" ht="24" hidden="1" customHeight="1" x14ac:dyDescent="0.2">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941"/>
    </row>
    <row r="201" spans="1:16" ht="12" hidden="1" customHeight="1" x14ac:dyDescent="0.2">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942"/>
    </row>
    <row r="202" spans="1:16" ht="12" hidden="1" customHeight="1" x14ac:dyDescent="0.2">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943"/>
    </row>
    <row r="203" spans="1:16" ht="24" hidden="1" customHeight="1" x14ac:dyDescent="0.2">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944"/>
    </row>
    <row r="204" spans="1:16" x14ac:dyDescent="0.25">
      <c r="A204" s="69">
        <v>5200</v>
      </c>
      <c r="B204" s="183" t="s">
        <v>220</v>
      </c>
      <c r="C204" s="70">
        <f t="shared" si="193"/>
        <v>41065</v>
      </c>
      <c r="D204" s="184">
        <f>D205+D215+D216+D225+D226+D227+D229</f>
        <v>36786</v>
      </c>
      <c r="E204" s="185">
        <f t="shared" ref="E204:F204" si="276">E205+E215+E216+E225+E226+E227+E229</f>
        <v>4279</v>
      </c>
      <c r="F204" s="73">
        <f t="shared" si="276"/>
        <v>41065</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41065</v>
      </c>
      <c r="D216" s="190">
        <f>SUM(D217:D224)</f>
        <v>36786</v>
      </c>
      <c r="E216" s="191">
        <f t="shared" ref="E216:F216" si="289">SUM(E217:E224)</f>
        <v>4279</v>
      </c>
      <c r="F216" s="55">
        <f t="shared" si="289"/>
        <v>41065</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30" customHeight="1" x14ac:dyDescent="0.25">
      <c r="A223" s="51">
        <v>5238</v>
      </c>
      <c r="B223" s="89" t="s">
        <v>239</v>
      </c>
      <c r="C223" s="90">
        <f t="shared" si="288"/>
        <v>1399</v>
      </c>
      <c r="D223" s="196">
        <v>1700</v>
      </c>
      <c r="E223" s="197">
        <v>-301</v>
      </c>
      <c r="F223" s="55">
        <f t="shared" si="293"/>
        <v>1399</v>
      </c>
      <c r="G223" s="53"/>
      <c r="H223" s="54"/>
      <c r="I223" s="55">
        <f t="shared" si="294"/>
        <v>0</v>
      </c>
      <c r="J223" s="53"/>
      <c r="K223" s="54"/>
      <c r="L223" s="55">
        <f t="shared" si="295"/>
        <v>0</v>
      </c>
      <c r="M223" s="53"/>
      <c r="N223" s="54"/>
      <c r="O223" s="55">
        <f t="shared" si="296"/>
        <v>0</v>
      </c>
      <c r="P223" s="57" t="s">
        <v>1051</v>
      </c>
    </row>
    <row r="224" spans="1:16" ht="40.5" customHeight="1" x14ac:dyDescent="0.25">
      <c r="A224" s="51">
        <v>5239</v>
      </c>
      <c r="B224" s="89" t="s">
        <v>240</v>
      </c>
      <c r="C224" s="90">
        <f t="shared" si="288"/>
        <v>39666</v>
      </c>
      <c r="D224" s="196">
        <v>35086</v>
      </c>
      <c r="E224" s="197">
        <v>4580</v>
      </c>
      <c r="F224" s="55">
        <f t="shared" si="293"/>
        <v>39666</v>
      </c>
      <c r="G224" s="53"/>
      <c r="H224" s="54"/>
      <c r="I224" s="55">
        <f t="shared" si="294"/>
        <v>0</v>
      </c>
      <c r="J224" s="53"/>
      <c r="K224" s="54"/>
      <c r="L224" s="55">
        <f t="shared" si="295"/>
        <v>0</v>
      </c>
      <c r="M224" s="53"/>
      <c r="N224" s="54"/>
      <c r="O224" s="55">
        <f t="shared" si="296"/>
        <v>0</v>
      </c>
      <c r="P224" s="57" t="s">
        <v>1052</v>
      </c>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855">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55">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55">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55">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55">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55">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1029317</v>
      </c>
      <c r="D289" s="252">
        <f t="shared" ref="D289:O289" si="389">SUM(D286,D269,D230,D195,D187,D173,D75,D53,D283)</f>
        <v>993681</v>
      </c>
      <c r="E289" s="253">
        <f t="shared" si="389"/>
        <v>4580</v>
      </c>
      <c r="F289" s="254">
        <f t="shared" si="389"/>
        <v>998261</v>
      </c>
      <c r="G289" s="252">
        <f t="shared" si="389"/>
        <v>10724</v>
      </c>
      <c r="H289" s="253">
        <f t="shared" si="389"/>
        <v>0</v>
      </c>
      <c r="I289" s="254">
        <f t="shared" si="389"/>
        <v>10724</v>
      </c>
      <c r="J289" s="252">
        <f t="shared" si="389"/>
        <v>20332</v>
      </c>
      <c r="K289" s="253">
        <f t="shared" si="389"/>
        <v>0</v>
      </c>
      <c r="L289" s="254">
        <f t="shared" si="389"/>
        <v>20332</v>
      </c>
      <c r="M289" s="252">
        <f t="shared" si="389"/>
        <v>0</v>
      </c>
      <c r="N289" s="253">
        <f t="shared" si="389"/>
        <v>0</v>
      </c>
      <c r="O289" s="254">
        <f t="shared" si="389"/>
        <v>0</v>
      </c>
      <c r="P289" s="255"/>
    </row>
    <row r="290" spans="1:16" s="28" customFormat="1" ht="13.5" thickTop="1" thickBot="1" x14ac:dyDescent="0.3">
      <c r="A290" s="1544" t="s">
        <v>308</v>
      </c>
      <c r="B290" s="1545"/>
      <c r="C290" s="256">
        <f t="shared" si="371"/>
        <v>-1951</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-1951</v>
      </c>
      <c r="K290" s="258">
        <f t="shared" ref="K290:L290" si="392">(K26+K43)-K51</f>
        <v>0</v>
      </c>
      <c r="L290" s="259">
        <f t="shared" si="392"/>
        <v>-1951</v>
      </c>
      <c r="M290" s="257">
        <f>M45-M51</f>
        <v>0</v>
      </c>
      <c r="N290" s="258">
        <f t="shared" ref="N290:O290" si="393">N45-N51</f>
        <v>0</v>
      </c>
      <c r="O290" s="259">
        <f t="shared" si="393"/>
        <v>0</v>
      </c>
      <c r="P290" s="260"/>
    </row>
    <row r="291" spans="1:16" s="28" customFormat="1" ht="12.75" thickTop="1" x14ac:dyDescent="0.25">
      <c r="A291" s="1546" t="s">
        <v>309</v>
      </c>
      <c r="B291" s="1547"/>
      <c r="C291" s="261">
        <f t="shared" si="371"/>
        <v>1951</v>
      </c>
      <c r="D291" s="262">
        <f t="shared" ref="D291:O291" si="394">SUM(D292,D293)-D300+D301</f>
        <v>0</v>
      </c>
      <c r="E291" s="263">
        <f t="shared" si="394"/>
        <v>0</v>
      </c>
      <c r="F291" s="264">
        <f t="shared" si="394"/>
        <v>0</v>
      </c>
      <c r="G291" s="262">
        <f t="shared" si="394"/>
        <v>0</v>
      </c>
      <c r="H291" s="263">
        <f t="shared" si="394"/>
        <v>0</v>
      </c>
      <c r="I291" s="264">
        <f t="shared" si="394"/>
        <v>0</v>
      </c>
      <c r="J291" s="262">
        <f t="shared" si="394"/>
        <v>1951</v>
      </c>
      <c r="K291" s="263">
        <f t="shared" si="394"/>
        <v>0</v>
      </c>
      <c r="L291" s="264">
        <f t="shared" si="394"/>
        <v>1951</v>
      </c>
      <c r="M291" s="262">
        <f t="shared" si="394"/>
        <v>0</v>
      </c>
      <c r="N291" s="263">
        <f t="shared" si="394"/>
        <v>0</v>
      </c>
      <c r="O291" s="264">
        <f t="shared" si="394"/>
        <v>0</v>
      </c>
      <c r="P291" s="265"/>
    </row>
    <row r="292" spans="1:16" s="28" customFormat="1" ht="12.75" thickBot="1" x14ac:dyDescent="0.3">
      <c r="A292" s="157" t="s">
        <v>310</v>
      </c>
      <c r="B292" s="157" t="s">
        <v>311</v>
      </c>
      <c r="C292" s="158">
        <f t="shared" si="371"/>
        <v>1951</v>
      </c>
      <c r="D292" s="159">
        <f t="shared" ref="D292:O292" si="395">D21-D286</f>
        <v>0</v>
      </c>
      <c r="E292" s="160">
        <f t="shared" si="395"/>
        <v>0</v>
      </c>
      <c r="F292" s="161">
        <f t="shared" si="395"/>
        <v>0</v>
      </c>
      <c r="G292" s="159">
        <f t="shared" si="395"/>
        <v>0</v>
      </c>
      <c r="H292" s="160">
        <f t="shared" si="395"/>
        <v>0</v>
      </c>
      <c r="I292" s="161">
        <f t="shared" si="395"/>
        <v>0</v>
      </c>
      <c r="J292" s="159">
        <f t="shared" si="395"/>
        <v>1951</v>
      </c>
      <c r="K292" s="160">
        <f t="shared" si="395"/>
        <v>0</v>
      </c>
      <c r="L292" s="161">
        <f t="shared" si="395"/>
        <v>1951</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NPW7AexCZJSEWAwA9vB8mjGxOYcuPADR3j/xeqXATq+F5WP+xxmRgWjANn66oLhey9PzoGo3qcglnkantkdKJw==" saltValue="J+vIUkcAXLlBqidEgpKouQ==" spinCount="100000" sheet="1" objects="1" scenarios="1" formatCells="0" formatColumns="0" formatRows="0" deleteColumns="0"/>
  <autoFilter ref="A18:P301">
    <filterColumn colId="2">
      <filters>
        <filter val="1 008 985"/>
        <filter val="1 029 317"/>
        <filter val="1 333"/>
        <filter val="1 335"/>
        <filter val="1 399"/>
        <filter val="1 431"/>
        <filter val="1 450"/>
        <filter val="1 480"/>
        <filter val="1 502"/>
        <filter val="1 565"/>
        <filter val="1 645"/>
        <filter val="1 951"/>
        <filter val="-1 951"/>
        <filter val="10 097"/>
        <filter val="103 870"/>
        <filter val="13 411"/>
        <filter val="13 439"/>
        <filter val="14 836"/>
        <filter val="140"/>
        <filter val="15 137"/>
        <filter val="150"/>
        <filter val="167 342"/>
        <filter val="18 067"/>
        <filter val="180"/>
        <filter val="19 637"/>
        <filter val="2 204"/>
        <filter val="2 550"/>
        <filter val="2 930"/>
        <filter val="2 946"/>
        <filter val="216 457"/>
        <filter val="237"/>
        <filter val="28 145"/>
        <filter val="3 350"/>
        <filter val="3 520"/>
        <filter val="301"/>
        <filter val="31 453"/>
        <filter val="314"/>
        <filter val="32"/>
        <filter val="32 189"/>
        <filter val="34 721"/>
        <filter val="39 666"/>
        <filter val="4 155"/>
        <filter val="4 451"/>
        <filter val="400"/>
        <filter val="41 065"/>
        <filter val="42 035"/>
        <filter val="430"/>
        <filter val="46 737"/>
        <filter val="49 115"/>
        <filter val="5 131"/>
        <filter val="5 713"/>
        <filter val="5 766"/>
        <filter val="50"/>
        <filter val="508"/>
        <filter val="559"/>
        <filter val="620 218"/>
        <filter val="66"/>
        <filter val="666 955"/>
        <filter val="70 859"/>
        <filter val="883 412"/>
        <filter val="9 324"/>
        <filter val="90 459"/>
        <filter val="97"/>
        <filter val="970"/>
        <filter val="987 28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2019.gada 31.oktobra saistošajiem noteikumiem Nr.46
(protokols Nr.14, 28.punkts)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1053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1042</v>
      </c>
      <c r="D3" s="1517"/>
      <c r="E3" s="1517"/>
      <c r="F3" s="1517"/>
      <c r="G3" s="1517"/>
      <c r="H3" s="1517"/>
      <c r="I3" s="1517"/>
      <c r="J3" s="1517"/>
      <c r="K3" s="1517"/>
      <c r="L3" s="1517"/>
      <c r="M3" s="1517"/>
      <c r="N3" s="1517"/>
      <c r="O3" s="1517"/>
      <c r="P3" s="1518"/>
      <c r="Q3" s="277"/>
    </row>
    <row r="4" spans="1:17" ht="12.75" customHeight="1" x14ac:dyDescent="0.25">
      <c r="A4" s="5" t="s">
        <v>4</v>
      </c>
      <c r="B4" s="6"/>
      <c r="C4" s="1517" t="s">
        <v>1043</v>
      </c>
      <c r="D4" s="1517"/>
      <c r="E4" s="1517"/>
      <c r="F4" s="1517"/>
      <c r="G4" s="1517"/>
      <c r="H4" s="1517"/>
      <c r="I4" s="1517"/>
      <c r="J4" s="1517"/>
      <c r="K4" s="1517"/>
      <c r="L4" s="1517"/>
      <c r="M4" s="1517"/>
      <c r="N4" s="1517"/>
      <c r="O4" s="1517"/>
      <c r="P4" s="1518"/>
      <c r="Q4" s="277"/>
    </row>
    <row r="5" spans="1:17" ht="12.75" customHeight="1" x14ac:dyDescent="0.25">
      <c r="A5" s="7" t="s">
        <v>6</v>
      </c>
      <c r="B5" s="8"/>
      <c r="C5" s="1512" t="s">
        <v>1044</v>
      </c>
      <c r="D5" s="1512"/>
      <c r="E5" s="1512"/>
      <c r="F5" s="1512"/>
      <c r="G5" s="1512"/>
      <c r="H5" s="1512"/>
      <c r="I5" s="1512"/>
      <c r="J5" s="1512"/>
      <c r="K5" s="1512"/>
      <c r="L5" s="1512"/>
      <c r="M5" s="1512"/>
      <c r="N5" s="1512"/>
      <c r="O5" s="1512"/>
      <c r="P5" s="1513"/>
      <c r="Q5" s="277"/>
    </row>
    <row r="6" spans="1:17" ht="12.75" customHeight="1" x14ac:dyDescent="0.25">
      <c r="A6" s="7" t="s">
        <v>8</v>
      </c>
      <c r="B6" s="8"/>
      <c r="C6" s="1512" t="s">
        <v>511</v>
      </c>
      <c r="D6" s="1512"/>
      <c r="E6" s="1512"/>
      <c r="F6" s="1512"/>
      <c r="G6" s="1512"/>
      <c r="H6" s="1512"/>
      <c r="I6" s="1512"/>
      <c r="J6" s="1512"/>
      <c r="K6" s="1512"/>
      <c r="L6" s="1512"/>
      <c r="M6" s="1512"/>
      <c r="N6" s="1512"/>
      <c r="O6" s="1512"/>
      <c r="P6" s="1513"/>
      <c r="Q6" s="277"/>
    </row>
    <row r="7" spans="1:17" x14ac:dyDescent="0.25">
      <c r="A7" s="7" t="s">
        <v>10</v>
      </c>
      <c r="B7" s="8"/>
      <c r="C7" s="1517" t="s">
        <v>1054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1046</v>
      </c>
      <c r="D9" s="1512"/>
      <c r="E9" s="1512"/>
      <c r="F9" s="1512"/>
      <c r="G9" s="1512"/>
      <c r="H9" s="1512"/>
      <c r="I9" s="1512"/>
      <c r="J9" s="1512"/>
      <c r="K9" s="1512"/>
      <c r="L9" s="1512"/>
      <c r="M9" s="1512"/>
      <c r="N9" s="1512"/>
      <c r="O9" s="1512"/>
      <c r="P9" s="1513"/>
      <c r="Q9" s="277"/>
    </row>
    <row r="10" spans="1:17" ht="12.75" customHeight="1" x14ac:dyDescent="0.25">
      <c r="A10" s="7"/>
      <c r="B10" s="8" t="s">
        <v>15</v>
      </c>
      <c r="C10" s="1512" t="s">
        <v>1047</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1048</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534093</v>
      </c>
      <c r="D20" s="32">
        <f>SUM(D21,D24,D25,D41,D43)</f>
        <v>513808</v>
      </c>
      <c r="E20" s="33">
        <f t="shared" ref="E20:F20" si="1">SUM(E21,E24,E25,E41,E43)</f>
        <v>-4580</v>
      </c>
      <c r="F20" s="34">
        <f t="shared" si="1"/>
        <v>509228</v>
      </c>
      <c r="G20" s="32">
        <f>SUM(G21,G24,G43)</f>
        <v>0</v>
      </c>
      <c r="H20" s="33">
        <f t="shared" ref="H20:I20" si="2">SUM(H21,H24,H43)</f>
        <v>0</v>
      </c>
      <c r="I20" s="34">
        <f t="shared" si="2"/>
        <v>0</v>
      </c>
      <c r="J20" s="32">
        <f>SUM(J21,J26,J43)</f>
        <v>24865</v>
      </c>
      <c r="K20" s="33">
        <f t="shared" ref="K20:L20" si="3">SUM(K21,K26,K43)</f>
        <v>0</v>
      </c>
      <c r="L20" s="34">
        <f t="shared" si="3"/>
        <v>24865</v>
      </c>
      <c r="M20" s="32">
        <f>SUM(M21,M45)</f>
        <v>0</v>
      </c>
      <c r="N20" s="33">
        <f t="shared" ref="N20:O20" si="4">SUM(N21,N45)</f>
        <v>0</v>
      </c>
      <c r="O20" s="34">
        <f t="shared" si="4"/>
        <v>0</v>
      </c>
      <c r="P20" s="35"/>
    </row>
    <row r="21" spans="1:16" ht="12.75" thickTop="1" x14ac:dyDescent="0.25">
      <c r="A21" s="36"/>
      <c r="B21" s="37" t="s">
        <v>39</v>
      </c>
      <c r="C21" s="38">
        <f t="shared" si="0"/>
        <v>1535</v>
      </c>
      <c r="D21" s="39">
        <f>SUM(D22:D23)</f>
        <v>0</v>
      </c>
      <c r="E21" s="40">
        <f t="shared" ref="E21:F21" si="5">SUM(E22:E23)</f>
        <v>0</v>
      </c>
      <c r="F21" s="41">
        <f t="shared" si="5"/>
        <v>0</v>
      </c>
      <c r="G21" s="39">
        <f>SUM(G22:G23)</f>
        <v>0</v>
      </c>
      <c r="H21" s="40">
        <f t="shared" ref="H21:I21" si="6">SUM(H22:H23)</f>
        <v>0</v>
      </c>
      <c r="I21" s="41">
        <f t="shared" si="6"/>
        <v>0</v>
      </c>
      <c r="J21" s="39">
        <f>SUM(J22:J23)</f>
        <v>1535</v>
      </c>
      <c r="K21" s="40">
        <f t="shared" ref="K21:L21" si="7">SUM(K22:K23)</f>
        <v>0</v>
      </c>
      <c r="L21" s="41">
        <f t="shared" si="7"/>
        <v>1535</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1535</v>
      </c>
      <c r="D23" s="53"/>
      <c r="E23" s="54"/>
      <c r="F23" s="55">
        <f t="shared" ref="F23:F25" si="9">D23+E23</f>
        <v>0</v>
      </c>
      <c r="G23" s="53"/>
      <c r="H23" s="54"/>
      <c r="I23" s="55">
        <f t="shared" ref="I23:I24" si="10">G23+H23</f>
        <v>0</v>
      </c>
      <c r="J23" s="53">
        <v>1535</v>
      </c>
      <c r="K23" s="54"/>
      <c r="L23" s="56">
        <f>K23+J23</f>
        <v>1535</v>
      </c>
      <c r="M23" s="53"/>
      <c r="N23" s="54"/>
      <c r="O23" s="55">
        <f>N23+M23</f>
        <v>0</v>
      </c>
      <c r="P23" s="57"/>
    </row>
    <row r="24" spans="1:16" s="28" customFormat="1" ht="52.5" customHeight="1" thickBot="1" x14ac:dyDescent="0.3">
      <c r="A24" s="58">
        <v>19300</v>
      </c>
      <c r="B24" s="58" t="s">
        <v>42</v>
      </c>
      <c r="C24" s="59">
        <f>F24+I24</f>
        <v>509228</v>
      </c>
      <c r="D24" s="60">
        <v>513808</v>
      </c>
      <c r="E24" s="63">
        <v>-4580</v>
      </c>
      <c r="F24" s="62">
        <f t="shared" si="9"/>
        <v>509228</v>
      </c>
      <c r="G24" s="60"/>
      <c r="H24" s="63"/>
      <c r="I24" s="62">
        <f t="shared" si="10"/>
        <v>0</v>
      </c>
      <c r="J24" s="64" t="s">
        <v>43</v>
      </c>
      <c r="K24" s="65" t="s">
        <v>43</v>
      </c>
      <c r="L24" s="66" t="s">
        <v>43</v>
      </c>
      <c r="M24" s="64" t="s">
        <v>43</v>
      </c>
      <c r="N24" s="65" t="s">
        <v>43</v>
      </c>
      <c r="O24" s="66" t="s">
        <v>43</v>
      </c>
      <c r="P24" s="67" t="s">
        <v>1055</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23330</v>
      </c>
      <c r="D26" s="74" t="s">
        <v>43</v>
      </c>
      <c r="E26" s="75" t="s">
        <v>43</v>
      </c>
      <c r="F26" s="76" t="s">
        <v>43</v>
      </c>
      <c r="G26" s="74" t="s">
        <v>43</v>
      </c>
      <c r="H26" s="75" t="s">
        <v>43</v>
      </c>
      <c r="I26" s="76" t="s">
        <v>43</v>
      </c>
      <c r="J26" s="78">
        <f>SUM(J27,J31,J33,J36)</f>
        <v>23330</v>
      </c>
      <c r="K26" s="79">
        <f t="shared" ref="K26:L26" si="11">SUM(K27,K31,K33,K36)</f>
        <v>0</v>
      </c>
      <c r="L26" s="80">
        <f t="shared" si="11"/>
        <v>23330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2780</v>
      </c>
      <c r="D33" s="74" t="s">
        <v>43</v>
      </c>
      <c r="E33" s="75" t="s">
        <v>43</v>
      </c>
      <c r="F33" s="76" t="s">
        <v>43</v>
      </c>
      <c r="G33" s="74" t="s">
        <v>43</v>
      </c>
      <c r="H33" s="75" t="s">
        <v>43</v>
      </c>
      <c r="I33" s="76" t="s">
        <v>43</v>
      </c>
      <c r="J33" s="78">
        <f>SUM(J34:J35)</f>
        <v>2780</v>
      </c>
      <c r="K33" s="79">
        <f t="shared" ref="K33:L33" si="17">SUM(K34:K35)</f>
        <v>0</v>
      </c>
      <c r="L33" s="80">
        <f t="shared" si="17"/>
        <v>2780</v>
      </c>
      <c r="M33" s="78" t="s">
        <v>43</v>
      </c>
      <c r="N33" s="79" t="s">
        <v>43</v>
      </c>
      <c r="O33" s="80" t="s">
        <v>43</v>
      </c>
      <c r="P33" s="77"/>
    </row>
    <row r="34" spans="1:16" ht="12" customHeight="1" x14ac:dyDescent="0.25">
      <c r="A34" s="44">
        <v>21381</v>
      </c>
      <c r="B34" s="82" t="s">
        <v>53</v>
      </c>
      <c r="C34" s="83">
        <f t="shared" si="16"/>
        <v>2780</v>
      </c>
      <c r="D34" s="84" t="s">
        <v>43</v>
      </c>
      <c r="E34" s="85" t="s">
        <v>43</v>
      </c>
      <c r="F34" s="86" t="s">
        <v>43</v>
      </c>
      <c r="G34" s="84" t="s">
        <v>43</v>
      </c>
      <c r="H34" s="85" t="s">
        <v>43</v>
      </c>
      <c r="I34" s="86" t="s">
        <v>43</v>
      </c>
      <c r="J34" s="46">
        <v>2780</v>
      </c>
      <c r="K34" s="47"/>
      <c r="L34" s="48">
        <f t="shared" ref="L34:L35" si="18">K34+J34</f>
        <v>2780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20550</v>
      </c>
      <c r="D36" s="74" t="s">
        <v>43</v>
      </c>
      <c r="E36" s="75" t="s">
        <v>43</v>
      </c>
      <c r="F36" s="76" t="s">
        <v>43</v>
      </c>
      <c r="G36" s="74" t="s">
        <v>43</v>
      </c>
      <c r="H36" s="75" t="s">
        <v>43</v>
      </c>
      <c r="I36" s="76" t="s">
        <v>43</v>
      </c>
      <c r="J36" s="78">
        <f>SUM(J37:J40)</f>
        <v>20550</v>
      </c>
      <c r="K36" s="79">
        <f t="shared" ref="K36:L36" si="19">SUM(K37:K40)</f>
        <v>0</v>
      </c>
      <c r="L36" s="80">
        <f t="shared" si="19"/>
        <v>20550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customHeight="1" x14ac:dyDescent="0.25">
      <c r="A38" s="51">
        <v>21393</v>
      </c>
      <c r="B38" s="89" t="s">
        <v>57</v>
      </c>
      <c r="C38" s="90">
        <f t="shared" si="16"/>
        <v>20550</v>
      </c>
      <c r="D38" s="91" t="s">
        <v>43</v>
      </c>
      <c r="E38" s="92" t="s">
        <v>43</v>
      </c>
      <c r="F38" s="93" t="s">
        <v>43</v>
      </c>
      <c r="G38" s="91" t="s">
        <v>43</v>
      </c>
      <c r="H38" s="92" t="s">
        <v>43</v>
      </c>
      <c r="I38" s="93" t="s">
        <v>43</v>
      </c>
      <c r="J38" s="53">
        <v>20550</v>
      </c>
      <c r="K38" s="54"/>
      <c r="L38" s="56">
        <f t="shared" si="20"/>
        <v>20550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534093</v>
      </c>
      <c r="D50" s="159">
        <f>SUM(D51,D286)</f>
        <v>513808</v>
      </c>
      <c r="E50" s="160">
        <f t="shared" ref="E50:F50" si="26">SUM(E51,E286)</f>
        <v>-4580</v>
      </c>
      <c r="F50" s="161">
        <f t="shared" si="26"/>
        <v>509228</v>
      </c>
      <c r="G50" s="159">
        <f>SUM(G51,G286)</f>
        <v>0</v>
      </c>
      <c r="H50" s="160">
        <f>SUM(H51,H286)</f>
        <v>0</v>
      </c>
      <c r="I50" s="161">
        <f t="shared" ref="I50" si="27">SUM(I51,I286)</f>
        <v>0</v>
      </c>
      <c r="J50" s="32">
        <f>SUM(J51,J286)</f>
        <v>24865</v>
      </c>
      <c r="K50" s="33">
        <f t="shared" ref="K50:L50" si="28">SUM(K51,K286)</f>
        <v>0</v>
      </c>
      <c r="L50" s="34">
        <f t="shared" si="28"/>
        <v>24865</v>
      </c>
      <c r="M50" s="32">
        <f>SUM(M51,M286)</f>
        <v>0</v>
      </c>
      <c r="N50" s="33">
        <f t="shared" ref="N50:O50" si="29">SUM(N51,N286)</f>
        <v>0</v>
      </c>
      <c r="O50" s="34">
        <f t="shared" si="29"/>
        <v>0</v>
      </c>
      <c r="P50" s="35"/>
    </row>
    <row r="51" spans="1:16" s="28" customFormat="1" ht="36.75" thickTop="1" x14ac:dyDescent="0.25">
      <c r="A51" s="162"/>
      <c r="B51" s="163" t="s">
        <v>69</v>
      </c>
      <c r="C51" s="164">
        <f t="shared" si="0"/>
        <v>534093</v>
      </c>
      <c r="D51" s="165">
        <f>SUM(D52,D194)</f>
        <v>513808</v>
      </c>
      <c r="E51" s="166">
        <f t="shared" ref="E51:F51" si="30">SUM(E52,E194)</f>
        <v>-4580</v>
      </c>
      <c r="F51" s="167">
        <f t="shared" si="30"/>
        <v>509228</v>
      </c>
      <c r="G51" s="165">
        <f>SUM(G52,G194)</f>
        <v>0</v>
      </c>
      <c r="H51" s="166">
        <f t="shared" ref="H51:I51" si="31">SUM(H52,H194)</f>
        <v>0</v>
      </c>
      <c r="I51" s="167">
        <f t="shared" si="31"/>
        <v>0</v>
      </c>
      <c r="J51" s="168">
        <f>SUM(J52,J194)</f>
        <v>24865</v>
      </c>
      <c r="K51" s="169">
        <f t="shared" ref="K51:L51" si="32">SUM(K52,K194)</f>
        <v>0</v>
      </c>
      <c r="L51" s="170">
        <f t="shared" si="32"/>
        <v>24865</v>
      </c>
      <c r="M51" s="168">
        <f>SUM(M52,M194)</f>
        <v>0</v>
      </c>
      <c r="N51" s="169">
        <f t="shared" ref="N51:O51" si="33">SUM(N52,N194)</f>
        <v>0</v>
      </c>
      <c r="O51" s="170">
        <f t="shared" si="33"/>
        <v>0</v>
      </c>
      <c r="P51" s="171"/>
    </row>
    <row r="52" spans="1:16" s="28" customFormat="1" ht="24" x14ac:dyDescent="0.25">
      <c r="A52" s="24"/>
      <c r="B52" s="22" t="s">
        <v>70</v>
      </c>
      <c r="C52" s="172">
        <f t="shared" si="0"/>
        <v>534093</v>
      </c>
      <c r="D52" s="173">
        <f>SUM(D53,D75,D173,D187)</f>
        <v>513808</v>
      </c>
      <c r="E52" s="174">
        <f t="shared" ref="E52:F52" si="34">SUM(E53,E75,E173,E187)</f>
        <v>-4580</v>
      </c>
      <c r="F52" s="175">
        <f t="shared" si="34"/>
        <v>509228</v>
      </c>
      <c r="G52" s="173">
        <f>SUM(G53,G75,G173,G187)</f>
        <v>0</v>
      </c>
      <c r="H52" s="174">
        <f t="shared" ref="H52:I52" si="35">SUM(H53,H75,H173,H187)</f>
        <v>0</v>
      </c>
      <c r="I52" s="175">
        <f t="shared" si="35"/>
        <v>0</v>
      </c>
      <c r="J52" s="173">
        <f>SUM(J53,J75,J173,J187)</f>
        <v>24865</v>
      </c>
      <c r="K52" s="174">
        <f t="shared" ref="K52:L52" si="36">SUM(K53,K75,K173,K187)</f>
        <v>0</v>
      </c>
      <c r="L52" s="175">
        <f t="shared" si="36"/>
        <v>24865</v>
      </c>
      <c r="M52" s="173">
        <f>SUM(M53,M75,M173,M187)</f>
        <v>0</v>
      </c>
      <c r="N52" s="174">
        <f t="shared" ref="N52:O52" si="37">SUM(N53,N75,N173,N187)</f>
        <v>0</v>
      </c>
      <c r="O52" s="175">
        <f t="shared" si="37"/>
        <v>0</v>
      </c>
      <c r="P52" s="176"/>
    </row>
    <row r="53" spans="1:16" s="28" customFormat="1" x14ac:dyDescent="0.25">
      <c r="A53" s="177">
        <v>1000</v>
      </c>
      <c r="B53" s="177" t="s">
        <v>71</v>
      </c>
      <c r="C53" s="178">
        <f t="shared" si="0"/>
        <v>82980</v>
      </c>
      <c r="D53" s="179">
        <f>SUM(D54,D67)</f>
        <v>74759</v>
      </c>
      <c r="E53" s="180">
        <f t="shared" ref="E53:F53" si="38">SUM(E54,E67)</f>
        <v>0</v>
      </c>
      <c r="F53" s="181">
        <f t="shared" si="38"/>
        <v>74759</v>
      </c>
      <c r="G53" s="179">
        <f>SUM(G54,G67)</f>
        <v>0</v>
      </c>
      <c r="H53" s="180">
        <f t="shared" ref="H53:I53" si="39">SUM(H54,H67)</f>
        <v>0</v>
      </c>
      <c r="I53" s="181">
        <f t="shared" si="39"/>
        <v>0</v>
      </c>
      <c r="J53" s="179">
        <f>SUM(J54,J67)</f>
        <v>8641</v>
      </c>
      <c r="K53" s="180">
        <f t="shared" ref="K53:L53" si="40">SUM(K54,K67)</f>
        <v>-420</v>
      </c>
      <c r="L53" s="181">
        <f t="shared" si="40"/>
        <v>8221</v>
      </c>
      <c r="M53" s="179">
        <f>SUM(M54,M67)</f>
        <v>0</v>
      </c>
      <c r="N53" s="180">
        <f t="shared" ref="N53:O53" si="41">SUM(N54,N67)</f>
        <v>0</v>
      </c>
      <c r="O53" s="181">
        <f t="shared" si="41"/>
        <v>0</v>
      </c>
      <c r="P53" s="182"/>
    </row>
    <row r="54" spans="1:16" x14ac:dyDescent="0.25">
      <c r="A54" s="69">
        <v>1100</v>
      </c>
      <c r="B54" s="183" t="s">
        <v>72</v>
      </c>
      <c r="C54" s="70">
        <f t="shared" si="0"/>
        <v>79019</v>
      </c>
      <c r="D54" s="184">
        <f>SUM(D55,D58,D66)</f>
        <v>71190</v>
      </c>
      <c r="E54" s="185">
        <f t="shared" ref="E54:F54" si="42">SUM(E55,E58,E66)</f>
        <v>0</v>
      </c>
      <c r="F54" s="73">
        <f t="shared" si="42"/>
        <v>71190</v>
      </c>
      <c r="G54" s="184">
        <f>SUM(G55,G58,G66)</f>
        <v>0</v>
      </c>
      <c r="H54" s="185">
        <f t="shared" ref="H54:I54" si="43">SUM(H55,H58,H66)</f>
        <v>0</v>
      </c>
      <c r="I54" s="73">
        <f t="shared" si="43"/>
        <v>0</v>
      </c>
      <c r="J54" s="184">
        <f>SUM(J55,J58,J66)</f>
        <v>8229</v>
      </c>
      <c r="K54" s="185">
        <f t="shared" ref="K54:L54" si="44">SUM(K55,K58,K66)</f>
        <v>-400</v>
      </c>
      <c r="L54" s="73">
        <f t="shared" si="44"/>
        <v>7829</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79019</v>
      </c>
      <c r="D66" s="144">
        <v>71190</v>
      </c>
      <c r="E66" s="145"/>
      <c r="F66" s="141">
        <f t="shared" si="58"/>
        <v>71190</v>
      </c>
      <c r="G66" s="144"/>
      <c r="H66" s="145"/>
      <c r="I66" s="141">
        <f t="shared" si="59"/>
        <v>0</v>
      </c>
      <c r="J66" s="144">
        <v>8229</v>
      </c>
      <c r="K66" s="145">
        <v>-400</v>
      </c>
      <c r="L66" s="141">
        <f t="shared" si="60"/>
        <v>7829</v>
      </c>
      <c r="M66" s="144"/>
      <c r="N66" s="145"/>
      <c r="O66" s="141">
        <f t="shared" si="61"/>
        <v>0</v>
      </c>
      <c r="P66" s="129" t="s">
        <v>1056</v>
      </c>
    </row>
    <row r="67" spans="1:16" ht="24" x14ac:dyDescent="0.25">
      <c r="A67" s="69">
        <v>1200</v>
      </c>
      <c r="B67" s="183" t="s">
        <v>85</v>
      </c>
      <c r="C67" s="70">
        <f t="shared" si="0"/>
        <v>3961</v>
      </c>
      <c r="D67" s="184">
        <f>SUM(D68:D69)</f>
        <v>3569</v>
      </c>
      <c r="E67" s="185">
        <f t="shared" ref="E67:F67" si="62">SUM(E68:E69)</f>
        <v>0</v>
      </c>
      <c r="F67" s="73">
        <f t="shared" si="62"/>
        <v>3569</v>
      </c>
      <c r="G67" s="184">
        <f>SUM(G68:G69)</f>
        <v>0</v>
      </c>
      <c r="H67" s="185">
        <f t="shared" ref="H67:I67" si="63">SUM(H68:H69)</f>
        <v>0</v>
      </c>
      <c r="I67" s="73">
        <f t="shared" si="63"/>
        <v>0</v>
      </c>
      <c r="J67" s="184">
        <f>SUM(J68:J69)</f>
        <v>412</v>
      </c>
      <c r="K67" s="185">
        <f t="shared" ref="K67:L67" si="64">SUM(K68:K69)</f>
        <v>-20</v>
      </c>
      <c r="L67" s="73">
        <f t="shared" si="64"/>
        <v>392</v>
      </c>
      <c r="M67" s="184">
        <f>SUM(M68:M69)</f>
        <v>0</v>
      </c>
      <c r="N67" s="185">
        <f t="shared" ref="N67:O67" si="65">SUM(N68:N69)</f>
        <v>0</v>
      </c>
      <c r="O67" s="73">
        <f t="shared" si="65"/>
        <v>0</v>
      </c>
      <c r="P67" s="77"/>
    </row>
    <row r="68" spans="1:16" ht="24" customHeight="1" x14ac:dyDescent="0.25">
      <c r="A68" s="983">
        <v>1210</v>
      </c>
      <c r="B68" s="82" t="s">
        <v>86</v>
      </c>
      <c r="C68" s="83">
        <f t="shared" si="0"/>
        <v>3961</v>
      </c>
      <c r="D68" s="46">
        <v>3569</v>
      </c>
      <c r="E68" s="47"/>
      <c r="F68" s="134">
        <f>D68+E68</f>
        <v>3569</v>
      </c>
      <c r="G68" s="46"/>
      <c r="H68" s="47"/>
      <c r="I68" s="134">
        <f>G68+H68</f>
        <v>0</v>
      </c>
      <c r="J68" s="46">
        <v>412</v>
      </c>
      <c r="K68" s="47">
        <v>-20</v>
      </c>
      <c r="L68" s="134">
        <f>K68+J68</f>
        <v>392</v>
      </c>
      <c r="M68" s="46"/>
      <c r="N68" s="47"/>
      <c r="O68" s="134">
        <f>N68+M68</f>
        <v>0</v>
      </c>
      <c r="P68" s="129" t="s">
        <v>1056</v>
      </c>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129"/>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451113</v>
      </c>
      <c r="D75" s="179">
        <f>SUM(D76,D83,D130,D164,D165,D172)</f>
        <v>439049</v>
      </c>
      <c r="E75" s="180">
        <f t="shared" ref="E75:F75" si="74">SUM(E76,E83,E130,E164,E165,E172)</f>
        <v>-4580</v>
      </c>
      <c r="F75" s="181">
        <f t="shared" si="74"/>
        <v>434469</v>
      </c>
      <c r="G75" s="179">
        <f>SUM(G76,G83,G130,G164,G165,G172)</f>
        <v>0</v>
      </c>
      <c r="H75" s="180">
        <f t="shared" ref="H75:I75" si="75">SUM(H76,H83,H130,H164,H165,H172)</f>
        <v>0</v>
      </c>
      <c r="I75" s="181">
        <f t="shared" si="75"/>
        <v>0</v>
      </c>
      <c r="J75" s="179">
        <f>SUM(J76,J83,J130,J164,J165,J172)</f>
        <v>16224</v>
      </c>
      <c r="K75" s="180">
        <f t="shared" ref="K75:L75" si="76">SUM(K76,K83,K130,K164,K165,K172)</f>
        <v>420</v>
      </c>
      <c r="L75" s="181">
        <f t="shared" si="76"/>
        <v>16644</v>
      </c>
      <c r="M75" s="179">
        <f>SUM(M76,M83,M130,M164,M165,M172)</f>
        <v>0</v>
      </c>
      <c r="N75" s="180">
        <f t="shared" ref="N75:O75" si="77">SUM(N76,N83,N130,N164,N165,N172)</f>
        <v>0</v>
      </c>
      <c r="O75" s="181">
        <f t="shared" si="77"/>
        <v>0</v>
      </c>
      <c r="P75" s="182"/>
    </row>
    <row r="76" spans="1:16" ht="24" x14ac:dyDescent="0.25">
      <c r="A76" s="69">
        <v>2100</v>
      </c>
      <c r="B76" s="183" t="s">
        <v>94</v>
      </c>
      <c r="C76" s="70">
        <f t="shared" si="0"/>
        <v>1920</v>
      </c>
      <c r="D76" s="184">
        <f>SUM(D77,D80)</f>
        <v>2340</v>
      </c>
      <c r="E76" s="185">
        <f t="shared" ref="E76:F76" si="78">SUM(E77,E80)</f>
        <v>-420</v>
      </c>
      <c r="F76" s="73">
        <f t="shared" si="78"/>
        <v>1920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55">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1920</v>
      </c>
      <c r="D80" s="190">
        <f>SUM(D81:D82)</f>
        <v>2340</v>
      </c>
      <c r="E80" s="191">
        <f t="shared" ref="E80:F80" si="90">SUM(E81:E82)</f>
        <v>-420</v>
      </c>
      <c r="F80" s="55">
        <f t="shared" si="90"/>
        <v>1920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24" customHeight="1" x14ac:dyDescent="0.25">
      <c r="A81" s="51">
        <v>2121</v>
      </c>
      <c r="B81" s="89" t="s">
        <v>96</v>
      </c>
      <c r="C81" s="90">
        <f t="shared" si="0"/>
        <v>1510</v>
      </c>
      <c r="D81" s="196">
        <v>1930</v>
      </c>
      <c r="E81" s="197">
        <v>-420</v>
      </c>
      <c r="F81" s="55">
        <f t="shared" ref="F81:F82" si="94">D81+E81</f>
        <v>1510</v>
      </c>
      <c r="G81" s="53"/>
      <c r="H81" s="54"/>
      <c r="I81" s="55">
        <f t="shared" ref="I81:I82" si="95">G81+H81</f>
        <v>0</v>
      </c>
      <c r="J81" s="53"/>
      <c r="K81" s="54"/>
      <c r="L81" s="55">
        <f t="shared" ref="L81:L82" si="96">K81+J81</f>
        <v>0</v>
      </c>
      <c r="M81" s="53"/>
      <c r="N81" s="54"/>
      <c r="O81" s="55">
        <f t="shared" ref="O81:O82" si="97">N81+M81</f>
        <v>0</v>
      </c>
      <c r="P81" s="129" t="s">
        <v>1056</v>
      </c>
    </row>
    <row r="82" spans="1:16" ht="24" customHeight="1" x14ac:dyDescent="0.25">
      <c r="A82" s="51">
        <v>2122</v>
      </c>
      <c r="B82" s="89" t="s">
        <v>97</v>
      </c>
      <c r="C82" s="90">
        <f t="shared" si="0"/>
        <v>410</v>
      </c>
      <c r="D82" s="196">
        <v>410</v>
      </c>
      <c r="E82" s="197"/>
      <c r="F82" s="55">
        <f t="shared" si="94"/>
        <v>410</v>
      </c>
      <c r="G82" s="53"/>
      <c r="H82" s="54"/>
      <c r="I82" s="55">
        <f t="shared" si="95"/>
        <v>0</v>
      </c>
      <c r="J82" s="53"/>
      <c r="K82" s="54"/>
      <c r="L82" s="55">
        <f t="shared" si="96"/>
        <v>0</v>
      </c>
      <c r="M82" s="53"/>
      <c r="N82" s="54"/>
      <c r="O82" s="55">
        <f t="shared" si="97"/>
        <v>0</v>
      </c>
      <c r="P82" s="129"/>
    </row>
    <row r="83" spans="1:16" x14ac:dyDescent="0.25">
      <c r="A83" s="69">
        <v>2200</v>
      </c>
      <c r="B83" s="183" t="s">
        <v>99</v>
      </c>
      <c r="C83" s="70">
        <f t="shared" si="0"/>
        <v>378221</v>
      </c>
      <c r="D83" s="184">
        <f>SUM(D84,D89,D95,D103,D112,D116,D122,D128)</f>
        <v>372783</v>
      </c>
      <c r="E83" s="185">
        <f t="shared" ref="E83:F83" si="98">SUM(E84,E89,E95,E103,E112,E116,E122,E128)</f>
        <v>-5056</v>
      </c>
      <c r="F83" s="73">
        <f t="shared" si="98"/>
        <v>367727</v>
      </c>
      <c r="G83" s="184">
        <f>SUM(G84,G89,G95,G103,G112,G116,G122,G128)</f>
        <v>0</v>
      </c>
      <c r="H83" s="185">
        <f t="shared" ref="H83:I83" si="99">SUM(H84,H89,H95,H103,H112,H116,H122,H128)</f>
        <v>0</v>
      </c>
      <c r="I83" s="73">
        <f t="shared" si="99"/>
        <v>0</v>
      </c>
      <c r="J83" s="184">
        <f>SUM(J84,J89,J95,J103,J112,J116,J122,J128)</f>
        <v>10170</v>
      </c>
      <c r="K83" s="185">
        <f t="shared" ref="K83:L83" si="100">SUM(K84,K89,K95,K103,K112,K116,K122,K128)</f>
        <v>324</v>
      </c>
      <c r="L83" s="73">
        <f t="shared" si="100"/>
        <v>10494</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360</v>
      </c>
      <c r="D89" s="190">
        <f>SUM(D90:D94)</f>
        <v>360</v>
      </c>
      <c r="E89" s="191">
        <f t="shared" ref="E89:F89" si="111">SUM(E90:E94)</f>
        <v>0</v>
      </c>
      <c r="F89" s="55">
        <f t="shared" si="111"/>
        <v>360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90">
        <f t="shared" si="102"/>
        <v>360</v>
      </c>
      <c r="D92" s="196">
        <v>360</v>
      </c>
      <c r="E92" s="197"/>
      <c r="F92" s="55">
        <f t="shared" si="115"/>
        <v>360</v>
      </c>
      <c r="G92" s="53"/>
      <c r="H92" s="54"/>
      <c r="I92" s="55">
        <f t="shared" si="116"/>
        <v>0</v>
      </c>
      <c r="J92" s="53"/>
      <c r="K92" s="54"/>
      <c r="L92" s="55">
        <f t="shared" si="117"/>
        <v>0</v>
      </c>
      <c r="M92" s="53"/>
      <c r="N92" s="54"/>
      <c r="O92" s="55">
        <f t="shared" si="118"/>
        <v>0</v>
      </c>
      <c r="P92" s="129"/>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43684</v>
      </c>
      <c r="D95" s="190">
        <f>SUM(D96:D102)</f>
        <v>48264</v>
      </c>
      <c r="E95" s="191">
        <f t="shared" ref="E95:F95" si="119">SUM(E96:E102)</f>
        <v>-4580</v>
      </c>
      <c r="F95" s="55">
        <f t="shared" si="119"/>
        <v>43684</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3500</v>
      </c>
      <c r="D96" s="196">
        <v>3500</v>
      </c>
      <c r="E96" s="197"/>
      <c r="F96" s="55">
        <f t="shared" ref="F96:F102" si="123">D96+E96</f>
        <v>3500</v>
      </c>
      <c r="G96" s="53"/>
      <c r="H96" s="54"/>
      <c r="I96" s="55">
        <f t="shared" ref="I96:I102" si="124">G96+H96</f>
        <v>0</v>
      </c>
      <c r="J96" s="53"/>
      <c r="K96" s="54"/>
      <c r="L96" s="55">
        <f t="shared" ref="L96:L102" si="125">K96+J96</f>
        <v>0</v>
      </c>
      <c r="M96" s="53"/>
      <c r="N96" s="54"/>
      <c r="O96" s="55">
        <f t="shared" ref="O96:O102" si="126">N96+M96</f>
        <v>0</v>
      </c>
      <c r="P96" s="129"/>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40184</v>
      </c>
      <c r="D102" s="196">
        <v>44764</v>
      </c>
      <c r="E102" s="197">
        <v>-4580</v>
      </c>
      <c r="F102" s="55">
        <f t="shared" si="123"/>
        <v>40184</v>
      </c>
      <c r="G102" s="53"/>
      <c r="H102" s="54"/>
      <c r="I102" s="55">
        <f t="shared" si="124"/>
        <v>0</v>
      </c>
      <c r="J102" s="53"/>
      <c r="K102" s="54"/>
      <c r="L102" s="55">
        <f t="shared" si="125"/>
        <v>0</v>
      </c>
      <c r="M102" s="53"/>
      <c r="N102" s="54"/>
      <c r="O102" s="55">
        <f t="shared" si="126"/>
        <v>0</v>
      </c>
      <c r="P102" s="129" t="s">
        <v>1056</v>
      </c>
    </row>
    <row r="103" spans="1:16" ht="36" x14ac:dyDescent="0.25">
      <c r="A103" s="189">
        <v>2240</v>
      </c>
      <c r="B103" s="89" t="s">
        <v>119</v>
      </c>
      <c r="C103" s="90">
        <f t="shared" si="102"/>
        <v>700</v>
      </c>
      <c r="D103" s="190">
        <f>SUM(D104:D111)</f>
        <v>700</v>
      </c>
      <c r="E103" s="191">
        <f t="shared" ref="E103:F103" si="127">SUM(E104:E111)</f>
        <v>0</v>
      </c>
      <c r="F103" s="55">
        <f t="shared" si="127"/>
        <v>700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8.75" hidden="1" customHeight="1" x14ac:dyDescent="0.25">
      <c r="A109" s="51">
        <v>2247</v>
      </c>
      <c r="B109" s="89" t="s">
        <v>125</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129"/>
    </row>
    <row r="110" spans="1:16" ht="24" customHeight="1" x14ac:dyDescent="0.25">
      <c r="A110" s="51">
        <v>2248</v>
      </c>
      <c r="B110" s="89" t="s">
        <v>126</v>
      </c>
      <c r="C110" s="90">
        <f t="shared" si="102"/>
        <v>700</v>
      </c>
      <c r="D110" s="196">
        <v>700</v>
      </c>
      <c r="E110" s="197"/>
      <c r="F110" s="55">
        <f t="shared" si="131"/>
        <v>700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174947</v>
      </c>
      <c r="D116" s="190">
        <f>SUM(D117:D121)</f>
        <v>174743</v>
      </c>
      <c r="E116" s="191">
        <f t="shared" ref="E116:F116" si="143">SUM(E117:E121)</f>
        <v>-896</v>
      </c>
      <c r="F116" s="55">
        <f t="shared" si="143"/>
        <v>173847</v>
      </c>
      <c r="G116" s="190">
        <f>SUM(G117:G121)</f>
        <v>0</v>
      </c>
      <c r="H116" s="191">
        <f t="shared" ref="H116:I116" si="144">SUM(H117:H121)</f>
        <v>0</v>
      </c>
      <c r="I116" s="55">
        <f t="shared" si="144"/>
        <v>0</v>
      </c>
      <c r="J116" s="190">
        <f>SUM(J117:J121)</f>
        <v>1100</v>
      </c>
      <c r="K116" s="191">
        <f t="shared" ref="K116:L116" si="145">SUM(K117:K121)</f>
        <v>0</v>
      </c>
      <c r="L116" s="55">
        <f t="shared" si="145"/>
        <v>1100</v>
      </c>
      <c r="M116" s="190">
        <f>SUM(M117:M121)</f>
        <v>0</v>
      </c>
      <c r="N116" s="191">
        <f t="shared" ref="N116:O116" si="146">SUM(N117:N121)</f>
        <v>0</v>
      </c>
      <c r="O116" s="55">
        <f t="shared" si="146"/>
        <v>0</v>
      </c>
      <c r="P116" s="57"/>
    </row>
    <row r="117" spans="1:16" ht="28.5" customHeight="1" x14ac:dyDescent="0.25">
      <c r="A117" s="51">
        <v>2261</v>
      </c>
      <c r="B117" s="89" t="s">
        <v>133</v>
      </c>
      <c r="C117" s="90">
        <f t="shared" si="102"/>
        <v>376</v>
      </c>
      <c r="D117" s="196">
        <v>376</v>
      </c>
      <c r="E117" s="197"/>
      <c r="F117" s="55">
        <f t="shared" ref="F117:F121" si="147">D117+E117</f>
        <v>376</v>
      </c>
      <c r="G117" s="53"/>
      <c r="H117" s="54"/>
      <c r="I117" s="55">
        <f t="shared" ref="I117:I121" si="148">G117+H117</f>
        <v>0</v>
      </c>
      <c r="J117" s="53"/>
      <c r="K117" s="54"/>
      <c r="L117" s="55">
        <f t="shared" ref="L117:L121" si="149">K117+J117</f>
        <v>0</v>
      </c>
      <c r="M117" s="53"/>
      <c r="N117" s="54"/>
      <c r="O117" s="55">
        <f t="shared" ref="O117:O121" si="150">N117+M117</f>
        <v>0</v>
      </c>
      <c r="P117" s="129"/>
    </row>
    <row r="118" spans="1:16" ht="30.75" customHeight="1" x14ac:dyDescent="0.25">
      <c r="A118" s="51">
        <v>2262</v>
      </c>
      <c r="B118" s="89" t="s">
        <v>134</v>
      </c>
      <c r="C118" s="90">
        <f t="shared" si="102"/>
        <v>24706</v>
      </c>
      <c r="D118" s="196">
        <v>25102</v>
      </c>
      <c r="E118" s="197">
        <v>-896</v>
      </c>
      <c r="F118" s="55">
        <f t="shared" si="147"/>
        <v>24206</v>
      </c>
      <c r="G118" s="53"/>
      <c r="H118" s="54"/>
      <c r="I118" s="55">
        <f t="shared" si="148"/>
        <v>0</v>
      </c>
      <c r="J118" s="53">
        <v>500</v>
      </c>
      <c r="K118" s="54"/>
      <c r="L118" s="55">
        <f t="shared" si="149"/>
        <v>500</v>
      </c>
      <c r="M118" s="53"/>
      <c r="N118" s="54"/>
      <c r="O118" s="55">
        <f t="shared" si="150"/>
        <v>0</v>
      </c>
      <c r="P118" s="129" t="s">
        <v>1056</v>
      </c>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148965</v>
      </c>
      <c r="D120" s="196">
        <v>148965</v>
      </c>
      <c r="E120" s="197"/>
      <c r="F120" s="55">
        <f t="shared" si="147"/>
        <v>148965</v>
      </c>
      <c r="G120" s="53"/>
      <c r="H120" s="54"/>
      <c r="I120" s="55">
        <f t="shared" si="148"/>
        <v>0</v>
      </c>
      <c r="J120" s="53"/>
      <c r="K120" s="54"/>
      <c r="L120" s="55">
        <f t="shared" si="149"/>
        <v>0</v>
      </c>
      <c r="M120" s="53"/>
      <c r="N120" s="54"/>
      <c r="O120" s="55">
        <f t="shared" si="150"/>
        <v>0</v>
      </c>
      <c r="P120" s="129"/>
    </row>
    <row r="121" spans="1:16" ht="12" customHeight="1" x14ac:dyDescent="0.25">
      <c r="A121" s="51">
        <v>2269</v>
      </c>
      <c r="B121" s="89" t="s">
        <v>137</v>
      </c>
      <c r="C121" s="90">
        <f t="shared" si="102"/>
        <v>900</v>
      </c>
      <c r="D121" s="196">
        <v>300</v>
      </c>
      <c r="E121" s="197"/>
      <c r="F121" s="55">
        <f t="shared" si="147"/>
        <v>300</v>
      </c>
      <c r="G121" s="53"/>
      <c r="H121" s="54"/>
      <c r="I121" s="55">
        <f t="shared" si="148"/>
        <v>0</v>
      </c>
      <c r="J121" s="53">
        <v>600</v>
      </c>
      <c r="K121" s="54"/>
      <c r="L121" s="55">
        <f t="shared" si="149"/>
        <v>600</v>
      </c>
      <c r="M121" s="53"/>
      <c r="N121" s="54"/>
      <c r="O121" s="55">
        <f t="shared" si="150"/>
        <v>0</v>
      </c>
      <c r="P121" s="57"/>
    </row>
    <row r="122" spans="1:16" x14ac:dyDescent="0.25">
      <c r="A122" s="189">
        <v>2270</v>
      </c>
      <c r="B122" s="89" t="s">
        <v>138</v>
      </c>
      <c r="C122" s="90">
        <f t="shared" si="102"/>
        <v>158530</v>
      </c>
      <c r="D122" s="190">
        <f>SUM(D123:D127)</f>
        <v>148716</v>
      </c>
      <c r="E122" s="191">
        <f t="shared" ref="E122:F122" si="151">SUM(E123:E127)</f>
        <v>420</v>
      </c>
      <c r="F122" s="55">
        <f t="shared" si="151"/>
        <v>149136</v>
      </c>
      <c r="G122" s="190">
        <f>SUM(G123:G127)</f>
        <v>0</v>
      </c>
      <c r="H122" s="191">
        <f t="shared" ref="H122:I122" si="152">SUM(H123:H127)</f>
        <v>0</v>
      </c>
      <c r="I122" s="55">
        <f t="shared" si="152"/>
        <v>0</v>
      </c>
      <c r="J122" s="190">
        <f>SUM(J123:J127)</f>
        <v>9070</v>
      </c>
      <c r="K122" s="191">
        <f t="shared" ref="K122:L122" si="153">SUM(K123:K127)</f>
        <v>324</v>
      </c>
      <c r="L122" s="55">
        <f t="shared" si="153"/>
        <v>9394</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158530</v>
      </c>
      <c r="D127" s="196">
        <v>148716</v>
      </c>
      <c r="E127" s="197">
        <v>420</v>
      </c>
      <c r="F127" s="55">
        <f t="shared" si="155"/>
        <v>149136</v>
      </c>
      <c r="G127" s="53"/>
      <c r="H127" s="54"/>
      <c r="I127" s="55">
        <f t="shared" si="156"/>
        <v>0</v>
      </c>
      <c r="J127" s="53">
        <v>9070</v>
      </c>
      <c r="K127" s="54">
        <v>324</v>
      </c>
      <c r="L127" s="55">
        <f t="shared" si="157"/>
        <v>9394</v>
      </c>
      <c r="M127" s="53"/>
      <c r="N127" s="54"/>
      <c r="O127" s="55">
        <f t="shared" si="158"/>
        <v>0</v>
      </c>
      <c r="P127" s="129" t="s">
        <v>1056</v>
      </c>
    </row>
    <row r="128" spans="1:16" ht="48" hidden="1" x14ac:dyDescent="0.25">
      <c r="A128" s="855">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70972</v>
      </c>
      <c r="D130" s="184">
        <f>SUM(D131,D136,D140,D141,D144,D151,D159,D160,D163)</f>
        <v>63926</v>
      </c>
      <c r="E130" s="185">
        <f t="shared" ref="E130:F130" si="160">SUM(E131,E136,E140,E141,E144,E151,E159,E160,E163)</f>
        <v>896</v>
      </c>
      <c r="F130" s="73">
        <f t="shared" si="160"/>
        <v>64822</v>
      </c>
      <c r="G130" s="184">
        <f>SUM(G131,G136,G140,G141,G144,G151,G159,G160,G163)</f>
        <v>0</v>
      </c>
      <c r="H130" s="185">
        <f t="shared" ref="H130:I130" si="161">SUM(H131,H136,H140,H141,H144,H151,H159,H160,H163)</f>
        <v>0</v>
      </c>
      <c r="I130" s="73">
        <f t="shared" si="161"/>
        <v>0</v>
      </c>
      <c r="J130" s="184">
        <f>SUM(J131,J136,J140,J141,J144,J151,J159,J160,J163)</f>
        <v>6054</v>
      </c>
      <c r="K130" s="185">
        <f t="shared" ref="K130:L130" si="162">SUM(K131,K136,K140,K141,K144,K151,K159,K160,K163)</f>
        <v>96</v>
      </c>
      <c r="L130" s="73">
        <f t="shared" si="162"/>
        <v>6150</v>
      </c>
      <c r="M130" s="184">
        <f>SUM(M131,M136,M140,M141,M144,M151,M159,M160,M163)</f>
        <v>0</v>
      </c>
      <c r="N130" s="185">
        <f t="shared" ref="N130:O130" si="163">SUM(N131,N136,N140,N141,N144,N151,N159,N160,N163)</f>
        <v>0</v>
      </c>
      <c r="O130" s="73">
        <f t="shared" si="163"/>
        <v>0</v>
      </c>
      <c r="P130" s="77"/>
    </row>
    <row r="131" spans="1:16" ht="24" x14ac:dyDescent="0.25">
      <c r="A131" s="855">
        <v>2310</v>
      </c>
      <c r="B131" s="82" t="s">
        <v>147</v>
      </c>
      <c r="C131" s="83">
        <f t="shared" si="102"/>
        <v>48550</v>
      </c>
      <c r="D131" s="194">
        <f t="shared" ref="D131:O131" si="164">SUM(D132:D135)</f>
        <v>42751</v>
      </c>
      <c r="E131" s="195">
        <f t="shared" si="164"/>
        <v>149</v>
      </c>
      <c r="F131" s="134">
        <f t="shared" si="164"/>
        <v>42900</v>
      </c>
      <c r="G131" s="194">
        <f t="shared" si="164"/>
        <v>0</v>
      </c>
      <c r="H131" s="195">
        <f t="shared" si="164"/>
        <v>0</v>
      </c>
      <c r="I131" s="134">
        <f t="shared" si="164"/>
        <v>0</v>
      </c>
      <c r="J131" s="194">
        <f t="shared" si="164"/>
        <v>5554</v>
      </c>
      <c r="K131" s="195">
        <f t="shared" si="164"/>
        <v>96</v>
      </c>
      <c r="L131" s="134">
        <f t="shared" si="164"/>
        <v>5650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customHeight="1" x14ac:dyDescent="0.25">
      <c r="A133" s="51">
        <v>2312</v>
      </c>
      <c r="B133" s="89" t="s">
        <v>149</v>
      </c>
      <c r="C133" s="90">
        <f t="shared" si="102"/>
        <v>1670</v>
      </c>
      <c r="D133" s="196">
        <v>1370</v>
      </c>
      <c r="E133" s="197"/>
      <c r="F133" s="55">
        <f t="shared" si="165"/>
        <v>1370</v>
      </c>
      <c r="G133" s="53"/>
      <c r="H133" s="54"/>
      <c r="I133" s="55">
        <f t="shared" si="166"/>
        <v>0</v>
      </c>
      <c r="J133" s="53">
        <v>300</v>
      </c>
      <c r="K133" s="54"/>
      <c r="L133" s="55">
        <f t="shared" si="167"/>
        <v>300</v>
      </c>
      <c r="M133" s="53"/>
      <c r="N133" s="54"/>
      <c r="O133" s="55">
        <f t="shared" si="168"/>
        <v>0</v>
      </c>
      <c r="P133" s="129"/>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46880</v>
      </c>
      <c r="D135" s="196">
        <v>41381</v>
      </c>
      <c r="E135" s="197">
        <v>149</v>
      </c>
      <c r="F135" s="55">
        <f t="shared" si="165"/>
        <v>41530</v>
      </c>
      <c r="G135" s="53"/>
      <c r="H135" s="54"/>
      <c r="I135" s="55">
        <f t="shared" si="166"/>
        <v>0</v>
      </c>
      <c r="J135" s="53">
        <v>5254</v>
      </c>
      <c r="K135" s="54">
        <v>96</v>
      </c>
      <c r="L135" s="55">
        <f t="shared" si="167"/>
        <v>5350</v>
      </c>
      <c r="M135" s="53"/>
      <c r="N135" s="54"/>
      <c r="O135" s="55">
        <f t="shared" si="168"/>
        <v>0</v>
      </c>
      <c r="P135" s="129" t="s">
        <v>1056</v>
      </c>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22101</v>
      </c>
      <c r="D151" s="190">
        <f>SUM(D152:D158)</f>
        <v>20854</v>
      </c>
      <c r="E151" s="191">
        <f t="shared" ref="E151:F151" si="194">SUM(E152:E158)</f>
        <v>747</v>
      </c>
      <c r="F151" s="55">
        <f t="shared" si="194"/>
        <v>21601</v>
      </c>
      <c r="G151" s="190">
        <f>SUM(G152:G158)</f>
        <v>0</v>
      </c>
      <c r="H151" s="191">
        <f t="shared" ref="H151:I151" si="195">SUM(H152:H158)</f>
        <v>0</v>
      </c>
      <c r="I151" s="55">
        <f t="shared" si="195"/>
        <v>0</v>
      </c>
      <c r="J151" s="190">
        <f>SUM(J152:J158)</f>
        <v>500</v>
      </c>
      <c r="K151" s="191">
        <f t="shared" ref="K151:L151" si="196">SUM(K152:K158)</f>
        <v>0</v>
      </c>
      <c r="L151" s="55">
        <f t="shared" si="196"/>
        <v>500</v>
      </c>
      <c r="M151" s="190">
        <f>SUM(M152:M158)</f>
        <v>0</v>
      </c>
      <c r="N151" s="191">
        <f t="shared" ref="N151:O151" si="197">SUM(N152:N158)</f>
        <v>0</v>
      </c>
      <c r="O151" s="55">
        <f t="shared" si="197"/>
        <v>0</v>
      </c>
      <c r="P151" s="57"/>
    </row>
    <row r="152" spans="1:16" ht="21" customHeight="1" x14ac:dyDescent="0.25">
      <c r="A152" s="50">
        <v>2361</v>
      </c>
      <c r="B152" s="89" t="s">
        <v>168</v>
      </c>
      <c r="C152" s="90">
        <f t="shared" si="193"/>
        <v>18676</v>
      </c>
      <c r="D152" s="196">
        <v>17929</v>
      </c>
      <c r="E152" s="197">
        <v>747</v>
      </c>
      <c r="F152" s="55">
        <f t="shared" ref="F152:F159" si="198">D152+E152</f>
        <v>18676</v>
      </c>
      <c r="G152" s="53"/>
      <c r="H152" s="54"/>
      <c r="I152" s="55">
        <f t="shared" ref="I152:I159" si="199">G152+H152</f>
        <v>0</v>
      </c>
      <c r="J152" s="53"/>
      <c r="K152" s="54"/>
      <c r="L152" s="55">
        <f t="shared" ref="L152:L159" si="200">K152+J152</f>
        <v>0</v>
      </c>
      <c r="M152" s="53"/>
      <c r="N152" s="54"/>
      <c r="O152" s="55">
        <f t="shared" ref="O152:O159" si="201">N152+M152</f>
        <v>0</v>
      </c>
      <c r="P152" s="129" t="s">
        <v>1056</v>
      </c>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6.25" customHeight="1" x14ac:dyDescent="0.25">
      <c r="A154" s="50">
        <v>2363</v>
      </c>
      <c r="B154" s="89" t="s">
        <v>170</v>
      </c>
      <c r="C154" s="90">
        <f t="shared" si="193"/>
        <v>3425</v>
      </c>
      <c r="D154" s="196">
        <v>2925</v>
      </c>
      <c r="E154" s="197"/>
      <c r="F154" s="55">
        <f t="shared" si="198"/>
        <v>2925</v>
      </c>
      <c r="G154" s="53"/>
      <c r="H154" s="54"/>
      <c r="I154" s="55">
        <f t="shared" si="199"/>
        <v>0</v>
      </c>
      <c r="J154" s="53">
        <v>500</v>
      </c>
      <c r="K154" s="54"/>
      <c r="L154" s="55">
        <f t="shared" si="200"/>
        <v>500</v>
      </c>
      <c r="M154" s="53"/>
      <c r="N154" s="54"/>
      <c r="O154" s="55">
        <f t="shared" si="201"/>
        <v>0</v>
      </c>
      <c r="P154" s="129"/>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24.75" customHeight="1" x14ac:dyDescent="0.25">
      <c r="A163" s="186">
        <v>2390</v>
      </c>
      <c r="B163" s="138" t="s">
        <v>179</v>
      </c>
      <c r="C163" s="143">
        <f t="shared" si="193"/>
        <v>321</v>
      </c>
      <c r="D163" s="203">
        <v>321</v>
      </c>
      <c r="E163" s="204"/>
      <c r="F163" s="141">
        <f t="shared" si="206"/>
        <v>321</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855">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55">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55">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55">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55">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55">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855">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55">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55">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55">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55">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55">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534093</v>
      </c>
      <c r="D289" s="252">
        <f t="shared" ref="D289:O289" si="389">SUM(D286,D269,D230,D195,D187,D173,D75,D53,D283)</f>
        <v>513808</v>
      </c>
      <c r="E289" s="253">
        <f t="shared" si="389"/>
        <v>-4580</v>
      </c>
      <c r="F289" s="254">
        <f t="shared" si="389"/>
        <v>509228</v>
      </c>
      <c r="G289" s="252">
        <f t="shared" si="389"/>
        <v>0</v>
      </c>
      <c r="H289" s="253">
        <f t="shared" si="389"/>
        <v>0</v>
      </c>
      <c r="I289" s="254">
        <f t="shared" si="389"/>
        <v>0</v>
      </c>
      <c r="J289" s="252">
        <f t="shared" si="389"/>
        <v>24865</v>
      </c>
      <c r="K289" s="253">
        <f t="shared" si="389"/>
        <v>0</v>
      </c>
      <c r="L289" s="254">
        <f t="shared" si="389"/>
        <v>24865</v>
      </c>
      <c r="M289" s="252">
        <f t="shared" si="389"/>
        <v>0</v>
      </c>
      <c r="N289" s="253">
        <f t="shared" si="389"/>
        <v>0</v>
      </c>
      <c r="O289" s="254">
        <f t="shared" si="389"/>
        <v>0</v>
      </c>
      <c r="P289" s="255"/>
    </row>
    <row r="290" spans="1:16" s="28" customFormat="1" ht="13.5" thickTop="1" thickBot="1" x14ac:dyDescent="0.3">
      <c r="A290" s="1544" t="s">
        <v>308</v>
      </c>
      <c r="B290" s="1545"/>
      <c r="C290" s="256">
        <f t="shared" si="371"/>
        <v>-1535</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-1535</v>
      </c>
      <c r="K290" s="258">
        <f t="shared" ref="K290:L290" si="392">(K26+K43)-K51</f>
        <v>0</v>
      </c>
      <c r="L290" s="259">
        <f t="shared" si="392"/>
        <v>-1535</v>
      </c>
      <c r="M290" s="257">
        <f>M45-M51</f>
        <v>0</v>
      </c>
      <c r="N290" s="258">
        <f t="shared" ref="N290:O290" si="393">N45-N51</f>
        <v>0</v>
      </c>
      <c r="O290" s="259">
        <f t="shared" si="393"/>
        <v>0</v>
      </c>
      <c r="P290" s="260"/>
    </row>
    <row r="291" spans="1:16" s="28" customFormat="1" ht="12.75" thickTop="1" x14ac:dyDescent="0.25">
      <c r="A291" s="1546" t="s">
        <v>309</v>
      </c>
      <c r="B291" s="1547"/>
      <c r="C291" s="261">
        <f t="shared" si="371"/>
        <v>1535</v>
      </c>
      <c r="D291" s="262">
        <f t="shared" ref="D291:O291" si="394">SUM(D292,D293)-D300+D301</f>
        <v>0</v>
      </c>
      <c r="E291" s="263">
        <f t="shared" si="394"/>
        <v>0</v>
      </c>
      <c r="F291" s="264">
        <f t="shared" si="394"/>
        <v>0</v>
      </c>
      <c r="G291" s="262">
        <f t="shared" si="394"/>
        <v>0</v>
      </c>
      <c r="H291" s="263">
        <f t="shared" si="394"/>
        <v>0</v>
      </c>
      <c r="I291" s="264">
        <f t="shared" si="394"/>
        <v>0</v>
      </c>
      <c r="J291" s="262">
        <f t="shared" si="394"/>
        <v>1535</v>
      </c>
      <c r="K291" s="263">
        <f t="shared" si="394"/>
        <v>0</v>
      </c>
      <c r="L291" s="264">
        <f t="shared" si="394"/>
        <v>1535</v>
      </c>
      <c r="M291" s="262">
        <f t="shared" si="394"/>
        <v>0</v>
      </c>
      <c r="N291" s="263">
        <f t="shared" si="394"/>
        <v>0</v>
      </c>
      <c r="O291" s="264">
        <f t="shared" si="394"/>
        <v>0</v>
      </c>
      <c r="P291" s="265"/>
    </row>
    <row r="292" spans="1:16" s="28" customFormat="1" ht="12.75" thickBot="1" x14ac:dyDescent="0.3">
      <c r="A292" s="157" t="s">
        <v>310</v>
      </c>
      <c r="B292" s="157" t="s">
        <v>311</v>
      </c>
      <c r="C292" s="158">
        <f t="shared" si="371"/>
        <v>1535</v>
      </c>
      <c r="D292" s="159">
        <f t="shared" ref="D292:O292" si="395">D21-D286</f>
        <v>0</v>
      </c>
      <c r="E292" s="160">
        <f t="shared" si="395"/>
        <v>0</v>
      </c>
      <c r="F292" s="161">
        <f t="shared" si="395"/>
        <v>0</v>
      </c>
      <c r="G292" s="159">
        <f t="shared" si="395"/>
        <v>0</v>
      </c>
      <c r="H292" s="160">
        <f t="shared" si="395"/>
        <v>0</v>
      </c>
      <c r="I292" s="161">
        <f t="shared" si="395"/>
        <v>0</v>
      </c>
      <c r="J292" s="159">
        <f t="shared" si="395"/>
        <v>1535</v>
      </c>
      <c r="K292" s="160">
        <f t="shared" si="395"/>
        <v>0</v>
      </c>
      <c r="L292" s="161">
        <f t="shared" si="395"/>
        <v>1535</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iy6ZX2spDLah7aM8NvukRmRKZ6ChgvIcek/+kwODRM+eBg32rQ2Zqc4qZdMfT+45q0Ao35q9ScskcW3wFpaHw==" saltValue="Sh/3OdNynfLtJxgd96POFA==" spinCount="100000" sheet="1" objects="1" scenarios="1" formatCells="0" formatColumns="0" formatRows="0" deleteColumns="0"/>
  <autoFilter ref="A18:P301">
    <filterColumn colId="2">
      <filters>
        <filter val="1 510"/>
        <filter val="1 535"/>
        <filter val="-1 535"/>
        <filter val="1 670"/>
        <filter val="1 920"/>
        <filter val="148 965"/>
        <filter val="158 530"/>
        <filter val="174 947"/>
        <filter val="18 676"/>
        <filter val="2 780"/>
        <filter val="20 550"/>
        <filter val="22 101"/>
        <filter val="23 330"/>
        <filter val="24 706"/>
        <filter val="3 425"/>
        <filter val="3 500"/>
        <filter val="3 961"/>
        <filter val="321"/>
        <filter val="360"/>
        <filter val="376"/>
        <filter val="378 221"/>
        <filter val="40 184"/>
        <filter val="410"/>
        <filter val="43 684"/>
        <filter val="451 113"/>
        <filter val="46 880"/>
        <filter val="48 550"/>
        <filter val="509 228"/>
        <filter val="534 093"/>
        <filter val="70 972"/>
        <filter val="700"/>
        <filter val="79 019"/>
        <filter val="82 980"/>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2019.gada 31.oktobra saistošajiem noteikumiem Nr.46
(protokols Nr.14, 28.punkts)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10" workbookViewId="0">
      <selection activeCell="S12" sqref="S12"/>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569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376</v>
      </c>
      <c r="D3" s="1517"/>
      <c r="E3" s="1517"/>
      <c r="F3" s="1517"/>
      <c r="G3" s="1517"/>
      <c r="H3" s="1517"/>
      <c r="I3" s="1517"/>
      <c r="J3" s="1517"/>
      <c r="K3" s="1517"/>
      <c r="L3" s="1517"/>
      <c r="M3" s="1517"/>
      <c r="N3" s="1517"/>
      <c r="O3" s="1517"/>
      <c r="P3" s="1518"/>
      <c r="Q3" s="277"/>
    </row>
    <row r="4" spans="1:17" ht="12.75" customHeight="1" x14ac:dyDescent="0.25">
      <c r="A4" s="5" t="s">
        <v>4</v>
      </c>
      <c r="B4" s="6"/>
      <c r="C4" s="1517" t="s">
        <v>377</v>
      </c>
      <c r="D4" s="1517"/>
      <c r="E4" s="1517"/>
      <c r="F4" s="1517"/>
      <c r="G4" s="1517"/>
      <c r="H4" s="1517"/>
      <c r="I4" s="1517"/>
      <c r="J4" s="1517"/>
      <c r="K4" s="1517"/>
      <c r="L4" s="1517"/>
      <c r="M4" s="1517"/>
      <c r="N4" s="1517"/>
      <c r="O4" s="1517"/>
      <c r="P4" s="1518"/>
      <c r="Q4" s="277"/>
    </row>
    <row r="5" spans="1:17" ht="12.75" customHeight="1" x14ac:dyDescent="0.25">
      <c r="A5" s="7" t="s">
        <v>6</v>
      </c>
      <c r="B5" s="8"/>
      <c r="C5" s="1512" t="s">
        <v>378</v>
      </c>
      <c r="D5" s="1512"/>
      <c r="E5" s="1512"/>
      <c r="F5" s="1512"/>
      <c r="G5" s="1512"/>
      <c r="H5" s="1512"/>
      <c r="I5" s="1512"/>
      <c r="J5" s="1512"/>
      <c r="K5" s="1512"/>
      <c r="L5" s="1512"/>
      <c r="M5" s="1512"/>
      <c r="N5" s="1512"/>
      <c r="O5" s="1512"/>
      <c r="P5" s="1513"/>
      <c r="Q5" s="277"/>
    </row>
    <row r="6" spans="1:17" ht="12.75" customHeight="1" x14ac:dyDescent="0.25">
      <c r="A6" s="7" t="s">
        <v>8</v>
      </c>
      <c r="B6" s="8"/>
      <c r="C6" s="1512" t="s">
        <v>379</v>
      </c>
      <c r="D6" s="1512"/>
      <c r="E6" s="1512"/>
      <c r="F6" s="1512"/>
      <c r="G6" s="1512"/>
      <c r="H6" s="1512"/>
      <c r="I6" s="1512"/>
      <c r="J6" s="1512"/>
      <c r="K6" s="1512"/>
      <c r="L6" s="1512"/>
      <c r="M6" s="1512"/>
      <c r="N6" s="1512"/>
      <c r="O6" s="1512"/>
      <c r="P6" s="1513"/>
      <c r="Q6" s="277"/>
    </row>
    <row r="7" spans="1:17" ht="25.5" customHeight="1" x14ac:dyDescent="0.25">
      <c r="A7" s="7" t="s">
        <v>10</v>
      </c>
      <c r="B7" s="8"/>
      <c r="C7" s="1548" t="s">
        <v>590</v>
      </c>
      <c r="D7" s="1549"/>
      <c r="E7" s="1549"/>
      <c r="F7" s="1549"/>
      <c r="G7" s="1549"/>
      <c r="H7" s="1549"/>
      <c r="I7" s="1549"/>
      <c r="J7" s="1549"/>
      <c r="K7" s="1549"/>
      <c r="L7" s="1549"/>
      <c r="M7" s="1549"/>
      <c r="N7" s="1549"/>
      <c r="O7" s="1549"/>
      <c r="P7" s="1550"/>
      <c r="Q7" s="277"/>
    </row>
    <row r="8" spans="1:17" ht="12.75" customHeight="1" x14ac:dyDescent="0.25">
      <c r="A8" s="9" t="s">
        <v>12</v>
      </c>
      <c r="B8" s="8"/>
      <c r="C8" s="1548"/>
      <c r="D8" s="1549"/>
      <c r="E8" s="1549"/>
      <c r="F8" s="1549"/>
      <c r="G8" s="1549"/>
      <c r="H8" s="1549"/>
      <c r="I8" s="1549"/>
      <c r="J8" s="1549"/>
      <c r="K8" s="1549"/>
      <c r="L8" s="1549"/>
      <c r="M8" s="1549"/>
      <c r="N8" s="1549"/>
      <c r="O8" s="1549"/>
      <c r="P8" s="1550"/>
      <c r="Q8" s="277"/>
    </row>
    <row r="9" spans="1:17" ht="12.75" customHeight="1" x14ac:dyDescent="0.25">
      <c r="A9" s="7"/>
      <c r="B9" s="8" t="s">
        <v>13</v>
      </c>
      <c r="C9" s="1512" t="s">
        <v>570</v>
      </c>
      <c r="D9" s="1512"/>
      <c r="E9" s="1512"/>
      <c r="F9" s="1512"/>
      <c r="G9" s="1512"/>
      <c r="H9" s="1512"/>
      <c r="I9" s="1512"/>
      <c r="J9" s="1512"/>
      <c r="K9" s="1512"/>
      <c r="L9" s="1512"/>
      <c r="M9" s="1512"/>
      <c r="N9" s="1512"/>
      <c r="O9" s="1512"/>
      <c r="P9" s="1513"/>
      <c r="Q9" s="277"/>
    </row>
    <row r="10" spans="1:17" ht="12.75" customHeight="1" x14ac:dyDescent="0.25">
      <c r="A10" s="7"/>
      <c r="B10" s="8" t="s">
        <v>15</v>
      </c>
      <c r="C10" s="1512" t="s">
        <v>571</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572</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366517</v>
      </c>
      <c r="D20" s="32">
        <f>SUM(D21,D24,D25,D41,D43)</f>
        <v>283345</v>
      </c>
      <c r="E20" s="33">
        <f t="shared" ref="E20:F20" si="1">SUM(E21,E24,E25,E41,E43)</f>
        <v>0</v>
      </c>
      <c r="F20" s="34">
        <f t="shared" si="1"/>
        <v>283345</v>
      </c>
      <c r="G20" s="32">
        <f>SUM(G21,G24,G43)</f>
        <v>76102</v>
      </c>
      <c r="H20" s="33">
        <f t="shared" ref="H20:I20" si="2">SUM(H21,H24,H43)</f>
        <v>-5410</v>
      </c>
      <c r="I20" s="34">
        <f t="shared" si="2"/>
        <v>70692</v>
      </c>
      <c r="J20" s="32">
        <f>SUM(J21,J26,J43)</f>
        <v>12270</v>
      </c>
      <c r="K20" s="33">
        <f t="shared" ref="K20:L20" si="3">SUM(K21,K26,K43)</f>
        <v>210</v>
      </c>
      <c r="L20" s="34">
        <f t="shared" si="3"/>
        <v>12480</v>
      </c>
      <c r="M20" s="32">
        <f>SUM(M21,M45)</f>
        <v>0</v>
      </c>
      <c r="N20" s="33">
        <f t="shared" ref="N20:O20" si="4">SUM(N21,N45)</f>
        <v>0</v>
      </c>
      <c r="O20" s="34">
        <f t="shared" si="4"/>
        <v>0</v>
      </c>
      <c r="P20" s="35"/>
    </row>
    <row r="21" spans="1:16" ht="12.75" thickTop="1" x14ac:dyDescent="0.25">
      <c r="A21" s="36"/>
      <c r="B21" s="37" t="s">
        <v>39</v>
      </c>
      <c r="C21" s="38">
        <f t="shared" si="0"/>
        <v>737</v>
      </c>
      <c r="D21" s="39">
        <f>SUM(D22:D23)</f>
        <v>0</v>
      </c>
      <c r="E21" s="40">
        <f t="shared" ref="E21:F21" si="5">SUM(E22:E23)</f>
        <v>0</v>
      </c>
      <c r="F21" s="41">
        <f t="shared" si="5"/>
        <v>0</v>
      </c>
      <c r="G21" s="39">
        <f>SUM(G22:G23)</f>
        <v>0</v>
      </c>
      <c r="H21" s="40">
        <f t="shared" ref="H21:I21" si="6">SUM(H22:H23)</f>
        <v>0</v>
      </c>
      <c r="I21" s="41">
        <f t="shared" si="6"/>
        <v>0</v>
      </c>
      <c r="J21" s="39">
        <f>SUM(J22:J23)</f>
        <v>737</v>
      </c>
      <c r="K21" s="40">
        <f t="shared" ref="K21:L21" si="7">SUM(K22:K23)</f>
        <v>0</v>
      </c>
      <c r="L21" s="41">
        <f t="shared" si="7"/>
        <v>737</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737</v>
      </c>
      <c r="D23" s="53"/>
      <c r="E23" s="54"/>
      <c r="F23" s="55">
        <f t="shared" ref="F23:F25" si="9">D23+E23</f>
        <v>0</v>
      </c>
      <c r="G23" s="53"/>
      <c r="H23" s="54"/>
      <c r="I23" s="55">
        <f t="shared" ref="I23:I24" si="10">G23+H23</f>
        <v>0</v>
      </c>
      <c r="J23" s="53">
        <v>737</v>
      </c>
      <c r="K23" s="307"/>
      <c r="L23" s="56">
        <f>K23+J23</f>
        <v>737</v>
      </c>
      <c r="M23" s="53"/>
      <c r="N23" s="363"/>
      <c r="O23" s="55">
        <f>N23+M23</f>
        <v>0</v>
      </c>
      <c r="P23" s="57"/>
    </row>
    <row r="24" spans="1:16" s="28" customFormat="1" ht="24.75" thickBot="1" x14ac:dyDescent="0.3">
      <c r="A24" s="58">
        <v>19300</v>
      </c>
      <c r="B24" s="58" t="s">
        <v>42</v>
      </c>
      <c r="C24" s="59">
        <f>F24+I24</f>
        <v>354037</v>
      </c>
      <c r="D24" s="60">
        <v>283345</v>
      </c>
      <c r="E24" s="305"/>
      <c r="F24" s="62">
        <f t="shared" si="9"/>
        <v>283345</v>
      </c>
      <c r="G24" s="60">
        <v>76102</v>
      </c>
      <c r="H24" s="305">
        <v>-5410</v>
      </c>
      <c r="I24" s="62">
        <f t="shared" si="10"/>
        <v>70692</v>
      </c>
      <c r="J24" s="64" t="s">
        <v>43</v>
      </c>
      <c r="K24" s="65" t="s">
        <v>43</v>
      </c>
      <c r="L24" s="66" t="s">
        <v>43</v>
      </c>
      <c r="M24" s="64" t="s">
        <v>43</v>
      </c>
      <c r="N24" s="65" t="s">
        <v>43</v>
      </c>
      <c r="O24" s="66" t="s">
        <v>43</v>
      </c>
      <c r="P24" s="67" t="s">
        <v>573</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11715</v>
      </c>
      <c r="D26" s="74" t="s">
        <v>43</v>
      </c>
      <c r="E26" s="75" t="s">
        <v>43</v>
      </c>
      <c r="F26" s="76" t="s">
        <v>43</v>
      </c>
      <c r="G26" s="74" t="s">
        <v>43</v>
      </c>
      <c r="H26" s="75" t="s">
        <v>43</v>
      </c>
      <c r="I26" s="76" t="s">
        <v>43</v>
      </c>
      <c r="J26" s="78">
        <f>SUM(J27,J31,J33,J36)</f>
        <v>11533</v>
      </c>
      <c r="K26" s="79">
        <f t="shared" ref="K26:L26" si="11">SUM(K27,K31,K33,K36)</f>
        <v>182</v>
      </c>
      <c r="L26" s="80">
        <f t="shared" si="11"/>
        <v>11715</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1251</v>
      </c>
      <c r="D33" s="74" t="s">
        <v>43</v>
      </c>
      <c r="E33" s="75" t="s">
        <v>43</v>
      </c>
      <c r="F33" s="76" t="s">
        <v>43</v>
      </c>
      <c r="G33" s="74" t="s">
        <v>43</v>
      </c>
      <c r="H33" s="75" t="s">
        <v>43</v>
      </c>
      <c r="I33" s="76" t="s">
        <v>43</v>
      </c>
      <c r="J33" s="78">
        <f>SUM(J34:J35)</f>
        <v>1069</v>
      </c>
      <c r="K33" s="79">
        <f t="shared" ref="K33:L33" si="17">SUM(K34:K35)</f>
        <v>182</v>
      </c>
      <c r="L33" s="80">
        <f t="shared" si="17"/>
        <v>1251</v>
      </c>
      <c r="M33" s="78" t="s">
        <v>43</v>
      </c>
      <c r="N33" s="79" t="s">
        <v>43</v>
      </c>
      <c r="O33" s="80" t="s">
        <v>43</v>
      </c>
      <c r="P33" s="77"/>
    </row>
    <row r="34" spans="1:16" ht="27" customHeight="1" x14ac:dyDescent="0.25">
      <c r="A34" s="44">
        <v>21381</v>
      </c>
      <c r="B34" s="82" t="s">
        <v>53</v>
      </c>
      <c r="C34" s="83">
        <f t="shared" si="16"/>
        <v>1251</v>
      </c>
      <c r="D34" s="84" t="s">
        <v>43</v>
      </c>
      <c r="E34" s="85" t="s">
        <v>43</v>
      </c>
      <c r="F34" s="86" t="s">
        <v>43</v>
      </c>
      <c r="G34" s="84" t="s">
        <v>43</v>
      </c>
      <c r="H34" s="85" t="s">
        <v>43</v>
      </c>
      <c r="I34" s="86" t="s">
        <v>43</v>
      </c>
      <c r="J34" s="46">
        <v>1069</v>
      </c>
      <c r="K34" s="446">
        <v>182</v>
      </c>
      <c r="L34" s="48">
        <f t="shared" ref="L34:L35" si="18">K34+J34</f>
        <v>1251</v>
      </c>
      <c r="M34" s="87" t="s">
        <v>43</v>
      </c>
      <c r="N34" s="88" t="s">
        <v>43</v>
      </c>
      <c r="O34" s="48" t="s">
        <v>43</v>
      </c>
      <c r="P34" s="49" t="s">
        <v>574</v>
      </c>
    </row>
    <row r="35" spans="1:16" ht="24" hidden="1" customHeight="1" x14ac:dyDescent="0.25">
      <c r="A35" s="210">
        <v>21383</v>
      </c>
      <c r="B35" s="227" t="s">
        <v>54</v>
      </c>
      <c r="C35" s="209">
        <f t="shared" si="16"/>
        <v>0</v>
      </c>
      <c r="D35" s="1015" t="s">
        <v>43</v>
      </c>
      <c r="E35" s="1016" t="s">
        <v>43</v>
      </c>
      <c r="F35" s="1017" t="s">
        <v>43</v>
      </c>
      <c r="G35" s="1015" t="s">
        <v>43</v>
      </c>
      <c r="H35" s="1016" t="s">
        <v>43</v>
      </c>
      <c r="I35" s="1017" t="s">
        <v>43</v>
      </c>
      <c r="J35" s="214"/>
      <c r="K35" s="215"/>
      <c r="L35" s="1003">
        <f t="shared" si="18"/>
        <v>0</v>
      </c>
      <c r="M35" s="1001" t="s">
        <v>43</v>
      </c>
      <c r="N35" s="1002" t="s">
        <v>43</v>
      </c>
      <c r="O35" s="1003" t="s">
        <v>43</v>
      </c>
      <c r="P35" s="216"/>
    </row>
    <row r="36" spans="1:16" s="28" customFormat="1" ht="25.5" customHeight="1" x14ac:dyDescent="0.25">
      <c r="A36" s="1004">
        <v>21390</v>
      </c>
      <c r="B36" s="217" t="s">
        <v>55</v>
      </c>
      <c r="C36" s="218">
        <f t="shared" si="16"/>
        <v>10464</v>
      </c>
      <c r="D36" s="1018" t="s">
        <v>43</v>
      </c>
      <c r="E36" s="1019" t="s">
        <v>43</v>
      </c>
      <c r="F36" s="1020" t="s">
        <v>43</v>
      </c>
      <c r="G36" s="1018" t="s">
        <v>43</v>
      </c>
      <c r="H36" s="1019" t="s">
        <v>43</v>
      </c>
      <c r="I36" s="1020" t="s">
        <v>43</v>
      </c>
      <c r="J36" s="1011">
        <f>SUM(J37:J40)</f>
        <v>10464</v>
      </c>
      <c r="K36" s="1012">
        <f t="shared" ref="K36:L36" si="19">SUM(K37:K40)</f>
        <v>0</v>
      </c>
      <c r="L36" s="1013">
        <f t="shared" si="19"/>
        <v>10464</v>
      </c>
      <c r="M36" s="1011" t="s">
        <v>43</v>
      </c>
      <c r="N36" s="1012" t="s">
        <v>43</v>
      </c>
      <c r="O36" s="1013" t="s">
        <v>43</v>
      </c>
      <c r="P36" s="222"/>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x14ac:dyDescent="0.25">
      <c r="A40" s="108">
        <v>21399</v>
      </c>
      <c r="B40" s="109" t="s">
        <v>59</v>
      </c>
      <c r="C40" s="110">
        <f t="shared" si="16"/>
        <v>10464</v>
      </c>
      <c r="D40" s="111" t="s">
        <v>43</v>
      </c>
      <c r="E40" s="112" t="s">
        <v>43</v>
      </c>
      <c r="F40" s="113" t="s">
        <v>43</v>
      </c>
      <c r="G40" s="111" t="s">
        <v>43</v>
      </c>
      <c r="H40" s="112" t="s">
        <v>43</v>
      </c>
      <c r="I40" s="113" t="s">
        <v>43</v>
      </c>
      <c r="J40" s="114">
        <v>10464</v>
      </c>
      <c r="K40" s="447"/>
      <c r="L40" s="116">
        <f t="shared" si="20"/>
        <v>10464</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28</v>
      </c>
      <c r="D43" s="78">
        <f>D44</f>
        <v>0</v>
      </c>
      <c r="E43" s="79">
        <f t="shared" ref="E43:L43" si="22">E44</f>
        <v>0</v>
      </c>
      <c r="F43" s="80">
        <f t="shared" si="22"/>
        <v>0</v>
      </c>
      <c r="G43" s="78">
        <f t="shared" si="22"/>
        <v>0</v>
      </c>
      <c r="H43" s="79">
        <f t="shared" si="22"/>
        <v>0</v>
      </c>
      <c r="I43" s="80">
        <f t="shared" si="22"/>
        <v>0</v>
      </c>
      <c r="J43" s="78">
        <f t="shared" si="22"/>
        <v>0</v>
      </c>
      <c r="K43" s="79">
        <f t="shared" si="22"/>
        <v>28</v>
      </c>
      <c r="L43" s="80">
        <f t="shared" si="22"/>
        <v>28</v>
      </c>
      <c r="M43" s="78" t="s">
        <v>43</v>
      </c>
      <c r="N43" s="79" t="s">
        <v>43</v>
      </c>
      <c r="O43" s="80" t="s">
        <v>43</v>
      </c>
      <c r="P43" s="77"/>
    </row>
    <row r="44" spans="1:16" s="28" customFormat="1" ht="24" customHeight="1" x14ac:dyDescent="0.25">
      <c r="A44" s="51">
        <v>21499</v>
      </c>
      <c r="B44" s="89" t="s">
        <v>63</v>
      </c>
      <c r="C44" s="133">
        <f>F44+I44+L44</f>
        <v>28</v>
      </c>
      <c r="D44" s="46"/>
      <c r="E44" s="47"/>
      <c r="F44" s="134">
        <f>D44+E44</f>
        <v>0</v>
      </c>
      <c r="G44" s="46"/>
      <c r="H44" s="47"/>
      <c r="I44" s="134">
        <f>G44+H44</f>
        <v>0</v>
      </c>
      <c r="J44" s="46"/>
      <c r="K44" s="446">
        <v>28</v>
      </c>
      <c r="L44" s="48">
        <f>K44+J44</f>
        <v>28</v>
      </c>
      <c r="M44" s="87" t="s">
        <v>43</v>
      </c>
      <c r="N44" s="88" t="s">
        <v>43</v>
      </c>
      <c r="O44" s="48" t="s">
        <v>43</v>
      </c>
      <c r="P44" s="49" t="s">
        <v>575</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366517</v>
      </c>
      <c r="D50" s="159">
        <f>SUM(D51,D286)</f>
        <v>283345</v>
      </c>
      <c r="E50" s="160">
        <f t="shared" ref="E50:F50" si="26">SUM(E51,E286)</f>
        <v>0</v>
      </c>
      <c r="F50" s="161">
        <f t="shared" si="26"/>
        <v>283345</v>
      </c>
      <c r="G50" s="159">
        <f>SUM(G51,G286)</f>
        <v>76102</v>
      </c>
      <c r="H50" s="160">
        <f>SUM(H51,H286)</f>
        <v>-5410</v>
      </c>
      <c r="I50" s="161">
        <f t="shared" ref="I50" si="27">SUM(I51,I286)</f>
        <v>70692</v>
      </c>
      <c r="J50" s="32">
        <f>SUM(J51,J286)</f>
        <v>12270</v>
      </c>
      <c r="K50" s="33">
        <f t="shared" ref="K50:L50" si="28">SUM(K51,K286)</f>
        <v>210</v>
      </c>
      <c r="L50" s="34">
        <f t="shared" si="28"/>
        <v>12480</v>
      </c>
      <c r="M50" s="32">
        <f>SUM(M51,M286)</f>
        <v>0</v>
      </c>
      <c r="N50" s="33">
        <f t="shared" ref="N50:O50" si="29">SUM(N51,N286)</f>
        <v>0</v>
      </c>
      <c r="O50" s="34">
        <f t="shared" si="29"/>
        <v>0</v>
      </c>
      <c r="P50" s="35"/>
    </row>
    <row r="51" spans="1:16" s="28" customFormat="1" ht="36.75" thickTop="1" x14ac:dyDescent="0.25">
      <c r="A51" s="162"/>
      <c r="B51" s="163" t="s">
        <v>69</v>
      </c>
      <c r="C51" s="164">
        <f t="shared" si="0"/>
        <v>366517</v>
      </c>
      <c r="D51" s="165">
        <f>SUM(D52,D194)</f>
        <v>283345</v>
      </c>
      <c r="E51" s="166">
        <f t="shared" ref="E51:F51" si="30">SUM(E52,E194)</f>
        <v>0</v>
      </c>
      <c r="F51" s="167">
        <f t="shared" si="30"/>
        <v>283345</v>
      </c>
      <c r="G51" s="165">
        <f>SUM(G52,G194)</f>
        <v>76102</v>
      </c>
      <c r="H51" s="166">
        <f t="shared" ref="H51:I51" si="31">SUM(H52,H194)</f>
        <v>-5410</v>
      </c>
      <c r="I51" s="167">
        <f t="shared" si="31"/>
        <v>70692</v>
      </c>
      <c r="J51" s="168">
        <f>SUM(J52,J194)</f>
        <v>12270</v>
      </c>
      <c r="K51" s="169">
        <f t="shared" ref="K51:L51" si="32">SUM(K52,K194)</f>
        <v>210</v>
      </c>
      <c r="L51" s="170">
        <f t="shared" si="32"/>
        <v>12480</v>
      </c>
      <c r="M51" s="168">
        <f>SUM(M52,M194)</f>
        <v>0</v>
      </c>
      <c r="N51" s="169">
        <f t="shared" ref="N51:O51" si="33">SUM(N52,N194)</f>
        <v>0</v>
      </c>
      <c r="O51" s="170">
        <f t="shared" si="33"/>
        <v>0</v>
      </c>
      <c r="P51" s="171"/>
    </row>
    <row r="52" spans="1:16" s="28" customFormat="1" ht="24" x14ac:dyDescent="0.25">
      <c r="A52" s="24"/>
      <c r="B52" s="22" t="s">
        <v>70</v>
      </c>
      <c r="C52" s="172">
        <f t="shared" si="0"/>
        <v>359054</v>
      </c>
      <c r="D52" s="173">
        <f>SUM(D53,D75,D173,D187)</f>
        <v>276165</v>
      </c>
      <c r="E52" s="174">
        <f t="shared" ref="E52:F52" si="34">SUM(E53,E75,E173,E187)</f>
        <v>0</v>
      </c>
      <c r="F52" s="175">
        <f t="shared" si="34"/>
        <v>276165</v>
      </c>
      <c r="G52" s="173">
        <f>SUM(G53,G75,G173,G187)</f>
        <v>76102</v>
      </c>
      <c r="H52" s="174">
        <f t="shared" ref="H52:I52" si="35">SUM(H53,H75,H173,H187)</f>
        <v>-5410</v>
      </c>
      <c r="I52" s="175">
        <f t="shared" si="35"/>
        <v>70692</v>
      </c>
      <c r="J52" s="173">
        <f>SUM(J53,J75,J173,J187)</f>
        <v>11987</v>
      </c>
      <c r="K52" s="174">
        <f t="shared" ref="K52:L52" si="36">SUM(K53,K75,K173,K187)</f>
        <v>210</v>
      </c>
      <c r="L52" s="175">
        <f t="shared" si="36"/>
        <v>12197</v>
      </c>
      <c r="M52" s="173">
        <f>SUM(M53,M75,M173,M187)</f>
        <v>0</v>
      </c>
      <c r="N52" s="174">
        <f t="shared" ref="N52:O52" si="37">SUM(N53,N75,N173,N187)</f>
        <v>0</v>
      </c>
      <c r="O52" s="175">
        <f t="shared" si="37"/>
        <v>0</v>
      </c>
      <c r="P52" s="176"/>
    </row>
    <row r="53" spans="1:16" s="28" customFormat="1" x14ac:dyDescent="0.25">
      <c r="A53" s="177">
        <v>1000</v>
      </c>
      <c r="B53" s="177" t="s">
        <v>71</v>
      </c>
      <c r="C53" s="178">
        <f t="shared" si="0"/>
        <v>312496</v>
      </c>
      <c r="D53" s="179">
        <f>SUM(D54,D67)</f>
        <v>236038</v>
      </c>
      <c r="E53" s="180">
        <f t="shared" ref="E53:F53" si="38">SUM(E54,E67)</f>
        <v>0</v>
      </c>
      <c r="F53" s="181">
        <f t="shared" si="38"/>
        <v>236038</v>
      </c>
      <c r="G53" s="179">
        <f>SUM(G54,G67)</f>
        <v>76102</v>
      </c>
      <c r="H53" s="180">
        <f t="shared" ref="H53:I53" si="39">SUM(H54,H67)</f>
        <v>-5410</v>
      </c>
      <c r="I53" s="181">
        <f t="shared" si="39"/>
        <v>70692</v>
      </c>
      <c r="J53" s="179">
        <f>SUM(J54,J67)</f>
        <v>5535</v>
      </c>
      <c r="K53" s="180">
        <f t="shared" ref="K53:L53" si="40">SUM(K54,K67)</f>
        <v>231</v>
      </c>
      <c r="L53" s="181">
        <f t="shared" si="40"/>
        <v>5766</v>
      </c>
      <c r="M53" s="179">
        <f>SUM(M54,M67)</f>
        <v>0</v>
      </c>
      <c r="N53" s="180">
        <f t="shared" ref="N53:O53" si="41">SUM(N54,N67)</f>
        <v>0</v>
      </c>
      <c r="O53" s="181">
        <f t="shared" si="41"/>
        <v>0</v>
      </c>
      <c r="P53" s="182"/>
    </row>
    <row r="54" spans="1:16" x14ac:dyDescent="0.25">
      <c r="A54" s="69">
        <v>1100</v>
      </c>
      <c r="B54" s="183" t="s">
        <v>72</v>
      </c>
      <c r="C54" s="70">
        <f t="shared" si="0"/>
        <v>235941</v>
      </c>
      <c r="D54" s="184">
        <f>SUM(D55,D58,D66)</f>
        <v>174684</v>
      </c>
      <c r="E54" s="185">
        <f t="shared" ref="E54:F54" si="42">SUM(E55,E58,E66)</f>
        <v>0</v>
      </c>
      <c r="F54" s="73">
        <f t="shared" si="42"/>
        <v>174684</v>
      </c>
      <c r="G54" s="184">
        <f>SUM(G55,G58,G66)</f>
        <v>61128</v>
      </c>
      <c r="H54" s="185">
        <f t="shared" ref="H54:I54" si="43">SUM(H55,H58,H66)</f>
        <v>-4388</v>
      </c>
      <c r="I54" s="73">
        <f t="shared" si="43"/>
        <v>56740</v>
      </c>
      <c r="J54" s="184">
        <f>SUM(J55,J58,J66)</f>
        <v>4460</v>
      </c>
      <c r="K54" s="185">
        <f t="shared" ref="K54:L54" si="44">SUM(K55,K58,K66)</f>
        <v>57</v>
      </c>
      <c r="L54" s="73">
        <f t="shared" si="44"/>
        <v>4517</v>
      </c>
      <c r="M54" s="184">
        <f>SUM(M55,M58,M66)</f>
        <v>0</v>
      </c>
      <c r="N54" s="185">
        <f t="shared" ref="N54:O54" si="45">SUM(N55,N58,N66)</f>
        <v>0</v>
      </c>
      <c r="O54" s="73">
        <f t="shared" si="45"/>
        <v>0</v>
      </c>
      <c r="P54" s="77"/>
    </row>
    <row r="55" spans="1:16" x14ac:dyDescent="0.25">
      <c r="A55" s="186">
        <v>1110</v>
      </c>
      <c r="B55" s="138" t="s">
        <v>73</v>
      </c>
      <c r="C55" s="143">
        <f t="shared" si="0"/>
        <v>205123</v>
      </c>
      <c r="D55" s="187">
        <f>SUM(D56:D57)</f>
        <v>148383</v>
      </c>
      <c r="E55" s="188">
        <f t="shared" ref="E55:F55" si="46">SUM(E56:E57)</f>
        <v>0</v>
      </c>
      <c r="F55" s="141">
        <f t="shared" si="46"/>
        <v>148383</v>
      </c>
      <c r="G55" s="187">
        <f>SUM(G56:G57)</f>
        <v>61128</v>
      </c>
      <c r="H55" s="188">
        <f t="shared" ref="H55:I55" si="47">SUM(H56:H57)</f>
        <v>-4388</v>
      </c>
      <c r="I55" s="141">
        <f t="shared" si="47"/>
        <v>56740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9.25" customHeight="1" x14ac:dyDescent="0.25">
      <c r="A57" s="51">
        <v>1119</v>
      </c>
      <c r="B57" s="89" t="s">
        <v>75</v>
      </c>
      <c r="C57" s="90">
        <f t="shared" si="0"/>
        <v>205123</v>
      </c>
      <c r="D57" s="53">
        <v>148383</v>
      </c>
      <c r="E57" s="54"/>
      <c r="F57" s="55">
        <f t="shared" si="50"/>
        <v>148383</v>
      </c>
      <c r="G57" s="53">
        <v>61128</v>
      </c>
      <c r="H57" s="448">
        <v>-4388</v>
      </c>
      <c r="I57" s="55">
        <f t="shared" si="51"/>
        <v>56740</v>
      </c>
      <c r="J57" s="53"/>
      <c r="K57" s="54"/>
      <c r="L57" s="55">
        <f t="shared" si="52"/>
        <v>0</v>
      </c>
      <c r="M57" s="53"/>
      <c r="N57" s="54"/>
      <c r="O57" s="55">
        <f t="shared" si="53"/>
        <v>0</v>
      </c>
      <c r="P57" s="57" t="s">
        <v>576</v>
      </c>
    </row>
    <row r="58" spans="1:16" x14ac:dyDescent="0.25">
      <c r="A58" s="189">
        <v>1140</v>
      </c>
      <c r="B58" s="89" t="s">
        <v>76</v>
      </c>
      <c r="C58" s="90">
        <f t="shared" si="0"/>
        <v>23513</v>
      </c>
      <c r="D58" s="190">
        <f>SUM(D59:D65)</f>
        <v>23513</v>
      </c>
      <c r="E58" s="191">
        <f>SUM(E59:E65)</f>
        <v>0</v>
      </c>
      <c r="F58" s="55">
        <f t="shared" ref="F58" si="54">SUM(F59:F65)</f>
        <v>23513</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3133</v>
      </c>
      <c r="D63" s="53">
        <v>3133</v>
      </c>
      <c r="E63" s="54"/>
      <c r="F63" s="55">
        <f t="shared" si="58"/>
        <v>3133</v>
      </c>
      <c r="G63" s="53"/>
      <c r="H63" s="54"/>
      <c r="I63" s="55">
        <f t="shared" si="59"/>
        <v>0</v>
      </c>
      <c r="J63" s="53"/>
      <c r="K63" s="54"/>
      <c r="L63" s="55">
        <f t="shared" si="60"/>
        <v>0</v>
      </c>
      <c r="M63" s="53"/>
      <c r="N63" s="54"/>
      <c r="O63" s="55">
        <f t="shared" si="61"/>
        <v>0</v>
      </c>
      <c r="P63" s="57"/>
    </row>
    <row r="64" spans="1:16" x14ac:dyDescent="0.25">
      <c r="A64" s="51">
        <v>1148</v>
      </c>
      <c r="B64" s="89" t="s">
        <v>82</v>
      </c>
      <c r="C64" s="90">
        <f t="shared" si="0"/>
        <v>15179</v>
      </c>
      <c r="D64" s="53">
        <v>15179</v>
      </c>
      <c r="E64" s="449"/>
      <c r="F64" s="55">
        <f t="shared" si="58"/>
        <v>15179</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41.25" customHeight="1" x14ac:dyDescent="0.25">
      <c r="A66" s="186">
        <v>1150</v>
      </c>
      <c r="B66" s="138" t="s">
        <v>84</v>
      </c>
      <c r="C66" s="143">
        <f t="shared" si="0"/>
        <v>7305</v>
      </c>
      <c r="D66" s="144">
        <v>2788</v>
      </c>
      <c r="E66" s="145"/>
      <c r="F66" s="141">
        <f t="shared" si="58"/>
        <v>2788</v>
      </c>
      <c r="G66" s="144"/>
      <c r="H66" s="145"/>
      <c r="I66" s="141">
        <f t="shared" si="59"/>
        <v>0</v>
      </c>
      <c r="J66" s="144">
        <v>4460</v>
      </c>
      <c r="K66" s="450">
        <v>57</v>
      </c>
      <c r="L66" s="141">
        <f t="shared" si="60"/>
        <v>4517</v>
      </c>
      <c r="M66" s="144"/>
      <c r="N66" s="145"/>
      <c r="O66" s="141">
        <f t="shared" si="61"/>
        <v>0</v>
      </c>
      <c r="P66" s="129" t="s">
        <v>577</v>
      </c>
    </row>
    <row r="67" spans="1:16" ht="24" x14ac:dyDescent="0.25">
      <c r="A67" s="69">
        <v>1200</v>
      </c>
      <c r="B67" s="183" t="s">
        <v>85</v>
      </c>
      <c r="C67" s="70">
        <f t="shared" si="0"/>
        <v>76555</v>
      </c>
      <c r="D67" s="184">
        <f>SUM(D68:D69)</f>
        <v>61354</v>
      </c>
      <c r="E67" s="185">
        <f t="shared" ref="E67:F67" si="62">SUM(E68:E69)</f>
        <v>0</v>
      </c>
      <c r="F67" s="73">
        <f t="shared" si="62"/>
        <v>61354</v>
      </c>
      <c r="G67" s="184">
        <f>SUM(G68:G69)</f>
        <v>14974</v>
      </c>
      <c r="H67" s="185">
        <f t="shared" ref="H67:I67" si="63">SUM(H68:H69)</f>
        <v>-1022</v>
      </c>
      <c r="I67" s="73">
        <f t="shared" si="63"/>
        <v>13952</v>
      </c>
      <c r="J67" s="184">
        <f>SUM(J68:J69)</f>
        <v>1075</v>
      </c>
      <c r="K67" s="185">
        <f t="shared" ref="K67:L67" si="64">SUM(K68:K69)</f>
        <v>174</v>
      </c>
      <c r="L67" s="73">
        <f t="shared" si="64"/>
        <v>1249</v>
      </c>
      <c r="M67" s="184">
        <f>SUM(M68:M69)</f>
        <v>0</v>
      </c>
      <c r="N67" s="185">
        <f t="shared" ref="N67:O67" si="65">SUM(N68:N69)</f>
        <v>0</v>
      </c>
      <c r="O67" s="73">
        <f t="shared" si="65"/>
        <v>0</v>
      </c>
      <c r="P67" s="77"/>
    </row>
    <row r="68" spans="1:16" ht="27.75" customHeight="1" x14ac:dyDescent="0.25">
      <c r="A68" s="321">
        <v>1210</v>
      </c>
      <c r="B68" s="82" t="s">
        <v>86</v>
      </c>
      <c r="C68" s="83">
        <f t="shared" si="0"/>
        <v>59298</v>
      </c>
      <c r="D68" s="46">
        <v>44397</v>
      </c>
      <c r="E68" s="47"/>
      <c r="F68" s="134">
        <f>D68+E68</f>
        <v>44397</v>
      </c>
      <c r="G68" s="46">
        <v>14774</v>
      </c>
      <c r="H68" s="446">
        <v>-1122</v>
      </c>
      <c r="I68" s="134">
        <f>G68+H68</f>
        <v>13652</v>
      </c>
      <c r="J68" s="46">
        <v>1075</v>
      </c>
      <c r="K68" s="446">
        <v>174</v>
      </c>
      <c r="L68" s="134">
        <f>K68+J68</f>
        <v>1249</v>
      </c>
      <c r="M68" s="46"/>
      <c r="N68" s="47"/>
      <c r="O68" s="134">
        <f>N68+M68</f>
        <v>0</v>
      </c>
      <c r="P68" s="129" t="s">
        <v>578</v>
      </c>
    </row>
    <row r="69" spans="1:16" ht="24" x14ac:dyDescent="0.25">
      <c r="A69" s="189">
        <v>1220</v>
      </c>
      <c r="B69" s="89" t="s">
        <v>87</v>
      </c>
      <c r="C69" s="90">
        <f t="shared" si="0"/>
        <v>17257</v>
      </c>
      <c r="D69" s="190">
        <f>SUM(D70:D74)</f>
        <v>16957</v>
      </c>
      <c r="E69" s="191">
        <f t="shared" ref="E69:F69" si="66">SUM(E70:E74)</f>
        <v>0</v>
      </c>
      <c r="F69" s="55">
        <f t="shared" si="66"/>
        <v>16957</v>
      </c>
      <c r="G69" s="190">
        <f>SUM(G70:G74)</f>
        <v>200</v>
      </c>
      <c r="H69" s="191">
        <f t="shared" ref="H69:I69" si="67">SUM(H70:H74)</f>
        <v>100</v>
      </c>
      <c r="I69" s="55">
        <f t="shared" si="67"/>
        <v>300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10206</v>
      </c>
      <c r="D70" s="53">
        <v>9906</v>
      </c>
      <c r="E70" s="54"/>
      <c r="F70" s="55">
        <f t="shared" ref="F70:F74" si="70">D70+E70</f>
        <v>9906</v>
      </c>
      <c r="G70" s="53">
        <v>200</v>
      </c>
      <c r="H70" s="448">
        <v>100</v>
      </c>
      <c r="I70" s="55">
        <f t="shared" ref="I70:I74" si="71">G70+H70</f>
        <v>300</v>
      </c>
      <c r="J70" s="53"/>
      <c r="K70" s="54"/>
      <c r="L70" s="55">
        <f t="shared" ref="L70:L74" si="72">K70+J70</f>
        <v>0</v>
      </c>
      <c r="M70" s="53"/>
      <c r="N70" s="54"/>
      <c r="O70" s="55">
        <f t="shared" ref="O70:O74" si="73">N70+M70</f>
        <v>0</v>
      </c>
      <c r="P70" s="57" t="s">
        <v>579</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t="s">
        <v>580</v>
      </c>
    </row>
    <row r="73" spans="1:16" ht="36" customHeight="1" x14ac:dyDescent="0.25">
      <c r="A73" s="51">
        <v>1227</v>
      </c>
      <c r="B73" s="89" t="s">
        <v>91</v>
      </c>
      <c r="C73" s="90">
        <f t="shared" si="0"/>
        <v>6403</v>
      </c>
      <c r="D73" s="53">
        <v>6403</v>
      </c>
      <c r="E73" s="54"/>
      <c r="F73" s="55">
        <f t="shared" si="70"/>
        <v>6403</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648</v>
      </c>
      <c r="D74" s="53">
        <v>648</v>
      </c>
      <c r="E74" s="54"/>
      <c r="F74" s="55">
        <f t="shared" si="70"/>
        <v>648</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46558</v>
      </c>
      <c r="D75" s="179">
        <f>SUM(D76,D83,D130,D164,D165,D172)</f>
        <v>40127</v>
      </c>
      <c r="E75" s="180">
        <f t="shared" ref="E75:F75" si="74">SUM(E76,E83,E130,E164,E165,E172)</f>
        <v>0</v>
      </c>
      <c r="F75" s="181">
        <f t="shared" si="74"/>
        <v>40127</v>
      </c>
      <c r="G75" s="179">
        <f>SUM(G76,G83,G130,G164,G165,G172)</f>
        <v>0</v>
      </c>
      <c r="H75" s="180">
        <f t="shared" ref="H75:I75" si="75">SUM(H76,H83,H130,H164,H165,H172)</f>
        <v>0</v>
      </c>
      <c r="I75" s="181">
        <f t="shared" si="75"/>
        <v>0</v>
      </c>
      <c r="J75" s="179">
        <f>SUM(J76,J83,J130,J164,J165,J172)</f>
        <v>6452</v>
      </c>
      <c r="K75" s="180">
        <f t="shared" ref="K75:L75" si="76">SUM(K76,K83,K130,K164,K165,K172)</f>
        <v>-21</v>
      </c>
      <c r="L75" s="181">
        <f t="shared" si="76"/>
        <v>6431</v>
      </c>
      <c r="M75" s="179">
        <f>SUM(M76,M83,M130,M164,M165,M172)</f>
        <v>0</v>
      </c>
      <c r="N75" s="180">
        <f t="shared" ref="N75:O75" si="77">SUM(N76,N83,N130,N164,N165,N172)</f>
        <v>0</v>
      </c>
      <c r="O75" s="181">
        <f t="shared" si="77"/>
        <v>0</v>
      </c>
      <c r="P75" s="182"/>
    </row>
    <row r="76" spans="1:16" ht="24" x14ac:dyDescent="0.25">
      <c r="A76" s="69">
        <v>2100</v>
      </c>
      <c r="B76" s="183" t="s">
        <v>94</v>
      </c>
      <c r="C76" s="70">
        <f t="shared" si="0"/>
        <v>872</v>
      </c>
      <c r="D76" s="184">
        <f>SUM(D77,D80)</f>
        <v>696</v>
      </c>
      <c r="E76" s="185">
        <f t="shared" ref="E76:F76" si="78">SUM(E77,E80)</f>
        <v>176</v>
      </c>
      <c r="F76" s="73">
        <f t="shared" si="78"/>
        <v>872</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321">
        <v>2110</v>
      </c>
      <c r="B77" s="82" t="s">
        <v>95</v>
      </c>
      <c r="C77" s="83">
        <f t="shared" si="0"/>
        <v>141</v>
      </c>
      <c r="D77" s="194">
        <f>SUM(D78:D79)</f>
        <v>153</v>
      </c>
      <c r="E77" s="195">
        <f t="shared" ref="E77:F77" si="82">SUM(E78:E79)</f>
        <v>-12</v>
      </c>
      <c r="F77" s="134">
        <f t="shared" si="82"/>
        <v>141</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x14ac:dyDescent="0.25">
      <c r="A78" s="51">
        <v>2111</v>
      </c>
      <c r="B78" s="89" t="s">
        <v>96</v>
      </c>
      <c r="C78" s="90">
        <f t="shared" si="0"/>
        <v>36</v>
      </c>
      <c r="D78" s="196">
        <v>36</v>
      </c>
      <c r="E78" s="451"/>
      <c r="F78" s="55">
        <f t="shared" ref="F78:F79" si="86">D78+E78</f>
        <v>36</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105</v>
      </c>
      <c r="D79" s="196">
        <v>117</v>
      </c>
      <c r="E79" s="451">
        <v>-12</v>
      </c>
      <c r="F79" s="55">
        <f t="shared" si="86"/>
        <v>105</v>
      </c>
      <c r="G79" s="53"/>
      <c r="H79" s="54"/>
      <c r="I79" s="55">
        <f t="shared" si="87"/>
        <v>0</v>
      </c>
      <c r="J79" s="53"/>
      <c r="K79" s="54"/>
      <c r="L79" s="55">
        <f t="shared" si="88"/>
        <v>0</v>
      </c>
      <c r="M79" s="53"/>
      <c r="N79" s="54"/>
      <c r="O79" s="55">
        <f t="shared" si="89"/>
        <v>0</v>
      </c>
      <c r="P79" s="57" t="s">
        <v>581</v>
      </c>
    </row>
    <row r="80" spans="1:16" ht="24" x14ac:dyDescent="0.25">
      <c r="A80" s="189">
        <v>2120</v>
      </c>
      <c r="B80" s="89" t="s">
        <v>98</v>
      </c>
      <c r="C80" s="90">
        <f t="shared" si="0"/>
        <v>731</v>
      </c>
      <c r="D80" s="190">
        <f>SUM(D81:D82)</f>
        <v>543</v>
      </c>
      <c r="E80" s="191">
        <f t="shared" ref="E80:F80" si="90">SUM(E81:E82)</f>
        <v>188</v>
      </c>
      <c r="F80" s="55">
        <f t="shared" si="90"/>
        <v>731</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21.75" customHeight="1" x14ac:dyDescent="0.25">
      <c r="A81" s="51">
        <v>2121</v>
      </c>
      <c r="B81" s="89" t="s">
        <v>96</v>
      </c>
      <c r="C81" s="90">
        <f t="shared" si="0"/>
        <v>401</v>
      </c>
      <c r="D81" s="196">
        <v>245</v>
      </c>
      <c r="E81" s="451">
        <v>156</v>
      </c>
      <c r="F81" s="55">
        <f t="shared" ref="F81:F82" si="94">D81+E81</f>
        <v>401</v>
      </c>
      <c r="G81" s="53"/>
      <c r="H81" s="54"/>
      <c r="I81" s="55">
        <f t="shared" ref="I81:I82" si="95">G81+H81</f>
        <v>0</v>
      </c>
      <c r="J81" s="53"/>
      <c r="K81" s="54"/>
      <c r="L81" s="55">
        <f t="shared" ref="L81:L82" si="96">K81+J81</f>
        <v>0</v>
      </c>
      <c r="M81" s="53"/>
      <c r="N81" s="54"/>
      <c r="O81" s="55">
        <f t="shared" ref="O81:O82" si="97">N81+M81</f>
        <v>0</v>
      </c>
      <c r="P81" s="57" t="s">
        <v>1652</v>
      </c>
    </row>
    <row r="82" spans="1:16" ht="35.25" customHeight="1" x14ac:dyDescent="0.25">
      <c r="A82" s="51">
        <v>2122</v>
      </c>
      <c r="B82" s="89" t="s">
        <v>97</v>
      </c>
      <c r="C82" s="90">
        <f t="shared" si="0"/>
        <v>330</v>
      </c>
      <c r="D82" s="196">
        <v>298</v>
      </c>
      <c r="E82" s="451">
        <v>32</v>
      </c>
      <c r="F82" s="55">
        <f t="shared" si="94"/>
        <v>330</v>
      </c>
      <c r="G82" s="53"/>
      <c r="H82" s="54"/>
      <c r="I82" s="55">
        <f t="shared" si="95"/>
        <v>0</v>
      </c>
      <c r="J82" s="53"/>
      <c r="K82" s="54"/>
      <c r="L82" s="55">
        <f t="shared" si="96"/>
        <v>0</v>
      </c>
      <c r="M82" s="53"/>
      <c r="N82" s="54"/>
      <c r="O82" s="55">
        <f t="shared" si="97"/>
        <v>0</v>
      </c>
      <c r="P82" s="57" t="s">
        <v>1653</v>
      </c>
    </row>
    <row r="83" spans="1:16" x14ac:dyDescent="0.25">
      <c r="A83" s="69">
        <v>2200</v>
      </c>
      <c r="B83" s="183" t="s">
        <v>99</v>
      </c>
      <c r="C83" s="70">
        <f t="shared" si="0"/>
        <v>23766</v>
      </c>
      <c r="D83" s="184">
        <f>SUM(D84,D89,D95,D103,D112,D116,D122,D128)</f>
        <v>22336</v>
      </c>
      <c r="E83" s="185">
        <f t="shared" ref="E83:F83" si="98">SUM(E84,E89,E95,E103,E112,E116,E122,E128)</f>
        <v>-253</v>
      </c>
      <c r="F83" s="73">
        <f t="shared" si="98"/>
        <v>22083</v>
      </c>
      <c r="G83" s="184">
        <f>SUM(G84,G89,G95,G103,G112,G116,G122,G128)</f>
        <v>0</v>
      </c>
      <c r="H83" s="185">
        <f t="shared" ref="H83:I83" si="99">SUM(H84,H89,H95,H103,H112,H116,H122,H128)</f>
        <v>0</v>
      </c>
      <c r="I83" s="73">
        <f t="shared" si="99"/>
        <v>0</v>
      </c>
      <c r="J83" s="184">
        <f>SUM(J84,J89,J95,J103,J112,J116,J122,J128)</f>
        <v>1673</v>
      </c>
      <c r="K83" s="185">
        <f t="shared" ref="K83:L83" si="100">SUM(K84,K89,K95,K103,K112,K116,K122,K128)</f>
        <v>10</v>
      </c>
      <c r="L83" s="73">
        <f t="shared" si="100"/>
        <v>1683</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1275</v>
      </c>
      <c r="D84" s="187">
        <f>SUM(D85:D88)</f>
        <v>1227</v>
      </c>
      <c r="E84" s="188">
        <f t="shared" ref="E84:F84" si="103">SUM(E85:E88)</f>
        <v>20</v>
      </c>
      <c r="F84" s="141">
        <f t="shared" si="103"/>
        <v>1247</v>
      </c>
      <c r="G84" s="187">
        <f>SUM(G85:G88)</f>
        <v>0</v>
      </c>
      <c r="H84" s="188">
        <f t="shared" ref="H84:I84" si="104">SUM(H85:H88)</f>
        <v>0</v>
      </c>
      <c r="I84" s="141">
        <f t="shared" si="104"/>
        <v>0</v>
      </c>
      <c r="J84" s="187">
        <f>SUM(J85:J88)</f>
        <v>0</v>
      </c>
      <c r="K84" s="188">
        <f t="shared" ref="K84:L84" si="105">SUM(K85:K88)</f>
        <v>28</v>
      </c>
      <c r="L84" s="141">
        <f t="shared" si="105"/>
        <v>28</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44.25" customHeight="1" x14ac:dyDescent="0.25">
      <c r="A86" s="51">
        <v>2212</v>
      </c>
      <c r="B86" s="89" t="s">
        <v>102</v>
      </c>
      <c r="C86" s="90">
        <f t="shared" si="102"/>
        <v>747</v>
      </c>
      <c r="D86" s="196">
        <v>727</v>
      </c>
      <c r="E86" s="318">
        <v>20</v>
      </c>
      <c r="F86" s="55">
        <f t="shared" si="107"/>
        <v>747</v>
      </c>
      <c r="G86" s="53"/>
      <c r="H86" s="54"/>
      <c r="I86" s="55">
        <f t="shared" si="108"/>
        <v>0</v>
      </c>
      <c r="J86" s="53"/>
      <c r="K86" s="54"/>
      <c r="L86" s="55">
        <f t="shared" si="109"/>
        <v>0</v>
      </c>
      <c r="M86" s="53"/>
      <c r="N86" s="54"/>
      <c r="O86" s="55">
        <f t="shared" si="110"/>
        <v>0</v>
      </c>
      <c r="P86" s="57" t="s">
        <v>582</v>
      </c>
    </row>
    <row r="87" spans="1:16" ht="24.75" customHeight="1" x14ac:dyDescent="0.25">
      <c r="A87" s="51">
        <v>2214</v>
      </c>
      <c r="B87" s="89" t="s">
        <v>103</v>
      </c>
      <c r="C87" s="90">
        <f t="shared" si="102"/>
        <v>437</v>
      </c>
      <c r="D87" s="196">
        <v>409</v>
      </c>
      <c r="E87" s="316"/>
      <c r="F87" s="55">
        <f t="shared" si="107"/>
        <v>409</v>
      </c>
      <c r="G87" s="53"/>
      <c r="H87" s="54"/>
      <c r="I87" s="55">
        <f t="shared" si="108"/>
        <v>0</v>
      </c>
      <c r="J87" s="53"/>
      <c r="K87" s="448">
        <v>28</v>
      </c>
      <c r="L87" s="55">
        <f t="shared" si="109"/>
        <v>28</v>
      </c>
      <c r="M87" s="53"/>
      <c r="N87" s="54"/>
      <c r="O87" s="55">
        <f t="shared" si="110"/>
        <v>0</v>
      </c>
      <c r="P87" s="57" t="s">
        <v>583</v>
      </c>
    </row>
    <row r="88" spans="1:16" ht="12" customHeight="1" x14ac:dyDescent="0.25">
      <c r="A88" s="51">
        <v>2219</v>
      </c>
      <c r="B88" s="89" t="s">
        <v>104</v>
      </c>
      <c r="C88" s="90">
        <f t="shared" si="102"/>
        <v>91</v>
      </c>
      <c r="D88" s="196">
        <v>91</v>
      </c>
      <c r="E88" s="197"/>
      <c r="F88" s="55">
        <f t="shared" si="107"/>
        <v>91</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14535</v>
      </c>
      <c r="D89" s="190">
        <f>SUM(D90:D94)</f>
        <v>13988</v>
      </c>
      <c r="E89" s="191">
        <f t="shared" ref="E89:F89" si="111">SUM(E90:E94)</f>
        <v>-273</v>
      </c>
      <c r="F89" s="55">
        <f t="shared" si="111"/>
        <v>13715</v>
      </c>
      <c r="G89" s="190">
        <f>SUM(G90:G94)</f>
        <v>0</v>
      </c>
      <c r="H89" s="191">
        <f t="shared" ref="H89:I89" si="112">SUM(H90:H94)</f>
        <v>0</v>
      </c>
      <c r="I89" s="55">
        <f t="shared" si="112"/>
        <v>0</v>
      </c>
      <c r="J89" s="190">
        <f>SUM(J90:J94)</f>
        <v>820</v>
      </c>
      <c r="K89" s="191">
        <f t="shared" ref="K89:L89" si="113">SUM(K90:K94)</f>
        <v>0</v>
      </c>
      <c r="L89" s="55">
        <f t="shared" si="113"/>
        <v>820</v>
      </c>
      <c r="M89" s="190">
        <f>SUM(M90:M94)</f>
        <v>0</v>
      </c>
      <c r="N89" s="191">
        <f t="shared" ref="N89:O89" si="114">SUM(N90:N94)</f>
        <v>0</v>
      </c>
      <c r="O89" s="55">
        <f t="shared" si="114"/>
        <v>0</v>
      </c>
      <c r="P89" s="57"/>
    </row>
    <row r="90" spans="1:16" ht="24" x14ac:dyDescent="0.25">
      <c r="A90" s="51">
        <v>2221</v>
      </c>
      <c r="B90" s="89" t="s">
        <v>106</v>
      </c>
      <c r="C90" s="90">
        <f t="shared" si="102"/>
        <v>8594</v>
      </c>
      <c r="D90" s="196">
        <v>7854</v>
      </c>
      <c r="E90" s="451"/>
      <c r="F90" s="55">
        <f t="shared" ref="F90:F94" si="115">D90+E90</f>
        <v>7854</v>
      </c>
      <c r="G90" s="53"/>
      <c r="H90" s="54"/>
      <c r="I90" s="55">
        <f t="shared" ref="I90:I94" si="116">G90+H90</f>
        <v>0</v>
      </c>
      <c r="J90" s="53">
        <v>740</v>
      </c>
      <c r="K90" s="449"/>
      <c r="L90" s="55">
        <f t="shared" ref="L90:L94" si="117">K90+J90</f>
        <v>740</v>
      </c>
      <c r="M90" s="53"/>
      <c r="N90" s="54"/>
      <c r="O90" s="55">
        <f t="shared" ref="O90:O94" si="118">N90+M90</f>
        <v>0</v>
      </c>
      <c r="P90" s="57"/>
    </row>
    <row r="91" spans="1:16" ht="18" customHeight="1" x14ac:dyDescent="0.25">
      <c r="A91" s="51">
        <v>2222</v>
      </c>
      <c r="B91" s="89" t="s">
        <v>107</v>
      </c>
      <c r="C91" s="90">
        <f t="shared" si="102"/>
        <v>161</v>
      </c>
      <c r="D91" s="196">
        <v>146</v>
      </c>
      <c r="E91" s="318">
        <v>15</v>
      </c>
      <c r="F91" s="55">
        <f t="shared" si="115"/>
        <v>161</v>
      </c>
      <c r="G91" s="53"/>
      <c r="H91" s="54"/>
      <c r="I91" s="55">
        <f t="shared" si="116"/>
        <v>0</v>
      </c>
      <c r="J91" s="53"/>
      <c r="K91" s="54"/>
      <c r="L91" s="55">
        <f t="shared" si="117"/>
        <v>0</v>
      </c>
      <c r="M91" s="53"/>
      <c r="N91" s="54"/>
      <c r="O91" s="55">
        <f t="shared" si="118"/>
        <v>0</v>
      </c>
      <c r="P91" s="57" t="s">
        <v>584</v>
      </c>
    </row>
    <row r="92" spans="1:16" ht="17.25" customHeight="1" x14ac:dyDescent="0.25">
      <c r="A92" s="51">
        <v>2223</v>
      </c>
      <c r="B92" s="89" t="s">
        <v>108</v>
      </c>
      <c r="C92" s="90">
        <f t="shared" si="102"/>
        <v>5287</v>
      </c>
      <c r="D92" s="196">
        <v>5495</v>
      </c>
      <c r="E92" s="318">
        <f>-100-188</f>
        <v>-288</v>
      </c>
      <c r="F92" s="55">
        <f t="shared" si="115"/>
        <v>5207</v>
      </c>
      <c r="G92" s="53"/>
      <c r="H92" s="54"/>
      <c r="I92" s="55">
        <f t="shared" si="116"/>
        <v>0</v>
      </c>
      <c r="J92" s="53">
        <v>80</v>
      </c>
      <c r="K92" s="54"/>
      <c r="L92" s="55">
        <f t="shared" si="117"/>
        <v>80</v>
      </c>
      <c r="M92" s="53"/>
      <c r="N92" s="54"/>
      <c r="O92" s="55">
        <f t="shared" si="118"/>
        <v>0</v>
      </c>
      <c r="P92" s="57" t="s">
        <v>1654</v>
      </c>
    </row>
    <row r="93" spans="1:16" ht="48" customHeight="1" x14ac:dyDescent="0.25">
      <c r="A93" s="51">
        <v>2224</v>
      </c>
      <c r="B93" s="89" t="s">
        <v>109</v>
      </c>
      <c r="C93" s="90">
        <f t="shared" si="102"/>
        <v>493</v>
      </c>
      <c r="D93" s="196">
        <v>493</v>
      </c>
      <c r="E93" s="197"/>
      <c r="F93" s="55">
        <f t="shared" si="115"/>
        <v>493</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1850</v>
      </c>
      <c r="D95" s="190">
        <f>SUM(D96:D102)</f>
        <v>1818</v>
      </c>
      <c r="E95" s="191">
        <f t="shared" ref="E95:F95" si="119">SUM(E96:E102)</f>
        <v>0</v>
      </c>
      <c r="F95" s="55">
        <f t="shared" si="119"/>
        <v>1818</v>
      </c>
      <c r="G95" s="190">
        <f>SUM(G96:G102)</f>
        <v>0</v>
      </c>
      <c r="H95" s="191">
        <f t="shared" ref="H95:I95" si="120">SUM(H96:H102)</f>
        <v>0</v>
      </c>
      <c r="I95" s="55">
        <f t="shared" si="120"/>
        <v>0</v>
      </c>
      <c r="J95" s="190">
        <f>SUM(J96:J102)</f>
        <v>50</v>
      </c>
      <c r="K95" s="191">
        <f t="shared" ref="K95:L95" si="121">SUM(K96:K102)</f>
        <v>-18</v>
      </c>
      <c r="L95" s="55">
        <f t="shared" si="121"/>
        <v>32</v>
      </c>
      <c r="M95" s="190">
        <f>SUM(M96:M102)</f>
        <v>0</v>
      </c>
      <c r="N95" s="191">
        <f t="shared" ref="N95:O95" si="122">SUM(N96:N102)</f>
        <v>0</v>
      </c>
      <c r="O95" s="55">
        <f t="shared" si="122"/>
        <v>0</v>
      </c>
      <c r="P95" s="57"/>
    </row>
    <row r="96" spans="1:16" ht="24" customHeight="1" x14ac:dyDescent="0.25">
      <c r="A96" s="51">
        <v>2231</v>
      </c>
      <c r="B96" s="89" t="s">
        <v>112</v>
      </c>
      <c r="C96" s="90">
        <f t="shared" si="102"/>
        <v>250</v>
      </c>
      <c r="D96" s="196">
        <v>250</v>
      </c>
      <c r="E96" s="197"/>
      <c r="F96" s="55">
        <f t="shared" ref="F96:F102" si="123">D96+E96</f>
        <v>250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1600</v>
      </c>
      <c r="D102" s="196">
        <v>1568</v>
      </c>
      <c r="E102" s="197"/>
      <c r="F102" s="55">
        <f t="shared" si="123"/>
        <v>1568</v>
      </c>
      <c r="G102" s="53"/>
      <c r="H102" s="54"/>
      <c r="I102" s="55">
        <f t="shared" si="124"/>
        <v>0</v>
      </c>
      <c r="J102" s="53">
        <v>50</v>
      </c>
      <c r="K102" s="448">
        <v>-18</v>
      </c>
      <c r="L102" s="55">
        <f t="shared" si="125"/>
        <v>32</v>
      </c>
      <c r="M102" s="53"/>
      <c r="N102" s="54"/>
      <c r="O102" s="55">
        <f t="shared" si="126"/>
        <v>0</v>
      </c>
      <c r="P102" s="57" t="s">
        <v>585</v>
      </c>
    </row>
    <row r="103" spans="1:16" ht="36" x14ac:dyDescent="0.25">
      <c r="A103" s="189">
        <v>2240</v>
      </c>
      <c r="B103" s="89" t="s">
        <v>119</v>
      </c>
      <c r="C103" s="90">
        <f t="shared" si="102"/>
        <v>4387</v>
      </c>
      <c r="D103" s="190">
        <f>SUM(D104:D111)</f>
        <v>3884</v>
      </c>
      <c r="E103" s="191">
        <f t="shared" ref="E103:F103" si="127">SUM(E104:E111)</f>
        <v>0</v>
      </c>
      <c r="F103" s="55">
        <f t="shared" si="127"/>
        <v>3884</v>
      </c>
      <c r="G103" s="190">
        <f>SUM(G104:G111)</f>
        <v>0</v>
      </c>
      <c r="H103" s="191">
        <f t="shared" ref="H103:I103" si="128">SUM(H104:H111)</f>
        <v>0</v>
      </c>
      <c r="I103" s="55">
        <f t="shared" si="128"/>
        <v>0</v>
      </c>
      <c r="J103" s="190">
        <f>SUM(J104:J111)</f>
        <v>503</v>
      </c>
      <c r="K103" s="191">
        <f t="shared" ref="K103:L103" si="129">SUM(K104:K111)</f>
        <v>0</v>
      </c>
      <c r="L103" s="55">
        <f t="shared" si="129"/>
        <v>503</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200</v>
      </c>
      <c r="D106" s="196">
        <v>200</v>
      </c>
      <c r="E106" s="197"/>
      <c r="F106" s="55">
        <f t="shared" si="131"/>
        <v>200</v>
      </c>
      <c r="G106" s="53"/>
      <c r="H106" s="54"/>
      <c r="I106" s="55">
        <f t="shared" si="132"/>
        <v>0</v>
      </c>
      <c r="J106" s="53"/>
      <c r="K106" s="54"/>
      <c r="L106" s="55">
        <f t="shared" si="133"/>
        <v>0</v>
      </c>
      <c r="M106" s="53"/>
      <c r="N106" s="54"/>
      <c r="O106" s="55">
        <f t="shared" si="134"/>
        <v>0</v>
      </c>
      <c r="P106" s="57"/>
    </row>
    <row r="107" spans="1:16" x14ac:dyDescent="0.25">
      <c r="A107" s="51">
        <v>2244</v>
      </c>
      <c r="B107" s="89" t="s">
        <v>123</v>
      </c>
      <c r="C107" s="90">
        <f t="shared" si="102"/>
        <v>4187</v>
      </c>
      <c r="D107" s="196">
        <v>3684</v>
      </c>
      <c r="E107" s="451"/>
      <c r="F107" s="55">
        <f t="shared" si="131"/>
        <v>3684</v>
      </c>
      <c r="G107" s="53"/>
      <c r="H107" s="54"/>
      <c r="I107" s="55">
        <f t="shared" si="132"/>
        <v>0</v>
      </c>
      <c r="J107" s="53">
        <v>503</v>
      </c>
      <c r="K107" s="449"/>
      <c r="L107" s="55">
        <f t="shared" si="133"/>
        <v>503</v>
      </c>
      <c r="M107" s="53"/>
      <c r="N107" s="54"/>
      <c r="O107" s="55">
        <f t="shared" si="134"/>
        <v>0</v>
      </c>
      <c r="P107" s="452"/>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329</v>
      </c>
      <c r="D112" s="190">
        <f>SUM(D113:D115)</f>
        <v>329</v>
      </c>
      <c r="E112" s="191">
        <f t="shared" ref="E112:F112" si="135">SUM(E113:E115)</f>
        <v>0</v>
      </c>
      <c r="F112" s="55">
        <f t="shared" si="135"/>
        <v>329</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329</v>
      </c>
      <c r="D114" s="196">
        <v>329</v>
      </c>
      <c r="E114" s="197"/>
      <c r="F114" s="55">
        <f t="shared" si="139"/>
        <v>329</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1050</v>
      </c>
      <c r="D116" s="190">
        <f>SUM(D117:D121)</f>
        <v>750</v>
      </c>
      <c r="E116" s="191">
        <f t="shared" ref="E116:F116" si="143">SUM(E117:E121)</f>
        <v>0</v>
      </c>
      <c r="F116" s="55">
        <f t="shared" si="143"/>
        <v>750</v>
      </c>
      <c r="G116" s="190">
        <f>SUM(G117:G121)</f>
        <v>0</v>
      </c>
      <c r="H116" s="191">
        <f t="shared" ref="H116:I116" si="144">SUM(H117:H121)</f>
        <v>0</v>
      </c>
      <c r="I116" s="55">
        <f t="shared" si="144"/>
        <v>0</v>
      </c>
      <c r="J116" s="190">
        <f>SUM(J117:J121)</f>
        <v>300</v>
      </c>
      <c r="K116" s="191">
        <f t="shared" ref="K116:L116" si="145">SUM(K117:K121)</f>
        <v>0</v>
      </c>
      <c r="L116" s="55">
        <f t="shared" si="145"/>
        <v>300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1000</v>
      </c>
      <c r="D118" s="196">
        <v>700</v>
      </c>
      <c r="E118" s="197"/>
      <c r="F118" s="55">
        <f t="shared" si="147"/>
        <v>700</v>
      </c>
      <c r="G118" s="53"/>
      <c r="H118" s="54"/>
      <c r="I118" s="55">
        <f t="shared" si="148"/>
        <v>0</v>
      </c>
      <c r="J118" s="53">
        <v>300</v>
      </c>
      <c r="K118" s="54"/>
      <c r="L118" s="55">
        <f t="shared" si="149"/>
        <v>300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15</v>
      </c>
      <c r="D120" s="196">
        <v>15</v>
      </c>
      <c r="E120" s="451"/>
      <c r="F120" s="55">
        <f t="shared" si="147"/>
        <v>15</v>
      </c>
      <c r="G120" s="53"/>
      <c r="H120" s="54"/>
      <c r="I120" s="55">
        <f t="shared" si="148"/>
        <v>0</v>
      </c>
      <c r="J120" s="53"/>
      <c r="K120" s="54"/>
      <c r="L120" s="55">
        <f t="shared" si="149"/>
        <v>0</v>
      </c>
      <c r="M120" s="53"/>
      <c r="N120" s="54"/>
      <c r="O120" s="55">
        <f t="shared" si="150"/>
        <v>0</v>
      </c>
      <c r="P120" s="129"/>
    </row>
    <row r="121" spans="1:16" ht="12" customHeight="1" x14ac:dyDescent="0.25">
      <c r="A121" s="51">
        <v>2269</v>
      </c>
      <c r="B121" s="89" t="s">
        <v>137</v>
      </c>
      <c r="C121" s="90">
        <f t="shared" si="102"/>
        <v>35</v>
      </c>
      <c r="D121" s="196">
        <v>35</v>
      </c>
      <c r="E121" s="197"/>
      <c r="F121" s="55">
        <f t="shared" si="147"/>
        <v>35</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340</v>
      </c>
      <c r="D122" s="190">
        <f>SUM(D123:D127)</f>
        <v>340</v>
      </c>
      <c r="E122" s="191">
        <f t="shared" ref="E122:F122" si="151">SUM(E123:E127)</f>
        <v>0</v>
      </c>
      <c r="F122" s="55">
        <f t="shared" si="151"/>
        <v>340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352">
        <v>0</v>
      </c>
      <c r="E125" s="451"/>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9" t="s">
        <v>143</v>
      </c>
      <c r="C127" s="90">
        <f t="shared" si="102"/>
        <v>340</v>
      </c>
      <c r="D127" s="196">
        <v>340</v>
      </c>
      <c r="E127" s="451"/>
      <c r="F127" s="55">
        <f t="shared" si="155"/>
        <v>340</v>
      </c>
      <c r="G127" s="53"/>
      <c r="H127" s="54"/>
      <c r="I127" s="55">
        <f t="shared" si="156"/>
        <v>0</v>
      </c>
      <c r="J127" s="53"/>
      <c r="K127" s="54"/>
      <c r="L127" s="55">
        <f t="shared" si="157"/>
        <v>0</v>
      </c>
      <c r="M127" s="53"/>
      <c r="N127" s="54"/>
      <c r="O127" s="55">
        <f t="shared" si="158"/>
        <v>0</v>
      </c>
      <c r="P127" s="129"/>
    </row>
    <row r="128" spans="1:16" ht="48" hidden="1" x14ac:dyDescent="0.25">
      <c r="A128" s="321">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21920</v>
      </c>
      <c r="D130" s="184">
        <f>SUM(D131,D136,D140,D141,D144,D151,D159,D160,D163)</f>
        <v>17095</v>
      </c>
      <c r="E130" s="185">
        <f t="shared" ref="E130:F130" si="160">SUM(E131,E136,E140,E141,E144,E151,E159,E160,E163)</f>
        <v>77</v>
      </c>
      <c r="F130" s="73">
        <f t="shared" si="160"/>
        <v>17172</v>
      </c>
      <c r="G130" s="184">
        <f>SUM(G131,G136,G140,G141,G144,G151,G159,G160,G163)</f>
        <v>0</v>
      </c>
      <c r="H130" s="185">
        <f t="shared" ref="H130:I130" si="161">SUM(H131,H136,H140,H141,H144,H151,H159,H160,H163)</f>
        <v>0</v>
      </c>
      <c r="I130" s="73">
        <f t="shared" si="161"/>
        <v>0</v>
      </c>
      <c r="J130" s="184">
        <f>SUM(J131,J136,J140,J141,J144,J151,J159,J160,J163)</f>
        <v>4779</v>
      </c>
      <c r="K130" s="185">
        <f t="shared" ref="K130:L130" si="162">SUM(K131,K136,K140,K141,K144,K151,K159,K160,K163)</f>
        <v>-31</v>
      </c>
      <c r="L130" s="73">
        <f t="shared" si="162"/>
        <v>4748</v>
      </c>
      <c r="M130" s="184">
        <f>SUM(M131,M136,M140,M141,M144,M151,M159,M160,M163)</f>
        <v>0</v>
      </c>
      <c r="N130" s="185">
        <f t="shared" ref="N130:O130" si="163">SUM(N131,N136,N140,N141,N144,N151,N159,N160,N163)</f>
        <v>0</v>
      </c>
      <c r="O130" s="73">
        <f t="shared" si="163"/>
        <v>0</v>
      </c>
      <c r="P130" s="77"/>
    </row>
    <row r="131" spans="1:16" ht="24" x14ac:dyDescent="0.25">
      <c r="A131" s="321">
        <v>2310</v>
      </c>
      <c r="B131" s="82" t="s">
        <v>147</v>
      </c>
      <c r="C131" s="83">
        <f t="shared" si="102"/>
        <v>4203</v>
      </c>
      <c r="D131" s="194">
        <f t="shared" ref="D131:O131" si="164">SUM(D132:D135)</f>
        <v>3470</v>
      </c>
      <c r="E131" s="195">
        <f t="shared" si="164"/>
        <v>0</v>
      </c>
      <c r="F131" s="134">
        <f t="shared" si="164"/>
        <v>3470</v>
      </c>
      <c r="G131" s="194">
        <f t="shared" si="164"/>
        <v>0</v>
      </c>
      <c r="H131" s="195">
        <f t="shared" si="164"/>
        <v>0</v>
      </c>
      <c r="I131" s="134">
        <f t="shared" si="164"/>
        <v>0</v>
      </c>
      <c r="J131" s="194">
        <f t="shared" si="164"/>
        <v>964</v>
      </c>
      <c r="K131" s="195">
        <f t="shared" si="164"/>
        <v>-231</v>
      </c>
      <c r="L131" s="134">
        <f t="shared" si="164"/>
        <v>733</v>
      </c>
      <c r="M131" s="194">
        <f t="shared" si="164"/>
        <v>0</v>
      </c>
      <c r="N131" s="195">
        <f t="shared" si="164"/>
        <v>0</v>
      </c>
      <c r="O131" s="134">
        <f t="shared" si="164"/>
        <v>0</v>
      </c>
      <c r="P131" s="49"/>
    </row>
    <row r="132" spans="1:16" ht="16.5" customHeight="1" x14ac:dyDescent="0.25">
      <c r="A132" s="51">
        <v>2311</v>
      </c>
      <c r="B132" s="89" t="s">
        <v>148</v>
      </c>
      <c r="C132" s="90">
        <f t="shared" si="102"/>
        <v>750</v>
      </c>
      <c r="D132" s="196">
        <v>750</v>
      </c>
      <c r="E132" s="197"/>
      <c r="F132" s="55">
        <f t="shared" ref="F132:F135" si="165">D132+E132</f>
        <v>750</v>
      </c>
      <c r="G132" s="53"/>
      <c r="H132" s="54"/>
      <c r="I132" s="55">
        <f t="shared" ref="I132:I135" si="166">G132+H132</f>
        <v>0</v>
      </c>
      <c r="J132" s="53"/>
      <c r="K132" s="54"/>
      <c r="L132" s="55">
        <f t="shared" ref="L132:L135" si="167">K132+J132</f>
        <v>0</v>
      </c>
      <c r="M132" s="53"/>
      <c r="N132" s="307"/>
      <c r="O132" s="55">
        <f t="shared" ref="O132:O135" si="168">N132+M132</f>
        <v>0</v>
      </c>
      <c r="P132" s="57"/>
    </row>
    <row r="133" spans="1:16" x14ac:dyDescent="0.25">
      <c r="A133" s="51">
        <v>2312</v>
      </c>
      <c r="B133" s="89" t="s">
        <v>149</v>
      </c>
      <c r="C133" s="90">
        <f t="shared" si="102"/>
        <v>1319</v>
      </c>
      <c r="D133" s="196">
        <v>682</v>
      </c>
      <c r="E133" s="451"/>
      <c r="F133" s="55">
        <f t="shared" si="165"/>
        <v>682</v>
      </c>
      <c r="G133" s="53"/>
      <c r="H133" s="54"/>
      <c r="I133" s="55">
        <f t="shared" si="166"/>
        <v>0</v>
      </c>
      <c r="J133" s="53">
        <v>637</v>
      </c>
      <c r="K133" s="449"/>
      <c r="L133" s="55">
        <f t="shared" si="167"/>
        <v>637</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2134</v>
      </c>
      <c r="D135" s="196">
        <v>2038</v>
      </c>
      <c r="E135" s="451"/>
      <c r="F135" s="55">
        <f t="shared" si="165"/>
        <v>2038</v>
      </c>
      <c r="G135" s="53"/>
      <c r="H135" s="54"/>
      <c r="I135" s="55">
        <f t="shared" si="166"/>
        <v>0</v>
      </c>
      <c r="J135" s="53">
        <v>327</v>
      </c>
      <c r="K135" s="448">
        <v>-231</v>
      </c>
      <c r="L135" s="55">
        <f t="shared" si="167"/>
        <v>96</v>
      </c>
      <c r="M135" s="53"/>
      <c r="N135" s="54"/>
      <c r="O135" s="55">
        <f t="shared" si="168"/>
        <v>0</v>
      </c>
      <c r="P135" s="129" t="s">
        <v>586</v>
      </c>
    </row>
    <row r="136" spans="1:16" ht="15" customHeight="1" x14ac:dyDescent="0.25">
      <c r="A136" s="189">
        <v>2320</v>
      </c>
      <c r="B136" s="89" t="s">
        <v>152</v>
      </c>
      <c r="C136" s="90">
        <f t="shared" si="102"/>
        <v>3036</v>
      </c>
      <c r="D136" s="190">
        <f>SUM(D137:D139)</f>
        <v>2532</v>
      </c>
      <c r="E136" s="191">
        <f t="shared" ref="E136:F136" si="169">SUM(E137:E139)</f>
        <v>100</v>
      </c>
      <c r="F136" s="55">
        <f t="shared" si="169"/>
        <v>2632</v>
      </c>
      <c r="G136" s="190">
        <f>SUM(G137:G139)</f>
        <v>0</v>
      </c>
      <c r="H136" s="191">
        <f t="shared" ref="H136:I136" si="170">SUM(H137:H139)</f>
        <v>0</v>
      </c>
      <c r="I136" s="55">
        <f t="shared" si="170"/>
        <v>0</v>
      </c>
      <c r="J136" s="190">
        <f>SUM(J137:J139)</f>
        <v>404</v>
      </c>
      <c r="K136" s="191">
        <f t="shared" ref="K136:L136" si="171">SUM(K137:K139)</f>
        <v>0</v>
      </c>
      <c r="L136" s="55">
        <f t="shared" si="171"/>
        <v>404</v>
      </c>
      <c r="M136" s="190">
        <f>SUM(M137:M139)</f>
        <v>0</v>
      </c>
      <c r="N136" s="191">
        <f t="shared" ref="N136:O136" si="172">SUM(N137:N139)</f>
        <v>0</v>
      </c>
      <c r="O136" s="55">
        <f t="shared" si="172"/>
        <v>0</v>
      </c>
      <c r="P136" s="57"/>
    </row>
    <row r="137" spans="1:16" ht="18" customHeight="1" x14ac:dyDescent="0.25">
      <c r="A137" s="51">
        <v>2321</v>
      </c>
      <c r="B137" s="89" t="s">
        <v>153</v>
      </c>
      <c r="C137" s="90">
        <f t="shared" si="102"/>
        <v>2304</v>
      </c>
      <c r="D137" s="196">
        <v>1950</v>
      </c>
      <c r="E137" s="318">
        <v>100</v>
      </c>
      <c r="F137" s="55">
        <f t="shared" ref="F137:F140" si="173">D137+E137</f>
        <v>2050</v>
      </c>
      <c r="G137" s="53"/>
      <c r="H137" s="54"/>
      <c r="I137" s="55">
        <f t="shared" ref="I137:I140" si="174">G137+H137</f>
        <v>0</v>
      </c>
      <c r="J137" s="53">
        <v>254</v>
      </c>
      <c r="K137" s="449"/>
      <c r="L137" s="55">
        <f t="shared" ref="L137:L140" si="175">K137+J137</f>
        <v>254</v>
      </c>
      <c r="M137" s="53"/>
      <c r="N137" s="54"/>
      <c r="O137" s="55">
        <f t="shared" ref="O137:O140" si="176">N137+M137</f>
        <v>0</v>
      </c>
      <c r="P137" s="57" t="s">
        <v>587</v>
      </c>
    </row>
    <row r="138" spans="1:16" ht="15" customHeight="1" x14ac:dyDescent="0.25">
      <c r="A138" s="51">
        <v>2322</v>
      </c>
      <c r="B138" s="89" t="s">
        <v>154</v>
      </c>
      <c r="C138" s="90">
        <f t="shared" si="102"/>
        <v>732</v>
      </c>
      <c r="D138" s="196">
        <v>582</v>
      </c>
      <c r="E138" s="197"/>
      <c r="F138" s="55">
        <f t="shared" si="173"/>
        <v>582</v>
      </c>
      <c r="G138" s="53"/>
      <c r="H138" s="54"/>
      <c r="I138" s="55">
        <f t="shared" si="174"/>
        <v>0</v>
      </c>
      <c r="J138" s="53">
        <v>150</v>
      </c>
      <c r="K138" s="449"/>
      <c r="L138" s="55">
        <f t="shared" si="175"/>
        <v>150</v>
      </c>
      <c r="M138" s="53"/>
      <c r="N138" s="54"/>
      <c r="O138" s="55">
        <f t="shared" si="176"/>
        <v>0</v>
      </c>
      <c r="P138" s="442"/>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50.25" customHeight="1" x14ac:dyDescent="0.25">
      <c r="A141" s="189">
        <v>2340</v>
      </c>
      <c r="B141" s="89" t="s">
        <v>157</v>
      </c>
      <c r="C141" s="90">
        <f t="shared" si="102"/>
        <v>70</v>
      </c>
      <c r="D141" s="190">
        <f>SUM(D142:D143)</f>
        <v>70</v>
      </c>
      <c r="E141" s="191">
        <f t="shared" ref="E141:F141" si="177">SUM(E142:E143)</f>
        <v>0</v>
      </c>
      <c r="F141" s="55">
        <f t="shared" si="177"/>
        <v>70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8.75" customHeight="1" x14ac:dyDescent="0.25">
      <c r="A142" s="51">
        <v>2341</v>
      </c>
      <c r="B142" s="89" t="s">
        <v>158</v>
      </c>
      <c r="C142" s="90">
        <f t="shared" si="102"/>
        <v>70</v>
      </c>
      <c r="D142" s="196">
        <v>70</v>
      </c>
      <c r="E142" s="197"/>
      <c r="F142" s="55">
        <f t="shared" ref="F142:F143" si="181">D142+E142</f>
        <v>70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4218</v>
      </c>
      <c r="D144" s="187">
        <f>SUM(D145:D150)</f>
        <v>3881</v>
      </c>
      <c r="E144" s="188">
        <f t="shared" ref="E144:F144" si="185">SUM(E145:E150)</f>
        <v>-23</v>
      </c>
      <c r="F144" s="141">
        <f t="shared" si="185"/>
        <v>3858</v>
      </c>
      <c r="G144" s="187">
        <f>SUM(G145:G150)</f>
        <v>0</v>
      </c>
      <c r="H144" s="188">
        <f t="shared" ref="H144:I144" si="186">SUM(H145:H150)</f>
        <v>0</v>
      </c>
      <c r="I144" s="141">
        <f t="shared" si="186"/>
        <v>0</v>
      </c>
      <c r="J144" s="187">
        <f>SUM(J145:J150)</f>
        <v>160</v>
      </c>
      <c r="K144" s="188">
        <f t="shared" ref="K144:L144" si="187">SUM(K145:K150)</f>
        <v>200</v>
      </c>
      <c r="L144" s="141">
        <f t="shared" si="187"/>
        <v>360</v>
      </c>
      <c r="M144" s="187">
        <f>SUM(M145:M150)</f>
        <v>0</v>
      </c>
      <c r="N144" s="188">
        <f t="shared" ref="N144:O144" si="188">SUM(N145:N150)</f>
        <v>0</v>
      </c>
      <c r="O144" s="141">
        <f t="shared" si="188"/>
        <v>0</v>
      </c>
      <c r="P144" s="129"/>
    </row>
    <row r="145" spans="1:16" ht="22.5" customHeight="1" x14ac:dyDescent="0.25">
      <c r="A145" s="44">
        <v>2351</v>
      </c>
      <c r="B145" s="82" t="s">
        <v>161</v>
      </c>
      <c r="C145" s="83">
        <f t="shared" si="102"/>
        <v>780</v>
      </c>
      <c r="D145" s="199">
        <v>500</v>
      </c>
      <c r="E145" s="453"/>
      <c r="F145" s="134">
        <f t="shared" ref="F145:F150" si="189">D145+E145</f>
        <v>500</v>
      </c>
      <c r="G145" s="46"/>
      <c r="H145" s="47"/>
      <c r="I145" s="134">
        <f t="shared" ref="I145:I150" si="190">G145+H145</f>
        <v>0</v>
      </c>
      <c r="J145" s="46">
        <v>80</v>
      </c>
      <c r="K145" s="446">
        <v>200</v>
      </c>
      <c r="L145" s="134">
        <f t="shared" ref="L145:L150" si="191">K145+J145</f>
        <v>280</v>
      </c>
      <c r="M145" s="46"/>
      <c r="N145" s="47"/>
      <c r="O145" s="134">
        <f t="shared" ref="O145:O150" si="192">N145+M145</f>
        <v>0</v>
      </c>
      <c r="P145" s="49" t="s">
        <v>588</v>
      </c>
    </row>
    <row r="146" spans="1:16" ht="17.25" customHeight="1" x14ac:dyDescent="0.25">
      <c r="A146" s="51">
        <v>2352</v>
      </c>
      <c r="B146" s="89" t="s">
        <v>162</v>
      </c>
      <c r="C146" s="90">
        <f t="shared" si="102"/>
        <v>1403</v>
      </c>
      <c r="D146" s="196">
        <v>1323</v>
      </c>
      <c r="E146" s="451"/>
      <c r="F146" s="55">
        <f t="shared" si="189"/>
        <v>1323</v>
      </c>
      <c r="G146" s="53"/>
      <c r="H146" s="54"/>
      <c r="I146" s="55">
        <f t="shared" si="190"/>
        <v>0</v>
      </c>
      <c r="J146" s="53">
        <v>80</v>
      </c>
      <c r="K146" s="449"/>
      <c r="L146" s="55">
        <f t="shared" si="191"/>
        <v>80</v>
      </c>
      <c r="M146" s="53"/>
      <c r="N146" s="54"/>
      <c r="O146" s="55">
        <f t="shared" si="192"/>
        <v>0</v>
      </c>
      <c r="P146" s="129"/>
    </row>
    <row r="147" spans="1:16" ht="24" customHeight="1" x14ac:dyDescent="0.25">
      <c r="A147" s="51">
        <v>2353</v>
      </c>
      <c r="B147" s="89" t="s">
        <v>163</v>
      </c>
      <c r="C147" s="90">
        <f t="shared" si="102"/>
        <v>1935</v>
      </c>
      <c r="D147" s="196">
        <v>1958</v>
      </c>
      <c r="E147" s="318">
        <v>-23</v>
      </c>
      <c r="F147" s="55">
        <f t="shared" si="189"/>
        <v>1935</v>
      </c>
      <c r="G147" s="53"/>
      <c r="H147" s="54"/>
      <c r="I147" s="55">
        <f t="shared" si="190"/>
        <v>0</v>
      </c>
      <c r="J147" s="53"/>
      <c r="K147" s="54"/>
      <c r="L147" s="55">
        <f t="shared" si="191"/>
        <v>0</v>
      </c>
      <c r="M147" s="53"/>
      <c r="N147" s="54"/>
      <c r="O147" s="55">
        <f t="shared" si="192"/>
        <v>0</v>
      </c>
      <c r="P147" s="57" t="s">
        <v>589</v>
      </c>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t="s">
        <v>580</v>
      </c>
    </row>
    <row r="149" spans="1:16" ht="24" customHeight="1" x14ac:dyDescent="0.25">
      <c r="A149" s="51">
        <v>2355</v>
      </c>
      <c r="B149" s="89" t="s">
        <v>165</v>
      </c>
      <c r="C149" s="90">
        <f t="shared" si="193"/>
        <v>100</v>
      </c>
      <c r="D149" s="196">
        <v>100</v>
      </c>
      <c r="E149" s="197"/>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4614</v>
      </c>
      <c r="D151" s="190">
        <f>SUM(D152:D158)</f>
        <v>1663</v>
      </c>
      <c r="E151" s="191">
        <f t="shared" ref="E151:F151" si="194">SUM(E152:E158)</f>
        <v>0</v>
      </c>
      <c r="F151" s="55">
        <f t="shared" si="194"/>
        <v>1663</v>
      </c>
      <c r="G151" s="190">
        <f>SUM(G152:G158)</f>
        <v>0</v>
      </c>
      <c r="H151" s="191">
        <f t="shared" ref="H151:I151" si="195">SUM(H152:H158)</f>
        <v>0</v>
      </c>
      <c r="I151" s="55">
        <f t="shared" si="195"/>
        <v>0</v>
      </c>
      <c r="J151" s="190">
        <f>SUM(J152:J158)</f>
        <v>2951</v>
      </c>
      <c r="K151" s="191">
        <f t="shared" ref="K151:L151" si="196">SUM(K152:K158)</f>
        <v>0</v>
      </c>
      <c r="L151" s="55">
        <f t="shared" si="196"/>
        <v>2951</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8.75" customHeight="1" x14ac:dyDescent="0.25">
      <c r="A154" s="50">
        <v>2363</v>
      </c>
      <c r="B154" s="89" t="s">
        <v>170</v>
      </c>
      <c r="C154" s="90">
        <f t="shared" si="193"/>
        <v>4614</v>
      </c>
      <c r="D154" s="196">
        <v>1663</v>
      </c>
      <c r="E154" s="316"/>
      <c r="F154" s="55">
        <f t="shared" si="198"/>
        <v>1663</v>
      </c>
      <c r="G154" s="53"/>
      <c r="H154" s="54"/>
      <c r="I154" s="55">
        <f t="shared" si="199"/>
        <v>0</v>
      </c>
      <c r="J154" s="53">
        <v>2951</v>
      </c>
      <c r="K154" s="449"/>
      <c r="L154" s="55">
        <f t="shared" si="200"/>
        <v>2951</v>
      </c>
      <c r="M154" s="53"/>
      <c r="N154" s="54"/>
      <c r="O154" s="55">
        <f t="shared" si="201"/>
        <v>0</v>
      </c>
      <c r="P154" s="454"/>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x14ac:dyDescent="0.25">
      <c r="A159" s="186">
        <v>2370</v>
      </c>
      <c r="B159" s="138" t="s">
        <v>175</v>
      </c>
      <c r="C159" s="143">
        <f t="shared" si="193"/>
        <v>4979</v>
      </c>
      <c r="D159" s="203">
        <v>4679</v>
      </c>
      <c r="E159" s="455"/>
      <c r="F159" s="141">
        <f t="shared" si="198"/>
        <v>4679</v>
      </c>
      <c r="G159" s="144"/>
      <c r="H159" s="145"/>
      <c r="I159" s="141">
        <f t="shared" si="199"/>
        <v>0</v>
      </c>
      <c r="J159" s="144">
        <v>300</v>
      </c>
      <c r="K159" s="310"/>
      <c r="L159" s="141">
        <f t="shared" si="200"/>
        <v>300</v>
      </c>
      <c r="M159" s="144"/>
      <c r="N159" s="145"/>
      <c r="O159" s="141">
        <f t="shared" si="201"/>
        <v>0</v>
      </c>
      <c r="P159" s="129"/>
    </row>
    <row r="160" spans="1:16" x14ac:dyDescent="0.25">
      <c r="A160" s="186">
        <v>2380</v>
      </c>
      <c r="B160" s="138" t="s">
        <v>176</v>
      </c>
      <c r="C160" s="143">
        <f t="shared" si="193"/>
        <v>800</v>
      </c>
      <c r="D160" s="187">
        <f>SUM(D161:D162)</f>
        <v>800</v>
      </c>
      <c r="E160" s="188">
        <f t="shared" ref="E160:F160" si="202">SUM(E161:E162)</f>
        <v>0</v>
      </c>
      <c r="F160" s="141">
        <f t="shared" si="202"/>
        <v>800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customHeight="1" x14ac:dyDescent="0.25">
      <c r="A162" s="50">
        <v>2389</v>
      </c>
      <c r="B162" s="89" t="s">
        <v>178</v>
      </c>
      <c r="C162" s="90">
        <f t="shared" si="193"/>
        <v>800</v>
      </c>
      <c r="D162" s="196">
        <v>800</v>
      </c>
      <c r="E162" s="197"/>
      <c r="F162" s="55">
        <f t="shared" si="206"/>
        <v>800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321">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321">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21">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1">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1">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7463</v>
      </c>
      <c r="D194" s="173">
        <f t="shared" ref="D194:O194" si="259">SUM(D195,D230,D269,D283)</f>
        <v>7180</v>
      </c>
      <c r="E194" s="174">
        <f t="shared" si="259"/>
        <v>0</v>
      </c>
      <c r="F194" s="175">
        <f t="shared" si="259"/>
        <v>7180</v>
      </c>
      <c r="G194" s="173">
        <f t="shared" si="259"/>
        <v>0</v>
      </c>
      <c r="H194" s="174">
        <f t="shared" si="259"/>
        <v>0</v>
      </c>
      <c r="I194" s="175">
        <f t="shared" si="259"/>
        <v>0</v>
      </c>
      <c r="J194" s="173">
        <f t="shared" si="259"/>
        <v>283</v>
      </c>
      <c r="K194" s="174">
        <f t="shared" si="259"/>
        <v>0</v>
      </c>
      <c r="L194" s="175">
        <f t="shared" si="259"/>
        <v>283</v>
      </c>
      <c r="M194" s="173">
        <f t="shared" si="259"/>
        <v>0</v>
      </c>
      <c r="N194" s="174">
        <f t="shared" si="259"/>
        <v>0</v>
      </c>
      <c r="O194" s="175">
        <f t="shared" si="259"/>
        <v>0</v>
      </c>
      <c r="P194" s="176"/>
    </row>
    <row r="195" spans="1:16" ht="16.5" customHeight="1" x14ac:dyDescent="0.25">
      <c r="A195" s="177">
        <v>5000</v>
      </c>
      <c r="B195" s="177" t="s">
        <v>211</v>
      </c>
      <c r="C195" s="178">
        <f t="shared" si="193"/>
        <v>7463</v>
      </c>
      <c r="D195" s="179">
        <f>D196+D204</f>
        <v>7180</v>
      </c>
      <c r="E195" s="180">
        <f t="shared" ref="E195:F195" si="260">E196+E204</f>
        <v>0</v>
      </c>
      <c r="F195" s="181">
        <f t="shared" si="260"/>
        <v>7180</v>
      </c>
      <c r="G195" s="179">
        <f>G196+G204</f>
        <v>0</v>
      </c>
      <c r="H195" s="180">
        <f t="shared" ref="H195:I195" si="261">H196+H204</f>
        <v>0</v>
      </c>
      <c r="I195" s="181">
        <f t="shared" si="261"/>
        <v>0</v>
      </c>
      <c r="J195" s="179">
        <f>J196+J204</f>
        <v>283</v>
      </c>
      <c r="K195" s="180">
        <f t="shared" ref="K195:L195" si="262">K196+K204</f>
        <v>0</v>
      </c>
      <c r="L195" s="181">
        <f t="shared" si="262"/>
        <v>283</v>
      </c>
      <c r="M195" s="179">
        <f>M196+M204</f>
        <v>0</v>
      </c>
      <c r="N195" s="180">
        <f t="shared" ref="N195:O195" si="263">N196+N204</f>
        <v>0</v>
      </c>
      <c r="O195" s="181">
        <f t="shared" si="263"/>
        <v>0</v>
      </c>
      <c r="P195" s="182"/>
    </row>
    <row r="196" spans="1:16" ht="15" customHeight="1" x14ac:dyDescent="0.25">
      <c r="A196" s="69">
        <v>5100</v>
      </c>
      <c r="B196" s="183" t="s">
        <v>212</v>
      </c>
      <c r="C196" s="70">
        <f t="shared" si="193"/>
        <v>280</v>
      </c>
      <c r="D196" s="184">
        <f>D197+D198+D201+D202+D203</f>
        <v>280</v>
      </c>
      <c r="E196" s="185">
        <f t="shared" ref="E196:F196" si="264">E197+E198+E201+E202+E203</f>
        <v>0</v>
      </c>
      <c r="F196" s="73">
        <f t="shared" si="264"/>
        <v>280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1">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280</v>
      </c>
      <c r="D198" s="190">
        <f>D199+D200</f>
        <v>280</v>
      </c>
      <c r="E198" s="191">
        <f t="shared" ref="E198:F198" si="268">E199+E200</f>
        <v>0</v>
      </c>
      <c r="F198" s="55">
        <f t="shared" si="268"/>
        <v>280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280</v>
      </c>
      <c r="D199" s="196">
        <v>280</v>
      </c>
      <c r="E199" s="197"/>
      <c r="F199" s="55">
        <f t="shared" ref="F199:F203" si="272">D199+E199</f>
        <v>280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t="15" customHeight="1" x14ac:dyDescent="0.25">
      <c r="A204" s="69">
        <v>5200</v>
      </c>
      <c r="B204" s="183" t="s">
        <v>220</v>
      </c>
      <c r="C204" s="70">
        <f t="shared" si="193"/>
        <v>7183</v>
      </c>
      <c r="D204" s="184">
        <f>D205+D215+D216+D225+D226+D227+D229</f>
        <v>6900</v>
      </c>
      <c r="E204" s="185">
        <f t="shared" ref="E204:F204" si="276">E205+E215+E216+E225+E226+E227+E229</f>
        <v>0</v>
      </c>
      <c r="F204" s="73">
        <f t="shared" si="276"/>
        <v>6900</v>
      </c>
      <c r="G204" s="184">
        <f>G205+G215+G216+G225+G226+G227+G229</f>
        <v>0</v>
      </c>
      <c r="H204" s="185">
        <f t="shared" ref="H204:I204" si="277">H205+H215+H216+H225+H226+H227+H229</f>
        <v>0</v>
      </c>
      <c r="I204" s="73">
        <f t="shared" si="277"/>
        <v>0</v>
      </c>
      <c r="J204" s="184">
        <f>J205+J215+J216+J225+J226+J227+J229</f>
        <v>283</v>
      </c>
      <c r="K204" s="185">
        <f t="shared" ref="K204:L204" si="278">K205+K215+K216+K225+K226+K227+K229</f>
        <v>0</v>
      </c>
      <c r="L204" s="73">
        <f t="shared" si="278"/>
        <v>283</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t="17.25" customHeight="1" x14ac:dyDescent="0.25">
      <c r="A216" s="189">
        <v>5230</v>
      </c>
      <c r="B216" s="89" t="s">
        <v>232</v>
      </c>
      <c r="C216" s="90">
        <f t="shared" si="288"/>
        <v>7183</v>
      </c>
      <c r="D216" s="190">
        <f>SUM(D217:D224)</f>
        <v>6900</v>
      </c>
      <c r="E216" s="191">
        <f t="shared" ref="E216:F216" si="289">SUM(E217:E224)</f>
        <v>0</v>
      </c>
      <c r="F216" s="55">
        <f t="shared" si="289"/>
        <v>6900</v>
      </c>
      <c r="G216" s="190">
        <f>SUM(G217:G224)</f>
        <v>0</v>
      </c>
      <c r="H216" s="191">
        <f t="shared" ref="H216:I216" si="290">SUM(H217:H224)</f>
        <v>0</v>
      </c>
      <c r="I216" s="55">
        <f t="shared" si="290"/>
        <v>0</v>
      </c>
      <c r="J216" s="190">
        <f>SUM(J217:J224)</f>
        <v>283</v>
      </c>
      <c r="K216" s="191">
        <f t="shared" ref="K216:L216" si="291">SUM(K217:K224)</f>
        <v>0</v>
      </c>
      <c r="L216" s="55">
        <f t="shared" si="291"/>
        <v>283</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6900</v>
      </c>
      <c r="D223" s="196">
        <v>6900</v>
      </c>
      <c r="E223" s="197"/>
      <c r="F223" s="55">
        <f t="shared" si="293"/>
        <v>6900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283</v>
      </c>
      <c r="D224" s="196"/>
      <c r="E224" s="197"/>
      <c r="F224" s="55">
        <f t="shared" si="293"/>
        <v>0</v>
      </c>
      <c r="G224" s="53"/>
      <c r="H224" s="54"/>
      <c r="I224" s="55">
        <f t="shared" si="294"/>
        <v>0</v>
      </c>
      <c r="J224" s="53">
        <v>283</v>
      </c>
      <c r="K224" s="309"/>
      <c r="L224" s="55">
        <f t="shared" si="295"/>
        <v>283</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321">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21">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1">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1">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321">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1">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366517</v>
      </c>
      <c r="D289" s="252">
        <f t="shared" ref="D289:O289" si="389">SUM(D286,D269,D230,D195,D187,D173,D75,D53,D283)</f>
        <v>283345</v>
      </c>
      <c r="E289" s="253">
        <f t="shared" si="389"/>
        <v>0</v>
      </c>
      <c r="F289" s="254">
        <f t="shared" si="389"/>
        <v>283345</v>
      </c>
      <c r="G289" s="252">
        <f t="shared" si="389"/>
        <v>76102</v>
      </c>
      <c r="H289" s="253">
        <f t="shared" si="389"/>
        <v>-5410</v>
      </c>
      <c r="I289" s="254">
        <f t="shared" si="389"/>
        <v>70692</v>
      </c>
      <c r="J289" s="252">
        <f t="shared" si="389"/>
        <v>12270</v>
      </c>
      <c r="K289" s="253">
        <f t="shared" si="389"/>
        <v>210</v>
      </c>
      <c r="L289" s="254">
        <f t="shared" si="389"/>
        <v>12480</v>
      </c>
      <c r="M289" s="252">
        <f t="shared" si="389"/>
        <v>0</v>
      </c>
      <c r="N289" s="253">
        <f t="shared" si="389"/>
        <v>0</v>
      </c>
      <c r="O289" s="254">
        <f t="shared" si="389"/>
        <v>0</v>
      </c>
      <c r="P289" s="255"/>
    </row>
    <row r="290" spans="1:16" s="28" customFormat="1" ht="13.5" thickTop="1" thickBot="1" x14ac:dyDescent="0.3">
      <c r="A290" s="1544" t="s">
        <v>308</v>
      </c>
      <c r="B290" s="1545"/>
      <c r="C290" s="256">
        <f t="shared" si="371"/>
        <v>-737</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-737</v>
      </c>
      <c r="K290" s="258">
        <f t="shared" ref="K290:L290" si="392">(K26+K43)-K51</f>
        <v>0</v>
      </c>
      <c r="L290" s="259">
        <f t="shared" si="392"/>
        <v>-737</v>
      </c>
      <c r="M290" s="257">
        <f>M45-M51</f>
        <v>0</v>
      </c>
      <c r="N290" s="258">
        <f t="shared" ref="N290:O290" si="393">N45-N51</f>
        <v>0</v>
      </c>
      <c r="O290" s="259">
        <f t="shared" si="393"/>
        <v>0</v>
      </c>
      <c r="P290" s="260"/>
    </row>
    <row r="291" spans="1:16" s="28" customFormat="1" ht="12.75" thickTop="1" x14ac:dyDescent="0.25">
      <c r="A291" s="1546" t="s">
        <v>309</v>
      </c>
      <c r="B291" s="1547"/>
      <c r="C291" s="261">
        <f t="shared" si="371"/>
        <v>737</v>
      </c>
      <c r="D291" s="262">
        <f t="shared" ref="D291:O291" si="394">SUM(D292,D293)-D300+D301</f>
        <v>0</v>
      </c>
      <c r="E291" s="263">
        <f t="shared" si="394"/>
        <v>0</v>
      </c>
      <c r="F291" s="264">
        <f t="shared" si="394"/>
        <v>0</v>
      </c>
      <c r="G291" s="262">
        <f t="shared" si="394"/>
        <v>0</v>
      </c>
      <c r="H291" s="263">
        <f t="shared" si="394"/>
        <v>0</v>
      </c>
      <c r="I291" s="264">
        <f t="shared" si="394"/>
        <v>0</v>
      </c>
      <c r="J291" s="262">
        <f t="shared" si="394"/>
        <v>737</v>
      </c>
      <c r="K291" s="263">
        <f t="shared" si="394"/>
        <v>0</v>
      </c>
      <c r="L291" s="264">
        <f t="shared" si="394"/>
        <v>737</v>
      </c>
      <c r="M291" s="262">
        <f t="shared" si="394"/>
        <v>0</v>
      </c>
      <c r="N291" s="263">
        <f t="shared" si="394"/>
        <v>0</v>
      </c>
      <c r="O291" s="264">
        <f t="shared" si="394"/>
        <v>0</v>
      </c>
      <c r="P291" s="265"/>
    </row>
    <row r="292" spans="1:16" s="28" customFormat="1" ht="12.75" thickBot="1" x14ac:dyDescent="0.3">
      <c r="A292" s="157" t="s">
        <v>310</v>
      </c>
      <c r="B292" s="157" t="s">
        <v>311</v>
      </c>
      <c r="C292" s="158">
        <f t="shared" si="371"/>
        <v>737</v>
      </c>
      <c r="D292" s="159">
        <f t="shared" ref="D292:O292" si="395">D21-D286</f>
        <v>0</v>
      </c>
      <c r="E292" s="160">
        <f t="shared" si="395"/>
        <v>0</v>
      </c>
      <c r="F292" s="161">
        <f t="shared" si="395"/>
        <v>0</v>
      </c>
      <c r="G292" s="159">
        <f t="shared" si="395"/>
        <v>0</v>
      </c>
      <c r="H292" s="160">
        <f t="shared" si="395"/>
        <v>0</v>
      </c>
      <c r="I292" s="161">
        <f t="shared" si="395"/>
        <v>0</v>
      </c>
      <c r="J292" s="159">
        <f t="shared" si="395"/>
        <v>737</v>
      </c>
      <c r="K292" s="160">
        <f t="shared" si="395"/>
        <v>0</v>
      </c>
      <c r="L292" s="161">
        <f t="shared" si="395"/>
        <v>737</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UloNoFuEGno4dPL3IEIehrpQ5TBG0qI69lzUJdgVUT/r+FdNdpGxuQIv/a0bsvO//19I3cn5l7exv+bY37iXeA==" saltValue="mbotkLme3oBORmjVX2iZ1g==" spinCount="100000" sheet="1" objects="1" scenarios="1" formatCells="0" formatColumns="0" formatRows="0" deleteColumns="0"/>
  <autoFilter ref="A18:P301">
    <filterColumn colId="2">
      <filters>
        <filter val="1 000"/>
        <filter val="1 029"/>
        <filter val="1 050"/>
        <filter val="1 251"/>
        <filter val="1 275"/>
        <filter val="1 319"/>
        <filter val="1 403"/>
        <filter val="1 600"/>
        <filter val="1 850"/>
        <filter val="1 935"/>
        <filter val="10 206"/>
        <filter val="10 464"/>
        <filter val="100"/>
        <filter val="105"/>
        <filter val="11 715"/>
        <filter val="14 723"/>
        <filter val="141"/>
        <filter val="15"/>
        <filter val="15 179"/>
        <filter val="161"/>
        <filter val="17 257"/>
        <filter val="2 134"/>
        <filter val="2 304"/>
        <filter val="200"/>
        <filter val="205 123"/>
        <filter val="21 920"/>
        <filter val="23 513"/>
        <filter val="23 954"/>
        <filter val="235 941"/>
        <filter val="245"/>
        <filter val="250"/>
        <filter val="28"/>
        <filter val="280"/>
        <filter val="283"/>
        <filter val="298"/>
        <filter val="3 036"/>
        <filter val="3 133"/>
        <filter val="312 496"/>
        <filter val="329"/>
        <filter val="340"/>
        <filter val="35"/>
        <filter val="354 037"/>
        <filter val="359 054"/>
        <filter val="36"/>
        <filter val="366 517"/>
        <filter val="4 172"/>
        <filter val="4 187"/>
        <filter val="4 203"/>
        <filter val="4 218"/>
        <filter val="4 387"/>
        <filter val="4 614"/>
        <filter val="4 979"/>
        <filter val="437"/>
        <filter val="46 558"/>
        <filter val="493"/>
        <filter val="5 475"/>
        <filter val="543"/>
        <filter val="59 298"/>
        <filter val="6 403"/>
        <filter val="6 900"/>
        <filter val="648"/>
        <filter val="684"/>
        <filter val="7 183"/>
        <filter val="7 305"/>
        <filter val="7 463"/>
        <filter val="70"/>
        <filter val="732"/>
        <filter val="737"/>
        <filter val="-737"/>
        <filter val="747"/>
        <filter val="750"/>
        <filter val="76 555"/>
        <filter val="780"/>
        <filter val="8 594"/>
        <filter val="800"/>
        <filter val="9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2019.gada 31.oktobra saistošajiem noteikumiem Nr.46
(protokols Nr.14, 28.punkts)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00" workbookViewId="0">
      <selection activeCell="U4" sqref="U4"/>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375</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376</v>
      </c>
      <c r="D3" s="1517"/>
      <c r="E3" s="1517"/>
      <c r="F3" s="1517"/>
      <c r="G3" s="1517"/>
      <c r="H3" s="1517"/>
      <c r="I3" s="1517"/>
      <c r="J3" s="1517"/>
      <c r="K3" s="1517"/>
      <c r="L3" s="1517"/>
      <c r="M3" s="1517"/>
      <c r="N3" s="1517"/>
      <c r="O3" s="1517"/>
      <c r="P3" s="1518"/>
      <c r="Q3" s="277"/>
    </row>
    <row r="4" spans="1:17" ht="12.75" customHeight="1" x14ac:dyDescent="0.25">
      <c r="A4" s="5" t="s">
        <v>4</v>
      </c>
      <c r="B4" s="6"/>
      <c r="C4" s="1517" t="s">
        <v>377</v>
      </c>
      <c r="D4" s="1517"/>
      <c r="E4" s="1517"/>
      <c r="F4" s="1517"/>
      <c r="G4" s="1517"/>
      <c r="H4" s="1517"/>
      <c r="I4" s="1517"/>
      <c r="J4" s="1517"/>
      <c r="K4" s="1517"/>
      <c r="L4" s="1517"/>
      <c r="M4" s="1517"/>
      <c r="N4" s="1517"/>
      <c r="O4" s="1517"/>
      <c r="P4" s="1518"/>
      <c r="Q4" s="277"/>
    </row>
    <row r="5" spans="1:17" ht="12.75" customHeight="1" x14ac:dyDescent="0.25">
      <c r="A5" s="7" t="s">
        <v>6</v>
      </c>
      <c r="B5" s="8"/>
      <c r="C5" s="1512" t="s">
        <v>378</v>
      </c>
      <c r="D5" s="1512"/>
      <c r="E5" s="1512"/>
      <c r="F5" s="1512"/>
      <c r="G5" s="1512"/>
      <c r="H5" s="1512"/>
      <c r="I5" s="1512"/>
      <c r="J5" s="1512"/>
      <c r="K5" s="1512"/>
      <c r="L5" s="1512"/>
      <c r="M5" s="1512"/>
      <c r="N5" s="1512"/>
      <c r="O5" s="1512"/>
      <c r="P5" s="1513"/>
      <c r="Q5" s="277"/>
    </row>
    <row r="6" spans="1:17" ht="12.75" customHeight="1" x14ac:dyDescent="0.25">
      <c r="A6" s="7" t="s">
        <v>8</v>
      </c>
      <c r="B6" s="8"/>
      <c r="C6" s="1512" t="s">
        <v>379</v>
      </c>
      <c r="D6" s="1512"/>
      <c r="E6" s="1512"/>
      <c r="F6" s="1512"/>
      <c r="G6" s="1512"/>
      <c r="H6" s="1512"/>
      <c r="I6" s="1512"/>
      <c r="J6" s="1512"/>
      <c r="K6" s="1512"/>
      <c r="L6" s="1512"/>
      <c r="M6" s="1512"/>
      <c r="N6" s="1512"/>
      <c r="O6" s="1512"/>
      <c r="P6" s="1513"/>
      <c r="Q6" s="277"/>
    </row>
    <row r="7" spans="1:17" x14ac:dyDescent="0.25">
      <c r="A7" s="7" t="s">
        <v>10</v>
      </c>
      <c r="B7" s="8"/>
      <c r="C7" s="1517" t="s">
        <v>380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381</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71041</v>
      </c>
      <c r="D20" s="32">
        <f>SUM(D21,D24,D25,D41,D43)</f>
        <v>71041</v>
      </c>
      <c r="E20" s="33">
        <f t="shared" ref="E20:F20" si="1">SUM(E21,E24,E25,E41,E43)</f>
        <v>0</v>
      </c>
      <c r="F20" s="34">
        <f t="shared" si="1"/>
        <v>71041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39</v>
      </c>
      <c r="C21" s="38">
        <f t="shared" si="0"/>
        <v>2169</v>
      </c>
      <c r="D21" s="39">
        <f>SUM(D22:D23)</f>
        <v>2169</v>
      </c>
      <c r="E21" s="40">
        <f t="shared" ref="E21:F21" si="5">SUM(E22:E23)</f>
        <v>0</v>
      </c>
      <c r="F21" s="41">
        <f t="shared" si="5"/>
        <v>2169</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2169</v>
      </c>
      <c r="D23" s="53">
        <v>2169</v>
      </c>
      <c r="E23" s="304"/>
      <c r="F23" s="55">
        <f t="shared" ref="F23:F25" si="9">D23+E23</f>
        <v>2169</v>
      </c>
      <c r="G23" s="53"/>
      <c r="H23" s="54"/>
      <c r="I23" s="55">
        <f t="shared" ref="I23:I24" si="10">G23+H23</f>
        <v>0</v>
      </c>
      <c r="J23" s="53"/>
      <c r="K23" s="54"/>
      <c r="L23" s="56">
        <f>K23+J23</f>
        <v>0</v>
      </c>
      <c r="M23" s="53"/>
      <c r="N23" s="54"/>
      <c r="O23" s="55">
        <f>N23+M23</f>
        <v>0</v>
      </c>
      <c r="P23" s="57"/>
    </row>
    <row r="24" spans="1:16" s="28" customFormat="1" ht="41.25" customHeight="1" thickBot="1" x14ac:dyDescent="0.3">
      <c r="A24" s="58">
        <v>19300</v>
      </c>
      <c r="B24" s="58" t="s">
        <v>42</v>
      </c>
      <c r="C24" s="59">
        <f>F24+I24</f>
        <v>10623</v>
      </c>
      <c r="D24" s="60">
        <v>10623</v>
      </c>
      <c r="E24" s="305"/>
      <c r="F24" s="62">
        <f t="shared" si="9"/>
        <v>10623</v>
      </c>
      <c r="G24" s="60"/>
      <c r="H24" s="63"/>
      <c r="I24" s="62">
        <f t="shared" si="10"/>
        <v>0</v>
      </c>
      <c r="J24" s="64" t="s">
        <v>43</v>
      </c>
      <c r="K24" s="65" t="s">
        <v>43</v>
      </c>
      <c r="L24" s="66" t="s">
        <v>43</v>
      </c>
      <c r="M24" s="64" t="s">
        <v>43</v>
      </c>
      <c r="N24" s="65" t="s">
        <v>43</v>
      </c>
      <c r="O24" s="66" t="s">
        <v>43</v>
      </c>
      <c r="P24" s="67"/>
    </row>
    <row r="25" spans="1:16" s="28" customFormat="1" ht="38.25" customHeight="1" thickTop="1" thickBot="1" x14ac:dyDescent="0.3">
      <c r="A25" s="68">
        <v>18630</v>
      </c>
      <c r="B25" s="69" t="s">
        <v>44</v>
      </c>
      <c r="C25" s="70">
        <f>F25</f>
        <v>58249</v>
      </c>
      <c r="D25" s="71">
        <v>58249</v>
      </c>
      <c r="E25" s="306"/>
      <c r="F25" s="73">
        <f t="shared" si="9"/>
        <v>58249</v>
      </c>
      <c r="G25" s="74" t="s">
        <v>43</v>
      </c>
      <c r="H25" s="75" t="s">
        <v>43</v>
      </c>
      <c r="I25" s="76" t="s">
        <v>43</v>
      </c>
      <c r="J25" s="74" t="s">
        <v>43</v>
      </c>
      <c r="K25" s="75" t="s">
        <v>43</v>
      </c>
      <c r="L25" s="76" t="s">
        <v>43</v>
      </c>
      <c r="M25" s="74" t="s">
        <v>43</v>
      </c>
      <c r="N25" s="75" t="s">
        <v>43</v>
      </c>
      <c r="O25" s="76" t="s">
        <v>43</v>
      </c>
      <c r="P25" s="67"/>
    </row>
    <row r="26" spans="1:16" s="28" customFormat="1" ht="36" hidden="1" customHeight="1" thickTop="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71041</v>
      </c>
      <c r="D50" s="159">
        <f>SUM(D51,D286)</f>
        <v>71041</v>
      </c>
      <c r="E50" s="160">
        <f t="shared" ref="E50:F50" si="26">SUM(E51,E286)</f>
        <v>0</v>
      </c>
      <c r="F50" s="161">
        <f t="shared" si="26"/>
        <v>71041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71041</v>
      </c>
      <c r="D51" s="165">
        <f>SUM(D52,D194)</f>
        <v>71041</v>
      </c>
      <c r="E51" s="166">
        <f t="shared" ref="E51:F51" si="30">SUM(E52,E194)</f>
        <v>0</v>
      </c>
      <c r="F51" s="167">
        <f t="shared" si="30"/>
        <v>71041</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70381</v>
      </c>
      <c r="D52" s="173">
        <f>SUM(D53,D75,D173,D187)</f>
        <v>69881</v>
      </c>
      <c r="E52" s="174">
        <f t="shared" ref="E52:F52" si="34">SUM(E53,E75,E173,E187)</f>
        <v>500</v>
      </c>
      <c r="F52" s="175">
        <f t="shared" si="34"/>
        <v>70381</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11459</v>
      </c>
      <c r="D53" s="179">
        <f>SUM(D54,D67)</f>
        <v>11459</v>
      </c>
      <c r="E53" s="180">
        <f t="shared" ref="E53:F53" si="38">SUM(E54,E67)</f>
        <v>0</v>
      </c>
      <c r="F53" s="181">
        <f t="shared" si="38"/>
        <v>11459</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8653</v>
      </c>
      <c r="D54" s="184">
        <f>SUM(D55,D58,D66)</f>
        <v>8653</v>
      </c>
      <c r="E54" s="185">
        <f t="shared" ref="E54:F54" si="42">SUM(E55,E58,E66)</f>
        <v>0</v>
      </c>
      <c r="F54" s="73">
        <f t="shared" si="42"/>
        <v>8653</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7056</v>
      </c>
      <c r="D55" s="187">
        <f>SUM(D56:D57)</f>
        <v>7056</v>
      </c>
      <c r="E55" s="188">
        <f t="shared" ref="E55:F55" si="46">SUM(E56:E57)</f>
        <v>0</v>
      </c>
      <c r="F55" s="141">
        <f t="shared" si="46"/>
        <v>7056</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75</v>
      </c>
      <c r="C57" s="90">
        <f t="shared" si="0"/>
        <v>7056</v>
      </c>
      <c r="D57" s="53">
        <v>7056</v>
      </c>
      <c r="E57" s="307"/>
      <c r="F57" s="55">
        <f t="shared" si="50"/>
        <v>7056</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1029</v>
      </c>
      <c r="D58" s="190">
        <f>SUM(D59:D65)</f>
        <v>1029</v>
      </c>
      <c r="E58" s="191">
        <f>SUM(E59:E65)</f>
        <v>0</v>
      </c>
      <c r="F58" s="55">
        <f t="shared" ref="F58" si="54">SUM(F59:F65)</f>
        <v>1029</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308"/>
    </row>
    <row r="64" spans="1:16" ht="39.75" customHeight="1" x14ac:dyDescent="0.25">
      <c r="A64" s="51">
        <v>1148</v>
      </c>
      <c r="B64" s="89" t="s">
        <v>82</v>
      </c>
      <c r="C64" s="90">
        <f t="shared" si="0"/>
        <v>1029</v>
      </c>
      <c r="D64" s="53">
        <v>1029</v>
      </c>
      <c r="E64" s="309"/>
      <c r="F64" s="55">
        <f t="shared" si="58"/>
        <v>1029</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568</v>
      </c>
      <c r="D66" s="144">
        <v>568</v>
      </c>
      <c r="E66" s="310"/>
      <c r="F66" s="141">
        <f t="shared" si="58"/>
        <v>568</v>
      </c>
      <c r="G66" s="144"/>
      <c r="H66" s="145"/>
      <c r="I66" s="141">
        <f t="shared" si="59"/>
        <v>0</v>
      </c>
      <c r="J66" s="144"/>
      <c r="K66" s="145"/>
      <c r="L66" s="141">
        <f t="shared" si="60"/>
        <v>0</v>
      </c>
      <c r="M66" s="144"/>
      <c r="N66" s="145"/>
      <c r="O66" s="141">
        <f t="shared" si="61"/>
        <v>0</v>
      </c>
      <c r="P66" s="311"/>
    </row>
    <row r="67" spans="1:16" ht="24" x14ac:dyDescent="0.25">
      <c r="A67" s="69">
        <v>1200</v>
      </c>
      <c r="B67" s="183" t="s">
        <v>85</v>
      </c>
      <c r="C67" s="70">
        <f t="shared" si="0"/>
        <v>2806</v>
      </c>
      <c r="D67" s="184">
        <f>SUM(D68:D69)</f>
        <v>2806</v>
      </c>
      <c r="E67" s="185">
        <f t="shared" ref="E67:F67" si="62">SUM(E68:E69)</f>
        <v>0</v>
      </c>
      <c r="F67" s="73">
        <f t="shared" si="62"/>
        <v>2806</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5.5" customHeight="1" x14ac:dyDescent="0.25">
      <c r="A68" s="193">
        <v>1210</v>
      </c>
      <c r="B68" s="82" t="s">
        <v>86</v>
      </c>
      <c r="C68" s="83">
        <f t="shared" si="0"/>
        <v>2149</v>
      </c>
      <c r="D68" s="46">
        <v>2149</v>
      </c>
      <c r="E68" s="312"/>
      <c r="F68" s="134">
        <f>D68+E68</f>
        <v>2149</v>
      </c>
      <c r="G68" s="46"/>
      <c r="H68" s="47"/>
      <c r="I68" s="134">
        <f>G68+H68</f>
        <v>0</v>
      </c>
      <c r="J68" s="46"/>
      <c r="K68" s="47"/>
      <c r="L68" s="134">
        <f>K68+J68</f>
        <v>0</v>
      </c>
      <c r="M68" s="46"/>
      <c r="N68" s="47"/>
      <c r="O68" s="134">
        <f>N68+M68</f>
        <v>0</v>
      </c>
      <c r="P68" s="311"/>
    </row>
    <row r="69" spans="1:16" ht="24" x14ac:dyDescent="0.25">
      <c r="A69" s="189">
        <v>1220</v>
      </c>
      <c r="B69" s="89" t="s">
        <v>87</v>
      </c>
      <c r="C69" s="90">
        <f t="shared" si="0"/>
        <v>657</v>
      </c>
      <c r="D69" s="190">
        <f>SUM(D70:D74)</f>
        <v>657</v>
      </c>
      <c r="E69" s="191">
        <f t="shared" ref="E69:F69" si="66">SUM(E70:E74)</f>
        <v>0</v>
      </c>
      <c r="F69" s="55">
        <f t="shared" si="66"/>
        <v>657</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265</v>
      </c>
      <c r="D70" s="53">
        <v>265</v>
      </c>
      <c r="E70" s="307"/>
      <c r="F70" s="55">
        <f t="shared" ref="F70:F74" si="70">D70+E70</f>
        <v>265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392</v>
      </c>
      <c r="D73" s="53">
        <v>392</v>
      </c>
      <c r="E73" s="54"/>
      <c r="F73" s="55">
        <f t="shared" si="70"/>
        <v>392</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58922</v>
      </c>
      <c r="D75" s="179">
        <f>SUM(D76,D83,D130,D164,D165,D172)</f>
        <v>58422</v>
      </c>
      <c r="E75" s="180">
        <f t="shared" ref="E75:F75" si="74">SUM(E76,E83,E130,E164,E165,E172)</f>
        <v>500</v>
      </c>
      <c r="F75" s="181">
        <f t="shared" si="74"/>
        <v>58922</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9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52310</v>
      </c>
      <c r="D83" s="184">
        <f>SUM(D84,D89,D95,D103,D112,D116,D122,D128)</f>
        <v>52310</v>
      </c>
      <c r="E83" s="185">
        <f t="shared" ref="E83:F83" si="98">SUM(E84,E89,E95,E103,E112,E116,E122,E128)</f>
        <v>0</v>
      </c>
      <c r="F83" s="73">
        <f t="shared" si="98"/>
        <v>52310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313"/>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338</v>
      </c>
      <c r="D95" s="190">
        <f>SUM(D96:D102)</f>
        <v>338</v>
      </c>
      <c r="E95" s="191">
        <f t="shared" ref="E95:F95" si="119">SUM(E96:E102)</f>
        <v>0</v>
      </c>
      <c r="F95" s="55">
        <f t="shared" si="119"/>
        <v>338</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6.25" customHeight="1" x14ac:dyDescent="0.25">
      <c r="A102" s="51">
        <v>2239</v>
      </c>
      <c r="B102" s="89" t="s">
        <v>118</v>
      </c>
      <c r="C102" s="90">
        <f t="shared" si="102"/>
        <v>338</v>
      </c>
      <c r="D102" s="196">
        <v>338</v>
      </c>
      <c r="E102" s="314"/>
      <c r="F102" s="55">
        <f t="shared" si="123"/>
        <v>338</v>
      </c>
      <c r="G102" s="53"/>
      <c r="H102" s="54"/>
      <c r="I102" s="55">
        <f t="shared" si="124"/>
        <v>0</v>
      </c>
      <c r="J102" s="53"/>
      <c r="K102" s="54"/>
      <c r="L102" s="55">
        <f t="shared" si="125"/>
        <v>0</v>
      </c>
      <c r="M102" s="53"/>
      <c r="N102" s="54"/>
      <c r="O102" s="55">
        <f t="shared" si="126"/>
        <v>0</v>
      </c>
      <c r="P102" s="129"/>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576</v>
      </c>
      <c r="D116" s="190">
        <f>SUM(D117:D121)</f>
        <v>576</v>
      </c>
      <c r="E116" s="191">
        <f t="shared" ref="E116:F116" si="143">SUM(E117:E121)</f>
        <v>0</v>
      </c>
      <c r="F116" s="55">
        <f t="shared" si="143"/>
        <v>576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31.5" hidden="1" customHeight="1" x14ac:dyDescent="0.25">
      <c r="A117" s="51">
        <v>2261</v>
      </c>
      <c r="B117" s="89" t="s">
        <v>133</v>
      </c>
      <c r="C117" s="90">
        <f t="shared" si="102"/>
        <v>0</v>
      </c>
      <c r="D117" s="196"/>
      <c r="E117" s="31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129"/>
    </row>
    <row r="118" spans="1:16" ht="18.75" customHeight="1" x14ac:dyDescent="0.25">
      <c r="A118" s="51">
        <v>2262</v>
      </c>
      <c r="B118" s="89" t="s">
        <v>134</v>
      </c>
      <c r="C118" s="90">
        <f t="shared" si="102"/>
        <v>576</v>
      </c>
      <c r="D118" s="196">
        <v>576</v>
      </c>
      <c r="E118" s="314"/>
      <c r="F118" s="55">
        <f t="shared" si="147"/>
        <v>576</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51396</v>
      </c>
      <c r="D122" s="190">
        <f>SUM(D123:D127)</f>
        <v>51396</v>
      </c>
      <c r="E122" s="191">
        <f t="shared" ref="E122:F122" si="151">SUM(E123:E127)</f>
        <v>0</v>
      </c>
      <c r="F122" s="55">
        <f t="shared" si="151"/>
        <v>51396</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51396</v>
      </c>
      <c r="D127" s="196">
        <v>51396</v>
      </c>
      <c r="E127" s="314"/>
      <c r="F127" s="55">
        <f t="shared" si="155"/>
        <v>51396</v>
      </c>
      <c r="G127" s="53"/>
      <c r="H127" s="54"/>
      <c r="I127" s="55">
        <f t="shared" si="156"/>
        <v>0</v>
      </c>
      <c r="J127" s="53"/>
      <c r="K127" s="54"/>
      <c r="L127" s="55">
        <f t="shared" si="157"/>
        <v>0</v>
      </c>
      <c r="M127" s="53"/>
      <c r="N127" s="54"/>
      <c r="O127" s="55">
        <f t="shared" si="158"/>
        <v>0</v>
      </c>
      <c r="P127" s="311"/>
    </row>
    <row r="128" spans="1:16" ht="48" hidden="1" x14ac:dyDescent="0.25">
      <c r="A128" s="19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6612</v>
      </c>
      <c r="D130" s="184">
        <f>SUM(D131,D136,D140,D141,D144,D151,D159,D160,D163)</f>
        <v>6112</v>
      </c>
      <c r="E130" s="185">
        <f t="shared" ref="E130:F130" si="160">SUM(E131,E136,E140,E141,E144,E151,E159,E160,E163)</f>
        <v>500</v>
      </c>
      <c r="F130" s="73">
        <f t="shared" si="160"/>
        <v>6612</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93">
        <v>2310</v>
      </c>
      <c r="B131" s="82" t="s">
        <v>147</v>
      </c>
      <c r="C131" s="83">
        <f t="shared" si="102"/>
        <v>2144</v>
      </c>
      <c r="D131" s="194">
        <f t="shared" ref="D131:O131" si="164">SUM(D132:D135)</f>
        <v>2144</v>
      </c>
      <c r="E131" s="195">
        <f t="shared" si="164"/>
        <v>0</v>
      </c>
      <c r="F131" s="134">
        <f t="shared" si="164"/>
        <v>2144</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315"/>
    </row>
    <row r="132" spans="1:16" ht="15" customHeight="1" x14ac:dyDescent="0.25">
      <c r="A132" s="51">
        <v>2311</v>
      </c>
      <c r="B132" s="89" t="s">
        <v>148</v>
      </c>
      <c r="C132" s="90">
        <f t="shared" si="102"/>
        <v>834</v>
      </c>
      <c r="D132" s="196">
        <v>834</v>
      </c>
      <c r="E132" s="314"/>
      <c r="F132" s="55">
        <f t="shared" ref="F132:F135" si="165">D132+E132</f>
        <v>834</v>
      </c>
      <c r="G132" s="53"/>
      <c r="H132" s="54"/>
      <c r="I132" s="55">
        <f t="shared" ref="I132:I135" si="166">G132+H132</f>
        <v>0</v>
      </c>
      <c r="J132" s="53"/>
      <c r="K132" s="54"/>
      <c r="L132" s="55">
        <f t="shared" ref="L132:L135" si="167">K132+J132</f>
        <v>0</v>
      </c>
      <c r="M132" s="53"/>
      <c r="N132" s="54"/>
      <c r="O132" s="55">
        <f t="shared" ref="O132:O135" si="168">N132+M132</f>
        <v>0</v>
      </c>
      <c r="P132" s="129"/>
    </row>
    <row r="133" spans="1:16" ht="18.75" customHeight="1" x14ac:dyDescent="0.25">
      <c r="A133" s="51">
        <v>2312</v>
      </c>
      <c r="B133" s="89" t="s">
        <v>149</v>
      </c>
      <c r="C133" s="90">
        <f t="shared" si="102"/>
        <v>920</v>
      </c>
      <c r="D133" s="196">
        <v>920</v>
      </c>
      <c r="E133" s="314"/>
      <c r="F133" s="55">
        <f t="shared" si="165"/>
        <v>920</v>
      </c>
      <c r="G133" s="53"/>
      <c r="H133" s="54"/>
      <c r="I133" s="55">
        <f t="shared" si="166"/>
        <v>0</v>
      </c>
      <c r="J133" s="53"/>
      <c r="K133" s="54"/>
      <c r="L133" s="55">
        <f t="shared" si="167"/>
        <v>0</v>
      </c>
      <c r="M133" s="53"/>
      <c r="N133" s="54"/>
      <c r="O133" s="55">
        <f t="shared" si="168"/>
        <v>0</v>
      </c>
      <c r="P133" s="129"/>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9.75" customHeight="1" x14ac:dyDescent="0.25">
      <c r="A135" s="51">
        <v>2314</v>
      </c>
      <c r="B135" s="89" t="s">
        <v>151</v>
      </c>
      <c r="C135" s="90">
        <f t="shared" si="102"/>
        <v>390</v>
      </c>
      <c r="D135" s="196">
        <v>390</v>
      </c>
      <c r="E135" s="313"/>
      <c r="F135" s="55">
        <f t="shared" si="165"/>
        <v>390</v>
      </c>
      <c r="G135" s="53"/>
      <c r="H135" s="54"/>
      <c r="I135" s="55">
        <f t="shared" si="166"/>
        <v>0</v>
      </c>
      <c r="J135" s="53"/>
      <c r="K135" s="54"/>
      <c r="L135" s="55">
        <f t="shared" si="167"/>
        <v>0</v>
      </c>
      <c r="M135" s="53"/>
      <c r="N135" s="54"/>
      <c r="O135" s="55">
        <f t="shared" si="168"/>
        <v>0</v>
      </c>
      <c r="P135" s="129"/>
    </row>
    <row r="136" spans="1:16" ht="15" customHeight="1" x14ac:dyDescent="0.25">
      <c r="A136" s="189">
        <v>2320</v>
      </c>
      <c r="B136" s="89" t="s">
        <v>152</v>
      </c>
      <c r="C136" s="90">
        <f t="shared" si="102"/>
        <v>546</v>
      </c>
      <c r="D136" s="190">
        <f>SUM(D137:D139)</f>
        <v>546</v>
      </c>
      <c r="E136" s="191">
        <f t="shared" ref="E136:F136" si="169">SUM(E137:E139)</f>
        <v>0</v>
      </c>
      <c r="F136" s="55">
        <f t="shared" si="169"/>
        <v>546</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5.75" customHeight="1" x14ac:dyDescent="0.25">
      <c r="A138" s="51">
        <v>2322</v>
      </c>
      <c r="B138" s="89" t="s">
        <v>154</v>
      </c>
      <c r="C138" s="90">
        <f t="shared" si="102"/>
        <v>546</v>
      </c>
      <c r="D138" s="196">
        <v>546</v>
      </c>
      <c r="E138" s="316"/>
      <c r="F138" s="55">
        <f t="shared" si="173"/>
        <v>546</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2033</v>
      </c>
      <c r="D151" s="190">
        <f>SUM(D152:D158)</f>
        <v>2033</v>
      </c>
      <c r="E151" s="191">
        <f t="shared" ref="E151:F151" si="194">SUM(E152:E158)</f>
        <v>0</v>
      </c>
      <c r="F151" s="55">
        <f t="shared" si="194"/>
        <v>2033</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9.5" customHeight="1" x14ac:dyDescent="0.25">
      <c r="A152" s="50">
        <v>2361</v>
      </c>
      <c r="B152" s="89" t="s">
        <v>168</v>
      </c>
      <c r="C152" s="90">
        <f t="shared" si="193"/>
        <v>245</v>
      </c>
      <c r="D152" s="196">
        <v>245</v>
      </c>
      <c r="E152" s="314"/>
      <c r="F152" s="55">
        <f t="shared" ref="F152:F159" si="198">D152+E152</f>
        <v>245</v>
      </c>
      <c r="G152" s="53"/>
      <c r="H152" s="54"/>
      <c r="I152" s="55">
        <f t="shared" ref="I152:I159" si="199">G152+H152</f>
        <v>0</v>
      </c>
      <c r="J152" s="53"/>
      <c r="K152" s="54"/>
      <c r="L152" s="55">
        <f t="shared" ref="L152:L159" si="200">K152+J152</f>
        <v>0</v>
      </c>
      <c r="M152" s="53"/>
      <c r="N152" s="54"/>
      <c r="O152" s="55">
        <f t="shared" ref="O152:O159" si="201">N152+M152</f>
        <v>0</v>
      </c>
      <c r="P152" s="129"/>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1" customHeight="1" x14ac:dyDescent="0.25">
      <c r="A154" s="50">
        <v>2363</v>
      </c>
      <c r="B154" s="89" t="s">
        <v>170</v>
      </c>
      <c r="C154" s="90">
        <f t="shared" si="193"/>
        <v>1788</v>
      </c>
      <c r="D154" s="196">
        <v>1788</v>
      </c>
      <c r="E154" s="314"/>
      <c r="F154" s="55">
        <f t="shared" si="198"/>
        <v>1788</v>
      </c>
      <c r="G154" s="53"/>
      <c r="H154" s="54"/>
      <c r="I154" s="55">
        <f t="shared" si="199"/>
        <v>0</v>
      </c>
      <c r="J154" s="53"/>
      <c r="K154" s="54"/>
      <c r="L154" s="55">
        <f t="shared" si="200"/>
        <v>0</v>
      </c>
      <c r="M154" s="53"/>
      <c r="N154" s="54"/>
      <c r="O154" s="55">
        <f t="shared" si="201"/>
        <v>0</v>
      </c>
      <c r="P154" s="129"/>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21.75" customHeight="1" x14ac:dyDescent="0.25">
      <c r="A159" s="186">
        <v>2370</v>
      </c>
      <c r="B159" s="138" t="s">
        <v>175</v>
      </c>
      <c r="C159" s="143">
        <f t="shared" si="193"/>
        <v>1889</v>
      </c>
      <c r="D159" s="203">
        <v>1389</v>
      </c>
      <c r="E159" s="317">
        <v>500</v>
      </c>
      <c r="F159" s="141">
        <f t="shared" si="198"/>
        <v>1889</v>
      </c>
      <c r="G159" s="144"/>
      <c r="H159" s="145"/>
      <c r="I159" s="141">
        <f t="shared" si="199"/>
        <v>0</v>
      </c>
      <c r="J159" s="144"/>
      <c r="K159" s="145"/>
      <c r="L159" s="141">
        <f t="shared" si="200"/>
        <v>0</v>
      </c>
      <c r="M159" s="144"/>
      <c r="N159" s="145"/>
      <c r="O159" s="141">
        <f t="shared" si="201"/>
        <v>0</v>
      </c>
      <c r="P159" s="129" t="s">
        <v>382</v>
      </c>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9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9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9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9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660</v>
      </c>
      <c r="D194" s="173">
        <f t="shared" ref="D194:O194" si="259">SUM(D195,D230,D269,D283)</f>
        <v>1160</v>
      </c>
      <c r="E194" s="174">
        <f t="shared" si="259"/>
        <v>-500</v>
      </c>
      <c r="F194" s="175">
        <f t="shared" si="259"/>
        <v>660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660</v>
      </c>
      <c r="D195" s="179">
        <f>D196+D204</f>
        <v>1160</v>
      </c>
      <c r="E195" s="180">
        <f t="shared" ref="E195:F195" si="260">E196+E204</f>
        <v>-500</v>
      </c>
      <c r="F195" s="181">
        <f t="shared" si="260"/>
        <v>660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64</v>
      </c>
      <c r="D196" s="184">
        <f>D197+D198+D201+D202+D203</f>
        <v>64</v>
      </c>
      <c r="E196" s="185">
        <f t="shared" ref="E196:F196" si="264">E197+E198+E201+E202+E203</f>
        <v>0</v>
      </c>
      <c r="F196" s="73">
        <f t="shared" si="264"/>
        <v>64</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9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64</v>
      </c>
      <c r="D198" s="190">
        <f>D199+D200</f>
        <v>64</v>
      </c>
      <c r="E198" s="191">
        <f t="shared" ref="E198:F198" si="268">E199+E200</f>
        <v>0</v>
      </c>
      <c r="F198" s="55">
        <f t="shared" si="268"/>
        <v>64</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64</v>
      </c>
      <c r="D199" s="196">
        <v>64</v>
      </c>
      <c r="E199" s="197"/>
      <c r="F199" s="55">
        <f t="shared" ref="F199:F203" si="272">D199+E199</f>
        <v>64</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596</v>
      </c>
      <c r="D204" s="184">
        <f>D205+D215+D216+D225+D226+D227+D229</f>
        <v>1096</v>
      </c>
      <c r="E204" s="185">
        <f t="shared" ref="E204:F204" si="276">E205+E215+E216+E225+E226+E227+E229</f>
        <v>-500</v>
      </c>
      <c r="F204" s="73">
        <f t="shared" si="276"/>
        <v>596</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596</v>
      </c>
      <c r="D216" s="190">
        <f>SUM(D217:D224)</f>
        <v>1096</v>
      </c>
      <c r="E216" s="191">
        <f t="shared" ref="E216:F216" si="289">SUM(E217:E224)</f>
        <v>-500</v>
      </c>
      <c r="F216" s="55">
        <f t="shared" si="289"/>
        <v>596</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596</v>
      </c>
      <c r="D223" s="196">
        <v>1096</v>
      </c>
      <c r="E223" s="318">
        <v>-500</v>
      </c>
      <c r="F223" s="55">
        <f t="shared" si="293"/>
        <v>596</v>
      </c>
      <c r="G223" s="53"/>
      <c r="H223" s="54"/>
      <c r="I223" s="55">
        <f t="shared" si="294"/>
        <v>0</v>
      </c>
      <c r="J223" s="53"/>
      <c r="K223" s="54"/>
      <c r="L223" s="55">
        <f t="shared" si="295"/>
        <v>0</v>
      </c>
      <c r="M223" s="53"/>
      <c r="N223" s="54"/>
      <c r="O223" s="55">
        <f t="shared" si="296"/>
        <v>0</v>
      </c>
      <c r="P223" s="129" t="s">
        <v>383</v>
      </c>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9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9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9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9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31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71041</v>
      </c>
      <c r="D289" s="252">
        <f t="shared" ref="D289:O289" si="389">SUM(D286,D269,D230,D195,D187,D173,D75,D53,D283)</f>
        <v>71041</v>
      </c>
      <c r="E289" s="253">
        <f t="shared" si="389"/>
        <v>0</v>
      </c>
      <c r="F289" s="254">
        <f t="shared" si="389"/>
        <v>71041</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-2169</v>
      </c>
      <c r="D290" s="257">
        <f>SUM(D24,D25,D41)-D51</f>
        <v>-2169</v>
      </c>
      <c r="E290" s="258">
        <f t="shared" ref="E290:F290" si="390">SUM(E24,E25,E41)-E51</f>
        <v>0</v>
      </c>
      <c r="F290" s="259">
        <f t="shared" si="390"/>
        <v>-2169</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2169</v>
      </c>
      <c r="D291" s="262">
        <f t="shared" ref="D291:O291" si="394">SUM(D292,D293)-D300+D301</f>
        <v>2169</v>
      </c>
      <c r="E291" s="263">
        <f t="shared" si="394"/>
        <v>0</v>
      </c>
      <c r="F291" s="264">
        <f t="shared" si="394"/>
        <v>2169</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2169</v>
      </c>
      <c r="D292" s="159">
        <f t="shared" ref="D292:O292" si="395">D21-D286</f>
        <v>2169</v>
      </c>
      <c r="E292" s="160">
        <f t="shared" si="395"/>
        <v>0</v>
      </c>
      <c r="F292" s="161">
        <f t="shared" si="395"/>
        <v>2169</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PLHXXWn2Vnyrv5E/ROt4cOlDkKINZ1NaGJCi2lcscWvrKInkAk53yZ9tUY3oG+A1GfoCragsklxwrGjNA2fp/g==" saltValue="YvXYpBIrvKz/QecIBRCz0Q==" spinCount="100000" sheet="1" objects="1" scenarios="1" formatCells="0" formatColumns="0" formatRows="0" deleteColumns="0"/>
  <autoFilter ref="A18:P301">
    <filterColumn colId="2">
      <filters>
        <filter val="1 029"/>
        <filter val="1 788"/>
        <filter val="1 889"/>
        <filter val="10 623"/>
        <filter val="11 459"/>
        <filter val="2 033"/>
        <filter val="2 144"/>
        <filter val="2 149"/>
        <filter val="2 169"/>
        <filter val="-2 169"/>
        <filter val="2 806"/>
        <filter val="245"/>
        <filter val="265"/>
        <filter val="338"/>
        <filter val="390"/>
        <filter val="392"/>
        <filter val="51 396"/>
        <filter val="52 310"/>
        <filter val="546"/>
        <filter val="568"/>
        <filter val="576"/>
        <filter val="58 249"/>
        <filter val="58 922"/>
        <filter val="596"/>
        <filter val="6 612"/>
        <filter val="64"/>
        <filter val="657"/>
        <filter val="660"/>
        <filter val="7 056"/>
        <filter val="70 381"/>
        <filter val="71 041"/>
        <filter val="8 653"/>
        <filter val="834"/>
        <filter val="92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31.oktobra saistošajiem noteikumiem Nr.46
(protokols Nr.14, 28.punkts)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showGridLines="0" view="pageLayout" zoomScaleNormal="100" workbookViewId="0">
      <selection activeCell="R9" sqref="R9"/>
    </sheetView>
  </sheetViews>
  <sheetFormatPr defaultColWidth="9.28515625" defaultRowHeight="15" outlineLevelCol="1" x14ac:dyDescent="0.25"/>
  <cols>
    <col min="1" max="1" width="10.7109375" customWidth="1"/>
    <col min="2" max="2" width="28" customWidth="1"/>
    <col min="3" max="3" width="8" customWidth="1"/>
    <col min="4" max="5" width="8.7109375" hidden="1" customWidth="1" outlineLevel="1"/>
    <col min="6" max="6" width="8.7109375" customWidth="1" collapsed="1"/>
    <col min="7" max="8" width="8.7109375" hidden="1" customWidth="1" outlineLevel="1"/>
    <col min="9" max="9" width="8.7109375" customWidth="1" collapsed="1"/>
    <col min="10" max="11" width="8.28515625" hidden="1" customWidth="1" outlineLevel="1"/>
    <col min="12" max="12" width="8.28515625" customWidth="1" collapsed="1"/>
    <col min="13" max="14" width="7.42578125" hidden="1" customWidth="1" outlineLevel="1"/>
    <col min="15" max="15" width="6.7109375" customWidth="1" collapsed="1"/>
    <col min="16" max="16" width="26.7109375" hidden="1" customWidth="1" outlineLevel="1"/>
    <col min="17" max="17" width="9.28515625" collapsed="1"/>
    <col min="257" max="257" width="10.7109375" customWidth="1"/>
    <col min="258" max="258" width="28" customWidth="1"/>
    <col min="259" max="259" width="8" customWidth="1"/>
    <col min="260" max="265" width="8.7109375" customWidth="1"/>
    <col min="266" max="268" width="8.28515625" customWidth="1"/>
    <col min="269" max="270" width="7.42578125" customWidth="1"/>
    <col min="271" max="271" width="6.7109375" customWidth="1"/>
    <col min="272" max="272" width="26.7109375" customWidth="1"/>
    <col min="513" max="513" width="10.7109375" customWidth="1"/>
    <col min="514" max="514" width="28" customWidth="1"/>
    <col min="515" max="515" width="8" customWidth="1"/>
    <col min="516" max="521" width="8.7109375" customWidth="1"/>
    <col min="522" max="524" width="8.28515625" customWidth="1"/>
    <col min="525" max="526" width="7.42578125" customWidth="1"/>
    <col min="527" max="527" width="6.7109375" customWidth="1"/>
    <col min="528" max="528" width="26.7109375" customWidth="1"/>
    <col min="769" max="769" width="10.7109375" customWidth="1"/>
    <col min="770" max="770" width="28" customWidth="1"/>
    <col min="771" max="771" width="8" customWidth="1"/>
    <col min="772" max="777" width="8.7109375" customWidth="1"/>
    <col min="778" max="780" width="8.28515625" customWidth="1"/>
    <col min="781" max="782" width="7.42578125" customWidth="1"/>
    <col min="783" max="783" width="6.7109375" customWidth="1"/>
    <col min="784" max="784" width="26.7109375" customWidth="1"/>
    <col min="1025" max="1025" width="10.7109375" customWidth="1"/>
    <col min="1026" max="1026" width="28" customWidth="1"/>
    <col min="1027" max="1027" width="8" customWidth="1"/>
    <col min="1028" max="1033" width="8.7109375" customWidth="1"/>
    <col min="1034" max="1036" width="8.28515625" customWidth="1"/>
    <col min="1037" max="1038" width="7.42578125" customWidth="1"/>
    <col min="1039" max="1039" width="6.7109375" customWidth="1"/>
    <col min="1040" max="1040" width="26.7109375" customWidth="1"/>
    <col min="1281" max="1281" width="10.7109375" customWidth="1"/>
    <col min="1282" max="1282" width="28" customWidth="1"/>
    <col min="1283" max="1283" width="8" customWidth="1"/>
    <col min="1284" max="1289" width="8.7109375" customWidth="1"/>
    <col min="1290" max="1292" width="8.28515625" customWidth="1"/>
    <col min="1293" max="1294" width="7.42578125" customWidth="1"/>
    <col min="1295" max="1295" width="6.7109375" customWidth="1"/>
    <col min="1296" max="1296" width="26.7109375" customWidth="1"/>
    <col min="1537" max="1537" width="10.7109375" customWidth="1"/>
    <col min="1538" max="1538" width="28" customWidth="1"/>
    <col min="1539" max="1539" width="8" customWidth="1"/>
    <col min="1540" max="1545" width="8.7109375" customWidth="1"/>
    <col min="1546" max="1548" width="8.28515625" customWidth="1"/>
    <col min="1549" max="1550" width="7.42578125" customWidth="1"/>
    <col min="1551" max="1551" width="6.7109375" customWidth="1"/>
    <col min="1552" max="1552" width="26.7109375" customWidth="1"/>
    <col min="1793" max="1793" width="10.7109375" customWidth="1"/>
    <col min="1794" max="1794" width="28" customWidth="1"/>
    <col min="1795" max="1795" width="8" customWidth="1"/>
    <col min="1796" max="1801" width="8.7109375" customWidth="1"/>
    <col min="1802" max="1804" width="8.28515625" customWidth="1"/>
    <col min="1805" max="1806" width="7.42578125" customWidth="1"/>
    <col min="1807" max="1807" width="6.7109375" customWidth="1"/>
    <col min="1808" max="1808" width="26.7109375" customWidth="1"/>
    <col min="2049" max="2049" width="10.7109375" customWidth="1"/>
    <col min="2050" max="2050" width="28" customWidth="1"/>
    <col min="2051" max="2051" width="8" customWidth="1"/>
    <col min="2052" max="2057" width="8.7109375" customWidth="1"/>
    <col min="2058" max="2060" width="8.28515625" customWidth="1"/>
    <col min="2061" max="2062" width="7.42578125" customWidth="1"/>
    <col min="2063" max="2063" width="6.7109375" customWidth="1"/>
    <col min="2064" max="2064" width="26.7109375" customWidth="1"/>
    <col min="2305" max="2305" width="10.7109375" customWidth="1"/>
    <col min="2306" max="2306" width="28" customWidth="1"/>
    <col min="2307" max="2307" width="8" customWidth="1"/>
    <col min="2308" max="2313" width="8.7109375" customWidth="1"/>
    <col min="2314" max="2316" width="8.28515625" customWidth="1"/>
    <col min="2317" max="2318" width="7.42578125" customWidth="1"/>
    <col min="2319" max="2319" width="6.7109375" customWidth="1"/>
    <col min="2320" max="2320" width="26.7109375" customWidth="1"/>
    <col min="2561" max="2561" width="10.7109375" customWidth="1"/>
    <col min="2562" max="2562" width="28" customWidth="1"/>
    <col min="2563" max="2563" width="8" customWidth="1"/>
    <col min="2564" max="2569" width="8.7109375" customWidth="1"/>
    <col min="2570" max="2572" width="8.28515625" customWidth="1"/>
    <col min="2573" max="2574" width="7.42578125" customWidth="1"/>
    <col min="2575" max="2575" width="6.7109375" customWidth="1"/>
    <col min="2576" max="2576" width="26.7109375" customWidth="1"/>
    <col min="2817" max="2817" width="10.7109375" customWidth="1"/>
    <col min="2818" max="2818" width="28" customWidth="1"/>
    <col min="2819" max="2819" width="8" customWidth="1"/>
    <col min="2820" max="2825" width="8.7109375" customWidth="1"/>
    <col min="2826" max="2828" width="8.28515625" customWidth="1"/>
    <col min="2829" max="2830" width="7.42578125" customWidth="1"/>
    <col min="2831" max="2831" width="6.7109375" customWidth="1"/>
    <col min="2832" max="2832" width="26.7109375" customWidth="1"/>
    <col min="3073" max="3073" width="10.7109375" customWidth="1"/>
    <col min="3074" max="3074" width="28" customWidth="1"/>
    <col min="3075" max="3075" width="8" customWidth="1"/>
    <col min="3076" max="3081" width="8.7109375" customWidth="1"/>
    <col min="3082" max="3084" width="8.28515625" customWidth="1"/>
    <col min="3085" max="3086" width="7.42578125" customWidth="1"/>
    <col min="3087" max="3087" width="6.7109375" customWidth="1"/>
    <col min="3088" max="3088" width="26.7109375" customWidth="1"/>
    <col min="3329" max="3329" width="10.7109375" customWidth="1"/>
    <col min="3330" max="3330" width="28" customWidth="1"/>
    <col min="3331" max="3331" width="8" customWidth="1"/>
    <col min="3332" max="3337" width="8.7109375" customWidth="1"/>
    <col min="3338" max="3340" width="8.28515625" customWidth="1"/>
    <col min="3341" max="3342" width="7.42578125" customWidth="1"/>
    <col min="3343" max="3343" width="6.7109375" customWidth="1"/>
    <col min="3344" max="3344" width="26.7109375" customWidth="1"/>
    <col min="3585" max="3585" width="10.7109375" customWidth="1"/>
    <col min="3586" max="3586" width="28" customWidth="1"/>
    <col min="3587" max="3587" width="8" customWidth="1"/>
    <col min="3588" max="3593" width="8.7109375" customWidth="1"/>
    <col min="3594" max="3596" width="8.28515625" customWidth="1"/>
    <col min="3597" max="3598" width="7.42578125" customWidth="1"/>
    <col min="3599" max="3599" width="6.7109375" customWidth="1"/>
    <col min="3600" max="3600" width="26.7109375" customWidth="1"/>
    <col min="3841" max="3841" width="10.7109375" customWidth="1"/>
    <col min="3842" max="3842" width="28" customWidth="1"/>
    <col min="3843" max="3843" width="8" customWidth="1"/>
    <col min="3844" max="3849" width="8.7109375" customWidth="1"/>
    <col min="3850" max="3852" width="8.28515625" customWidth="1"/>
    <col min="3853" max="3854" width="7.42578125" customWidth="1"/>
    <col min="3855" max="3855" width="6.7109375" customWidth="1"/>
    <col min="3856" max="3856" width="26.7109375" customWidth="1"/>
    <col min="4097" max="4097" width="10.7109375" customWidth="1"/>
    <col min="4098" max="4098" width="28" customWidth="1"/>
    <col min="4099" max="4099" width="8" customWidth="1"/>
    <col min="4100" max="4105" width="8.7109375" customWidth="1"/>
    <col min="4106" max="4108" width="8.28515625" customWidth="1"/>
    <col min="4109" max="4110" width="7.42578125" customWidth="1"/>
    <col min="4111" max="4111" width="6.7109375" customWidth="1"/>
    <col min="4112" max="4112" width="26.7109375" customWidth="1"/>
    <col min="4353" max="4353" width="10.7109375" customWidth="1"/>
    <col min="4354" max="4354" width="28" customWidth="1"/>
    <col min="4355" max="4355" width="8" customWidth="1"/>
    <col min="4356" max="4361" width="8.7109375" customWidth="1"/>
    <col min="4362" max="4364" width="8.28515625" customWidth="1"/>
    <col min="4365" max="4366" width="7.42578125" customWidth="1"/>
    <col min="4367" max="4367" width="6.7109375" customWidth="1"/>
    <col min="4368" max="4368" width="26.7109375" customWidth="1"/>
    <col min="4609" max="4609" width="10.7109375" customWidth="1"/>
    <col min="4610" max="4610" width="28" customWidth="1"/>
    <col min="4611" max="4611" width="8" customWidth="1"/>
    <col min="4612" max="4617" width="8.7109375" customWidth="1"/>
    <col min="4618" max="4620" width="8.28515625" customWidth="1"/>
    <col min="4621" max="4622" width="7.42578125" customWidth="1"/>
    <col min="4623" max="4623" width="6.7109375" customWidth="1"/>
    <col min="4624" max="4624" width="26.7109375" customWidth="1"/>
    <col min="4865" max="4865" width="10.7109375" customWidth="1"/>
    <col min="4866" max="4866" width="28" customWidth="1"/>
    <col min="4867" max="4867" width="8" customWidth="1"/>
    <col min="4868" max="4873" width="8.7109375" customWidth="1"/>
    <col min="4874" max="4876" width="8.28515625" customWidth="1"/>
    <col min="4877" max="4878" width="7.42578125" customWidth="1"/>
    <col min="4879" max="4879" width="6.7109375" customWidth="1"/>
    <col min="4880" max="4880" width="26.7109375" customWidth="1"/>
    <col min="5121" max="5121" width="10.7109375" customWidth="1"/>
    <col min="5122" max="5122" width="28" customWidth="1"/>
    <col min="5123" max="5123" width="8" customWidth="1"/>
    <col min="5124" max="5129" width="8.7109375" customWidth="1"/>
    <col min="5130" max="5132" width="8.28515625" customWidth="1"/>
    <col min="5133" max="5134" width="7.42578125" customWidth="1"/>
    <col min="5135" max="5135" width="6.7109375" customWidth="1"/>
    <col min="5136" max="5136" width="26.7109375" customWidth="1"/>
    <col min="5377" max="5377" width="10.7109375" customWidth="1"/>
    <col min="5378" max="5378" width="28" customWidth="1"/>
    <col min="5379" max="5379" width="8" customWidth="1"/>
    <col min="5380" max="5385" width="8.7109375" customWidth="1"/>
    <col min="5386" max="5388" width="8.28515625" customWidth="1"/>
    <col min="5389" max="5390" width="7.42578125" customWidth="1"/>
    <col min="5391" max="5391" width="6.7109375" customWidth="1"/>
    <col min="5392" max="5392" width="26.7109375" customWidth="1"/>
    <col min="5633" max="5633" width="10.7109375" customWidth="1"/>
    <col min="5634" max="5634" width="28" customWidth="1"/>
    <col min="5635" max="5635" width="8" customWidth="1"/>
    <col min="5636" max="5641" width="8.7109375" customWidth="1"/>
    <col min="5642" max="5644" width="8.28515625" customWidth="1"/>
    <col min="5645" max="5646" width="7.42578125" customWidth="1"/>
    <col min="5647" max="5647" width="6.7109375" customWidth="1"/>
    <col min="5648" max="5648" width="26.7109375" customWidth="1"/>
    <col min="5889" max="5889" width="10.7109375" customWidth="1"/>
    <col min="5890" max="5890" width="28" customWidth="1"/>
    <col min="5891" max="5891" width="8" customWidth="1"/>
    <col min="5892" max="5897" width="8.7109375" customWidth="1"/>
    <col min="5898" max="5900" width="8.28515625" customWidth="1"/>
    <col min="5901" max="5902" width="7.42578125" customWidth="1"/>
    <col min="5903" max="5903" width="6.7109375" customWidth="1"/>
    <col min="5904" max="5904" width="26.7109375" customWidth="1"/>
    <col min="6145" max="6145" width="10.7109375" customWidth="1"/>
    <col min="6146" max="6146" width="28" customWidth="1"/>
    <col min="6147" max="6147" width="8" customWidth="1"/>
    <col min="6148" max="6153" width="8.7109375" customWidth="1"/>
    <col min="6154" max="6156" width="8.28515625" customWidth="1"/>
    <col min="6157" max="6158" width="7.42578125" customWidth="1"/>
    <col min="6159" max="6159" width="6.7109375" customWidth="1"/>
    <col min="6160" max="6160" width="26.7109375" customWidth="1"/>
    <col min="6401" max="6401" width="10.7109375" customWidth="1"/>
    <col min="6402" max="6402" width="28" customWidth="1"/>
    <col min="6403" max="6403" width="8" customWidth="1"/>
    <col min="6404" max="6409" width="8.7109375" customWidth="1"/>
    <col min="6410" max="6412" width="8.28515625" customWidth="1"/>
    <col min="6413" max="6414" width="7.42578125" customWidth="1"/>
    <col min="6415" max="6415" width="6.7109375" customWidth="1"/>
    <col min="6416" max="6416" width="26.7109375" customWidth="1"/>
    <col min="6657" max="6657" width="10.7109375" customWidth="1"/>
    <col min="6658" max="6658" width="28" customWidth="1"/>
    <col min="6659" max="6659" width="8" customWidth="1"/>
    <col min="6660" max="6665" width="8.7109375" customWidth="1"/>
    <col min="6666" max="6668" width="8.28515625" customWidth="1"/>
    <col min="6669" max="6670" width="7.42578125" customWidth="1"/>
    <col min="6671" max="6671" width="6.7109375" customWidth="1"/>
    <col min="6672" max="6672" width="26.7109375" customWidth="1"/>
    <col min="6913" max="6913" width="10.7109375" customWidth="1"/>
    <col min="6914" max="6914" width="28" customWidth="1"/>
    <col min="6915" max="6915" width="8" customWidth="1"/>
    <col min="6916" max="6921" width="8.7109375" customWidth="1"/>
    <col min="6922" max="6924" width="8.28515625" customWidth="1"/>
    <col min="6925" max="6926" width="7.42578125" customWidth="1"/>
    <col min="6927" max="6927" width="6.7109375" customWidth="1"/>
    <col min="6928" max="6928" width="26.7109375" customWidth="1"/>
    <col min="7169" max="7169" width="10.7109375" customWidth="1"/>
    <col min="7170" max="7170" width="28" customWidth="1"/>
    <col min="7171" max="7171" width="8" customWidth="1"/>
    <col min="7172" max="7177" width="8.7109375" customWidth="1"/>
    <col min="7178" max="7180" width="8.28515625" customWidth="1"/>
    <col min="7181" max="7182" width="7.42578125" customWidth="1"/>
    <col min="7183" max="7183" width="6.7109375" customWidth="1"/>
    <col min="7184" max="7184" width="26.7109375" customWidth="1"/>
    <col min="7425" max="7425" width="10.7109375" customWidth="1"/>
    <col min="7426" max="7426" width="28" customWidth="1"/>
    <col min="7427" max="7427" width="8" customWidth="1"/>
    <col min="7428" max="7433" width="8.7109375" customWidth="1"/>
    <col min="7434" max="7436" width="8.28515625" customWidth="1"/>
    <col min="7437" max="7438" width="7.42578125" customWidth="1"/>
    <col min="7439" max="7439" width="6.7109375" customWidth="1"/>
    <col min="7440" max="7440" width="26.7109375" customWidth="1"/>
    <col min="7681" max="7681" width="10.7109375" customWidth="1"/>
    <col min="7682" max="7682" width="28" customWidth="1"/>
    <col min="7683" max="7683" width="8" customWidth="1"/>
    <col min="7684" max="7689" width="8.7109375" customWidth="1"/>
    <col min="7690" max="7692" width="8.28515625" customWidth="1"/>
    <col min="7693" max="7694" width="7.42578125" customWidth="1"/>
    <col min="7695" max="7695" width="6.7109375" customWidth="1"/>
    <col min="7696" max="7696" width="26.7109375" customWidth="1"/>
    <col min="7937" max="7937" width="10.7109375" customWidth="1"/>
    <col min="7938" max="7938" width="28" customWidth="1"/>
    <col min="7939" max="7939" width="8" customWidth="1"/>
    <col min="7940" max="7945" width="8.7109375" customWidth="1"/>
    <col min="7946" max="7948" width="8.28515625" customWidth="1"/>
    <col min="7949" max="7950" width="7.42578125" customWidth="1"/>
    <col min="7951" max="7951" width="6.7109375" customWidth="1"/>
    <col min="7952" max="7952" width="26.7109375" customWidth="1"/>
    <col min="8193" max="8193" width="10.7109375" customWidth="1"/>
    <col min="8194" max="8194" width="28" customWidth="1"/>
    <col min="8195" max="8195" width="8" customWidth="1"/>
    <col min="8196" max="8201" width="8.7109375" customWidth="1"/>
    <col min="8202" max="8204" width="8.28515625" customWidth="1"/>
    <col min="8205" max="8206" width="7.42578125" customWidth="1"/>
    <col min="8207" max="8207" width="6.7109375" customWidth="1"/>
    <col min="8208" max="8208" width="26.7109375" customWidth="1"/>
    <col min="8449" max="8449" width="10.7109375" customWidth="1"/>
    <col min="8450" max="8450" width="28" customWidth="1"/>
    <col min="8451" max="8451" width="8" customWidth="1"/>
    <col min="8452" max="8457" width="8.7109375" customWidth="1"/>
    <col min="8458" max="8460" width="8.28515625" customWidth="1"/>
    <col min="8461" max="8462" width="7.42578125" customWidth="1"/>
    <col min="8463" max="8463" width="6.7109375" customWidth="1"/>
    <col min="8464" max="8464" width="26.7109375" customWidth="1"/>
    <col min="8705" max="8705" width="10.7109375" customWidth="1"/>
    <col min="8706" max="8706" width="28" customWidth="1"/>
    <col min="8707" max="8707" width="8" customWidth="1"/>
    <col min="8708" max="8713" width="8.7109375" customWidth="1"/>
    <col min="8714" max="8716" width="8.28515625" customWidth="1"/>
    <col min="8717" max="8718" width="7.42578125" customWidth="1"/>
    <col min="8719" max="8719" width="6.7109375" customWidth="1"/>
    <col min="8720" max="8720" width="26.7109375" customWidth="1"/>
    <col min="8961" max="8961" width="10.7109375" customWidth="1"/>
    <col min="8962" max="8962" width="28" customWidth="1"/>
    <col min="8963" max="8963" width="8" customWidth="1"/>
    <col min="8964" max="8969" width="8.7109375" customWidth="1"/>
    <col min="8970" max="8972" width="8.28515625" customWidth="1"/>
    <col min="8973" max="8974" width="7.42578125" customWidth="1"/>
    <col min="8975" max="8975" width="6.7109375" customWidth="1"/>
    <col min="8976" max="8976" width="26.7109375" customWidth="1"/>
    <col min="9217" max="9217" width="10.7109375" customWidth="1"/>
    <col min="9218" max="9218" width="28" customWidth="1"/>
    <col min="9219" max="9219" width="8" customWidth="1"/>
    <col min="9220" max="9225" width="8.7109375" customWidth="1"/>
    <col min="9226" max="9228" width="8.28515625" customWidth="1"/>
    <col min="9229" max="9230" width="7.42578125" customWidth="1"/>
    <col min="9231" max="9231" width="6.7109375" customWidth="1"/>
    <col min="9232" max="9232" width="26.7109375" customWidth="1"/>
    <col min="9473" max="9473" width="10.7109375" customWidth="1"/>
    <col min="9474" max="9474" width="28" customWidth="1"/>
    <col min="9475" max="9475" width="8" customWidth="1"/>
    <col min="9476" max="9481" width="8.7109375" customWidth="1"/>
    <col min="9482" max="9484" width="8.28515625" customWidth="1"/>
    <col min="9485" max="9486" width="7.42578125" customWidth="1"/>
    <col min="9487" max="9487" width="6.7109375" customWidth="1"/>
    <col min="9488" max="9488" width="26.7109375" customWidth="1"/>
    <col min="9729" max="9729" width="10.7109375" customWidth="1"/>
    <col min="9730" max="9730" width="28" customWidth="1"/>
    <col min="9731" max="9731" width="8" customWidth="1"/>
    <col min="9732" max="9737" width="8.7109375" customWidth="1"/>
    <col min="9738" max="9740" width="8.28515625" customWidth="1"/>
    <col min="9741" max="9742" width="7.42578125" customWidth="1"/>
    <col min="9743" max="9743" width="6.7109375" customWidth="1"/>
    <col min="9744" max="9744" width="26.7109375" customWidth="1"/>
    <col min="9985" max="9985" width="10.7109375" customWidth="1"/>
    <col min="9986" max="9986" width="28" customWidth="1"/>
    <col min="9987" max="9987" width="8" customWidth="1"/>
    <col min="9988" max="9993" width="8.7109375" customWidth="1"/>
    <col min="9994" max="9996" width="8.28515625" customWidth="1"/>
    <col min="9997" max="9998" width="7.42578125" customWidth="1"/>
    <col min="9999" max="9999" width="6.7109375" customWidth="1"/>
    <col min="10000" max="10000" width="26.7109375" customWidth="1"/>
    <col min="10241" max="10241" width="10.7109375" customWidth="1"/>
    <col min="10242" max="10242" width="28" customWidth="1"/>
    <col min="10243" max="10243" width="8" customWidth="1"/>
    <col min="10244" max="10249" width="8.7109375" customWidth="1"/>
    <col min="10250" max="10252" width="8.28515625" customWidth="1"/>
    <col min="10253" max="10254" width="7.42578125" customWidth="1"/>
    <col min="10255" max="10255" width="6.7109375" customWidth="1"/>
    <col min="10256" max="10256" width="26.7109375" customWidth="1"/>
    <col min="10497" max="10497" width="10.7109375" customWidth="1"/>
    <col min="10498" max="10498" width="28" customWidth="1"/>
    <col min="10499" max="10499" width="8" customWidth="1"/>
    <col min="10500" max="10505" width="8.7109375" customWidth="1"/>
    <col min="10506" max="10508" width="8.28515625" customWidth="1"/>
    <col min="10509" max="10510" width="7.42578125" customWidth="1"/>
    <col min="10511" max="10511" width="6.7109375" customWidth="1"/>
    <col min="10512" max="10512" width="26.7109375" customWidth="1"/>
    <col min="10753" max="10753" width="10.7109375" customWidth="1"/>
    <col min="10754" max="10754" width="28" customWidth="1"/>
    <col min="10755" max="10755" width="8" customWidth="1"/>
    <col min="10756" max="10761" width="8.7109375" customWidth="1"/>
    <col min="10762" max="10764" width="8.28515625" customWidth="1"/>
    <col min="10765" max="10766" width="7.42578125" customWidth="1"/>
    <col min="10767" max="10767" width="6.7109375" customWidth="1"/>
    <col min="10768" max="10768" width="26.7109375" customWidth="1"/>
    <col min="11009" max="11009" width="10.7109375" customWidth="1"/>
    <col min="11010" max="11010" width="28" customWidth="1"/>
    <col min="11011" max="11011" width="8" customWidth="1"/>
    <col min="11012" max="11017" width="8.7109375" customWidth="1"/>
    <col min="11018" max="11020" width="8.28515625" customWidth="1"/>
    <col min="11021" max="11022" width="7.42578125" customWidth="1"/>
    <col min="11023" max="11023" width="6.7109375" customWidth="1"/>
    <col min="11024" max="11024" width="26.7109375" customWidth="1"/>
    <col min="11265" max="11265" width="10.7109375" customWidth="1"/>
    <col min="11266" max="11266" width="28" customWidth="1"/>
    <col min="11267" max="11267" width="8" customWidth="1"/>
    <col min="11268" max="11273" width="8.7109375" customWidth="1"/>
    <col min="11274" max="11276" width="8.28515625" customWidth="1"/>
    <col min="11277" max="11278" width="7.42578125" customWidth="1"/>
    <col min="11279" max="11279" width="6.7109375" customWidth="1"/>
    <col min="11280" max="11280" width="26.7109375" customWidth="1"/>
    <col min="11521" max="11521" width="10.7109375" customWidth="1"/>
    <col min="11522" max="11522" width="28" customWidth="1"/>
    <col min="11523" max="11523" width="8" customWidth="1"/>
    <col min="11524" max="11529" width="8.7109375" customWidth="1"/>
    <col min="11530" max="11532" width="8.28515625" customWidth="1"/>
    <col min="11533" max="11534" width="7.42578125" customWidth="1"/>
    <col min="11535" max="11535" width="6.7109375" customWidth="1"/>
    <col min="11536" max="11536" width="26.7109375" customWidth="1"/>
    <col min="11777" max="11777" width="10.7109375" customWidth="1"/>
    <col min="11778" max="11778" width="28" customWidth="1"/>
    <col min="11779" max="11779" width="8" customWidth="1"/>
    <col min="11780" max="11785" width="8.7109375" customWidth="1"/>
    <col min="11786" max="11788" width="8.28515625" customWidth="1"/>
    <col min="11789" max="11790" width="7.42578125" customWidth="1"/>
    <col min="11791" max="11791" width="6.7109375" customWidth="1"/>
    <col min="11792" max="11792" width="26.7109375" customWidth="1"/>
    <col min="12033" max="12033" width="10.7109375" customWidth="1"/>
    <col min="12034" max="12034" width="28" customWidth="1"/>
    <col min="12035" max="12035" width="8" customWidth="1"/>
    <col min="12036" max="12041" width="8.7109375" customWidth="1"/>
    <col min="12042" max="12044" width="8.28515625" customWidth="1"/>
    <col min="12045" max="12046" width="7.42578125" customWidth="1"/>
    <col min="12047" max="12047" width="6.7109375" customWidth="1"/>
    <col min="12048" max="12048" width="26.7109375" customWidth="1"/>
    <col min="12289" max="12289" width="10.7109375" customWidth="1"/>
    <col min="12290" max="12290" width="28" customWidth="1"/>
    <col min="12291" max="12291" width="8" customWidth="1"/>
    <col min="12292" max="12297" width="8.7109375" customWidth="1"/>
    <col min="12298" max="12300" width="8.28515625" customWidth="1"/>
    <col min="12301" max="12302" width="7.42578125" customWidth="1"/>
    <col min="12303" max="12303" width="6.7109375" customWidth="1"/>
    <col min="12304" max="12304" width="26.7109375" customWidth="1"/>
    <col min="12545" max="12545" width="10.7109375" customWidth="1"/>
    <col min="12546" max="12546" width="28" customWidth="1"/>
    <col min="12547" max="12547" width="8" customWidth="1"/>
    <col min="12548" max="12553" width="8.7109375" customWidth="1"/>
    <col min="12554" max="12556" width="8.28515625" customWidth="1"/>
    <col min="12557" max="12558" width="7.42578125" customWidth="1"/>
    <col min="12559" max="12559" width="6.7109375" customWidth="1"/>
    <col min="12560" max="12560" width="26.7109375" customWidth="1"/>
    <col min="12801" max="12801" width="10.7109375" customWidth="1"/>
    <col min="12802" max="12802" width="28" customWidth="1"/>
    <col min="12803" max="12803" width="8" customWidth="1"/>
    <col min="12804" max="12809" width="8.7109375" customWidth="1"/>
    <col min="12810" max="12812" width="8.28515625" customWidth="1"/>
    <col min="12813" max="12814" width="7.42578125" customWidth="1"/>
    <col min="12815" max="12815" width="6.7109375" customWidth="1"/>
    <col min="12816" max="12816" width="26.7109375" customWidth="1"/>
    <col min="13057" max="13057" width="10.7109375" customWidth="1"/>
    <col min="13058" max="13058" width="28" customWidth="1"/>
    <col min="13059" max="13059" width="8" customWidth="1"/>
    <col min="13060" max="13065" width="8.7109375" customWidth="1"/>
    <col min="13066" max="13068" width="8.28515625" customWidth="1"/>
    <col min="13069" max="13070" width="7.42578125" customWidth="1"/>
    <col min="13071" max="13071" width="6.7109375" customWidth="1"/>
    <col min="13072" max="13072" width="26.7109375" customWidth="1"/>
    <col min="13313" max="13313" width="10.7109375" customWidth="1"/>
    <col min="13314" max="13314" width="28" customWidth="1"/>
    <col min="13315" max="13315" width="8" customWidth="1"/>
    <col min="13316" max="13321" width="8.7109375" customWidth="1"/>
    <col min="13322" max="13324" width="8.28515625" customWidth="1"/>
    <col min="13325" max="13326" width="7.42578125" customWidth="1"/>
    <col min="13327" max="13327" width="6.7109375" customWidth="1"/>
    <col min="13328" max="13328" width="26.7109375" customWidth="1"/>
    <col min="13569" max="13569" width="10.7109375" customWidth="1"/>
    <col min="13570" max="13570" width="28" customWidth="1"/>
    <col min="13571" max="13571" width="8" customWidth="1"/>
    <col min="13572" max="13577" width="8.7109375" customWidth="1"/>
    <col min="13578" max="13580" width="8.28515625" customWidth="1"/>
    <col min="13581" max="13582" width="7.42578125" customWidth="1"/>
    <col min="13583" max="13583" width="6.7109375" customWidth="1"/>
    <col min="13584" max="13584" width="26.7109375" customWidth="1"/>
    <col min="13825" max="13825" width="10.7109375" customWidth="1"/>
    <col min="13826" max="13826" width="28" customWidth="1"/>
    <col min="13827" max="13827" width="8" customWidth="1"/>
    <col min="13828" max="13833" width="8.7109375" customWidth="1"/>
    <col min="13834" max="13836" width="8.28515625" customWidth="1"/>
    <col min="13837" max="13838" width="7.42578125" customWidth="1"/>
    <col min="13839" max="13839" width="6.7109375" customWidth="1"/>
    <col min="13840" max="13840" width="26.7109375" customWidth="1"/>
    <col min="14081" max="14081" width="10.7109375" customWidth="1"/>
    <col min="14082" max="14082" width="28" customWidth="1"/>
    <col min="14083" max="14083" width="8" customWidth="1"/>
    <col min="14084" max="14089" width="8.7109375" customWidth="1"/>
    <col min="14090" max="14092" width="8.28515625" customWidth="1"/>
    <col min="14093" max="14094" width="7.42578125" customWidth="1"/>
    <col min="14095" max="14095" width="6.7109375" customWidth="1"/>
    <col min="14096" max="14096" width="26.7109375" customWidth="1"/>
    <col min="14337" max="14337" width="10.7109375" customWidth="1"/>
    <col min="14338" max="14338" width="28" customWidth="1"/>
    <col min="14339" max="14339" width="8" customWidth="1"/>
    <col min="14340" max="14345" width="8.7109375" customWidth="1"/>
    <col min="14346" max="14348" width="8.28515625" customWidth="1"/>
    <col min="14349" max="14350" width="7.42578125" customWidth="1"/>
    <col min="14351" max="14351" width="6.7109375" customWidth="1"/>
    <col min="14352" max="14352" width="26.7109375" customWidth="1"/>
    <col min="14593" max="14593" width="10.7109375" customWidth="1"/>
    <col min="14594" max="14594" width="28" customWidth="1"/>
    <col min="14595" max="14595" width="8" customWidth="1"/>
    <col min="14596" max="14601" width="8.7109375" customWidth="1"/>
    <col min="14602" max="14604" width="8.28515625" customWidth="1"/>
    <col min="14605" max="14606" width="7.42578125" customWidth="1"/>
    <col min="14607" max="14607" width="6.7109375" customWidth="1"/>
    <col min="14608" max="14608" width="26.7109375" customWidth="1"/>
    <col min="14849" max="14849" width="10.7109375" customWidth="1"/>
    <col min="14850" max="14850" width="28" customWidth="1"/>
    <col min="14851" max="14851" width="8" customWidth="1"/>
    <col min="14852" max="14857" width="8.7109375" customWidth="1"/>
    <col min="14858" max="14860" width="8.28515625" customWidth="1"/>
    <col min="14861" max="14862" width="7.42578125" customWidth="1"/>
    <col min="14863" max="14863" width="6.7109375" customWidth="1"/>
    <col min="14864" max="14864" width="26.7109375" customWidth="1"/>
    <col min="15105" max="15105" width="10.7109375" customWidth="1"/>
    <col min="15106" max="15106" width="28" customWidth="1"/>
    <col min="15107" max="15107" width="8" customWidth="1"/>
    <col min="15108" max="15113" width="8.7109375" customWidth="1"/>
    <col min="15114" max="15116" width="8.28515625" customWidth="1"/>
    <col min="15117" max="15118" width="7.42578125" customWidth="1"/>
    <col min="15119" max="15119" width="6.7109375" customWidth="1"/>
    <col min="15120" max="15120" width="26.7109375" customWidth="1"/>
    <col min="15361" max="15361" width="10.7109375" customWidth="1"/>
    <col min="15362" max="15362" width="28" customWidth="1"/>
    <col min="15363" max="15363" width="8" customWidth="1"/>
    <col min="15364" max="15369" width="8.7109375" customWidth="1"/>
    <col min="15370" max="15372" width="8.28515625" customWidth="1"/>
    <col min="15373" max="15374" width="7.42578125" customWidth="1"/>
    <col min="15375" max="15375" width="6.7109375" customWidth="1"/>
    <col min="15376" max="15376" width="26.7109375" customWidth="1"/>
    <col min="15617" max="15617" width="10.7109375" customWidth="1"/>
    <col min="15618" max="15618" width="28" customWidth="1"/>
    <col min="15619" max="15619" width="8" customWidth="1"/>
    <col min="15620" max="15625" width="8.7109375" customWidth="1"/>
    <col min="15626" max="15628" width="8.28515625" customWidth="1"/>
    <col min="15629" max="15630" width="7.42578125" customWidth="1"/>
    <col min="15631" max="15631" width="6.7109375" customWidth="1"/>
    <col min="15632" max="15632" width="26.7109375" customWidth="1"/>
    <col min="15873" max="15873" width="10.7109375" customWidth="1"/>
    <col min="15874" max="15874" width="28" customWidth="1"/>
    <col min="15875" max="15875" width="8" customWidth="1"/>
    <col min="15876" max="15881" width="8.7109375" customWidth="1"/>
    <col min="15882" max="15884" width="8.28515625" customWidth="1"/>
    <col min="15885" max="15886" width="7.42578125" customWidth="1"/>
    <col min="15887" max="15887" width="6.7109375" customWidth="1"/>
    <col min="15888" max="15888" width="26.7109375" customWidth="1"/>
    <col min="16129" max="16129" width="10.7109375" customWidth="1"/>
    <col min="16130" max="16130" width="28" customWidth="1"/>
    <col min="16131" max="16131" width="8" customWidth="1"/>
    <col min="16132" max="16137" width="8.7109375" customWidth="1"/>
    <col min="16138" max="16140" width="8.28515625" customWidth="1"/>
    <col min="16141" max="16142" width="7.42578125" customWidth="1"/>
    <col min="16143" max="16143" width="6.7109375" customWidth="1"/>
    <col min="16144" max="16144" width="26.7109375" customWidth="1"/>
  </cols>
  <sheetData>
    <row r="1" spans="1:17" x14ac:dyDescent="0.25">
      <c r="A1" s="1"/>
      <c r="B1" s="1"/>
      <c r="C1" s="1"/>
      <c r="D1" s="730"/>
      <c r="E1" s="730"/>
      <c r="F1" s="730"/>
      <c r="G1" s="730"/>
      <c r="H1" s="730"/>
      <c r="I1" s="730"/>
      <c r="J1" s="730"/>
      <c r="K1" s="730"/>
      <c r="L1" s="730"/>
      <c r="M1" s="1"/>
      <c r="N1" s="2"/>
      <c r="O1" s="3" t="s">
        <v>897</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898</v>
      </c>
      <c r="D3" s="1517"/>
      <c r="E3" s="1517"/>
      <c r="F3" s="1517"/>
      <c r="G3" s="1517"/>
      <c r="H3" s="1517"/>
      <c r="I3" s="1517"/>
      <c r="J3" s="1517"/>
      <c r="K3" s="1517"/>
      <c r="L3" s="1517"/>
      <c r="M3" s="1517"/>
      <c r="N3" s="1517"/>
      <c r="O3" s="1517"/>
      <c r="P3" s="1518"/>
      <c r="Q3" s="853"/>
    </row>
    <row r="4" spans="1:17" ht="12.75" customHeight="1" x14ac:dyDescent="0.25">
      <c r="A4" s="5" t="s">
        <v>4</v>
      </c>
      <c r="B4" s="6"/>
      <c r="C4" s="1517" t="s">
        <v>899</v>
      </c>
      <c r="D4" s="1517"/>
      <c r="E4" s="1517"/>
      <c r="F4" s="1517"/>
      <c r="G4" s="1517"/>
      <c r="H4" s="1517"/>
      <c r="I4" s="1517"/>
      <c r="J4" s="1517"/>
      <c r="K4" s="1517"/>
      <c r="L4" s="1517"/>
      <c r="M4" s="1517"/>
      <c r="N4" s="1517"/>
      <c r="O4" s="1517"/>
      <c r="P4" s="1518"/>
      <c r="Q4" s="853"/>
    </row>
    <row r="5" spans="1:17" ht="12.75" customHeight="1" x14ac:dyDescent="0.25">
      <c r="A5" s="7" t="s">
        <v>6</v>
      </c>
      <c r="B5" s="8"/>
      <c r="C5" s="1512" t="s">
        <v>900</v>
      </c>
      <c r="D5" s="1512"/>
      <c r="E5" s="1512"/>
      <c r="F5" s="1512"/>
      <c r="G5" s="1512"/>
      <c r="H5" s="1512"/>
      <c r="I5" s="1512"/>
      <c r="J5" s="1512"/>
      <c r="K5" s="1512"/>
      <c r="L5" s="1512"/>
      <c r="M5" s="1512"/>
      <c r="N5" s="1512"/>
      <c r="O5" s="1512"/>
      <c r="P5" s="1513"/>
      <c r="Q5" s="853"/>
    </row>
    <row r="6" spans="1:17" ht="12.75" customHeight="1" x14ac:dyDescent="0.25">
      <c r="A6" s="7" t="s">
        <v>8</v>
      </c>
      <c r="B6" s="8"/>
      <c r="C6" s="1512" t="s">
        <v>785</v>
      </c>
      <c r="D6" s="1512"/>
      <c r="E6" s="1512"/>
      <c r="F6" s="1512"/>
      <c r="G6" s="1512"/>
      <c r="H6" s="1512"/>
      <c r="I6" s="1512"/>
      <c r="J6" s="1512"/>
      <c r="K6" s="1512"/>
      <c r="L6" s="1512"/>
      <c r="M6" s="1512"/>
      <c r="N6" s="1512"/>
      <c r="O6" s="1512"/>
      <c r="P6" s="1513"/>
      <c r="Q6" s="853"/>
    </row>
    <row r="7" spans="1:17" ht="25.5" customHeight="1" x14ac:dyDescent="0.25">
      <c r="A7" s="7" t="s">
        <v>10</v>
      </c>
      <c r="B7" s="8"/>
      <c r="C7" s="1517" t="s">
        <v>799</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901</v>
      </c>
      <c r="D9" s="1512"/>
      <c r="E9" s="1512"/>
      <c r="F9" s="1512"/>
      <c r="G9" s="1512"/>
      <c r="H9" s="1512"/>
      <c r="I9" s="1512"/>
      <c r="J9" s="1512"/>
      <c r="K9" s="1512"/>
      <c r="L9" s="1512"/>
      <c r="M9" s="1512"/>
      <c r="N9" s="1512"/>
      <c r="O9" s="1512"/>
      <c r="P9" s="1513"/>
      <c r="Q9" s="853"/>
    </row>
    <row r="10" spans="1:17" ht="12.75" customHeight="1" x14ac:dyDescent="0.25">
      <c r="A10" s="7"/>
      <c r="B10" s="8" t="s">
        <v>15</v>
      </c>
      <c r="C10" s="1512" t="s">
        <v>902</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t="s">
        <v>903</v>
      </c>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54" t="s">
        <v>23</v>
      </c>
      <c r="E16" s="1556" t="s">
        <v>24</v>
      </c>
      <c r="F16" s="1558" t="s">
        <v>25</v>
      </c>
      <c r="G16" s="1552" t="s">
        <v>26</v>
      </c>
      <c r="H16" s="1553" t="s">
        <v>27</v>
      </c>
      <c r="I16" s="1551" t="s">
        <v>28</v>
      </c>
      <c r="J16" s="1552" t="s">
        <v>29</v>
      </c>
      <c r="K16" s="1553" t="s">
        <v>30</v>
      </c>
      <c r="L16" s="1551" t="s">
        <v>31</v>
      </c>
      <c r="M16" s="1539" t="s">
        <v>32</v>
      </c>
      <c r="N16" s="1540" t="s">
        <v>33</v>
      </c>
      <c r="O16" s="1541" t="s">
        <v>34</v>
      </c>
      <c r="P16" s="1542" t="s">
        <v>35</v>
      </c>
    </row>
    <row r="17" spans="1:16" s="13" customFormat="1" ht="70.5" customHeight="1" thickBot="1" x14ac:dyDescent="0.3">
      <c r="A17" s="1525"/>
      <c r="B17" s="1527"/>
      <c r="C17" s="1532"/>
      <c r="D17" s="1555"/>
      <c r="E17" s="1557"/>
      <c r="F17" s="1559"/>
      <c r="G17" s="1552"/>
      <c r="H17" s="1553"/>
      <c r="I17" s="1551"/>
      <c r="J17" s="1552"/>
      <c r="K17" s="1553"/>
      <c r="L17" s="1551"/>
      <c r="M17" s="1539"/>
      <c r="N17" s="1540"/>
      <c r="O17" s="1541"/>
      <c r="P17" s="1543"/>
    </row>
    <row r="18" spans="1:16" s="13" customFormat="1" ht="9.75" customHeight="1" thickTop="1" x14ac:dyDescent="0.25">
      <c r="A18" s="14" t="s">
        <v>36</v>
      </c>
      <c r="B18" s="14">
        <v>2</v>
      </c>
      <c r="C18" s="15">
        <v>3</v>
      </c>
      <c r="D18" s="731">
        <v>4</v>
      </c>
      <c r="E18" s="732">
        <v>5</v>
      </c>
      <c r="F18" s="733">
        <v>6</v>
      </c>
      <c r="G18" s="731">
        <v>7</v>
      </c>
      <c r="H18" s="734">
        <v>8</v>
      </c>
      <c r="I18" s="735">
        <v>9</v>
      </c>
      <c r="J18" s="734">
        <v>10</v>
      </c>
      <c r="K18" s="732">
        <v>11</v>
      </c>
      <c r="L18" s="736">
        <v>12</v>
      </c>
      <c r="M18" s="15">
        <v>13</v>
      </c>
      <c r="N18" s="17">
        <v>14</v>
      </c>
      <c r="O18" s="20">
        <v>15</v>
      </c>
      <c r="P18" s="20">
        <v>16</v>
      </c>
    </row>
    <row r="19" spans="1:16" s="28" customFormat="1" ht="12" hidden="1" customHeight="1" x14ac:dyDescent="0.25">
      <c r="A19" s="22"/>
      <c r="B19" s="23" t="s">
        <v>37</v>
      </c>
      <c r="C19" s="24"/>
      <c r="D19" s="737"/>
      <c r="E19" s="738"/>
      <c r="F19" s="739"/>
      <c r="G19" s="737"/>
      <c r="H19" s="738"/>
      <c r="I19" s="739"/>
      <c r="J19" s="737"/>
      <c r="K19" s="738"/>
      <c r="L19" s="739"/>
      <c r="M19" s="25"/>
      <c r="N19" s="26"/>
      <c r="O19" s="27"/>
      <c r="P19" s="27"/>
    </row>
    <row r="20" spans="1:16" s="28" customFormat="1" ht="12.75" thickBot="1" x14ac:dyDescent="0.3">
      <c r="A20" s="29"/>
      <c r="B20" s="30" t="s">
        <v>38</v>
      </c>
      <c r="C20" s="31">
        <f t="shared" ref="C20:C83" si="0">F20+I20+L20+O20</f>
        <v>632607</v>
      </c>
      <c r="D20" s="740">
        <f>SUM(D21,D24,D25,D41,D43)</f>
        <v>419582</v>
      </c>
      <c r="E20" s="741">
        <f>SUM(E21,E24,E25,E41,E43)</f>
        <v>0</v>
      </c>
      <c r="F20" s="742">
        <f>SUM(F21,F24,F25,F41,F43)</f>
        <v>419582</v>
      </c>
      <c r="G20" s="740">
        <f>SUM(G21,G24,G43)</f>
        <v>176168</v>
      </c>
      <c r="H20" s="741">
        <f>SUM(H21,H24,H43)</f>
        <v>10583</v>
      </c>
      <c r="I20" s="742">
        <f>SUM(I21,I24,I43)</f>
        <v>186751</v>
      </c>
      <c r="J20" s="740">
        <f>SUM(J21,J26,J43)</f>
        <v>24969</v>
      </c>
      <c r="K20" s="741">
        <f>SUM(K21,K26,K43)</f>
        <v>1305</v>
      </c>
      <c r="L20" s="742">
        <f>SUM(L21,L26,L43)</f>
        <v>26274</v>
      </c>
      <c r="M20" s="32">
        <f>SUM(M21,M45)</f>
        <v>0</v>
      </c>
      <c r="N20" s="33">
        <f>SUM(N21,N45)</f>
        <v>0</v>
      </c>
      <c r="O20" s="34">
        <f>SUM(O21,O45)</f>
        <v>0</v>
      </c>
      <c r="P20" s="35"/>
    </row>
    <row r="21" spans="1:16" ht="15.75" thickTop="1" x14ac:dyDescent="0.25">
      <c r="A21" s="36"/>
      <c r="B21" s="37" t="s">
        <v>39</v>
      </c>
      <c r="C21" s="38">
        <f t="shared" si="0"/>
        <v>5456</v>
      </c>
      <c r="D21" s="743">
        <f t="shared" ref="D21:O21" si="1">SUM(D22:D23)</f>
        <v>0</v>
      </c>
      <c r="E21" s="744">
        <f t="shared" si="1"/>
        <v>0</v>
      </c>
      <c r="F21" s="745">
        <f t="shared" si="1"/>
        <v>0</v>
      </c>
      <c r="G21" s="743">
        <f t="shared" si="1"/>
        <v>0</v>
      </c>
      <c r="H21" s="744">
        <f t="shared" si="1"/>
        <v>0</v>
      </c>
      <c r="I21" s="745">
        <f t="shared" si="1"/>
        <v>0</v>
      </c>
      <c r="J21" s="743">
        <f t="shared" si="1"/>
        <v>5456</v>
      </c>
      <c r="K21" s="744">
        <f t="shared" si="1"/>
        <v>0</v>
      </c>
      <c r="L21" s="745">
        <f t="shared" si="1"/>
        <v>5456</v>
      </c>
      <c r="M21" s="39">
        <f t="shared" si="1"/>
        <v>0</v>
      </c>
      <c r="N21" s="40">
        <f t="shared" si="1"/>
        <v>0</v>
      </c>
      <c r="O21" s="41">
        <f t="shared" si="1"/>
        <v>0</v>
      </c>
      <c r="P21" s="42"/>
    </row>
    <row r="22" spans="1:16" ht="12" hidden="1" customHeight="1" x14ac:dyDescent="0.25">
      <c r="A22" s="43"/>
      <c r="B22" s="44" t="s">
        <v>40</v>
      </c>
      <c r="C22" s="45">
        <f t="shared" si="0"/>
        <v>0</v>
      </c>
      <c r="D22" s="460"/>
      <c r="E22" s="461"/>
      <c r="F22" s="462">
        <f>D22+E22</f>
        <v>0</v>
      </c>
      <c r="G22" s="460"/>
      <c r="H22" s="461"/>
      <c r="I22" s="462">
        <f>G22+H22</f>
        <v>0</v>
      </c>
      <c r="J22" s="460"/>
      <c r="K22" s="461"/>
      <c r="L22" s="462">
        <f>K22+J22</f>
        <v>0</v>
      </c>
      <c r="M22" s="46"/>
      <c r="N22" s="47"/>
      <c r="O22" s="48">
        <f>N22+M22</f>
        <v>0</v>
      </c>
      <c r="P22" s="49"/>
    </row>
    <row r="23" spans="1:16" x14ac:dyDescent="0.25">
      <c r="A23" s="50"/>
      <c r="B23" s="51" t="s">
        <v>41</v>
      </c>
      <c r="C23" s="52">
        <f>F23+I23+L23+O23</f>
        <v>5456</v>
      </c>
      <c r="D23" s="348"/>
      <c r="E23" s="349"/>
      <c r="F23" s="350">
        <f>D23+E23</f>
        <v>0</v>
      </c>
      <c r="G23" s="348"/>
      <c r="H23" s="349"/>
      <c r="I23" s="350">
        <f>G23+H23</f>
        <v>0</v>
      </c>
      <c r="J23" s="348">
        <v>5456</v>
      </c>
      <c r="K23" s="54"/>
      <c r="L23" s="466">
        <f>K23+J23</f>
        <v>5456</v>
      </c>
      <c r="M23" s="53"/>
      <c r="N23" s="54"/>
      <c r="O23" s="55">
        <f>N23+M23</f>
        <v>0</v>
      </c>
      <c r="P23" s="57"/>
    </row>
    <row r="24" spans="1:16" s="28" customFormat="1" ht="27" customHeight="1" thickBot="1" x14ac:dyDescent="0.3">
      <c r="A24" s="58">
        <v>19300</v>
      </c>
      <c r="B24" s="58" t="s">
        <v>42</v>
      </c>
      <c r="C24" s="59">
        <f>F24+I24</f>
        <v>606333</v>
      </c>
      <c r="D24" s="60">
        <v>419582</v>
      </c>
      <c r="E24" s="63"/>
      <c r="F24" s="62">
        <f>D24+E24</f>
        <v>419582</v>
      </c>
      <c r="G24" s="60">
        <f>176167+1</f>
        <v>176168</v>
      </c>
      <c r="H24" s="63">
        <f>973+5240+4370</f>
        <v>10583</v>
      </c>
      <c r="I24" s="62">
        <f>G24+H24</f>
        <v>186751</v>
      </c>
      <c r="J24" s="64" t="s">
        <v>43</v>
      </c>
      <c r="K24" s="65" t="s">
        <v>43</v>
      </c>
      <c r="L24" s="66" t="s">
        <v>43</v>
      </c>
      <c r="M24" s="64" t="s">
        <v>43</v>
      </c>
      <c r="N24" s="65" t="s">
        <v>43</v>
      </c>
      <c r="O24" s="66" t="s">
        <v>43</v>
      </c>
      <c r="P24" s="67" t="s">
        <v>904</v>
      </c>
    </row>
    <row r="25" spans="1:16" s="28" customFormat="1" ht="33" hidden="1" customHeight="1" thickTop="1" x14ac:dyDescent="0.25">
      <c r="A25" s="69"/>
      <c r="B25" s="69" t="s">
        <v>44</v>
      </c>
      <c r="C25" s="70">
        <f>F25</f>
        <v>0</v>
      </c>
      <c r="D25" s="754"/>
      <c r="E25" s="755"/>
      <c r="F25" s="756">
        <f>D25+E25</f>
        <v>0</v>
      </c>
      <c r="G25" s="757" t="s">
        <v>43</v>
      </c>
      <c r="H25" s="758" t="s">
        <v>43</v>
      </c>
      <c r="I25" s="759" t="s">
        <v>43</v>
      </c>
      <c r="J25" s="757" t="s">
        <v>43</v>
      </c>
      <c r="K25" s="758" t="s">
        <v>43</v>
      </c>
      <c r="L25" s="759" t="s">
        <v>43</v>
      </c>
      <c r="M25" s="74" t="s">
        <v>43</v>
      </c>
      <c r="N25" s="75" t="s">
        <v>43</v>
      </c>
      <c r="O25" s="76" t="s">
        <v>43</v>
      </c>
      <c r="P25" s="77"/>
    </row>
    <row r="26" spans="1:16" s="28" customFormat="1" ht="36" customHeight="1" thickTop="1" x14ac:dyDescent="0.25">
      <c r="A26" s="69">
        <v>21300</v>
      </c>
      <c r="B26" s="69" t="s">
        <v>45</v>
      </c>
      <c r="C26" s="70">
        <f t="shared" ref="C26:C40" si="2">L26</f>
        <v>20744</v>
      </c>
      <c r="D26" s="757" t="s">
        <v>43</v>
      </c>
      <c r="E26" s="758" t="s">
        <v>43</v>
      </c>
      <c r="F26" s="759" t="s">
        <v>43</v>
      </c>
      <c r="G26" s="757" t="s">
        <v>43</v>
      </c>
      <c r="H26" s="758" t="s">
        <v>43</v>
      </c>
      <c r="I26" s="759" t="s">
        <v>43</v>
      </c>
      <c r="J26" s="760">
        <f>SUM(J27,J31,J33,J36)</f>
        <v>19439</v>
      </c>
      <c r="K26" s="761">
        <f>SUM(K27,K31,K33,K36)</f>
        <v>1305</v>
      </c>
      <c r="L26" s="762">
        <f>SUM(L27,L31,L33,L36)</f>
        <v>20744</v>
      </c>
      <c r="M26" s="78" t="s">
        <v>43</v>
      </c>
      <c r="N26" s="79" t="s">
        <v>43</v>
      </c>
      <c r="O26" s="80" t="s">
        <v>43</v>
      </c>
      <c r="P26" s="77"/>
    </row>
    <row r="27" spans="1:16" s="28" customFormat="1" ht="24" hidden="1" customHeight="1" x14ac:dyDescent="0.25">
      <c r="A27" s="81">
        <v>21350</v>
      </c>
      <c r="B27" s="69" t="s">
        <v>46</v>
      </c>
      <c r="C27" s="70">
        <f t="shared" si="2"/>
        <v>0</v>
      </c>
      <c r="D27" s="757" t="s">
        <v>43</v>
      </c>
      <c r="E27" s="758" t="s">
        <v>43</v>
      </c>
      <c r="F27" s="759" t="s">
        <v>43</v>
      </c>
      <c r="G27" s="757" t="s">
        <v>43</v>
      </c>
      <c r="H27" s="758" t="s">
        <v>43</v>
      </c>
      <c r="I27" s="759" t="s">
        <v>43</v>
      </c>
      <c r="J27" s="760">
        <f>SUM(J28:J30)</f>
        <v>0</v>
      </c>
      <c r="K27" s="761">
        <f>SUM(K28:K30)</f>
        <v>0</v>
      </c>
      <c r="L27" s="762">
        <f>SUM(L28:L30)</f>
        <v>0</v>
      </c>
      <c r="M27" s="78" t="s">
        <v>43</v>
      </c>
      <c r="N27" s="79" t="s">
        <v>43</v>
      </c>
      <c r="O27" s="80" t="s">
        <v>43</v>
      </c>
      <c r="P27" s="77"/>
    </row>
    <row r="28" spans="1:16" ht="12" hidden="1" customHeight="1" x14ac:dyDescent="0.25">
      <c r="A28" s="43">
        <v>21351</v>
      </c>
      <c r="B28" s="82" t="s">
        <v>47</v>
      </c>
      <c r="C28" s="83">
        <f t="shared" si="2"/>
        <v>0</v>
      </c>
      <c r="D28" s="470" t="s">
        <v>43</v>
      </c>
      <c r="E28" s="471" t="s">
        <v>43</v>
      </c>
      <c r="F28" s="472" t="s">
        <v>43</v>
      </c>
      <c r="G28" s="470" t="s">
        <v>43</v>
      </c>
      <c r="H28" s="471" t="s">
        <v>43</v>
      </c>
      <c r="I28" s="472" t="s">
        <v>43</v>
      </c>
      <c r="J28" s="460"/>
      <c r="K28" s="461"/>
      <c r="L28" s="462">
        <f>K28+J28</f>
        <v>0</v>
      </c>
      <c r="M28" s="87" t="s">
        <v>43</v>
      </c>
      <c r="N28" s="88" t="s">
        <v>43</v>
      </c>
      <c r="O28" s="48" t="s">
        <v>43</v>
      </c>
      <c r="P28" s="49"/>
    </row>
    <row r="29" spans="1:16" ht="12" hidden="1" customHeight="1" x14ac:dyDescent="0.25">
      <c r="A29" s="50">
        <v>21352</v>
      </c>
      <c r="B29" s="89" t="s">
        <v>48</v>
      </c>
      <c r="C29" s="90">
        <f t="shared" si="2"/>
        <v>0</v>
      </c>
      <c r="D29" s="763" t="s">
        <v>43</v>
      </c>
      <c r="E29" s="764" t="s">
        <v>43</v>
      </c>
      <c r="F29" s="765" t="s">
        <v>43</v>
      </c>
      <c r="G29" s="763" t="s">
        <v>43</v>
      </c>
      <c r="H29" s="764" t="s">
        <v>43</v>
      </c>
      <c r="I29" s="765" t="s">
        <v>43</v>
      </c>
      <c r="J29" s="348"/>
      <c r="K29" s="349"/>
      <c r="L29" s="466">
        <f>K29+J29</f>
        <v>0</v>
      </c>
      <c r="M29" s="94" t="s">
        <v>43</v>
      </c>
      <c r="N29" s="95" t="s">
        <v>43</v>
      </c>
      <c r="O29" s="56" t="s">
        <v>43</v>
      </c>
      <c r="P29" s="57"/>
    </row>
    <row r="30" spans="1:16" ht="24" hidden="1" customHeight="1" x14ac:dyDescent="0.25">
      <c r="A30" s="50">
        <v>21359</v>
      </c>
      <c r="B30" s="89" t="s">
        <v>49</v>
      </c>
      <c r="C30" s="90">
        <f t="shared" si="2"/>
        <v>0</v>
      </c>
      <c r="D30" s="763" t="s">
        <v>43</v>
      </c>
      <c r="E30" s="764" t="s">
        <v>43</v>
      </c>
      <c r="F30" s="765" t="s">
        <v>43</v>
      </c>
      <c r="G30" s="763" t="s">
        <v>43</v>
      </c>
      <c r="H30" s="764" t="s">
        <v>43</v>
      </c>
      <c r="I30" s="765" t="s">
        <v>43</v>
      </c>
      <c r="J30" s="348"/>
      <c r="K30" s="349"/>
      <c r="L30" s="466">
        <f>K30+J30</f>
        <v>0</v>
      </c>
      <c r="M30" s="94" t="s">
        <v>43</v>
      </c>
      <c r="N30" s="95" t="s">
        <v>43</v>
      </c>
      <c r="O30" s="56" t="s">
        <v>43</v>
      </c>
      <c r="P30" s="57"/>
    </row>
    <row r="31" spans="1:16" s="28" customFormat="1" ht="36" hidden="1" customHeight="1" x14ac:dyDescent="0.25">
      <c r="A31" s="81">
        <v>21370</v>
      </c>
      <c r="B31" s="69" t="s">
        <v>50</v>
      </c>
      <c r="C31" s="70">
        <f t="shared" si="2"/>
        <v>0</v>
      </c>
      <c r="D31" s="757" t="s">
        <v>43</v>
      </c>
      <c r="E31" s="758" t="s">
        <v>43</v>
      </c>
      <c r="F31" s="759" t="s">
        <v>43</v>
      </c>
      <c r="G31" s="757" t="s">
        <v>43</v>
      </c>
      <c r="H31" s="758" t="s">
        <v>43</v>
      </c>
      <c r="I31" s="759" t="s">
        <v>43</v>
      </c>
      <c r="J31" s="760">
        <f>SUM(J32)</f>
        <v>0</v>
      </c>
      <c r="K31" s="761">
        <f>SUM(K32)</f>
        <v>0</v>
      </c>
      <c r="L31" s="762">
        <f>SUM(L32)</f>
        <v>0</v>
      </c>
      <c r="M31" s="78" t="s">
        <v>43</v>
      </c>
      <c r="N31" s="79" t="s">
        <v>43</v>
      </c>
      <c r="O31" s="80" t="s">
        <v>43</v>
      </c>
      <c r="P31" s="77"/>
    </row>
    <row r="32" spans="1:16" ht="36" hidden="1" customHeight="1" x14ac:dyDescent="0.25">
      <c r="A32" s="96">
        <v>21379</v>
      </c>
      <c r="B32" s="97" t="s">
        <v>51</v>
      </c>
      <c r="C32" s="98">
        <f t="shared" si="2"/>
        <v>0</v>
      </c>
      <c r="D32" s="766" t="s">
        <v>43</v>
      </c>
      <c r="E32" s="767" t="s">
        <v>43</v>
      </c>
      <c r="F32" s="768" t="s">
        <v>43</v>
      </c>
      <c r="G32" s="766" t="s">
        <v>43</v>
      </c>
      <c r="H32" s="767" t="s">
        <v>43</v>
      </c>
      <c r="I32" s="768" t="s">
        <v>43</v>
      </c>
      <c r="J32" s="769"/>
      <c r="K32" s="770"/>
      <c r="L32" s="771">
        <f>K32+J32</f>
        <v>0</v>
      </c>
      <c r="M32" s="105" t="s">
        <v>43</v>
      </c>
      <c r="N32" s="106" t="s">
        <v>43</v>
      </c>
      <c r="O32" s="104" t="s">
        <v>43</v>
      </c>
      <c r="P32" s="107"/>
    </row>
    <row r="33" spans="1:16" s="28" customFormat="1" ht="12" customHeight="1" x14ac:dyDescent="0.25">
      <c r="A33" s="81">
        <v>21380</v>
      </c>
      <c r="B33" s="69" t="s">
        <v>52</v>
      </c>
      <c r="C33" s="70">
        <f t="shared" si="2"/>
        <v>16914</v>
      </c>
      <c r="D33" s="757" t="s">
        <v>43</v>
      </c>
      <c r="E33" s="758" t="s">
        <v>43</v>
      </c>
      <c r="F33" s="759" t="s">
        <v>43</v>
      </c>
      <c r="G33" s="757" t="s">
        <v>43</v>
      </c>
      <c r="H33" s="758" t="s">
        <v>43</v>
      </c>
      <c r="I33" s="759" t="s">
        <v>43</v>
      </c>
      <c r="J33" s="760">
        <f>SUM(J34:J35)</f>
        <v>15609</v>
      </c>
      <c r="K33" s="761">
        <f>SUM(K34:K35)</f>
        <v>1305</v>
      </c>
      <c r="L33" s="762">
        <f>SUM(L34:L35)</f>
        <v>16914</v>
      </c>
      <c r="M33" s="78" t="s">
        <v>43</v>
      </c>
      <c r="N33" s="79" t="s">
        <v>43</v>
      </c>
      <c r="O33" s="80" t="s">
        <v>43</v>
      </c>
      <c r="P33" s="77"/>
    </row>
    <row r="34" spans="1:16" ht="18.75" customHeight="1" x14ac:dyDescent="0.25">
      <c r="A34" s="44">
        <v>21381</v>
      </c>
      <c r="B34" s="82" t="s">
        <v>53</v>
      </c>
      <c r="C34" s="83">
        <f t="shared" si="2"/>
        <v>16914</v>
      </c>
      <c r="D34" s="84" t="s">
        <v>43</v>
      </c>
      <c r="E34" s="85" t="s">
        <v>43</v>
      </c>
      <c r="F34" s="86" t="s">
        <v>43</v>
      </c>
      <c r="G34" s="84" t="s">
        <v>43</v>
      </c>
      <c r="H34" s="85" t="s">
        <v>43</v>
      </c>
      <c r="I34" s="86" t="s">
        <v>43</v>
      </c>
      <c r="J34" s="46">
        <v>15609</v>
      </c>
      <c r="K34" s="47">
        <v>1305</v>
      </c>
      <c r="L34" s="48">
        <f>K34+J34</f>
        <v>16914</v>
      </c>
      <c r="M34" s="87" t="s">
        <v>43</v>
      </c>
      <c r="N34" s="88" t="s">
        <v>43</v>
      </c>
      <c r="O34" s="48" t="s">
        <v>43</v>
      </c>
      <c r="P34" s="49" t="s">
        <v>905</v>
      </c>
    </row>
    <row r="35" spans="1:16" ht="24" hidden="1" customHeight="1" x14ac:dyDescent="0.25">
      <c r="A35" s="210">
        <v>21383</v>
      </c>
      <c r="B35" s="227" t="s">
        <v>54</v>
      </c>
      <c r="C35" s="209">
        <f t="shared" si="2"/>
        <v>0</v>
      </c>
      <c r="D35" s="997" t="s">
        <v>43</v>
      </c>
      <c r="E35" s="998" t="s">
        <v>43</v>
      </c>
      <c r="F35" s="999" t="s">
        <v>43</v>
      </c>
      <c r="G35" s="997" t="s">
        <v>43</v>
      </c>
      <c r="H35" s="998" t="s">
        <v>43</v>
      </c>
      <c r="I35" s="999" t="s">
        <v>43</v>
      </c>
      <c r="J35" s="817"/>
      <c r="K35" s="818"/>
      <c r="L35" s="1000">
        <f>K35+J35</f>
        <v>0</v>
      </c>
      <c r="M35" s="1001" t="s">
        <v>43</v>
      </c>
      <c r="N35" s="1002" t="s">
        <v>43</v>
      </c>
      <c r="O35" s="1003" t="s">
        <v>43</v>
      </c>
      <c r="P35" s="216"/>
    </row>
    <row r="36" spans="1:16" s="28" customFormat="1" ht="25.5" customHeight="1" x14ac:dyDescent="0.25">
      <c r="A36" s="1004">
        <v>21390</v>
      </c>
      <c r="B36" s="217" t="s">
        <v>55</v>
      </c>
      <c r="C36" s="218">
        <f t="shared" si="2"/>
        <v>3830</v>
      </c>
      <c r="D36" s="1005" t="s">
        <v>43</v>
      </c>
      <c r="E36" s="1006" t="s">
        <v>43</v>
      </c>
      <c r="F36" s="1007" t="s">
        <v>43</v>
      </c>
      <c r="G36" s="1005" t="s">
        <v>43</v>
      </c>
      <c r="H36" s="1006" t="s">
        <v>43</v>
      </c>
      <c r="I36" s="1007" t="s">
        <v>43</v>
      </c>
      <c r="J36" s="1008">
        <f>SUM(J37:J40)</f>
        <v>3830</v>
      </c>
      <c r="K36" s="1009">
        <f>SUM(K37:K40)</f>
        <v>0</v>
      </c>
      <c r="L36" s="1010">
        <f>SUM(L37:L40)</f>
        <v>3830</v>
      </c>
      <c r="M36" s="1011" t="s">
        <v>43</v>
      </c>
      <c r="N36" s="1012" t="s">
        <v>43</v>
      </c>
      <c r="O36" s="1013" t="s">
        <v>43</v>
      </c>
      <c r="P36" s="222"/>
    </row>
    <row r="37" spans="1:16" ht="24" hidden="1" customHeight="1" x14ac:dyDescent="0.25">
      <c r="A37" s="44">
        <v>21391</v>
      </c>
      <c r="B37" s="82" t="s">
        <v>56</v>
      </c>
      <c r="C37" s="83">
        <f t="shared" si="2"/>
        <v>0</v>
      </c>
      <c r="D37" s="470" t="s">
        <v>43</v>
      </c>
      <c r="E37" s="471" t="s">
        <v>43</v>
      </c>
      <c r="F37" s="472" t="s">
        <v>43</v>
      </c>
      <c r="G37" s="470" t="s">
        <v>43</v>
      </c>
      <c r="H37" s="471" t="s">
        <v>43</v>
      </c>
      <c r="I37" s="472" t="s">
        <v>43</v>
      </c>
      <c r="J37" s="460"/>
      <c r="K37" s="461"/>
      <c r="L37" s="462">
        <f>K37+J37</f>
        <v>0</v>
      </c>
      <c r="M37" s="87" t="s">
        <v>43</v>
      </c>
      <c r="N37" s="88" t="s">
        <v>43</v>
      </c>
      <c r="O37" s="48" t="s">
        <v>43</v>
      </c>
      <c r="P37" s="49"/>
    </row>
    <row r="38" spans="1:16" ht="12" hidden="1" customHeight="1" x14ac:dyDescent="0.25">
      <c r="A38" s="51">
        <v>21393</v>
      </c>
      <c r="B38" s="89" t="s">
        <v>57</v>
      </c>
      <c r="C38" s="90">
        <f t="shared" si="2"/>
        <v>0</v>
      </c>
      <c r="D38" s="763" t="s">
        <v>43</v>
      </c>
      <c r="E38" s="764" t="s">
        <v>43</v>
      </c>
      <c r="F38" s="765" t="s">
        <v>43</v>
      </c>
      <c r="G38" s="763" t="s">
        <v>43</v>
      </c>
      <c r="H38" s="764" t="s">
        <v>43</v>
      </c>
      <c r="I38" s="765" t="s">
        <v>43</v>
      </c>
      <c r="J38" s="348"/>
      <c r="K38" s="349"/>
      <c r="L38" s="466">
        <f>K38+J38</f>
        <v>0</v>
      </c>
      <c r="M38" s="94" t="s">
        <v>43</v>
      </c>
      <c r="N38" s="95" t="s">
        <v>43</v>
      </c>
      <c r="O38" s="56" t="s">
        <v>43</v>
      </c>
      <c r="P38" s="57"/>
    </row>
    <row r="39" spans="1:16" ht="12" hidden="1" customHeight="1" x14ac:dyDescent="0.25">
      <c r="A39" s="51">
        <v>21395</v>
      </c>
      <c r="B39" s="89" t="s">
        <v>58</v>
      </c>
      <c r="C39" s="90">
        <f t="shared" si="2"/>
        <v>0</v>
      </c>
      <c r="D39" s="763" t="s">
        <v>43</v>
      </c>
      <c r="E39" s="764" t="s">
        <v>43</v>
      </c>
      <c r="F39" s="765" t="s">
        <v>43</v>
      </c>
      <c r="G39" s="763" t="s">
        <v>43</v>
      </c>
      <c r="H39" s="764" t="s">
        <v>43</v>
      </c>
      <c r="I39" s="765" t="s">
        <v>43</v>
      </c>
      <c r="J39" s="348"/>
      <c r="K39" s="349"/>
      <c r="L39" s="466">
        <f>K39+J39</f>
        <v>0</v>
      </c>
      <c r="M39" s="94" t="s">
        <v>43</v>
      </c>
      <c r="N39" s="95" t="s">
        <v>43</v>
      </c>
      <c r="O39" s="56" t="s">
        <v>43</v>
      </c>
      <c r="P39" s="57"/>
    </row>
    <row r="40" spans="1:16" ht="24" customHeight="1" x14ac:dyDescent="0.25">
      <c r="A40" s="108">
        <v>21399</v>
      </c>
      <c r="B40" s="109" t="s">
        <v>59</v>
      </c>
      <c r="C40" s="110">
        <f t="shared" si="2"/>
        <v>3830</v>
      </c>
      <c r="D40" s="479" t="s">
        <v>43</v>
      </c>
      <c r="E40" s="480" t="s">
        <v>43</v>
      </c>
      <c r="F40" s="481" t="s">
        <v>43</v>
      </c>
      <c r="G40" s="479" t="s">
        <v>43</v>
      </c>
      <c r="H40" s="480" t="s">
        <v>43</v>
      </c>
      <c r="I40" s="481" t="s">
        <v>43</v>
      </c>
      <c r="J40" s="482">
        <v>3830</v>
      </c>
      <c r="K40" s="483"/>
      <c r="L40" s="484">
        <f>K40+J40</f>
        <v>3830</v>
      </c>
      <c r="M40" s="117" t="s">
        <v>43</v>
      </c>
      <c r="N40" s="118" t="s">
        <v>43</v>
      </c>
      <c r="O40" s="116" t="s">
        <v>43</v>
      </c>
      <c r="P40" s="119"/>
    </row>
    <row r="41" spans="1:16" s="28" customFormat="1" ht="26.25" hidden="1" customHeight="1" x14ac:dyDescent="0.25">
      <c r="A41" s="120">
        <v>21420</v>
      </c>
      <c r="B41" s="121" t="s">
        <v>60</v>
      </c>
      <c r="C41" s="122">
        <f>F41</f>
        <v>0</v>
      </c>
      <c r="D41" s="773">
        <f>SUM(D42)</f>
        <v>0</v>
      </c>
      <c r="E41" s="774">
        <f>SUM(E42)</f>
        <v>0</v>
      </c>
      <c r="F41" s="775">
        <f>SUM(F42)</f>
        <v>0</v>
      </c>
      <c r="G41" s="776" t="s">
        <v>43</v>
      </c>
      <c r="H41" s="777" t="s">
        <v>43</v>
      </c>
      <c r="I41" s="778" t="s">
        <v>43</v>
      </c>
      <c r="J41" s="776" t="s">
        <v>43</v>
      </c>
      <c r="K41" s="777" t="s">
        <v>43</v>
      </c>
      <c r="L41" s="778" t="s">
        <v>43</v>
      </c>
      <c r="M41" s="126" t="s">
        <v>43</v>
      </c>
      <c r="N41" s="127" t="s">
        <v>43</v>
      </c>
      <c r="O41" s="128" t="s">
        <v>43</v>
      </c>
      <c r="P41" s="129"/>
    </row>
    <row r="42" spans="1:16" s="28" customFormat="1" ht="26.25" hidden="1" customHeight="1" x14ac:dyDescent="0.25">
      <c r="A42" s="108">
        <v>21429</v>
      </c>
      <c r="B42" s="109" t="s">
        <v>61</v>
      </c>
      <c r="C42" s="130">
        <f>F42</f>
        <v>0</v>
      </c>
      <c r="D42" s="482"/>
      <c r="E42" s="483"/>
      <c r="F42" s="779">
        <f>D42+E42</f>
        <v>0</v>
      </c>
      <c r="G42" s="479" t="s">
        <v>43</v>
      </c>
      <c r="H42" s="480" t="s">
        <v>43</v>
      </c>
      <c r="I42" s="481" t="s">
        <v>43</v>
      </c>
      <c r="J42" s="479" t="s">
        <v>43</v>
      </c>
      <c r="K42" s="480" t="s">
        <v>43</v>
      </c>
      <c r="L42" s="481" t="s">
        <v>43</v>
      </c>
      <c r="M42" s="111" t="s">
        <v>43</v>
      </c>
      <c r="N42" s="112" t="s">
        <v>43</v>
      </c>
      <c r="O42" s="113" t="s">
        <v>43</v>
      </c>
      <c r="P42" s="119"/>
    </row>
    <row r="43" spans="1:16" s="28" customFormat="1" ht="24" x14ac:dyDescent="0.25">
      <c r="A43" s="81">
        <v>21490</v>
      </c>
      <c r="B43" s="69" t="s">
        <v>62</v>
      </c>
      <c r="C43" s="132">
        <f>F43+I43+L43</f>
        <v>74</v>
      </c>
      <c r="D43" s="760">
        <f>D44</f>
        <v>0</v>
      </c>
      <c r="E43" s="761">
        <f>E44</f>
        <v>0</v>
      </c>
      <c r="F43" s="762">
        <f>F44</f>
        <v>0</v>
      </c>
      <c r="G43" s="760">
        <f t="shared" ref="G43:L43" si="3">G44</f>
        <v>0</v>
      </c>
      <c r="H43" s="761">
        <f t="shared" si="3"/>
        <v>0</v>
      </c>
      <c r="I43" s="762">
        <f t="shared" si="3"/>
        <v>0</v>
      </c>
      <c r="J43" s="760">
        <f t="shared" si="3"/>
        <v>74</v>
      </c>
      <c r="K43" s="761">
        <f t="shared" si="3"/>
        <v>0</v>
      </c>
      <c r="L43" s="762">
        <f t="shared" si="3"/>
        <v>74</v>
      </c>
      <c r="M43" s="78" t="s">
        <v>43</v>
      </c>
      <c r="N43" s="79" t="s">
        <v>43</v>
      </c>
      <c r="O43" s="80" t="s">
        <v>43</v>
      </c>
      <c r="P43" s="77"/>
    </row>
    <row r="44" spans="1:16" s="28" customFormat="1" ht="24" customHeight="1" x14ac:dyDescent="0.25">
      <c r="A44" s="51">
        <v>21499</v>
      </c>
      <c r="B44" s="89" t="s">
        <v>63</v>
      </c>
      <c r="C44" s="133">
        <f>F44+I44+L44</f>
        <v>74</v>
      </c>
      <c r="D44" s="46"/>
      <c r="E44" s="47"/>
      <c r="F44" s="134">
        <f>D44+E44</f>
        <v>0</v>
      </c>
      <c r="G44" s="46"/>
      <c r="H44" s="47"/>
      <c r="I44" s="134">
        <f>G44+H44</f>
        <v>0</v>
      </c>
      <c r="J44" s="46">
        <v>74</v>
      </c>
      <c r="K44" s="47">
        <v>0</v>
      </c>
      <c r="L44" s="48">
        <f>K44+J44</f>
        <v>74</v>
      </c>
      <c r="M44" s="87" t="s">
        <v>43</v>
      </c>
      <c r="N44" s="88" t="s">
        <v>43</v>
      </c>
      <c r="O44" s="48" t="s">
        <v>43</v>
      </c>
      <c r="P44" s="49"/>
    </row>
    <row r="45" spans="1:16" ht="12.75" hidden="1" customHeight="1" x14ac:dyDescent="0.25">
      <c r="A45" s="135">
        <v>23000</v>
      </c>
      <c r="B45" s="136" t="s">
        <v>64</v>
      </c>
      <c r="C45" s="132">
        <f>O45</f>
        <v>0</v>
      </c>
      <c r="D45" s="479" t="s">
        <v>43</v>
      </c>
      <c r="E45" s="480" t="s">
        <v>43</v>
      </c>
      <c r="F45" s="481" t="s">
        <v>43</v>
      </c>
      <c r="G45" s="479" t="s">
        <v>43</v>
      </c>
      <c r="H45" s="480" t="s">
        <v>43</v>
      </c>
      <c r="I45" s="481" t="s">
        <v>43</v>
      </c>
      <c r="J45" s="485" t="s">
        <v>43</v>
      </c>
      <c r="K45" s="486" t="s">
        <v>43</v>
      </c>
      <c r="L45" s="484" t="s">
        <v>43</v>
      </c>
      <c r="M45" s="117">
        <f>SUM(M46:M47)</f>
        <v>0</v>
      </c>
      <c r="N45" s="118">
        <f>SUM(N46:N47)</f>
        <v>0</v>
      </c>
      <c r="O45" s="116">
        <f>SUM(O46:O47)</f>
        <v>0</v>
      </c>
      <c r="P45" s="119"/>
    </row>
    <row r="46" spans="1:16" ht="24" hidden="1" customHeight="1" x14ac:dyDescent="0.25">
      <c r="A46" s="137">
        <v>23410</v>
      </c>
      <c r="B46" s="138" t="s">
        <v>65</v>
      </c>
      <c r="C46" s="122">
        <f>O46</f>
        <v>0</v>
      </c>
      <c r="D46" s="776" t="s">
        <v>43</v>
      </c>
      <c r="E46" s="777" t="s">
        <v>43</v>
      </c>
      <c r="F46" s="778" t="s">
        <v>43</v>
      </c>
      <c r="G46" s="776" t="s">
        <v>43</v>
      </c>
      <c r="H46" s="777" t="s">
        <v>43</v>
      </c>
      <c r="I46" s="778" t="s">
        <v>43</v>
      </c>
      <c r="J46" s="776" t="s">
        <v>43</v>
      </c>
      <c r="K46" s="777" t="s">
        <v>43</v>
      </c>
      <c r="L46" s="778" t="s">
        <v>43</v>
      </c>
      <c r="M46" s="139"/>
      <c r="N46" s="140"/>
      <c r="O46" s="141">
        <f>N46+M46</f>
        <v>0</v>
      </c>
      <c r="P46" s="129"/>
    </row>
    <row r="47" spans="1:16" ht="24" hidden="1" customHeight="1" x14ac:dyDescent="0.25">
      <c r="A47" s="137">
        <v>23510</v>
      </c>
      <c r="B47" s="138" t="s">
        <v>66</v>
      </c>
      <c r="C47" s="122">
        <f>O47</f>
        <v>0</v>
      </c>
      <c r="D47" s="776" t="s">
        <v>43</v>
      </c>
      <c r="E47" s="777" t="s">
        <v>43</v>
      </c>
      <c r="F47" s="778" t="s">
        <v>43</v>
      </c>
      <c r="G47" s="776" t="s">
        <v>43</v>
      </c>
      <c r="H47" s="777" t="s">
        <v>43</v>
      </c>
      <c r="I47" s="778" t="s">
        <v>43</v>
      </c>
      <c r="J47" s="776" t="s">
        <v>43</v>
      </c>
      <c r="K47" s="777" t="s">
        <v>43</v>
      </c>
      <c r="L47" s="778" t="s">
        <v>43</v>
      </c>
      <c r="M47" s="139"/>
      <c r="N47" s="140"/>
      <c r="O47" s="141">
        <f>N47+M47</f>
        <v>0</v>
      </c>
      <c r="P47" s="129"/>
    </row>
    <row r="48" spans="1:16" ht="12" hidden="1" customHeight="1" x14ac:dyDescent="0.25">
      <c r="A48" s="142"/>
      <c r="B48" s="138"/>
      <c r="C48" s="143"/>
      <c r="D48" s="780"/>
      <c r="E48" s="727"/>
      <c r="F48" s="781"/>
      <c r="G48" s="780"/>
      <c r="H48" s="727"/>
      <c r="I48" s="781"/>
      <c r="J48" s="780"/>
      <c r="K48" s="727"/>
      <c r="L48" s="775"/>
      <c r="M48" s="144"/>
      <c r="N48" s="145"/>
      <c r="O48" s="141"/>
      <c r="P48" s="129"/>
    </row>
    <row r="49" spans="1:16" s="28" customFormat="1" ht="12" hidden="1" customHeight="1" x14ac:dyDescent="0.25">
      <c r="A49" s="146"/>
      <c r="B49" s="147" t="s">
        <v>67</v>
      </c>
      <c r="C49" s="148"/>
      <c r="D49" s="782"/>
      <c r="E49" s="783"/>
      <c r="F49" s="784"/>
      <c r="G49" s="460"/>
      <c r="H49" s="461"/>
      <c r="I49" s="491"/>
      <c r="J49" s="460"/>
      <c r="K49" s="461"/>
      <c r="L49" s="462"/>
      <c r="M49" s="152"/>
      <c r="N49" s="153"/>
      <c r="O49" s="154"/>
      <c r="P49" s="156"/>
    </row>
    <row r="50" spans="1:16" s="28" customFormat="1" ht="12.75" thickBot="1" x14ac:dyDescent="0.3">
      <c r="A50" s="157"/>
      <c r="B50" s="29" t="s">
        <v>68</v>
      </c>
      <c r="C50" s="158">
        <f t="shared" si="0"/>
        <v>632607</v>
      </c>
      <c r="D50" s="785">
        <f t="shared" ref="D50:O50" si="4">SUM(D51,D286)</f>
        <v>419582</v>
      </c>
      <c r="E50" s="786">
        <f t="shared" si="4"/>
        <v>0</v>
      </c>
      <c r="F50" s="787">
        <f t="shared" si="4"/>
        <v>419582</v>
      </c>
      <c r="G50" s="785">
        <f t="shared" si="4"/>
        <v>176168</v>
      </c>
      <c r="H50" s="786">
        <f t="shared" si="4"/>
        <v>10583</v>
      </c>
      <c r="I50" s="787">
        <f t="shared" si="4"/>
        <v>186751</v>
      </c>
      <c r="J50" s="740">
        <f t="shared" si="4"/>
        <v>24969</v>
      </c>
      <c r="K50" s="741">
        <f t="shared" si="4"/>
        <v>1305</v>
      </c>
      <c r="L50" s="742">
        <f t="shared" si="4"/>
        <v>26274</v>
      </c>
      <c r="M50" s="32">
        <f t="shared" si="4"/>
        <v>0</v>
      </c>
      <c r="N50" s="33">
        <f t="shared" si="4"/>
        <v>0</v>
      </c>
      <c r="O50" s="34">
        <f t="shared" si="4"/>
        <v>0</v>
      </c>
      <c r="P50" s="35"/>
    </row>
    <row r="51" spans="1:16" s="28" customFormat="1" ht="36.75" thickTop="1" x14ac:dyDescent="0.25">
      <c r="A51" s="162"/>
      <c r="B51" s="163" t="s">
        <v>69</v>
      </c>
      <c r="C51" s="164">
        <f t="shared" si="0"/>
        <v>632602</v>
      </c>
      <c r="D51" s="788">
        <f t="shared" ref="D51:O51" si="5">SUM(D52,D194)</f>
        <v>419582</v>
      </c>
      <c r="E51" s="789">
        <f t="shared" si="5"/>
        <v>0</v>
      </c>
      <c r="F51" s="790">
        <f t="shared" si="5"/>
        <v>419582</v>
      </c>
      <c r="G51" s="788">
        <f t="shared" si="5"/>
        <v>176163</v>
      </c>
      <c r="H51" s="789">
        <f t="shared" si="5"/>
        <v>10583</v>
      </c>
      <c r="I51" s="790">
        <f t="shared" si="5"/>
        <v>186746</v>
      </c>
      <c r="J51" s="791">
        <f t="shared" si="5"/>
        <v>24969</v>
      </c>
      <c r="K51" s="792">
        <f t="shared" si="5"/>
        <v>1305</v>
      </c>
      <c r="L51" s="793">
        <f t="shared" si="5"/>
        <v>26274</v>
      </c>
      <c r="M51" s="168">
        <f t="shared" si="5"/>
        <v>0</v>
      </c>
      <c r="N51" s="169">
        <f t="shared" si="5"/>
        <v>0</v>
      </c>
      <c r="O51" s="170">
        <f t="shared" si="5"/>
        <v>0</v>
      </c>
      <c r="P51" s="171"/>
    </row>
    <row r="52" spans="1:16" s="28" customFormat="1" ht="24" x14ac:dyDescent="0.25">
      <c r="A52" s="24"/>
      <c r="B52" s="22" t="s">
        <v>70</v>
      </c>
      <c r="C52" s="172">
        <f t="shared" si="0"/>
        <v>628717</v>
      </c>
      <c r="D52" s="794">
        <f t="shared" ref="D52:O52" si="6">SUM(D53,D75,D173,D187)</f>
        <v>418582</v>
      </c>
      <c r="E52" s="795">
        <f t="shared" si="6"/>
        <v>0</v>
      </c>
      <c r="F52" s="784">
        <f t="shared" si="6"/>
        <v>418582</v>
      </c>
      <c r="G52" s="794">
        <f t="shared" si="6"/>
        <v>173973</v>
      </c>
      <c r="H52" s="795">
        <f t="shared" si="6"/>
        <v>10583</v>
      </c>
      <c r="I52" s="784">
        <f t="shared" si="6"/>
        <v>184556</v>
      </c>
      <c r="J52" s="794">
        <f t="shared" si="6"/>
        <v>24274</v>
      </c>
      <c r="K52" s="795">
        <f t="shared" si="6"/>
        <v>1305</v>
      </c>
      <c r="L52" s="784">
        <f t="shared" si="6"/>
        <v>25579</v>
      </c>
      <c r="M52" s="173">
        <f t="shared" si="6"/>
        <v>0</v>
      </c>
      <c r="N52" s="174">
        <f t="shared" si="6"/>
        <v>0</v>
      </c>
      <c r="O52" s="175">
        <f t="shared" si="6"/>
        <v>0</v>
      </c>
      <c r="P52" s="176"/>
    </row>
    <row r="53" spans="1:16" s="28" customFormat="1" ht="12" x14ac:dyDescent="0.25">
      <c r="A53" s="177">
        <v>1000</v>
      </c>
      <c r="B53" s="177" t="s">
        <v>71</v>
      </c>
      <c r="C53" s="178">
        <f t="shared" si="0"/>
        <v>505515</v>
      </c>
      <c r="D53" s="610">
        <f t="shared" ref="D53:O53" si="7">SUM(D54,D67)</f>
        <v>323901</v>
      </c>
      <c r="E53" s="611">
        <f t="shared" si="7"/>
        <v>0</v>
      </c>
      <c r="F53" s="612">
        <f t="shared" si="7"/>
        <v>323901</v>
      </c>
      <c r="G53" s="610">
        <f t="shared" si="7"/>
        <v>172004</v>
      </c>
      <c r="H53" s="611">
        <f t="shared" si="7"/>
        <v>9610</v>
      </c>
      <c r="I53" s="612">
        <f t="shared" si="7"/>
        <v>181614</v>
      </c>
      <c r="J53" s="610">
        <f t="shared" si="7"/>
        <v>0</v>
      </c>
      <c r="K53" s="611">
        <f t="shared" si="7"/>
        <v>0</v>
      </c>
      <c r="L53" s="612">
        <f t="shared" si="7"/>
        <v>0</v>
      </c>
      <c r="M53" s="610">
        <f t="shared" si="7"/>
        <v>0</v>
      </c>
      <c r="N53" s="180">
        <f t="shared" si="7"/>
        <v>0</v>
      </c>
      <c r="O53" s="181">
        <f t="shared" si="7"/>
        <v>0</v>
      </c>
      <c r="P53" s="182"/>
    </row>
    <row r="54" spans="1:16" x14ac:dyDescent="0.25">
      <c r="A54" s="69">
        <v>1100</v>
      </c>
      <c r="B54" s="183" t="s">
        <v>72</v>
      </c>
      <c r="C54" s="70">
        <f t="shared" si="0"/>
        <v>379273</v>
      </c>
      <c r="D54" s="802">
        <f t="shared" ref="D54:O54" si="8">SUM(D55,D58,D66)</f>
        <v>233258</v>
      </c>
      <c r="E54" s="803">
        <f t="shared" si="8"/>
        <v>0</v>
      </c>
      <c r="F54" s="756">
        <f t="shared" si="8"/>
        <v>233258</v>
      </c>
      <c r="G54" s="802">
        <f t="shared" si="8"/>
        <v>137952</v>
      </c>
      <c r="H54" s="803">
        <f t="shared" si="8"/>
        <v>8063</v>
      </c>
      <c r="I54" s="756">
        <f t="shared" si="8"/>
        <v>146015</v>
      </c>
      <c r="J54" s="802">
        <f t="shared" si="8"/>
        <v>0</v>
      </c>
      <c r="K54" s="803">
        <f t="shared" si="8"/>
        <v>0</v>
      </c>
      <c r="L54" s="756">
        <f t="shared" si="8"/>
        <v>0</v>
      </c>
      <c r="M54" s="184">
        <f t="shared" si="8"/>
        <v>0</v>
      </c>
      <c r="N54" s="185">
        <f t="shared" si="8"/>
        <v>0</v>
      </c>
      <c r="O54" s="73">
        <f t="shared" si="8"/>
        <v>0</v>
      </c>
      <c r="P54" s="77"/>
    </row>
    <row r="55" spans="1:16" x14ac:dyDescent="0.25">
      <c r="A55" s="186">
        <v>1110</v>
      </c>
      <c r="B55" s="138" t="s">
        <v>73</v>
      </c>
      <c r="C55" s="143">
        <f t="shared" si="0"/>
        <v>346474</v>
      </c>
      <c r="D55" s="804">
        <f t="shared" ref="D55:O55" si="9">SUM(D56:D57)</f>
        <v>201210</v>
      </c>
      <c r="E55" s="805">
        <f t="shared" si="9"/>
        <v>0</v>
      </c>
      <c r="F55" s="781">
        <f t="shared" si="9"/>
        <v>201210</v>
      </c>
      <c r="G55" s="804">
        <f t="shared" si="9"/>
        <v>137952</v>
      </c>
      <c r="H55" s="805">
        <f t="shared" si="9"/>
        <v>7312</v>
      </c>
      <c r="I55" s="781">
        <f t="shared" si="9"/>
        <v>145264</v>
      </c>
      <c r="J55" s="804">
        <f t="shared" si="9"/>
        <v>0</v>
      </c>
      <c r="K55" s="805">
        <f t="shared" si="9"/>
        <v>0</v>
      </c>
      <c r="L55" s="781">
        <f t="shared" si="9"/>
        <v>0</v>
      </c>
      <c r="M55" s="187">
        <f t="shared" si="9"/>
        <v>0</v>
      </c>
      <c r="N55" s="188">
        <f t="shared" si="9"/>
        <v>0</v>
      </c>
      <c r="O55" s="141">
        <f t="shared" si="9"/>
        <v>0</v>
      </c>
      <c r="P55" s="129"/>
    </row>
    <row r="56" spans="1:16" ht="12" hidden="1" customHeight="1" x14ac:dyDescent="0.25">
      <c r="A56" s="44">
        <v>1111</v>
      </c>
      <c r="B56" s="82" t="s">
        <v>74</v>
      </c>
      <c r="C56" s="83">
        <f t="shared" si="0"/>
        <v>0</v>
      </c>
      <c r="D56" s="460"/>
      <c r="E56" s="461"/>
      <c r="F56" s="491">
        <f>D56+E56</f>
        <v>0</v>
      </c>
      <c r="G56" s="460"/>
      <c r="H56" s="461"/>
      <c r="I56" s="491">
        <f>G56+H56</f>
        <v>0</v>
      </c>
      <c r="J56" s="460"/>
      <c r="K56" s="461"/>
      <c r="L56" s="491">
        <f>K56+J56</f>
        <v>0</v>
      </c>
      <c r="M56" s="46"/>
      <c r="N56" s="47"/>
      <c r="O56" s="134">
        <f>N56+M56</f>
        <v>0</v>
      </c>
      <c r="P56" s="49"/>
    </row>
    <row r="57" spans="1:16" ht="24.75" customHeight="1" x14ac:dyDescent="0.25">
      <c r="A57" s="51">
        <v>1119</v>
      </c>
      <c r="B57" s="89" t="s">
        <v>75</v>
      </c>
      <c r="C57" s="90">
        <f t="shared" si="0"/>
        <v>346474</v>
      </c>
      <c r="D57" s="53">
        <v>201210</v>
      </c>
      <c r="E57" s="54">
        <v>0</v>
      </c>
      <c r="F57" s="55">
        <f>D57+E57</f>
        <v>201210</v>
      </c>
      <c r="G57" s="53">
        <v>137952</v>
      </c>
      <c r="H57" s="54">
        <f>3472+3840</f>
        <v>7312</v>
      </c>
      <c r="I57" s="55">
        <f>G57+H57</f>
        <v>145264</v>
      </c>
      <c r="J57" s="53"/>
      <c r="K57" s="54"/>
      <c r="L57" s="55">
        <f>K57+J57</f>
        <v>0</v>
      </c>
      <c r="M57" s="53"/>
      <c r="N57" s="54"/>
      <c r="O57" s="55">
        <f>N57+M57</f>
        <v>0</v>
      </c>
      <c r="P57" s="57" t="s">
        <v>906</v>
      </c>
    </row>
    <row r="58" spans="1:16" x14ac:dyDescent="0.25">
      <c r="A58" s="189">
        <v>1140</v>
      </c>
      <c r="B58" s="89" t="s">
        <v>76</v>
      </c>
      <c r="C58" s="90">
        <f t="shared" si="0"/>
        <v>29082</v>
      </c>
      <c r="D58" s="190">
        <f t="shared" ref="D58:O58" si="10">SUM(D59:D65)</f>
        <v>28331</v>
      </c>
      <c r="E58" s="191">
        <f t="shared" si="10"/>
        <v>0</v>
      </c>
      <c r="F58" s="55">
        <f t="shared" si="10"/>
        <v>28331</v>
      </c>
      <c r="G58" s="190">
        <f t="shared" si="10"/>
        <v>0</v>
      </c>
      <c r="H58" s="191">
        <f t="shared" si="10"/>
        <v>751</v>
      </c>
      <c r="I58" s="55">
        <f t="shared" si="10"/>
        <v>751</v>
      </c>
      <c r="J58" s="190">
        <f t="shared" si="10"/>
        <v>0</v>
      </c>
      <c r="K58" s="191">
        <f t="shared" si="10"/>
        <v>0</v>
      </c>
      <c r="L58" s="55">
        <f t="shared" si="10"/>
        <v>0</v>
      </c>
      <c r="M58" s="190">
        <f t="shared" si="10"/>
        <v>0</v>
      </c>
      <c r="N58" s="191">
        <f t="shared" si="10"/>
        <v>0</v>
      </c>
      <c r="O58" s="55">
        <f t="shared" si="10"/>
        <v>0</v>
      </c>
      <c r="P58" s="57"/>
    </row>
    <row r="59" spans="1:16" ht="12" customHeight="1" x14ac:dyDescent="0.25">
      <c r="A59" s="51">
        <v>1141</v>
      </c>
      <c r="B59" s="89" t="s">
        <v>77</v>
      </c>
      <c r="C59" s="90">
        <f t="shared" si="0"/>
        <v>4172</v>
      </c>
      <c r="D59" s="53">
        <v>4172</v>
      </c>
      <c r="E59" s="54"/>
      <c r="F59" s="55">
        <f t="shared" ref="F59:F66" si="11">D59+E59</f>
        <v>4172</v>
      </c>
      <c r="G59" s="53"/>
      <c r="H59" s="54"/>
      <c r="I59" s="55">
        <f t="shared" ref="I59:I66" si="12">G59+H59</f>
        <v>0</v>
      </c>
      <c r="J59" s="53"/>
      <c r="K59" s="54"/>
      <c r="L59" s="55">
        <f t="shared" ref="L59:L66" si="13">K59+J59</f>
        <v>0</v>
      </c>
      <c r="M59" s="53"/>
      <c r="N59" s="54"/>
      <c r="O59" s="55">
        <f t="shared" ref="O59:O66" si="14">N59+M59</f>
        <v>0</v>
      </c>
      <c r="P59" s="57"/>
    </row>
    <row r="60" spans="1:16" ht="25.5" customHeight="1" x14ac:dyDescent="0.25">
      <c r="A60" s="51">
        <v>1142</v>
      </c>
      <c r="B60" s="89" t="s">
        <v>78</v>
      </c>
      <c r="C60" s="90">
        <f t="shared" si="0"/>
        <v>1095</v>
      </c>
      <c r="D60" s="53">
        <v>1095</v>
      </c>
      <c r="E60" s="54">
        <v>0</v>
      </c>
      <c r="F60" s="55">
        <f t="shared" si="11"/>
        <v>1095</v>
      </c>
      <c r="G60" s="53"/>
      <c r="H60" s="54"/>
      <c r="I60" s="55">
        <f t="shared" si="12"/>
        <v>0</v>
      </c>
      <c r="J60" s="53"/>
      <c r="K60" s="54"/>
      <c r="L60" s="55">
        <f t="shared" si="13"/>
        <v>0</v>
      </c>
      <c r="M60" s="53"/>
      <c r="N60" s="54"/>
      <c r="O60" s="55">
        <f t="shared" si="14"/>
        <v>0</v>
      </c>
      <c r="P60" s="57"/>
    </row>
    <row r="61" spans="1:16" ht="24" hidden="1" customHeight="1" x14ac:dyDescent="0.25">
      <c r="A61" s="51">
        <v>1145</v>
      </c>
      <c r="B61" s="89" t="s">
        <v>79</v>
      </c>
      <c r="C61" s="90">
        <f t="shared" si="0"/>
        <v>0</v>
      </c>
      <c r="D61" s="348"/>
      <c r="E61" s="349"/>
      <c r="F61" s="350">
        <f t="shared" si="11"/>
        <v>0</v>
      </c>
      <c r="G61" s="348"/>
      <c r="H61" s="349"/>
      <c r="I61" s="350">
        <f t="shared" si="12"/>
        <v>0</v>
      </c>
      <c r="J61" s="348"/>
      <c r="K61" s="349"/>
      <c r="L61" s="350">
        <f t="shared" si="13"/>
        <v>0</v>
      </c>
      <c r="M61" s="53"/>
      <c r="N61" s="54"/>
      <c r="O61" s="55">
        <f t="shared" si="14"/>
        <v>0</v>
      </c>
      <c r="P61" s="57"/>
    </row>
    <row r="62" spans="1:16" ht="27.75" hidden="1" customHeight="1" x14ac:dyDescent="0.25">
      <c r="A62" s="51">
        <v>1146</v>
      </c>
      <c r="B62" s="89" t="s">
        <v>80</v>
      </c>
      <c r="C62" s="90">
        <f t="shared" si="0"/>
        <v>0</v>
      </c>
      <c r="D62" s="348"/>
      <c r="E62" s="349"/>
      <c r="F62" s="350">
        <f t="shared" si="11"/>
        <v>0</v>
      </c>
      <c r="G62" s="348"/>
      <c r="H62" s="349"/>
      <c r="I62" s="350">
        <f t="shared" si="12"/>
        <v>0</v>
      </c>
      <c r="J62" s="348"/>
      <c r="K62" s="349"/>
      <c r="L62" s="350">
        <f t="shared" si="13"/>
        <v>0</v>
      </c>
      <c r="M62" s="53"/>
      <c r="N62" s="54"/>
      <c r="O62" s="55">
        <f t="shared" si="14"/>
        <v>0</v>
      </c>
      <c r="P62" s="57"/>
    </row>
    <row r="63" spans="1:16" ht="12" customHeight="1" x14ac:dyDescent="0.25">
      <c r="A63" s="51">
        <v>1147</v>
      </c>
      <c r="B63" s="89" t="s">
        <v>81</v>
      </c>
      <c r="C63" s="90">
        <f t="shared" si="0"/>
        <v>3128</v>
      </c>
      <c r="D63" s="53">
        <v>3128</v>
      </c>
      <c r="E63" s="54"/>
      <c r="F63" s="55">
        <f t="shared" si="11"/>
        <v>3128</v>
      </c>
      <c r="G63" s="53"/>
      <c r="H63" s="54"/>
      <c r="I63" s="55">
        <f t="shared" si="12"/>
        <v>0</v>
      </c>
      <c r="J63" s="53"/>
      <c r="K63" s="54"/>
      <c r="L63" s="55">
        <f t="shared" si="13"/>
        <v>0</v>
      </c>
      <c r="M63" s="53"/>
      <c r="N63" s="54"/>
      <c r="O63" s="55">
        <f t="shared" si="14"/>
        <v>0</v>
      </c>
      <c r="P63" s="57"/>
    </row>
    <row r="64" spans="1:16" ht="12" customHeight="1" x14ac:dyDescent="0.25">
      <c r="A64" s="51">
        <v>1148</v>
      </c>
      <c r="B64" s="89" t="s">
        <v>82</v>
      </c>
      <c r="C64" s="90">
        <f t="shared" si="0"/>
        <v>19936</v>
      </c>
      <c r="D64" s="53">
        <v>19936</v>
      </c>
      <c r="E64" s="54"/>
      <c r="F64" s="55">
        <f t="shared" si="11"/>
        <v>19936</v>
      </c>
      <c r="G64" s="53"/>
      <c r="H64" s="54"/>
      <c r="I64" s="55">
        <f t="shared" si="12"/>
        <v>0</v>
      </c>
      <c r="J64" s="53"/>
      <c r="K64" s="54"/>
      <c r="L64" s="55">
        <f t="shared" si="13"/>
        <v>0</v>
      </c>
      <c r="M64" s="53"/>
      <c r="N64" s="54"/>
      <c r="O64" s="55">
        <f t="shared" si="14"/>
        <v>0</v>
      </c>
      <c r="P64" s="57"/>
    </row>
    <row r="65" spans="1:16" ht="27.75" customHeight="1" x14ac:dyDescent="0.25">
      <c r="A65" s="51">
        <v>1149</v>
      </c>
      <c r="B65" s="89" t="s">
        <v>83</v>
      </c>
      <c r="C65" s="90">
        <f t="shared" si="0"/>
        <v>751</v>
      </c>
      <c r="D65" s="53"/>
      <c r="E65" s="54"/>
      <c r="F65" s="55">
        <f t="shared" si="11"/>
        <v>0</v>
      </c>
      <c r="G65" s="53"/>
      <c r="H65" s="54">
        <v>751</v>
      </c>
      <c r="I65" s="55">
        <f t="shared" si="12"/>
        <v>751</v>
      </c>
      <c r="J65" s="53"/>
      <c r="K65" s="54"/>
      <c r="L65" s="55">
        <f t="shared" si="13"/>
        <v>0</v>
      </c>
      <c r="M65" s="53"/>
      <c r="N65" s="54"/>
      <c r="O65" s="55">
        <f t="shared" si="14"/>
        <v>0</v>
      </c>
      <c r="P65" s="57" t="s">
        <v>907</v>
      </c>
    </row>
    <row r="66" spans="1:16" ht="36" customHeight="1" x14ac:dyDescent="0.25">
      <c r="A66" s="186">
        <v>1150</v>
      </c>
      <c r="B66" s="138" t="s">
        <v>84</v>
      </c>
      <c r="C66" s="143">
        <f t="shared" si="0"/>
        <v>3717</v>
      </c>
      <c r="D66" s="780">
        <v>3717</v>
      </c>
      <c r="E66" s="727"/>
      <c r="F66" s="781">
        <f t="shared" si="11"/>
        <v>3717</v>
      </c>
      <c r="G66" s="780"/>
      <c r="H66" s="727"/>
      <c r="I66" s="781">
        <f t="shared" si="12"/>
        <v>0</v>
      </c>
      <c r="J66" s="780"/>
      <c r="K66" s="727"/>
      <c r="L66" s="781">
        <f t="shared" si="13"/>
        <v>0</v>
      </c>
      <c r="M66" s="144"/>
      <c r="N66" s="145"/>
      <c r="O66" s="141">
        <f t="shared" si="14"/>
        <v>0</v>
      </c>
      <c r="P66" s="129"/>
    </row>
    <row r="67" spans="1:16" ht="24" x14ac:dyDescent="0.25">
      <c r="A67" s="69">
        <v>1200</v>
      </c>
      <c r="B67" s="183" t="s">
        <v>85</v>
      </c>
      <c r="C67" s="70">
        <f t="shared" si="0"/>
        <v>126242</v>
      </c>
      <c r="D67" s="802">
        <f t="shared" ref="D67:O67" si="15">SUM(D68:D69)</f>
        <v>90643</v>
      </c>
      <c r="E67" s="803">
        <f t="shared" si="15"/>
        <v>0</v>
      </c>
      <c r="F67" s="756">
        <f t="shared" si="15"/>
        <v>90643</v>
      </c>
      <c r="G67" s="802">
        <f t="shared" si="15"/>
        <v>34052</v>
      </c>
      <c r="H67" s="803">
        <f t="shared" si="15"/>
        <v>1547</v>
      </c>
      <c r="I67" s="756">
        <f t="shared" si="15"/>
        <v>35599</v>
      </c>
      <c r="J67" s="802">
        <f t="shared" si="15"/>
        <v>0</v>
      </c>
      <c r="K67" s="803">
        <f t="shared" si="15"/>
        <v>0</v>
      </c>
      <c r="L67" s="756">
        <f t="shared" si="15"/>
        <v>0</v>
      </c>
      <c r="M67" s="184">
        <f t="shared" si="15"/>
        <v>0</v>
      </c>
      <c r="N67" s="185">
        <f t="shared" si="15"/>
        <v>0</v>
      </c>
      <c r="O67" s="73">
        <f t="shared" si="15"/>
        <v>0</v>
      </c>
      <c r="P67" s="77"/>
    </row>
    <row r="68" spans="1:16" ht="29.25" customHeight="1" x14ac:dyDescent="0.25">
      <c r="A68" s="983">
        <v>1210</v>
      </c>
      <c r="B68" s="82" t="s">
        <v>86</v>
      </c>
      <c r="C68" s="83">
        <f t="shared" si="0"/>
        <v>95620</v>
      </c>
      <c r="D68" s="46">
        <v>60711</v>
      </c>
      <c r="E68" s="47"/>
      <c r="F68" s="134">
        <f>D68+E68</f>
        <v>60711</v>
      </c>
      <c r="G68" s="46">
        <v>33392</v>
      </c>
      <c r="H68" s="47">
        <f>1017+500</f>
        <v>1517</v>
      </c>
      <c r="I68" s="134">
        <f>G68+H68</f>
        <v>34909</v>
      </c>
      <c r="J68" s="46"/>
      <c r="K68" s="47"/>
      <c r="L68" s="134">
        <f>K68+J68</f>
        <v>0</v>
      </c>
      <c r="M68" s="46"/>
      <c r="N68" s="47"/>
      <c r="O68" s="134">
        <f>N68+M68</f>
        <v>0</v>
      </c>
      <c r="P68" s="49" t="s">
        <v>908</v>
      </c>
    </row>
    <row r="69" spans="1:16" ht="24" x14ac:dyDescent="0.25">
      <c r="A69" s="189">
        <v>1220</v>
      </c>
      <c r="B69" s="89" t="s">
        <v>87</v>
      </c>
      <c r="C69" s="90">
        <f t="shared" si="0"/>
        <v>30622</v>
      </c>
      <c r="D69" s="806">
        <f t="shared" ref="D69:O69" si="16">SUM(D70:D74)</f>
        <v>29932</v>
      </c>
      <c r="E69" s="365">
        <f t="shared" si="16"/>
        <v>0</v>
      </c>
      <c r="F69" s="350">
        <f t="shared" si="16"/>
        <v>29932</v>
      </c>
      <c r="G69" s="806">
        <f t="shared" si="16"/>
        <v>660</v>
      </c>
      <c r="H69" s="365">
        <f t="shared" si="16"/>
        <v>30</v>
      </c>
      <c r="I69" s="350">
        <f t="shared" si="16"/>
        <v>690</v>
      </c>
      <c r="J69" s="806">
        <f t="shared" si="16"/>
        <v>0</v>
      </c>
      <c r="K69" s="365">
        <f t="shared" si="16"/>
        <v>0</v>
      </c>
      <c r="L69" s="350">
        <f t="shared" si="16"/>
        <v>0</v>
      </c>
      <c r="M69" s="190">
        <f t="shared" si="16"/>
        <v>0</v>
      </c>
      <c r="N69" s="191">
        <f t="shared" si="16"/>
        <v>0</v>
      </c>
      <c r="O69" s="55">
        <f t="shared" si="16"/>
        <v>0</v>
      </c>
      <c r="P69" s="57"/>
    </row>
    <row r="70" spans="1:16" ht="48" customHeight="1" x14ac:dyDescent="0.25">
      <c r="A70" s="51">
        <v>1221</v>
      </c>
      <c r="B70" s="89" t="s">
        <v>88</v>
      </c>
      <c r="C70" s="90">
        <f t="shared" si="0"/>
        <v>19450</v>
      </c>
      <c r="D70" s="348">
        <v>18760</v>
      </c>
      <c r="E70" s="349"/>
      <c r="F70" s="350">
        <f>D70+E70</f>
        <v>18760</v>
      </c>
      <c r="G70" s="348">
        <v>660</v>
      </c>
      <c r="H70" s="349">
        <f>30</f>
        <v>30</v>
      </c>
      <c r="I70" s="350">
        <f>G70+H70</f>
        <v>690</v>
      </c>
      <c r="J70" s="348"/>
      <c r="K70" s="349"/>
      <c r="L70" s="350">
        <f>K70+J70</f>
        <v>0</v>
      </c>
      <c r="M70" s="53"/>
      <c r="N70" s="54"/>
      <c r="O70" s="55">
        <f>N70+M70</f>
        <v>0</v>
      </c>
      <c r="P70" s="57"/>
    </row>
    <row r="71" spans="1:16" ht="12" hidden="1" customHeight="1" x14ac:dyDescent="0.25">
      <c r="A71" s="51">
        <v>1223</v>
      </c>
      <c r="B71" s="89" t="s">
        <v>89</v>
      </c>
      <c r="C71" s="90">
        <f t="shared" si="0"/>
        <v>0</v>
      </c>
      <c r="D71" s="348"/>
      <c r="E71" s="349"/>
      <c r="F71" s="350">
        <f>D71+E71</f>
        <v>0</v>
      </c>
      <c r="G71" s="348"/>
      <c r="H71" s="349"/>
      <c r="I71" s="350">
        <f>G71+H71</f>
        <v>0</v>
      </c>
      <c r="J71" s="348"/>
      <c r="K71" s="349"/>
      <c r="L71" s="350">
        <f>K71+J71</f>
        <v>0</v>
      </c>
      <c r="M71" s="53"/>
      <c r="N71" s="54"/>
      <c r="O71" s="55">
        <f>N71+M71</f>
        <v>0</v>
      </c>
      <c r="P71" s="57"/>
    </row>
    <row r="72" spans="1:16" ht="24" hidden="1" customHeight="1" x14ac:dyDescent="0.25">
      <c r="A72" s="51">
        <v>1225</v>
      </c>
      <c r="B72" s="89" t="s">
        <v>90</v>
      </c>
      <c r="C72" s="90">
        <f t="shared" si="0"/>
        <v>0</v>
      </c>
      <c r="D72" s="348"/>
      <c r="E72" s="349"/>
      <c r="F72" s="350">
        <f>D72+E72</f>
        <v>0</v>
      </c>
      <c r="G72" s="348"/>
      <c r="H72" s="349"/>
      <c r="I72" s="350">
        <f>G72+H72</f>
        <v>0</v>
      </c>
      <c r="J72" s="348"/>
      <c r="K72" s="349"/>
      <c r="L72" s="350">
        <f>K72+J72</f>
        <v>0</v>
      </c>
      <c r="M72" s="53"/>
      <c r="N72" s="54"/>
      <c r="O72" s="55">
        <f>N72+M72</f>
        <v>0</v>
      </c>
      <c r="P72" s="57"/>
    </row>
    <row r="73" spans="1:16" ht="36" customHeight="1" x14ac:dyDescent="0.25">
      <c r="A73" s="51">
        <v>1227</v>
      </c>
      <c r="B73" s="89" t="s">
        <v>91</v>
      </c>
      <c r="C73" s="90">
        <f t="shared" si="0"/>
        <v>10672</v>
      </c>
      <c r="D73" s="348">
        <v>10672</v>
      </c>
      <c r="E73" s="349"/>
      <c r="F73" s="350">
        <f>D73+E73</f>
        <v>10672</v>
      </c>
      <c r="G73" s="348"/>
      <c r="H73" s="349"/>
      <c r="I73" s="350">
        <f>G73+H73</f>
        <v>0</v>
      </c>
      <c r="J73" s="348"/>
      <c r="K73" s="349"/>
      <c r="L73" s="350">
        <f>K73+J73</f>
        <v>0</v>
      </c>
      <c r="M73" s="53"/>
      <c r="N73" s="54"/>
      <c r="O73" s="55">
        <f>N73+M73</f>
        <v>0</v>
      </c>
      <c r="P73" s="57"/>
    </row>
    <row r="74" spans="1:16" ht="48" customHeight="1" x14ac:dyDescent="0.25">
      <c r="A74" s="51">
        <v>1228</v>
      </c>
      <c r="B74" s="89" t="s">
        <v>92</v>
      </c>
      <c r="C74" s="90">
        <f t="shared" si="0"/>
        <v>500</v>
      </c>
      <c r="D74" s="348">
        <v>500</v>
      </c>
      <c r="E74" s="349"/>
      <c r="F74" s="350">
        <f>D74+E74</f>
        <v>500</v>
      </c>
      <c r="G74" s="348"/>
      <c r="H74" s="349"/>
      <c r="I74" s="350">
        <f>G74+H74</f>
        <v>0</v>
      </c>
      <c r="J74" s="348"/>
      <c r="K74" s="349"/>
      <c r="L74" s="350">
        <f>K74+J74</f>
        <v>0</v>
      </c>
      <c r="M74" s="53"/>
      <c r="N74" s="54"/>
      <c r="O74" s="55">
        <f>N74+M74</f>
        <v>0</v>
      </c>
      <c r="P74" s="57"/>
    </row>
    <row r="75" spans="1:16" x14ac:dyDescent="0.25">
      <c r="A75" s="177">
        <v>2000</v>
      </c>
      <c r="B75" s="177" t="s">
        <v>93</v>
      </c>
      <c r="C75" s="178">
        <f t="shared" si="0"/>
        <v>123202</v>
      </c>
      <c r="D75" s="610">
        <f t="shared" ref="D75:O75" si="17">SUM(D76,D83,D130,D164,D165,D172)</f>
        <v>94681</v>
      </c>
      <c r="E75" s="611">
        <f t="shared" si="17"/>
        <v>0</v>
      </c>
      <c r="F75" s="612">
        <f t="shared" si="17"/>
        <v>94681</v>
      </c>
      <c r="G75" s="610">
        <f t="shared" si="17"/>
        <v>1969</v>
      </c>
      <c r="H75" s="611">
        <f t="shared" si="17"/>
        <v>973</v>
      </c>
      <c r="I75" s="612">
        <f t="shared" si="17"/>
        <v>2942</v>
      </c>
      <c r="J75" s="610">
        <f t="shared" si="17"/>
        <v>24274</v>
      </c>
      <c r="K75" s="611">
        <f t="shared" si="17"/>
        <v>1305</v>
      </c>
      <c r="L75" s="612">
        <f t="shared" si="17"/>
        <v>25579</v>
      </c>
      <c r="M75" s="179">
        <f t="shared" si="17"/>
        <v>0</v>
      </c>
      <c r="N75" s="180">
        <f t="shared" si="17"/>
        <v>0</v>
      </c>
      <c r="O75" s="181">
        <f t="shared" si="17"/>
        <v>0</v>
      </c>
      <c r="P75" s="182"/>
    </row>
    <row r="76" spans="1:16" ht="24" x14ac:dyDescent="0.25">
      <c r="A76" s="69">
        <v>2100</v>
      </c>
      <c r="B76" s="183" t="s">
        <v>94</v>
      </c>
      <c r="C76" s="70">
        <f t="shared" si="0"/>
        <v>28</v>
      </c>
      <c r="D76" s="802">
        <f t="shared" ref="D76:O76" si="18">SUM(D77,D80)</f>
        <v>28</v>
      </c>
      <c r="E76" s="803">
        <f t="shared" si="18"/>
        <v>0</v>
      </c>
      <c r="F76" s="756">
        <f t="shared" si="18"/>
        <v>28</v>
      </c>
      <c r="G76" s="802">
        <f t="shared" si="18"/>
        <v>0</v>
      </c>
      <c r="H76" s="803">
        <f t="shared" si="18"/>
        <v>0</v>
      </c>
      <c r="I76" s="756">
        <f t="shared" si="18"/>
        <v>0</v>
      </c>
      <c r="J76" s="802">
        <f t="shared" si="18"/>
        <v>0</v>
      </c>
      <c r="K76" s="803">
        <f t="shared" si="18"/>
        <v>0</v>
      </c>
      <c r="L76" s="756">
        <f t="shared" si="18"/>
        <v>0</v>
      </c>
      <c r="M76" s="184">
        <f t="shared" si="18"/>
        <v>0</v>
      </c>
      <c r="N76" s="185">
        <f t="shared" si="18"/>
        <v>0</v>
      </c>
      <c r="O76" s="73">
        <f t="shared" si="18"/>
        <v>0</v>
      </c>
      <c r="P76" s="77"/>
    </row>
    <row r="77" spans="1:16" ht="24" x14ac:dyDescent="0.25">
      <c r="A77" s="606">
        <v>2110</v>
      </c>
      <c r="B77" s="82" t="s">
        <v>95</v>
      </c>
      <c r="C77" s="83">
        <f t="shared" si="0"/>
        <v>28</v>
      </c>
      <c r="D77" s="807">
        <f t="shared" ref="D77:O77" si="19">SUM(D78:D79)</f>
        <v>28</v>
      </c>
      <c r="E77" s="808">
        <f t="shared" si="19"/>
        <v>0</v>
      </c>
      <c r="F77" s="491">
        <f t="shared" si="19"/>
        <v>28</v>
      </c>
      <c r="G77" s="807">
        <f t="shared" si="19"/>
        <v>0</v>
      </c>
      <c r="H77" s="808">
        <f t="shared" si="19"/>
        <v>0</v>
      </c>
      <c r="I77" s="491">
        <f t="shared" si="19"/>
        <v>0</v>
      </c>
      <c r="J77" s="807">
        <f t="shared" si="19"/>
        <v>0</v>
      </c>
      <c r="K77" s="808">
        <f t="shared" si="19"/>
        <v>0</v>
      </c>
      <c r="L77" s="491">
        <f t="shared" si="19"/>
        <v>0</v>
      </c>
      <c r="M77" s="194">
        <f t="shared" si="19"/>
        <v>0</v>
      </c>
      <c r="N77" s="195">
        <f t="shared" si="19"/>
        <v>0</v>
      </c>
      <c r="O77" s="134">
        <f t="shared" si="19"/>
        <v>0</v>
      </c>
      <c r="P77" s="49"/>
    </row>
    <row r="78" spans="1:16" ht="40.5" hidden="1" customHeight="1" x14ac:dyDescent="0.25">
      <c r="A78" s="51">
        <v>2111</v>
      </c>
      <c r="B78" s="89" t="s">
        <v>96</v>
      </c>
      <c r="C78" s="90">
        <f t="shared" si="0"/>
        <v>0</v>
      </c>
      <c r="D78" s="196"/>
      <c r="E78" s="197">
        <v>0</v>
      </c>
      <c r="F78" s="55">
        <f>D78+E78</f>
        <v>0</v>
      </c>
      <c r="G78" s="53"/>
      <c r="H78" s="54"/>
      <c r="I78" s="55">
        <f>G78+H78</f>
        <v>0</v>
      </c>
      <c r="J78" s="53"/>
      <c r="K78" s="54"/>
      <c r="L78" s="55">
        <f>K78+J78</f>
        <v>0</v>
      </c>
      <c r="M78" s="53"/>
      <c r="N78" s="54"/>
      <c r="O78" s="55">
        <f>N78+M78</f>
        <v>0</v>
      </c>
      <c r="P78" s="57"/>
    </row>
    <row r="79" spans="1:16" ht="24.75" customHeight="1" x14ac:dyDescent="0.25">
      <c r="A79" s="51">
        <v>2112</v>
      </c>
      <c r="B79" s="89" t="s">
        <v>97</v>
      </c>
      <c r="C79" s="90">
        <f t="shared" si="0"/>
        <v>28</v>
      </c>
      <c r="D79" s="196">
        <v>28</v>
      </c>
      <c r="E79" s="197">
        <v>0</v>
      </c>
      <c r="F79" s="55">
        <f>D79+E79</f>
        <v>28</v>
      </c>
      <c r="G79" s="53"/>
      <c r="H79" s="54"/>
      <c r="I79" s="55">
        <f>G79+H79</f>
        <v>0</v>
      </c>
      <c r="J79" s="53"/>
      <c r="K79" s="54"/>
      <c r="L79" s="55">
        <f>K79+J79</f>
        <v>0</v>
      </c>
      <c r="M79" s="53"/>
      <c r="N79" s="54"/>
      <c r="O79" s="55">
        <f>N79+M79</f>
        <v>0</v>
      </c>
      <c r="P79" s="57"/>
    </row>
    <row r="80" spans="1:16" ht="24" hidden="1" x14ac:dyDescent="0.25">
      <c r="A80" s="189">
        <v>2120</v>
      </c>
      <c r="B80" s="89" t="s">
        <v>98</v>
      </c>
      <c r="C80" s="90">
        <f t="shared" si="0"/>
        <v>0</v>
      </c>
      <c r="D80" s="806">
        <f t="shared" ref="D80:O80" si="20">SUM(D81:D82)</f>
        <v>0</v>
      </c>
      <c r="E80" s="365">
        <f t="shared" si="20"/>
        <v>0</v>
      </c>
      <c r="F80" s="350">
        <f t="shared" si="20"/>
        <v>0</v>
      </c>
      <c r="G80" s="806">
        <f t="shared" si="20"/>
        <v>0</v>
      </c>
      <c r="H80" s="365">
        <f t="shared" si="20"/>
        <v>0</v>
      </c>
      <c r="I80" s="350">
        <f t="shared" si="20"/>
        <v>0</v>
      </c>
      <c r="J80" s="806">
        <f t="shared" si="20"/>
        <v>0</v>
      </c>
      <c r="K80" s="365">
        <f t="shared" si="20"/>
        <v>0</v>
      </c>
      <c r="L80" s="350">
        <f t="shared" si="20"/>
        <v>0</v>
      </c>
      <c r="M80" s="190">
        <f t="shared" si="20"/>
        <v>0</v>
      </c>
      <c r="N80" s="191">
        <f t="shared" si="20"/>
        <v>0</v>
      </c>
      <c r="O80" s="55">
        <f t="shared" si="20"/>
        <v>0</v>
      </c>
      <c r="P80" s="57"/>
    </row>
    <row r="81" spans="1:16" ht="12" hidden="1" customHeight="1" x14ac:dyDescent="0.25">
      <c r="A81" s="51">
        <v>2121</v>
      </c>
      <c r="B81" s="89" t="s">
        <v>96</v>
      </c>
      <c r="C81" s="90">
        <f t="shared" si="0"/>
        <v>0</v>
      </c>
      <c r="D81" s="352"/>
      <c r="E81" s="353"/>
      <c r="F81" s="350">
        <f>D81+E81</f>
        <v>0</v>
      </c>
      <c r="G81" s="348"/>
      <c r="H81" s="349"/>
      <c r="I81" s="350">
        <f>G81+H81</f>
        <v>0</v>
      </c>
      <c r="J81" s="348"/>
      <c r="K81" s="349"/>
      <c r="L81" s="350">
        <f>K81+J81</f>
        <v>0</v>
      </c>
      <c r="M81" s="53"/>
      <c r="N81" s="54"/>
      <c r="O81" s="55">
        <f>N81+M81</f>
        <v>0</v>
      </c>
      <c r="P81" s="57"/>
    </row>
    <row r="82" spans="1:16" ht="24" hidden="1" customHeight="1" x14ac:dyDescent="0.25">
      <c r="A82" s="51">
        <v>2122</v>
      </c>
      <c r="B82" s="89" t="s">
        <v>97</v>
      </c>
      <c r="C82" s="90">
        <f t="shared" si="0"/>
        <v>0</v>
      </c>
      <c r="D82" s="352"/>
      <c r="E82" s="353"/>
      <c r="F82" s="350">
        <f>D82+E82</f>
        <v>0</v>
      </c>
      <c r="G82" s="348"/>
      <c r="H82" s="349"/>
      <c r="I82" s="350">
        <f>G82+H82</f>
        <v>0</v>
      </c>
      <c r="J82" s="348"/>
      <c r="K82" s="349"/>
      <c r="L82" s="350">
        <f>K82+J82</f>
        <v>0</v>
      </c>
      <c r="M82" s="53"/>
      <c r="N82" s="54"/>
      <c r="O82" s="55">
        <f>N82+M82</f>
        <v>0</v>
      </c>
      <c r="P82" s="57"/>
    </row>
    <row r="83" spans="1:16" x14ac:dyDescent="0.25">
      <c r="A83" s="69">
        <v>2200</v>
      </c>
      <c r="B83" s="183" t="s">
        <v>99</v>
      </c>
      <c r="C83" s="70">
        <f t="shared" si="0"/>
        <v>107204</v>
      </c>
      <c r="D83" s="802">
        <f t="shared" ref="D83:O83" si="21">SUM(D84,D89,D95,D103,D112,D116,D122,D128)</f>
        <v>79683</v>
      </c>
      <c r="E83" s="803">
        <f t="shared" si="21"/>
        <v>0</v>
      </c>
      <c r="F83" s="756">
        <f t="shared" si="21"/>
        <v>79683</v>
      </c>
      <c r="G83" s="802">
        <f t="shared" si="21"/>
        <v>969</v>
      </c>
      <c r="H83" s="803">
        <f t="shared" si="21"/>
        <v>973</v>
      </c>
      <c r="I83" s="756">
        <f t="shared" si="21"/>
        <v>1942</v>
      </c>
      <c r="J83" s="802">
        <f t="shared" si="21"/>
        <v>24274</v>
      </c>
      <c r="K83" s="803">
        <f t="shared" si="21"/>
        <v>1305</v>
      </c>
      <c r="L83" s="756">
        <f t="shared" si="21"/>
        <v>25579</v>
      </c>
      <c r="M83" s="184">
        <f t="shared" si="21"/>
        <v>0</v>
      </c>
      <c r="N83" s="185">
        <f t="shared" si="21"/>
        <v>0</v>
      </c>
      <c r="O83" s="73">
        <f t="shared" si="21"/>
        <v>0</v>
      </c>
      <c r="P83" s="77"/>
    </row>
    <row r="84" spans="1:16" x14ac:dyDescent="0.25">
      <c r="A84" s="186">
        <v>2210</v>
      </c>
      <c r="B84" s="138" t="s">
        <v>100</v>
      </c>
      <c r="C84" s="143">
        <f t="shared" ref="C84:C147" si="22">F84+I84+L84+O84</f>
        <v>2016</v>
      </c>
      <c r="D84" s="804">
        <f t="shared" ref="D84:O84" si="23">SUM(D85:D88)</f>
        <v>1942</v>
      </c>
      <c r="E84" s="805">
        <f t="shared" si="23"/>
        <v>0</v>
      </c>
      <c r="F84" s="781">
        <f t="shared" si="23"/>
        <v>1942</v>
      </c>
      <c r="G84" s="804">
        <f t="shared" si="23"/>
        <v>0</v>
      </c>
      <c r="H84" s="805">
        <f t="shared" si="23"/>
        <v>0</v>
      </c>
      <c r="I84" s="781">
        <f t="shared" si="23"/>
        <v>0</v>
      </c>
      <c r="J84" s="804">
        <f t="shared" si="23"/>
        <v>74</v>
      </c>
      <c r="K84" s="805">
        <f t="shared" si="23"/>
        <v>0</v>
      </c>
      <c r="L84" s="781">
        <f t="shared" si="23"/>
        <v>74</v>
      </c>
      <c r="M84" s="187">
        <f t="shared" si="23"/>
        <v>0</v>
      </c>
      <c r="N84" s="188">
        <f t="shared" si="23"/>
        <v>0</v>
      </c>
      <c r="O84" s="141">
        <f t="shared" si="23"/>
        <v>0</v>
      </c>
      <c r="P84" s="129"/>
    </row>
    <row r="85" spans="1:16" ht="24" hidden="1" customHeight="1" x14ac:dyDescent="0.25">
      <c r="A85" s="44">
        <v>2211</v>
      </c>
      <c r="B85" s="82" t="s">
        <v>101</v>
      </c>
      <c r="C85" s="83">
        <f t="shared" si="22"/>
        <v>0</v>
      </c>
      <c r="D85" s="489"/>
      <c r="E85" s="490"/>
      <c r="F85" s="491">
        <f>D85+E85</f>
        <v>0</v>
      </c>
      <c r="G85" s="460"/>
      <c r="H85" s="461"/>
      <c r="I85" s="491">
        <f>G85+H85</f>
        <v>0</v>
      </c>
      <c r="J85" s="460"/>
      <c r="K85" s="461"/>
      <c r="L85" s="491">
        <f>K85+J85</f>
        <v>0</v>
      </c>
      <c r="M85" s="46"/>
      <c r="N85" s="47"/>
      <c r="O85" s="134">
        <f>N85+M85</f>
        <v>0</v>
      </c>
      <c r="P85" s="49"/>
    </row>
    <row r="86" spans="1:16" ht="36" customHeight="1" x14ac:dyDescent="0.25">
      <c r="A86" s="51">
        <v>2212</v>
      </c>
      <c r="B86" s="89" t="s">
        <v>102</v>
      </c>
      <c r="C86" s="90">
        <f t="shared" si="22"/>
        <v>1766</v>
      </c>
      <c r="D86" s="352">
        <v>1766</v>
      </c>
      <c r="E86" s="353"/>
      <c r="F86" s="350">
        <f>D86+E86</f>
        <v>1766</v>
      </c>
      <c r="G86" s="348"/>
      <c r="H86" s="349"/>
      <c r="I86" s="350">
        <f>G86+H86</f>
        <v>0</v>
      </c>
      <c r="J86" s="348"/>
      <c r="K86" s="349"/>
      <c r="L86" s="350">
        <f>K86+J86</f>
        <v>0</v>
      </c>
      <c r="M86" s="53"/>
      <c r="N86" s="54"/>
      <c r="O86" s="55">
        <f>N86+M86</f>
        <v>0</v>
      </c>
      <c r="P86" s="57"/>
    </row>
    <row r="87" spans="1:16" ht="24" customHeight="1" x14ac:dyDescent="0.25">
      <c r="A87" s="51">
        <v>2214</v>
      </c>
      <c r="B87" s="89" t="s">
        <v>103</v>
      </c>
      <c r="C87" s="90">
        <f t="shared" si="22"/>
        <v>176</v>
      </c>
      <c r="D87" s="196">
        <v>102</v>
      </c>
      <c r="E87" s="197"/>
      <c r="F87" s="55">
        <f>D87+E87</f>
        <v>102</v>
      </c>
      <c r="G87" s="53"/>
      <c r="H87" s="54"/>
      <c r="I87" s="55">
        <f>G87+H87</f>
        <v>0</v>
      </c>
      <c r="J87" s="53">
        <v>74</v>
      </c>
      <c r="K87" s="54">
        <v>0</v>
      </c>
      <c r="L87" s="55">
        <f>K87+J87</f>
        <v>74</v>
      </c>
      <c r="M87" s="53"/>
      <c r="N87" s="54"/>
      <c r="O87" s="55">
        <f>N87+M87</f>
        <v>0</v>
      </c>
      <c r="P87" s="57"/>
    </row>
    <row r="88" spans="1:16" ht="12" customHeight="1" x14ac:dyDescent="0.25">
      <c r="A88" s="51">
        <v>2219</v>
      </c>
      <c r="B88" s="89" t="s">
        <v>104</v>
      </c>
      <c r="C88" s="90">
        <f t="shared" si="22"/>
        <v>74</v>
      </c>
      <c r="D88" s="352">
        <v>74</v>
      </c>
      <c r="E88" s="353"/>
      <c r="F88" s="350">
        <f>D88+E88</f>
        <v>74</v>
      </c>
      <c r="G88" s="348"/>
      <c r="H88" s="349"/>
      <c r="I88" s="350">
        <f>G88+H88</f>
        <v>0</v>
      </c>
      <c r="J88" s="348"/>
      <c r="K88" s="349"/>
      <c r="L88" s="350">
        <f>K88+J88</f>
        <v>0</v>
      </c>
      <c r="M88" s="53"/>
      <c r="N88" s="54"/>
      <c r="O88" s="55">
        <f>N88+M88</f>
        <v>0</v>
      </c>
      <c r="P88" s="57"/>
    </row>
    <row r="89" spans="1:16" ht="24" x14ac:dyDescent="0.25">
      <c r="A89" s="189">
        <v>2220</v>
      </c>
      <c r="B89" s="89" t="s">
        <v>105</v>
      </c>
      <c r="C89" s="90">
        <f t="shared" si="22"/>
        <v>92884</v>
      </c>
      <c r="D89" s="806">
        <f t="shared" ref="D89:O89" si="24">SUM(D90:D94)</f>
        <v>67379</v>
      </c>
      <c r="E89" s="365">
        <f t="shared" si="24"/>
        <v>0</v>
      </c>
      <c r="F89" s="350">
        <f t="shared" si="24"/>
        <v>67379</v>
      </c>
      <c r="G89" s="806">
        <f t="shared" si="24"/>
        <v>0</v>
      </c>
      <c r="H89" s="365">
        <f t="shared" si="24"/>
        <v>0</v>
      </c>
      <c r="I89" s="350">
        <f t="shared" si="24"/>
        <v>0</v>
      </c>
      <c r="J89" s="806">
        <f t="shared" si="24"/>
        <v>24200</v>
      </c>
      <c r="K89" s="365">
        <f t="shared" si="24"/>
        <v>1305</v>
      </c>
      <c r="L89" s="350">
        <f t="shared" si="24"/>
        <v>25505</v>
      </c>
      <c r="M89" s="190">
        <f t="shared" si="24"/>
        <v>0</v>
      </c>
      <c r="N89" s="191">
        <f t="shared" si="24"/>
        <v>0</v>
      </c>
      <c r="O89" s="55">
        <f t="shared" si="24"/>
        <v>0</v>
      </c>
      <c r="P89" s="57"/>
    </row>
    <row r="90" spans="1:16" ht="26.25" customHeight="1" x14ac:dyDescent="0.25">
      <c r="A90" s="51">
        <v>2221</v>
      </c>
      <c r="B90" s="89" t="s">
        <v>106</v>
      </c>
      <c r="C90" s="90">
        <f t="shared" si="22"/>
        <v>69098</v>
      </c>
      <c r="D90" s="196">
        <v>56061</v>
      </c>
      <c r="E90" s="197">
        <v>0</v>
      </c>
      <c r="F90" s="55">
        <f>D90+E90</f>
        <v>56061</v>
      </c>
      <c r="G90" s="53"/>
      <c r="H90" s="54"/>
      <c r="I90" s="55">
        <f>G90+H90</f>
        <v>0</v>
      </c>
      <c r="J90" s="53">
        <v>12384</v>
      </c>
      <c r="K90" s="54">
        <v>653</v>
      </c>
      <c r="L90" s="55">
        <f>K90+J90</f>
        <v>13037</v>
      </c>
      <c r="M90" s="53"/>
      <c r="N90" s="54"/>
      <c r="O90" s="55">
        <f>N90+M90</f>
        <v>0</v>
      </c>
      <c r="P90" s="57" t="s">
        <v>909</v>
      </c>
    </row>
    <row r="91" spans="1:16" ht="21" customHeight="1" x14ac:dyDescent="0.25">
      <c r="A91" s="51">
        <v>2222</v>
      </c>
      <c r="B91" s="89" t="s">
        <v>107</v>
      </c>
      <c r="C91" s="90">
        <f t="shared" si="22"/>
        <v>5356</v>
      </c>
      <c r="D91" s="196">
        <v>1924</v>
      </c>
      <c r="E91" s="197"/>
      <c r="F91" s="55">
        <f>D91+E91</f>
        <v>1924</v>
      </c>
      <c r="G91" s="53">
        <v>0</v>
      </c>
      <c r="H91" s="54"/>
      <c r="I91" s="55">
        <f>G91+H91</f>
        <v>0</v>
      </c>
      <c r="J91" s="53">
        <v>2780</v>
      </c>
      <c r="K91" s="54">
        <v>652</v>
      </c>
      <c r="L91" s="55">
        <f>K91+J91</f>
        <v>3432</v>
      </c>
      <c r="M91" s="53"/>
      <c r="N91" s="54"/>
      <c r="O91" s="55">
        <f>N91+M91</f>
        <v>0</v>
      </c>
      <c r="P91" s="57" t="s">
        <v>910</v>
      </c>
    </row>
    <row r="92" spans="1:16" ht="14.25" customHeight="1" x14ac:dyDescent="0.25">
      <c r="A92" s="51">
        <v>2223</v>
      </c>
      <c r="B92" s="89" t="s">
        <v>108</v>
      </c>
      <c r="C92" s="90">
        <f t="shared" si="22"/>
        <v>17501</v>
      </c>
      <c r="D92" s="196">
        <v>8630</v>
      </c>
      <c r="E92" s="197"/>
      <c r="F92" s="55">
        <f>D92+E92</f>
        <v>8630</v>
      </c>
      <c r="G92" s="53"/>
      <c r="H92" s="54"/>
      <c r="I92" s="55">
        <f>G92+H92</f>
        <v>0</v>
      </c>
      <c r="J92" s="53">
        <v>8871</v>
      </c>
      <c r="K92" s="54"/>
      <c r="L92" s="55">
        <f>K92+J92</f>
        <v>8871</v>
      </c>
      <c r="M92" s="53"/>
      <c r="N92" s="54"/>
      <c r="O92" s="55">
        <f>N92+M92</f>
        <v>0</v>
      </c>
      <c r="P92" s="57"/>
    </row>
    <row r="93" spans="1:16" ht="48" customHeight="1" x14ac:dyDescent="0.25">
      <c r="A93" s="51">
        <v>2224</v>
      </c>
      <c r="B93" s="89" t="s">
        <v>109</v>
      </c>
      <c r="C93" s="90">
        <f t="shared" si="22"/>
        <v>929</v>
      </c>
      <c r="D93" s="352">
        <v>764</v>
      </c>
      <c r="E93" s="353"/>
      <c r="F93" s="350">
        <f>D93+E93</f>
        <v>764</v>
      </c>
      <c r="G93" s="348"/>
      <c r="H93" s="349"/>
      <c r="I93" s="350">
        <f>G93+H93</f>
        <v>0</v>
      </c>
      <c r="J93" s="348">
        <v>165</v>
      </c>
      <c r="K93" s="349"/>
      <c r="L93" s="350">
        <f>K93+J93</f>
        <v>165</v>
      </c>
      <c r="M93" s="53"/>
      <c r="N93" s="54"/>
      <c r="O93" s="55">
        <f>N93+M93</f>
        <v>0</v>
      </c>
      <c r="P93" s="57"/>
    </row>
    <row r="94" spans="1:16" ht="24" hidden="1" customHeight="1" x14ac:dyDescent="0.25">
      <c r="A94" s="51">
        <v>2229</v>
      </c>
      <c r="B94" s="89" t="s">
        <v>110</v>
      </c>
      <c r="C94" s="90">
        <f t="shared" si="22"/>
        <v>0</v>
      </c>
      <c r="D94" s="352"/>
      <c r="E94" s="353"/>
      <c r="F94" s="350">
        <f>D94+E94</f>
        <v>0</v>
      </c>
      <c r="G94" s="348"/>
      <c r="H94" s="349"/>
      <c r="I94" s="350">
        <f>G94+H94</f>
        <v>0</v>
      </c>
      <c r="J94" s="348"/>
      <c r="K94" s="349"/>
      <c r="L94" s="350">
        <f>K94+J94</f>
        <v>0</v>
      </c>
      <c r="M94" s="53"/>
      <c r="N94" s="54"/>
      <c r="O94" s="55">
        <f>N94+M94</f>
        <v>0</v>
      </c>
      <c r="P94" s="57"/>
    </row>
    <row r="95" spans="1:16" ht="36" x14ac:dyDescent="0.25">
      <c r="A95" s="189">
        <v>2230</v>
      </c>
      <c r="B95" s="89" t="s">
        <v>111</v>
      </c>
      <c r="C95" s="90">
        <f t="shared" si="22"/>
        <v>2162</v>
      </c>
      <c r="D95" s="806">
        <f t="shared" ref="D95:O95" si="25">SUM(D96:D102)</f>
        <v>2162</v>
      </c>
      <c r="E95" s="365">
        <f t="shared" si="25"/>
        <v>0</v>
      </c>
      <c r="F95" s="350">
        <f t="shared" si="25"/>
        <v>2162</v>
      </c>
      <c r="G95" s="806">
        <f t="shared" si="25"/>
        <v>0</v>
      </c>
      <c r="H95" s="365">
        <f t="shared" si="25"/>
        <v>0</v>
      </c>
      <c r="I95" s="350">
        <f t="shared" si="25"/>
        <v>0</v>
      </c>
      <c r="J95" s="806">
        <f t="shared" si="25"/>
        <v>0</v>
      </c>
      <c r="K95" s="365">
        <f t="shared" si="25"/>
        <v>0</v>
      </c>
      <c r="L95" s="350">
        <f t="shared" si="25"/>
        <v>0</v>
      </c>
      <c r="M95" s="190">
        <f t="shared" si="25"/>
        <v>0</v>
      </c>
      <c r="N95" s="191">
        <f t="shared" si="25"/>
        <v>0</v>
      </c>
      <c r="O95" s="55">
        <f t="shared" si="25"/>
        <v>0</v>
      </c>
      <c r="P95" s="57"/>
    </row>
    <row r="96" spans="1:16" ht="24" hidden="1" customHeight="1" x14ac:dyDescent="0.25">
      <c r="A96" s="51">
        <v>2231</v>
      </c>
      <c r="B96" s="89" t="s">
        <v>112</v>
      </c>
      <c r="C96" s="90">
        <f t="shared" si="22"/>
        <v>0</v>
      </c>
      <c r="D96" s="352"/>
      <c r="E96" s="353"/>
      <c r="F96" s="350">
        <f t="shared" ref="F96:F102" si="26">D96+E96</f>
        <v>0</v>
      </c>
      <c r="G96" s="348"/>
      <c r="H96" s="349"/>
      <c r="I96" s="350">
        <f t="shared" ref="I96:I102" si="27">G96+H96</f>
        <v>0</v>
      </c>
      <c r="J96" s="348"/>
      <c r="K96" s="349"/>
      <c r="L96" s="350">
        <f t="shared" ref="L96:L102" si="28">K96+J96</f>
        <v>0</v>
      </c>
      <c r="M96" s="53"/>
      <c r="N96" s="54"/>
      <c r="O96" s="55">
        <f t="shared" ref="O96:O102" si="29">N96+M96</f>
        <v>0</v>
      </c>
      <c r="P96" s="57"/>
    </row>
    <row r="97" spans="1:16" ht="24.75" hidden="1" customHeight="1" x14ac:dyDescent="0.25">
      <c r="A97" s="51">
        <v>2232</v>
      </c>
      <c r="B97" s="89" t="s">
        <v>113</v>
      </c>
      <c r="C97" s="90">
        <f t="shared" si="22"/>
        <v>0</v>
      </c>
      <c r="D97" s="352"/>
      <c r="E97" s="353"/>
      <c r="F97" s="350">
        <f t="shared" si="26"/>
        <v>0</v>
      </c>
      <c r="G97" s="348"/>
      <c r="H97" s="349"/>
      <c r="I97" s="350">
        <f t="shared" si="27"/>
        <v>0</v>
      </c>
      <c r="J97" s="348"/>
      <c r="K97" s="349"/>
      <c r="L97" s="350">
        <f t="shared" si="28"/>
        <v>0</v>
      </c>
      <c r="M97" s="53"/>
      <c r="N97" s="54"/>
      <c r="O97" s="55">
        <f t="shared" si="29"/>
        <v>0</v>
      </c>
      <c r="P97" s="57"/>
    </row>
    <row r="98" spans="1:16" ht="24" hidden="1" customHeight="1" x14ac:dyDescent="0.25">
      <c r="A98" s="44">
        <v>2233</v>
      </c>
      <c r="B98" s="82" t="s">
        <v>114</v>
      </c>
      <c r="C98" s="83">
        <f t="shared" si="22"/>
        <v>0</v>
      </c>
      <c r="D98" s="489"/>
      <c r="E98" s="490"/>
      <c r="F98" s="491">
        <f t="shared" si="26"/>
        <v>0</v>
      </c>
      <c r="G98" s="460"/>
      <c r="H98" s="461"/>
      <c r="I98" s="491">
        <f t="shared" si="27"/>
        <v>0</v>
      </c>
      <c r="J98" s="460"/>
      <c r="K98" s="461"/>
      <c r="L98" s="491">
        <f t="shared" si="28"/>
        <v>0</v>
      </c>
      <c r="M98" s="46"/>
      <c r="N98" s="47"/>
      <c r="O98" s="134">
        <f t="shared" si="29"/>
        <v>0</v>
      </c>
      <c r="P98" s="49"/>
    </row>
    <row r="99" spans="1:16" ht="36" hidden="1" customHeight="1" x14ac:dyDescent="0.25">
      <c r="A99" s="51">
        <v>2234</v>
      </c>
      <c r="B99" s="89" t="s">
        <v>115</v>
      </c>
      <c r="C99" s="90">
        <f t="shared" si="22"/>
        <v>0</v>
      </c>
      <c r="D99" s="352"/>
      <c r="E99" s="353"/>
      <c r="F99" s="350">
        <f t="shared" si="26"/>
        <v>0</v>
      </c>
      <c r="G99" s="348"/>
      <c r="H99" s="349"/>
      <c r="I99" s="350">
        <f t="shared" si="27"/>
        <v>0</v>
      </c>
      <c r="J99" s="348"/>
      <c r="K99" s="349"/>
      <c r="L99" s="350">
        <f t="shared" si="28"/>
        <v>0</v>
      </c>
      <c r="M99" s="53"/>
      <c r="N99" s="54"/>
      <c r="O99" s="55">
        <f t="shared" si="29"/>
        <v>0</v>
      </c>
      <c r="P99" s="57"/>
    </row>
    <row r="100" spans="1:16" ht="24" hidden="1" customHeight="1" x14ac:dyDescent="0.25">
      <c r="A100" s="51">
        <v>2235</v>
      </c>
      <c r="B100" s="89" t="s">
        <v>116</v>
      </c>
      <c r="C100" s="90">
        <f t="shared" si="22"/>
        <v>0</v>
      </c>
      <c r="D100" s="352"/>
      <c r="E100" s="353"/>
      <c r="F100" s="350">
        <f t="shared" si="26"/>
        <v>0</v>
      </c>
      <c r="G100" s="348"/>
      <c r="H100" s="349"/>
      <c r="I100" s="350">
        <f t="shared" si="27"/>
        <v>0</v>
      </c>
      <c r="J100" s="348"/>
      <c r="K100" s="349"/>
      <c r="L100" s="350">
        <f t="shared" si="28"/>
        <v>0</v>
      </c>
      <c r="M100" s="53"/>
      <c r="N100" s="54"/>
      <c r="O100" s="55">
        <f t="shared" si="29"/>
        <v>0</v>
      </c>
      <c r="P100" s="57"/>
    </row>
    <row r="101" spans="1:16" ht="12" hidden="1" customHeight="1" x14ac:dyDescent="0.25">
      <c r="A101" s="51">
        <v>2236</v>
      </c>
      <c r="B101" s="89" t="s">
        <v>117</v>
      </c>
      <c r="C101" s="90">
        <f t="shared" si="22"/>
        <v>0</v>
      </c>
      <c r="D101" s="352"/>
      <c r="E101" s="353"/>
      <c r="F101" s="350">
        <f t="shared" si="26"/>
        <v>0</v>
      </c>
      <c r="G101" s="348"/>
      <c r="H101" s="349"/>
      <c r="I101" s="350">
        <f t="shared" si="27"/>
        <v>0</v>
      </c>
      <c r="J101" s="348"/>
      <c r="K101" s="349"/>
      <c r="L101" s="350">
        <f t="shared" si="28"/>
        <v>0</v>
      </c>
      <c r="M101" s="53"/>
      <c r="N101" s="54"/>
      <c r="O101" s="55">
        <f t="shared" si="29"/>
        <v>0</v>
      </c>
      <c r="P101" s="57"/>
    </row>
    <row r="102" spans="1:16" ht="24" customHeight="1" x14ac:dyDescent="0.25">
      <c r="A102" s="51">
        <v>2239</v>
      </c>
      <c r="B102" s="89" t="s">
        <v>118</v>
      </c>
      <c r="C102" s="90">
        <f t="shared" si="22"/>
        <v>2162</v>
      </c>
      <c r="D102" s="196">
        <v>2162</v>
      </c>
      <c r="E102" s="197">
        <v>0</v>
      </c>
      <c r="F102" s="55">
        <f t="shared" si="26"/>
        <v>2162</v>
      </c>
      <c r="G102" s="53"/>
      <c r="H102" s="54"/>
      <c r="I102" s="55">
        <f t="shared" si="27"/>
        <v>0</v>
      </c>
      <c r="J102" s="53"/>
      <c r="K102" s="54"/>
      <c r="L102" s="55">
        <f t="shared" si="28"/>
        <v>0</v>
      </c>
      <c r="M102" s="53"/>
      <c r="N102" s="54"/>
      <c r="O102" s="55">
        <f t="shared" si="29"/>
        <v>0</v>
      </c>
      <c r="P102" s="57"/>
    </row>
    <row r="103" spans="1:16" ht="36" x14ac:dyDescent="0.25">
      <c r="A103" s="189">
        <v>2240</v>
      </c>
      <c r="B103" s="89" t="s">
        <v>119</v>
      </c>
      <c r="C103" s="90">
        <f t="shared" si="22"/>
        <v>5614</v>
      </c>
      <c r="D103" s="806">
        <f t="shared" ref="D103:O103" si="30">SUM(D104:D111)</f>
        <v>5614</v>
      </c>
      <c r="E103" s="365">
        <f t="shared" si="30"/>
        <v>0</v>
      </c>
      <c r="F103" s="350">
        <f t="shared" si="30"/>
        <v>5614</v>
      </c>
      <c r="G103" s="806">
        <f t="shared" si="30"/>
        <v>0</v>
      </c>
      <c r="H103" s="365">
        <f t="shared" si="30"/>
        <v>0</v>
      </c>
      <c r="I103" s="350">
        <f t="shared" si="30"/>
        <v>0</v>
      </c>
      <c r="J103" s="806">
        <f t="shared" si="30"/>
        <v>0</v>
      </c>
      <c r="K103" s="365">
        <f t="shared" si="30"/>
        <v>0</v>
      </c>
      <c r="L103" s="350">
        <f t="shared" si="30"/>
        <v>0</v>
      </c>
      <c r="M103" s="190">
        <f t="shared" si="30"/>
        <v>0</v>
      </c>
      <c r="N103" s="191">
        <f t="shared" si="30"/>
        <v>0</v>
      </c>
      <c r="O103" s="55">
        <f t="shared" si="30"/>
        <v>0</v>
      </c>
      <c r="P103" s="57"/>
    </row>
    <row r="104" spans="1:16" ht="12" hidden="1" customHeight="1" x14ac:dyDescent="0.25">
      <c r="A104" s="51">
        <v>2241</v>
      </c>
      <c r="B104" s="89" t="s">
        <v>120</v>
      </c>
      <c r="C104" s="90">
        <f t="shared" si="22"/>
        <v>0</v>
      </c>
      <c r="D104" s="352"/>
      <c r="E104" s="353"/>
      <c r="F104" s="350">
        <f t="shared" ref="F104:F111" si="31">D104+E104</f>
        <v>0</v>
      </c>
      <c r="G104" s="348"/>
      <c r="H104" s="349"/>
      <c r="I104" s="350">
        <f t="shared" ref="I104:I111" si="32">G104+H104</f>
        <v>0</v>
      </c>
      <c r="J104" s="348"/>
      <c r="K104" s="349"/>
      <c r="L104" s="350">
        <f t="shared" ref="L104:L111" si="33">K104+J104</f>
        <v>0</v>
      </c>
      <c r="M104" s="53"/>
      <c r="N104" s="54"/>
      <c r="O104" s="55">
        <f t="shared" ref="O104:O111" si="34">N104+M104</f>
        <v>0</v>
      </c>
      <c r="P104" s="57"/>
    </row>
    <row r="105" spans="1:16" ht="24" hidden="1" customHeight="1" x14ac:dyDescent="0.25">
      <c r="A105" s="51">
        <v>2242</v>
      </c>
      <c r="B105" s="89" t="s">
        <v>121</v>
      </c>
      <c r="C105" s="90">
        <f t="shared" si="22"/>
        <v>0</v>
      </c>
      <c r="D105" s="352"/>
      <c r="E105" s="353"/>
      <c r="F105" s="350">
        <f t="shared" si="31"/>
        <v>0</v>
      </c>
      <c r="G105" s="348"/>
      <c r="H105" s="349"/>
      <c r="I105" s="350">
        <f t="shared" si="32"/>
        <v>0</v>
      </c>
      <c r="J105" s="348"/>
      <c r="K105" s="349"/>
      <c r="L105" s="350">
        <f t="shared" si="33"/>
        <v>0</v>
      </c>
      <c r="M105" s="53"/>
      <c r="N105" s="54"/>
      <c r="O105" s="55">
        <f t="shared" si="34"/>
        <v>0</v>
      </c>
      <c r="P105" s="57"/>
    </row>
    <row r="106" spans="1:16" ht="24" customHeight="1" x14ac:dyDescent="0.25">
      <c r="A106" s="51">
        <v>2243</v>
      </c>
      <c r="B106" s="89" t="s">
        <v>122</v>
      </c>
      <c r="C106" s="90">
        <f t="shared" si="22"/>
        <v>459</v>
      </c>
      <c r="D106" s="352">
        <v>459</v>
      </c>
      <c r="E106" s="353"/>
      <c r="F106" s="350">
        <f t="shared" si="31"/>
        <v>459</v>
      </c>
      <c r="G106" s="348"/>
      <c r="H106" s="349"/>
      <c r="I106" s="350">
        <f t="shared" si="32"/>
        <v>0</v>
      </c>
      <c r="J106" s="348"/>
      <c r="K106" s="349"/>
      <c r="L106" s="350">
        <f t="shared" si="33"/>
        <v>0</v>
      </c>
      <c r="M106" s="53"/>
      <c r="N106" s="54"/>
      <c r="O106" s="55">
        <f t="shared" si="34"/>
        <v>0</v>
      </c>
      <c r="P106" s="57"/>
    </row>
    <row r="107" spans="1:16" ht="12" customHeight="1" x14ac:dyDescent="0.25">
      <c r="A107" s="51">
        <v>2244</v>
      </c>
      <c r="B107" s="89" t="s">
        <v>123</v>
      </c>
      <c r="C107" s="90">
        <f t="shared" si="22"/>
        <v>4780</v>
      </c>
      <c r="D107" s="352">
        <v>4780</v>
      </c>
      <c r="E107" s="353"/>
      <c r="F107" s="350">
        <f t="shared" si="31"/>
        <v>4780</v>
      </c>
      <c r="G107" s="348"/>
      <c r="H107" s="349"/>
      <c r="I107" s="350">
        <f t="shared" si="32"/>
        <v>0</v>
      </c>
      <c r="J107" s="348"/>
      <c r="K107" s="349"/>
      <c r="L107" s="350">
        <f t="shared" si="33"/>
        <v>0</v>
      </c>
      <c r="M107" s="53"/>
      <c r="N107" s="54"/>
      <c r="O107" s="55">
        <f t="shared" si="34"/>
        <v>0</v>
      </c>
      <c r="P107" s="57"/>
    </row>
    <row r="108" spans="1:16" ht="24" hidden="1" customHeight="1" x14ac:dyDescent="0.25">
      <c r="A108" s="51">
        <v>2246</v>
      </c>
      <c r="B108" s="89" t="s">
        <v>124</v>
      </c>
      <c r="C108" s="90">
        <f t="shared" si="22"/>
        <v>0</v>
      </c>
      <c r="D108" s="352"/>
      <c r="E108" s="353"/>
      <c r="F108" s="350">
        <f t="shared" si="31"/>
        <v>0</v>
      </c>
      <c r="G108" s="348"/>
      <c r="H108" s="349"/>
      <c r="I108" s="350">
        <f t="shared" si="32"/>
        <v>0</v>
      </c>
      <c r="J108" s="348"/>
      <c r="K108" s="349"/>
      <c r="L108" s="350">
        <f t="shared" si="33"/>
        <v>0</v>
      </c>
      <c r="M108" s="53"/>
      <c r="N108" s="54"/>
      <c r="O108" s="55">
        <f t="shared" si="34"/>
        <v>0</v>
      </c>
      <c r="P108" s="57"/>
    </row>
    <row r="109" spans="1:16" ht="12" hidden="1" customHeight="1" x14ac:dyDescent="0.25">
      <c r="A109" s="51">
        <v>2247</v>
      </c>
      <c r="B109" s="89" t="s">
        <v>125</v>
      </c>
      <c r="C109" s="90">
        <f t="shared" si="22"/>
        <v>0</v>
      </c>
      <c r="D109" s="352"/>
      <c r="E109" s="353"/>
      <c r="F109" s="350">
        <f t="shared" si="31"/>
        <v>0</v>
      </c>
      <c r="G109" s="348"/>
      <c r="H109" s="349"/>
      <c r="I109" s="350">
        <f t="shared" si="32"/>
        <v>0</v>
      </c>
      <c r="J109" s="348"/>
      <c r="K109" s="349"/>
      <c r="L109" s="350">
        <f t="shared" si="33"/>
        <v>0</v>
      </c>
      <c r="M109" s="53"/>
      <c r="N109" s="54"/>
      <c r="O109" s="55">
        <f t="shared" si="34"/>
        <v>0</v>
      </c>
      <c r="P109" s="57"/>
    </row>
    <row r="110" spans="1:16" ht="24" hidden="1" customHeight="1" x14ac:dyDescent="0.25">
      <c r="A110" s="51">
        <v>2248</v>
      </c>
      <c r="B110" s="89" t="s">
        <v>126</v>
      </c>
      <c r="C110" s="90">
        <f t="shared" si="22"/>
        <v>0</v>
      </c>
      <c r="D110" s="352"/>
      <c r="E110" s="353"/>
      <c r="F110" s="350">
        <f t="shared" si="31"/>
        <v>0</v>
      </c>
      <c r="G110" s="348"/>
      <c r="H110" s="349"/>
      <c r="I110" s="350">
        <f t="shared" si="32"/>
        <v>0</v>
      </c>
      <c r="J110" s="348"/>
      <c r="K110" s="349"/>
      <c r="L110" s="350">
        <f t="shared" si="33"/>
        <v>0</v>
      </c>
      <c r="M110" s="53"/>
      <c r="N110" s="54"/>
      <c r="O110" s="55">
        <f t="shared" si="34"/>
        <v>0</v>
      </c>
      <c r="P110" s="57"/>
    </row>
    <row r="111" spans="1:16" ht="24" customHeight="1" x14ac:dyDescent="0.25">
      <c r="A111" s="51">
        <v>2249</v>
      </c>
      <c r="B111" s="89" t="s">
        <v>127</v>
      </c>
      <c r="C111" s="90">
        <f t="shared" si="22"/>
        <v>375</v>
      </c>
      <c r="D111" s="352">
        <v>375</v>
      </c>
      <c r="E111" s="353"/>
      <c r="F111" s="350">
        <f t="shared" si="31"/>
        <v>375</v>
      </c>
      <c r="G111" s="348"/>
      <c r="H111" s="349"/>
      <c r="I111" s="350">
        <f t="shared" si="32"/>
        <v>0</v>
      </c>
      <c r="J111" s="348"/>
      <c r="K111" s="349"/>
      <c r="L111" s="350">
        <f t="shared" si="33"/>
        <v>0</v>
      </c>
      <c r="M111" s="53"/>
      <c r="N111" s="54"/>
      <c r="O111" s="55">
        <f t="shared" si="34"/>
        <v>0</v>
      </c>
      <c r="P111" s="57"/>
    </row>
    <row r="112" spans="1:16" x14ac:dyDescent="0.25">
      <c r="A112" s="189">
        <v>2250</v>
      </c>
      <c r="B112" s="89" t="s">
        <v>128</v>
      </c>
      <c r="C112" s="90">
        <f t="shared" si="22"/>
        <v>2558</v>
      </c>
      <c r="D112" s="806">
        <f t="shared" ref="D112:O112" si="35">SUM(D113:D115)</f>
        <v>2558</v>
      </c>
      <c r="E112" s="365">
        <f t="shared" si="35"/>
        <v>0</v>
      </c>
      <c r="F112" s="350">
        <f t="shared" si="35"/>
        <v>2558</v>
      </c>
      <c r="G112" s="806">
        <f t="shared" si="35"/>
        <v>0</v>
      </c>
      <c r="H112" s="365">
        <f t="shared" si="35"/>
        <v>0</v>
      </c>
      <c r="I112" s="350">
        <f t="shared" si="35"/>
        <v>0</v>
      </c>
      <c r="J112" s="806">
        <f t="shared" si="35"/>
        <v>0</v>
      </c>
      <c r="K112" s="365">
        <f t="shared" si="35"/>
        <v>0</v>
      </c>
      <c r="L112" s="350">
        <f t="shared" si="35"/>
        <v>0</v>
      </c>
      <c r="M112" s="190">
        <f t="shared" si="35"/>
        <v>0</v>
      </c>
      <c r="N112" s="191">
        <f t="shared" si="35"/>
        <v>0</v>
      </c>
      <c r="O112" s="55">
        <f t="shared" si="35"/>
        <v>0</v>
      </c>
      <c r="P112" s="57"/>
    </row>
    <row r="113" spans="1:16" ht="12" customHeight="1" x14ac:dyDescent="0.25">
      <c r="A113" s="51">
        <v>2251</v>
      </c>
      <c r="B113" s="89" t="s">
        <v>129</v>
      </c>
      <c r="C113" s="90">
        <f t="shared" si="22"/>
        <v>85</v>
      </c>
      <c r="D113" s="352">
        <v>85</v>
      </c>
      <c r="E113" s="353"/>
      <c r="F113" s="350">
        <f>D113+E113</f>
        <v>85</v>
      </c>
      <c r="G113" s="348"/>
      <c r="H113" s="349"/>
      <c r="I113" s="350">
        <f>G113+H113</f>
        <v>0</v>
      </c>
      <c r="J113" s="348"/>
      <c r="K113" s="349"/>
      <c r="L113" s="350">
        <f>K113+J113</f>
        <v>0</v>
      </c>
      <c r="M113" s="53"/>
      <c r="N113" s="54"/>
      <c r="O113" s="55">
        <f>N113+M113</f>
        <v>0</v>
      </c>
      <c r="P113" s="57"/>
    </row>
    <row r="114" spans="1:16" ht="24" customHeight="1" x14ac:dyDescent="0.25">
      <c r="A114" s="51">
        <v>2252</v>
      </c>
      <c r="B114" s="89" t="s">
        <v>130</v>
      </c>
      <c r="C114" s="90">
        <f t="shared" si="22"/>
        <v>1847</v>
      </c>
      <c r="D114" s="352">
        <v>1847</v>
      </c>
      <c r="E114" s="353"/>
      <c r="F114" s="350">
        <f>D114+E114</f>
        <v>1847</v>
      </c>
      <c r="G114" s="348"/>
      <c r="H114" s="349"/>
      <c r="I114" s="350">
        <f>G114+H114</f>
        <v>0</v>
      </c>
      <c r="J114" s="348"/>
      <c r="K114" s="349"/>
      <c r="L114" s="350">
        <f>K114+J114</f>
        <v>0</v>
      </c>
      <c r="M114" s="53"/>
      <c r="N114" s="54"/>
      <c r="O114" s="55">
        <f>N114+M114</f>
        <v>0</v>
      </c>
      <c r="P114" s="57"/>
    </row>
    <row r="115" spans="1:16" ht="24" customHeight="1" x14ac:dyDescent="0.25">
      <c r="A115" s="51">
        <v>2259</v>
      </c>
      <c r="B115" s="89" t="s">
        <v>131</v>
      </c>
      <c r="C115" s="90">
        <f t="shared" si="22"/>
        <v>626</v>
      </c>
      <c r="D115" s="352">
        <v>626</v>
      </c>
      <c r="E115" s="353"/>
      <c r="F115" s="350">
        <f>D115+E115</f>
        <v>626</v>
      </c>
      <c r="G115" s="348"/>
      <c r="H115" s="349"/>
      <c r="I115" s="350">
        <f>G115+H115</f>
        <v>0</v>
      </c>
      <c r="J115" s="348"/>
      <c r="K115" s="349"/>
      <c r="L115" s="350">
        <f>K115+J115</f>
        <v>0</v>
      </c>
      <c r="M115" s="53"/>
      <c r="N115" s="54"/>
      <c r="O115" s="55">
        <f>N115+M115</f>
        <v>0</v>
      </c>
      <c r="P115" s="57"/>
    </row>
    <row r="116" spans="1:16" x14ac:dyDescent="0.25">
      <c r="A116" s="189">
        <v>2260</v>
      </c>
      <c r="B116" s="89" t="s">
        <v>132</v>
      </c>
      <c r="C116" s="90">
        <f t="shared" si="22"/>
        <v>1469</v>
      </c>
      <c r="D116" s="806">
        <f t="shared" ref="D116:O116" si="36">SUM(D117:D121)</f>
        <v>28</v>
      </c>
      <c r="E116" s="365">
        <f t="shared" si="36"/>
        <v>0</v>
      </c>
      <c r="F116" s="350">
        <f t="shared" si="36"/>
        <v>28</v>
      </c>
      <c r="G116" s="806">
        <f t="shared" si="36"/>
        <v>721</v>
      </c>
      <c r="H116" s="365">
        <f t="shared" si="36"/>
        <v>720</v>
      </c>
      <c r="I116" s="350">
        <f t="shared" si="36"/>
        <v>1441</v>
      </c>
      <c r="J116" s="806">
        <f t="shared" si="36"/>
        <v>0</v>
      </c>
      <c r="K116" s="365">
        <f t="shared" si="36"/>
        <v>0</v>
      </c>
      <c r="L116" s="350">
        <f t="shared" si="36"/>
        <v>0</v>
      </c>
      <c r="M116" s="190">
        <f t="shared" si="36"/>
        <v>0</v>
      </c>
      <c r="N116" s="191">
        <f t="shared" si="36"/>
        <v>0</v>
      </c>
      <c r="O116" s="55">
        <f t="shared" si="36"/>
        <v>0</v>
      </c>
      <c r="P116" s="57"/>
    </row>
    <row r="117" spans="1:16" ht="12" hidden="1" customHeight="1" x14ac:dyDescent="0.25">
      <c r="A117" s="51">
        <v>2261</v>
      </c>
      <c r="B117" s="89" t="s">
        <v>133</v>
      </c>
      <c r="C117" s="90">
        <f t="shared" si="22"/>
        <v>0</v>
      </c>
      <c r="D117" s="352"/>
      <c r="E117" s="353"/>
      <c r="F117" s="350">
        <f>D117+E117</f>
        <v>0</v>
      </c>
      <c r="G117" s="348"/>
      <c r="H117" s="349"/>
      <c r="I117" s="350">
        <f>G117+H117</f>
        <v>0</v>
      </c>
      <c r="J117" s="348"/>
      <c r="K117" s="349"/>
      <c r="L117" s="350">
        <f>K117+J117</f>
        <v>0</v>
      </c>
      <c r="M117" s="53"/>
      <c r="N117" s="54"/>
      <c r="O117" s="55">
        <f>N117+M117</f>
        <v>0</v>
      </c>
      <c r="P117" s="57"/>
    </row>
    <row r="118" spans="1:16" ht="18" customHeight="1" x14ac:dyDescent="0.25">
      <c r="A118" s="51">
        <v>2262</v>
      </c>
      <c r="B118" s="89" t="s">
        <v>134</v>
      </c>
      <c r="C118" s="90">
        <f t="shared" si="22"/>
        <v>1441</v>
      </c>
      <c r="D118" s="196"/>
      <c r="E118" s="197"/>
      <c r="F118" s="55">
        <f>D118+E118</f>
        <v>0</v>
      </c>
      <c r="G118" s="53">
        <v>721</v>
      </c>
      <c r="H118" s="54">
        <v>720</v>
      </c>
      <c r="I118" s="55">
        <f>G118+H118</f>
        <v>1441</v>
      </c>
      <c r="J118" s="53"/>
      <c r="K118" s="54"/>
      <c r="L118" s="55">
        <f>K118+J118</f>
        <v>0</v>
      </c>
      <c r="M118" s="53"/>
      <c r="N118" s="54"/>
      <c r="O118" s="55">
        <f>N118+M118</f>
        <v>0</v>
      </c>
      <c r="P118" s="726" t="s">
        <v>911</v>
      </c>
    </row>
    <row r="119" spans="1:16" ht="18.75" hidden="1" customHeight="1" x14ac:dyDescent="0.25">
      <c r="A119" s="51">
        <v>2263</v>
      </c>
      <c r="B119" s="89" t="s">
        <v>135</v>
      </c>
      <c r="C119" s="90">
        <f t="shared" si="22"/>
        <v>0</v>
      </c>
      <c r="D119" s="352"/>
      <c r="E119" s="353"/>
      <c r="F119" s="350">
        <f>D119+E119</f>
        <v>0</v>
      </c>
      <c r="G119" s="348"/>
      <c r="H119" s="349"/>
      <c r="I119" s="350">
        <f>G119+H119</f>
        <v>0</v>
      </c>
      <c r="J119" s="348"/>
      <c r="K119" s="349"/>
      <c r="L119" s="350">
        <f>K119+J119</f>
        <v>0</v>
      </c>
      <c r="M119" s="53"/>
      <c r="N119" s="54"/>
      <c r="O119" s="55">
        <f>N119+M119</f>
        <v>0</v>
      </c>
      <c r="P119" s="129"/>
    </row>
    <row r="120" spans="1:16" ht="24" hidden="1" customHeight="1" x14ac:dyDescent="0.25">
      <c r="A120" s="51">
        <v>2264</v>
      </c>
      <c r="B120" s="89" t="s">
        <v>136</v>
      </c>
      <c r="C120" s="90">
        <f t="shared" si="22"/>
        <v>0</v>
      </c>
      <c r="D120" s="352"/>
      <c r="E120" s="353"/>
      <c r="F120" s="350">
        <f>D120+E120</f>
        <v>0</v>
      </c>
      <c r="G120" s="348"/>
      <c r="H120" s="349"/>
      <c r="I120" s="350">
        <f>G120+H120</f>
        <v>0</v>
      </c>
      <c r="J120" s="348"/>
      <c r="K120" s="349"/>
      <c r="L120" s="350">
        <f>K120+J120</f>
        <v>0</v>
      </c>
      <c r="M120" s="53"/>
      <c r="N120" s="54"/>
      <c r="O120" s="55">
        <f>N120+M120</f>
        <v>0</v>
      </c>
      <c r="P120" s="57"/>
    </row>
    <row r="121" spans="1:16" ht="15.75" customHeight="1" x14ac:dyDescent="0.25">
      <c r="A121" s="51">
        <v>2269</v>
      </c>
      <c r="B121" s="89" t="s">
        <v>137</v>
      </c>
      <c r="C121" s="90">
        <f t="shared" si="22"/>
        <v>28</v>
      </c>
      <c r="D121" s="196">
        <v>28</v>
      </c>
      <c r="E121" s="197">
        <v>0</v>
      </c>
      <c r="F121" s="55">
        <f>D121+E121</f>
        <v>28</v>
      </c>
      <c r="G121" s="53"/>
      <c r="H121" s="54"/>
      <c r="I121" s="55">
        <f>G121+H121</f>
        <v>0</v>
      </c>
      <c r="J121" s="53"/>
      <c r="K121" s="54"/>
      <c r="L121" s="55">
        <f>K121+J121</f>
        <v>0</v>
      </c>
      <c r="M121" s="53"/>
      <c r="N121" s="54"/>
      <c r="O121" s="55">
        <f>N121+M121</f>
        <v>0</v>
      </c>
      <c r="P121" s="57"/>
    </row>
    <row r="122" spans="1:16" x14ac:dyDescent="0.25">
      <c r="A122" s="189">
        <v>2270</v>
      </c>
      <c r="B122" s="89" t="s">
        <v>138</v>
      </c>
      <c r="C122" s="90">
        <f t="shared" si="22"/>
        <v>501</v>
      </c>
      <c r="D122" s="190">
        <f t="shared" ref="D122:O122" si="37">SUM(D123:D127)</f>
        <v>0</v>
      </c>
      <c r="E122" s="191">
        <f t="shared" si="37"/>
        <v>0</v>
      </c>
      <c r="F122" s="55">
        <f t="shared" si="37"/>
        <v>0</v>
      </c>
      <c r="G122" s="190">
        <f t="shared" si="37"/>
        <v>248</v>
      </c>
      <c r="H122" s="191">
        <f t="shared" si="37"/>
        <v>253</v>
      </c>
      <c r="I122" s="55">
        <f t="shared" si="37"/>
        <v>501</v>
      </c>
      <c r="J122" s="190">
        <f t="shared" si="37"/>
        <v>0</v>
      </c>
      <c r="K122" s="191">
        <f t="shared" si="37"/>
        <v>0</v>
      </c>
      <c r="L122" s="55">
        <f t="shared" si="37"/>
        <v>0</v>
      </c>
      <c r="M122" s="190">
        <f t="shared" si="37"/>
        <v>0</v>
      </c>
      <c r="N122" s="191">
        <f t="shared" si="37"/>
        <v>0</v>
      </c>
      <c r="O122" s="55">
        <f t="shared" si="37"/>
        <v>0</v>
      </c>
      <c r="P122" s="454"/>
    </row>
    <row r="123" spans="1:16" ht="12" hidden="1" customHeight="1" x14ac:dyDescent="0.25">
      <c r="A123" s="51">
        <v>2272</v>
      </c>
      <c r="B123" s="201" t="s">
        <v>139</v>
      </c>
      <c r="C123" s="90">
        <f t="shared" si="22"/>
        <v>0</v>
      </c>
      <c r="D123" s="352"/>
      <c r="E123" s="353"/>
      <c r="F123" s="350">
        <f>D123+E123</f>
        <v>0</v>
      </c>
      <c r="G123" s="348"/>
      <c r="H123" s="349"/>
      <c r="I123" s="350">
        <f>G123+H123</f>
        <v>0</v>
      </c>
      <c r="J123" s="348"/>
      <c r="K123" s="349"/>
      <c r="L123" s="350">
        <f>K123+J123</f>
        <v>0</v>
      </c>
      <c r="M123" s="53"/>
      <c r="N123" s="54"/>
      <c r="O123" s="55">
        <f>N123+M123</f>
        <v>0</v>
      </c>
      <c r="P123" s="57"/>
    </row>
    <row r="124" spans="1:16" ht="24" hidden="1" customHeight="1" x14ac:dyDescent="0.25">
      <c r="A124" s="51">
        <v>2274</v>
      </c>
      <c r="B124" s="202" t="s">
        <v>140</v>
      </c>
      <c r="C124" s="90">
        <f t="shared" si="22"/>
        <v>0</v>
      </c>
      <c r="D124" s="352"/>
      <c r="E124" s="353"/>
      <c r="F124" s="350">
        <f>D124+E124</f>
        <v>0</v>
      </c>
      <c r="G124" s="348"/>
      <c r="H124" s="349"/>
      <c r="I124" s="350">
        <f>G124+H124</f>
        <v>0</v>
      </c>
      <c r="J124" s="348"/>
      <c r="K124" s="349"/>
      <c r="L124" s="350">
        <f>K124+J124</f>
        <v>0</v>
      </c>
      <c r="M124" s="53"/>
      <c r="N124" s="54"/>
      <c r="O124" s="55">
        <f>N124+M124</f>
        <v>0</v>
      </c>
      <c r="P124" s="57"/>
    </row>
    <row r="125" spans="1:16" ht="24" hidden="1" customHeight="1" x14ac:dyDescent="0.25">
      <c r="A125" s="51">
        <v>2275</v>
      </c>
      <c r="B125" s="89" t="s">
        <v>141</v>
      </c>
      <c r="C125" s="90">
        <f t="shared" si="22"/>
        <v>0</v>
      </c>
      <c r="D125" s="352"/>
      <c r="E125" s="353"/>
      <c r="F125" s="350">
        <f>D125+E125</f>
        <v>0</v>
      </c>
      <c r="G125" s="348"/>
      <c r="H125" s="349"/>
      <c r="I125" s="350">
        <f>G125+H125</f>
        <v>0</v>
      </c>
      <c r="J125" s="348"/>
      <c r="K125" s="349"/>
      <c r="L125" s="350">
        <f>K125+J125</f>
        <v>0</v>
      </c>
      <c r="M125" s="53"/>
      <c r="N125" s="54"/>
      <c r="O125" s="55">
        <f>N125+M125</f>
        <v>0</v>
      </c>
      <c r="P125" s="57"/>
    </row>
    <row r="126" spans="1:16" ht="36" hidden="1" customHeight="1" x14ac:dyDescent="0.25">
      <c r="A126" s="51">
        <v>2276</v>
      </c>
      <c r="B126" s="89" t="s">
        <v>142</v>
      </c>
      <c r="C126" s="90">
        <f t="shared" si="22"/>
        <v>0</v>
      </c>
      <c r="D126" s="196"/>
      <c r="E126" s="197"/>
      <c r="F126" s="55">
        <f>D126+E126</f>
        <v>0</v>
      </c>
      <c r="G126" s="53"/>
      <c r="H126" s="54"/>
      <c r="I126" s="55">
        <f>G126+H126</f>
        <v>0</v>
      </c>
      <c r="J126" s="53"/>
      <c r="K126" s="54"/>
      <c r="L126" s="55">
        <f>K126+J126</f>
        <v>0</v>
      </c>
      <c r="M126" s="53"/>
      <c r="N126" s="54"/>
      <c r="O126" s="55">
        <f>N126+M126</f>
        <v>0</v>
      </c>
      <c r="P126" s="49"/>
    </row>
    <row r="127" spans="1:16" ht="26.25" customHeight="1" x14ac:dyDescent="0.25">
      <c r="A127" s="51">
        <v>2279</v>
      </c>
      <c r="B127" s="89" t="s">
        <v>143</v>
      </c>
      <c r="C127" s="90">
        <f t="shared" si="22"/>
        <v>501</v>
      </c>
      <c r="D127" s="196"/>
      <c r="E127" s="197"/>
      <c r="F127" s="55">
        <f>D127+E127</f>
        <v>0</v>
      </c>
      <c r="G127" s="53">
        <v>248</v>
      </c>
      <c r="H127" s="54">
        <v>253</v>
      </c>
      <c r="I127" s="55">
        <f>G127+H127</f>
        <v>501</v>
      </c>
      <c r="J127" s="53"/>
      <c r="K127" s="54"/>
      <c r="L127" s="55">
        <f>K127+J127</f>
        <v>0</v>
      </c>
      <c r="M127" s="53"/>
      <c r="N127" s="54"/>
      <c r="O127" s="55">
        <f>N127+M127</f>
        <v>0</v>
      </c>
      <c r="P127" s="996" t="s">
        <v>912</v>
      </c>
    </row>
    <row r="128" spans="1:16" ht="48" hidden="1" x14ac:dyDescent="0.25">
      <c r="A128" s="606">
        <v>2280</v>
      </c>
      <c r="B128" s="82" t="s">
        <v>144</v>
      </c>
      <c r="C128" s="83">
        <f t="shared" si="22"/>
        <v>0</v>
      </c>
      <c r="D128" s="807">
        <f t="shared" ref="D128:O128" si="38">SUM(D129)</f>
        <v>0</v>
      </c>
      <c r="E128" s="808">
        <f t="shared" si="38"/>
        <v>0</v>
      </c>
      <c r="F128" s="491">
        <f t="shared" si="38"/>
        <v>0</v>
      </c>
      <c r="G128" s="807">
        <f t="shared" si="38"/>
        <v>0</v>
      </c>
      <c r="H128" s="808">
        <f t="shared" si="38"/>
        <v>0</v>
      </c>
      <c r="I128" s="491">
        <f t="shared" si="38"/>
        <v>0</v>
      </c>
      <c r="J128" s="807">
        <f t="shared" si="38"/>
        <v>0</v>
      </c>
      <c r="K128" s="808">
        <f t="shared" si="38"/>
        <v>0</v>
      </c>
      <c r="L128" s="491">
        <f t="shared" si="38"/>
        <v>0</v>
      </c>
      <c r="M128" s="194">
        <f t="shared" si="38"/>
        <v>0</v>
      </c>
      <c r="N128" s="195">
        <f t="shared" si="38"/>
        <v>0</v>
      </c>
      <c r="O128" s="134">
        <f t="shared" si="38"/>
        <v>0</v>
      </c>
      <c r="P128" s="49"/>
    </row>
    <row r="129" spans="1:16" ht="24" hidden="1" customHeight="1" x14ac:dyDescent="0.25">
      <c r="A129" s="51">
        <v>2283</v>
      </c>
      <c r="B129" s="89" t="s">
        <v>145</v>
      </c>
      <c r="C129" s="90">
        <f t="shared" si="22"/>
        <v>0</v>
      </c>
      <c r="D129" s="352"/>
      <c r="E129" s="353"/>
      <c r="F129" s="350">
        <f>D129+E129</f>
        <v>0</v>
      </c>
      <c r="G129" s="348"/>
      <c r="H129" s="349"/>
      <c r="I129" s="350">
        <f>G129+H129</f>
        <v>0</v>
      </c>
      <c r="J129" s="348"/>
      <c r="K129" s="349"/>
      <c r="L129" s="350">
        <f>K129+J129</f>
        <v>0</v>
      </c>
      <c r="M129" s="53"/>
      <c r="N129" s="54"/>
      <c r="O129" s="55">
        <f>N129+M129</f>
        <v>0</v>
      </c>
      <c r="P129" s="57"/>
    </row>
    <row r="130" spans="1:16" ht="38.25" customHeight="1" x14ac:dyDescent="0.25">
      <c r="A130" s="69">
        <v>2300</v>
      </c>
      <c r="B130" s="183" t="s">
        <v>146</v>
      </c>
      <c r="C130" s="70">
        <f t="shared" si="22"/>
        <v>15970</v>
      </c>
      <c r="D130" s="802">
        <f t="shared" ref="D130:O130" si="39">SUM(D131,D136,D140,D141,D144,D151,D159,D160,D163)</f>
        <v>14970</v>
      </c>
      <c r="E130" s="803">
        <f t="shared" si="39"/>
        <v>0</v>
      </c>
      <c r="F130" s="756">
        <f t="shared" si="39"/>
        <v>14970</v>
      </c>
      <c r="G130" s="802">
        <f t="shared" si="39"/>
        <v>1000</v>
      </c>
      <c r="H130" s="803">
        <f t="shared" si="39"/>
        <v>0</v>
      </c>
      <c r="I130" s="756">
        <f t="shared" si="39"/>
        <v>1000</v>
      </c>
      <c r="J130" s="802">
        <f t="shared" si="39"/>
        <v>0</v>
      </c>
      <c r="K130" s="803">
        <f t="shared" si="39"/>
        <v>0</v>
      </c>
      <c r="L130" s="756">
        <f t="shared" si="39"/>
        <v>0</v>
      </c>
      <c r="M130" s="184">
        <f t="shared" si="39"/>
        <v>0</v>
      </c>
      <c r="N130" s="185">
        <f t="shared" si="39"/>
        <v>0</v>
      </c>
      <c r="O130" s="73">
        <f t="shared" si="39"/>
        <v>0</v>
      </c>
      <c r="P130" s="77"/>
    </row>
    <row r="131" spans="1:16" ht="24" x14ac:dyDescent="0.25">
      <c r="A131" s="606">
        <v>2310</v>
      </c>
      <c r="B131" s="82" t="s">
        <v>147</v>
      </c>
      <c r="C131" s="83">
        <f t="shared" si="22"/>
        <v>4767</v>
      </c>
      <c r="D131" s="807">
        <f t="shared" ref="D131:O131" si="40">SUM(D132:D135)</f>
        <v>4767</v>
      </c>
      <c r="E131" s="808">
        <f t="shared" si="40"/>
        <v>0</v>
      </c>
      <c r="F131" s="491">
        <f t="shared" si="40"/>
        <v>4767</v>
      </c>
      <c r="G131" s="807">
        <f t="shared" si="40"/>
        <v>0</v>
      </c>
      <c r="H131" s="808">
        <f t="shared" si="40"/>
        <v>0</v>
      </c>
      <c r="I131" s="491">
        <f t="shared" si="40"/>
        <v>0</v>
      </c>
      <c r="J131" s="807">
        <f t="shared" si="40"/>
        <v>0</v>
      </c>
      <c r="K131" s="808">
        <f t="shared" si="40"/>
        <v>0</v>
      </c>
      <c r="L131" s="491">
        <f t="shared" si="40"/>
        <v>0</v>
      </c>
      <c r="M131" s="194">
        <f t="shared" si="40"/>
        <v>0</v>
      </c>
      <c r="N131" s="195">
        <f t="shared" si="40"/>
        <v>0</v>
      </c>
      <c r="O131" s="134">
        <f t="shared" si="40"/>
        <v>0</v>
      </c>
      <c r="P131" s="49"/>
    </row>
    <row r="132" spans="1:16" ht="12" customHeight="1" x14ac:dyDescent="0.25">
      <c r="A132" s="51">
        <v>2311</v>
      </c>
      <c r="B132" s="89" t="s">
        <v>148</v>
      </c>
      <c r="C132" s="90">
        <f t="shared" si="22"/>
        <v>1345</v>
      </c>
      <c r="D132" s="352">
        <v>1345</v>
      </c>
      <c r="E132" s="353"/>
      <c r="F132" s="350">
        <f>D132+E132</f>
        <v>1345</v>
      </c>
      <c r="G132" s="348"/>
      <c r="H132" s="349"/>
      <c r="I132" s="350">
        <f>G132+H132</f>
        <v>0</v>
      </c>
      <c r="J132" s="348"/>
      <c r="K132" s="349"/>
      <c r="L132" s="350">
        <f>K132+J132</f>
        <v>0</v>
      </c>
      <c r="M132" s="53"/>
      <c r="N132" s="54"/>
      <c r="O132" s="55">
        <f>N132+M132</f>
        <v>0</v>
      </c>
      <c r="P132" s="57"/>
    </row>
    <row r="133" spans="1:16" ht="12" customHeight="1" x14ac:dyDescent="0.25">
      <c r="A133" s="51">
        <v>2312</v>
      </c>
      <c r="B133" s="89" t="s">
        <v>149</v>
      </c>
      <c r="C133" s="90">
        <f t="shared" si="22"/>
        <v>2972</v>
      </c>
      <c r="D133" s="352">
        <v>2972</v>
      </c>
      <c r="E133" s="353"/>
      <c r="F133" s="350">
        <f>D133+E133</f>
        <v>2972</v>
      </c>
      <c r="G133" s="348"/>
      <c r="H133" s="349"/>
      <c r="I133" s="350">
        <f>G133+H133</f>
        <v>0</v>
      </c>
      <c r="J133" s="348"/>
      <c r="K133" s="349"/>
      <c r="L133" s="350">
        <f>K133+J133</f>
        <v>0</v>
      </c>
      <c r="M133" s="53"/>
      <c r="N133" s="54"/>
      <c r="O133" s="55">
        <f>N133+M133</f>
        <v>0</v>
      </c>
      <c r="P133" s="57"/>
    </row>
    <row r="134" spans="1:16" ht="12" hidden="1" customHeight="1" x14ac:dyDescent="0.25">
      <c r="A134" s="51">
        <v>2313</v>
      </c>
      <c r="B134" s="89" t="s">
        <v>150</v>
      </c>
      <c r="C134" s="90">
        <f t="shared" si="22"/>
        <v>0</v>
      </c>
      <c r="D134" s="352"/>
      <c r="E134" s="353"/>
      <c r="F134" s="350">
        <f>D134+E134</f>
        <v>0</v>
      </c>
      <c r="G134" s="348"/>
      <c r="H134" s="349"/>
      <c r="I134" s="350">
        <f>G134+H134</f>
        <v>0</v>
      </c>
      <c r="J134" s="348"/>
      <c r="K134" s="349"/>
      <c r="L134" s="350">
        <f>K134+J134</f>
        <v>0</v>
      </c>
      <c r="M134" s="53"/>
      <c r="N134" s="54"/>
      <c r="O134" s="55">
        <f>N134+M134</f>
        <v>0</v>
      </c>
      <c r="P134" s="57"/>
    </row>
    <row r="135" spans="1:16" ht="36" customHeight="1" x14ac:dyDescent="0.25">
      <c r="A135" s="51">
        <v>2314</v>
      </c>
      <c r="B135" s="89" t="s">
        <v>151</v>
      </c>
      <c r="C135" s="90">
        <f t="shared" si="22"/>
        <v>450</v>
      </c>
      <c r="D135" s="352">
        <v>450</v>
      </c>
      <c r="E135" s="353"/>
      <c r="F135" s="350">
        <f>D135+E135</f>
        <v>450</v>
      </c>
      <c r="G135" s="348"/>
      <c r="H135" s="349"/>
      <c r="I135" s="350">
        <f>G135+H135</f>
        <v>0</v>
      </c>
      <c r="J135" s="348"/>
      <c r="K135" s="349"/>
      <c r="L135" s="350">
        <f>K135+J135</f>
        <v>0</v>
      </c>
      <c r="M135" s="53"/>
      <c r="N135" s="54"/>
      <c r="O135" s="55">
        <f>N135+M135</f>
        <v>0</v>
      </c>
      <c r="P135" s="57"/>
    </row>
    <row r="136" spans="1:16" hidden="1" x14ac:dyDescent="0.25">
      <c r="A136" s="189">
        <v>2320</v>
      </c>
      <c r="B136" s="89" t="s">
        <v>152</v>
      </c>
      <c r="C136" s="90">
        <f t="shared" si="22"/>
        <v>0</v>
      </c>
      <c r="D136" s="806">
        <f t="shared" ref="D136:O136" si="41">SUM(D137:D139)</f>
        <v>0</v>
      </c>
      <c r="E136" s="365">
        <f t="shared" si="41"/>
        <v>0</v>
      </c>
      <c r="F136" s="350">
        <f t="shared" si="41"/>
        <v>0</v>
      </c>
      <c r="G136" s="806">
        <f t="shared" si="41"/>
        <v>0</v>
      </c>
      <c r="H136" s="365">
        <f t="shared" si="41"/>
        <v>0</v>
      </c>
      <c r="I136" s="350">
        <f t="shared" si="41"/>
        <v>0</v>
      </c>
      <c r="J136" s="806">
        <f t="shared" si="41"/>
        <v>0</v>
      </c>
      <c r="K136" s="365">
        <f t="shared" si="41"/>
        <v>0</v>
      </c>
      <c r="L136" s="350">
        <f t="shared" si="41"/>
        <v>0</v>
      </c>
      <c r="M136" s="190">
        <f t="shared" si="41"/>
        <v>0</v>
      </c>
      <c r="N136" s="191">
        <f t="shared" si="41"/>
        <v>0</v>
      </c>
      <c r="O136" s="55">
        <f t="shared" si="41"/>
        <v>0</v>
      </c>
      <c r="P136" s="57"/>
    </row>
    <row r="137" spans="1:16" ht="12" hidden="1" customHeight="1" x14ac:dyDescent="0.25">
      <c r="A137" s="51">
        <v>2321</v>
      </c>
      <c r="B137" s="89" t="s">
        <v>153</v>
      </c>
      <c r="C137" s="90">
        <f t="shared" si="22"/>
        <v>0</v>
      </c>
      <c r="D137" s="352"/>
      <c r="E137" s="353"/>
      <c r="F137" s="350">
        <f>D137+E137</f>
        <v>0</v>
      </c>
      <c r="G137" s="348"/>
      <c r="H137" s="349"/>
      <c r="I137" s="350">
        <f>G137+H137</f>
        <v>0</v>
      </c>
      <c r="J137" s="348"/>
      <c r="K137" s="349"/>
      <c r="L137" s="350">
        <f>K137+J137</f>
        <v>0</v>
      </c>
      <c r="M137" s="53"/>
      <c r="N137" s="54"/>
      <c r="O137" s="55">
        <f>N137+M137</f>
        <v>0</v>
      </c>
      <c r="P137" s="57"/>
    </row>
    <row r="138" spans="1:16" ht="12" hidden="1" customHeight="1" x14ac:dyDescent="0.25">
      <c r="A138" s="51">
        <v>2322</v>
      </c>
      <c r="B138" s="89" t="s">
        <v>154</v>
      </c>
      <c r="C138" s="90">
        <f t="shared" si="22"/>
        <v>0</v>
      </c>
      <c r="D138" s="352"/>
      <c r="E138" s="353"/>
      <c r="F138" s="350">
        <f>D138+E138</f>
        <v>0</v>
      </c>
      <c r="G138" s="348"/>
      <c r="H138" s="349"/>
      <c r="I138" s="350">
        <f>G138+H138</f>
        <v>0</v>
      </c>
      <c r="J138" s="348"/>
      <c r="K138" s="349"/>
      <c r="L138" s="350">
        <f>K138+J138</f>
        <v>0</v>
      </c>
      <c r="M138" s="53"/>
      <c r="N138" s="54"/>
      <c r="O138" s="55">
        <f>N138+M138</f>
        <v>0</v>
      </c>
      <c r="P138" s="57"/>
    </row>
    <row r="139" spans="1:16" ht="10.5" hidden="1" customHeight="1" x14ac:dyDescent="0.25">
      <c r="A139" s="51">
        <v>2329</v>
      </c>
      <c r="B139" s="89" t="s">
        <v>155</v>
      </c>
      <c r="C139" s="90">
        <f t="shared" si="22"/>
        <v>0</v>
      </c>
      <c r="D139" s="352"/>
      <c r="E139" s="353"/>
      <c r="F139" s="350">
        <f>D139+E139</f>
        <v>0</v>
      </c>
      <c r="G139" s="348"/>
      <c r="H139" s="349"/>
      <c r="I139" s="350">
        <f>G139+H139</f>
        <v>0</v>
      </c>
      <c r="J139" s="348"/>
      <c r="K139" s="349"/>
      <c r="L139" s="350">
        <f>K139+J139</f>
        <v>0</v>
      </c>
      <c r="M139" s="53"/>
      <c r="N139" s="54"/>
      <c r="O139" s="55">
        <f>N139+M139</f>
        <v>0</v>
      </c>
      <c r="P139" s="57"/>
    </row>
    <row r="140" spans="1:16" ht="12" hidden="1" customHeight="1" x14ac:dyDescent="0.25">
      <c r="A140" s="189">
        <v>2330</v>
      </c>
      <c r="B140" s="89" t="s">
        <v>156</v>
      </c>
      <c r="C140" s="90">
        <f t="shared" si="22"/>
        <v>0</v>
      </c>
      <c r="D140" s="352"/>
      <c r="E140" s="353"/>
      <c r="F140" s="350">
        <f>D140+E140</f>
        <v>0</v>
      </c>
      <c r="G140" s="348"/>
      <c r="H140" s="349"/>
      <c r="I140" s="350">
        <f>G140+H140</f>
        <v>0</v>
      </c>
      <c r="J140" s="348"/>
      <c r="K140" s="349"/>
      <c r="L140" s="350">
        <f>K140+J140</f>
        <v>0</v>
      </c>
      <c r="M140" s="53"/>
      <c r="N140" s="54"/>
      <c r="O140" s="55">
        <f>N140+M140</f>
        <v>0</v>
      </c>
      <c r="P140" s="57"/>
    </row>
    <row r="141" spans="1:16" ht="48" x14ac:dyDescent="0.25">
      <c r="A141" s="189">
        <v>2340</v>
      </c>
      <c r="B141" s="89" t="s">
        <v>157</v>
      </c>
      <c r="C141" s="90">
        <f t="shared" si="22"/>
        <v>186</v>
      </c>
      <c r="D141" s="806">
        <f t="shared" ref="D141:O141" si="42">SUM(D142:D143)</f>
        <v>186</v>
      </c>
      <c r="E141" s="365">
        <f t="shared" si="42"/>
        <v>0</v>
      </c>
      <c r="F141" s="350">
        <f t="shared" si="42"/>
        <v>186</v>
      </c>
      <c r="G141" s="806">
        <f t="shared" si="42"/>
        <v>0</v>
      </c>
      <c r="H141" s="365">
        <f t="shared" si="42"/>
        <v>0</v>
      </c>
      <c r="I141" s="350">
        <f t="shared" si="42"/>
        <v>0</v>
      </c>
      <c r="J141" s="806">
        <f t="shared" si="42"/>
        <v>0</v>
      </c>
      <c r="K141" s="365">
        <f t="shared" si="42"/>
        <v>0</v>
      </c>
      <c r="L141" s="350">
        <f t="shared" si="42"/>
        <v>0</v>
      </c>
      <c r="M141" s="190">
        <f t="shared" si="42"/>
        <v>0</v>
      </c>
      <c r="N141" s="191">
        <f t="shared" si="42"/>
        <v>0</v>
      </c>
      <c r="O141" s="55">
        <f t="shared" si="42"/>
        <v>0</v>
      </c>
      <c r="P141" s="57"/>
    </row>
    <row r="142" spans="1:16" ht="12" customHeight="1" x14ac:dyDescent="0.25">
      <c r="A142" s="51">
        <v>2341</v>
      </c>
      <c r="B142" s="89" t="s">
        <v>158</v>
      </c>
      <c r="C142" s="90">
        <f t="shared" si="22"/>
        <v>186</v>
      </c>
      <c r="D142" s="352">
        <v>186</v>
      </c>
      <c r="E142" s="353"/>
      <c r="F142" s="350">
        <f>D142+E142</f>
        <v>186</v>
      </c>
      <c r="G142" s="348"/>
      <c r="H142" s="349"/>
      <c r="I142" s="350">
        <f>G142+H142</f>
        <v>0</v>
      </c>
      <c r="J142" s="348"/>
      <c r="K142" s="349"/>
      <c r="L142" s="350">
        <f>K142+J142</f>
        <v>0</v>
      </c>
      <c r="M142" s="53"/>
      <c r="N142" s="54"/>
      <c r="O142" s="55">
        <f>N142+M142</f>
        <v>0</v>
      </c>
      <c r="P142" s="57"/>
    </row>
    <row r="143" spans="1:16" ht="24" hidden="1" customHeight="1" x14ac:dyDescent="0.25">
      <c r="A143" s="51">
        <v>2344</v>
      </c>
      <c r="B143" s="89" t="s">
        <v>159</v>
      </c>
      <c r="C143" s="90">
        <f t="shared" si="22"/>
        <v>0</v>
      </c>
      <c r="D143" s="352"/>
      <c r="E143" s="353"/>
      <c r="F143" s="350">
        <f>D143+E143</f>
        <v>0</v>
      </c>
      <c r="G143" s="348"/>
      <c r="H143" s="349"/>
      <c r="I143" s="350">
        <f>G143+H143</f>
        <v>0</v>
      </c>
      <c r="J143" s="348"/>
      <c r="K143" s="349"/>
      <c r="L143" s="350">
        <f>K143+J143</f>
        <v>0</v>
      </c>
      <c r="M143" s="53"/>
      <c r="N143" s="54"/>
      <c r="O143" s="55">
        <f>N143+M143</f>
        <v>0</v>
      </c>
      <c r="P143" s="57"/>
    </row>
    <row r="144" spans="1:16" ht="24" x14ac:dyDescent="0.25">
      <c r="A144" s="186">
        <v>2350</v>
      </c>
      <c r="B144" s="138" t="s">
        <v>160</v>
      </c>
      <c r="C144" s="143">
        <f t="shared" si="22"/>
        <v>4678</v>
      </c>
      <c r="D144" s="804">
        <f t="shared" ref="D144:O144" si="43">SUM(D145:D150)</f>
        <v>4678</v>
      </c>
      <c r="E144" s="805">
        <f t="shared" si="43"/>
        <v>0</v>
      </c>
      <c r="F144" s="781">
        <f t="shared" si="43"/>
        <v>4678</v>
      </c>
      <c r="G144" s="804">
        <f t="shared" si="43"/>
        <v>0</v>
      </c>
      <c r="H144" s="805">
        <f t="shared" si="43"/>
        <v>0</v>
      </c>
      <c r="I144" s="781">
        <f t="shared" si="43"/>
        <v>0</v>
      </c>
      <c r="J144" s="804">
        <f t="shared" si="43"/>
        <v>0</v>
      </c>
      <c r="K144" s="805">
        <f t="shared" si="43"/>
        <v>0</v>
      </c>
      <c r="L144" s="781">
        <f t="shared" si="43"/>
        <v>0</v>
      </c>
      <c r="M144" s="187">
        <f t="shared" si="43"/>
        <v>0</v>
      </c>
      <c r="N144" s="188">
        <f t="shared" si="43"/>
        <v>0</v>
      </c>
      <c r="O144" s="141">
        <f t="shared" si="43"/>
        <v>0</v>
      </c>
      <c r="P144" s="129"/>
    </row>
    <row r="145" spans="1:16" ht="12" customHeight="1" x14ac:dyDescent="0.25">
      <c r="A145" s="44">
        <v>2351</v>
      </c>
      <c r="B145" s="82" t="s">
        <v>161</v>
      </c>
      <c r="C145" s="83">
        <f t="shared" si="22"/>
        <v>1920</v>
      </c>
      <c r="D145" s="489">
        <v>1920</v>
      </c>
      <c r="E145" s="490"/>
      <c r="F145" s="491">
        <f t="shared" ref="F145:F150" si="44">D145+E145</f>
        <v>1920</v>
      </c>
      <c r="G145" s="460"/>
      <c r="H145" s="461"/>
      <c r="I145" s="491">
        <f t="shared" ref="I145:I150" si="45">G145+H145</f>
        <v>0</v>
      </c>
      <c r="J145" s="460"/>
      <c r="K145" s="461"/>
      <c r="L145" s="491">
        <f t="shared" ref="L145:L150" si="46">K145+J145</f>
        <v>0</v>
      </c>
      <c r="M145" s="46"/>
      <c r="N145" s="47"/>
      <c r="O145" s="134">
        <f t="shared" ref="O145:O150" si="47">N145+M145</f>
        <v>0</v>
      </c>
      <c r="P145" s="49"/>
    </row>
    <row r="146" spans="1:16" ht="12" customHeight="1" x14ac:dyDescent="0.25">
      <c r="A146" s="51">
        <v>2352</v>
      </c>
      <c r="B146" s="89" t="s">
        <v>162</v>
      </c>
      <c r="C146" s="90">
        <f t="shared" si="22"/>
        <v>2458</v>
      </c>
      <c r="D146" s="352">
        <v>2458</v>
      </c>
      <c r="E146" s="353"/>
      <c r="F146" s="350">
        <f t="shared" si="44"/>
        <v>2458</v>
      </c>
      <c r="G146" s="348"/>
      <c r="H146" s="349"/>
      <c r="I146" s="350">
        <f t="shared" si="45"/>
        <v>0</v>
      </c>
      <c r="J146" s="348"/>
      <c r="K146" s="349"/>
      <c r="L146" s="350">
        <f t="shared" si="46"/>
        <v>0</v>
      </c>
      <c r="M146" s="53"/>
      <c r="N146" s="54"/>
      <c r="O146" s="55">
        <f t="shared" si="47"/>
        <v>0</v>
      </c>
      <c r="P146" s="57"/>
    </row>
    <row r="147" spans="1:16" ht="24" hidden="1" customHeight="1" x14ac:dyDescent="0.25">
      <c r="A147" s="51">
        <v>2353</v>
      </c>
      <c r="B147" s="89" t="s">
        <v>163</v>
      </c>
      <c r="C147" s="90">
        <f t="shared" si="22"/>
        <v>0</v>
      </c>
      <c r="D147" s="352"/>
      <c r="E147" s="353"/>
      <c r="F147" s="350">
        <f t="shared" si="44"/>
        <v>0</v>
      </c>
      <c r="G147" s="348"/>
      <c r="H147" s="349"/>
      <c r="I147" s="350">
        <f t="shared" si="45"/>
        <v>0</v>
      </c>
      <c r="J147" s="348"/>
      <c r="K147" s="349"/>
      <c r="L147" s="350">
        <f t="shared" si="46"/>
        <v>0</v>
      </c>
      <c r="M147" s="53"/>
      <c r="N147" s="54"/>
      <c r="O147" s="55">
        <f t="shared" si="47"/>
        <v>0</v>
      </c>
      <c r="P147" s="57"/>
    </row>
    <row r="148" spans="1:16" ht="24" hidden="1" customHeight="1" x14ac:dyDescent="0.25">
      <c r="A148" s="51">
        <v>2354</v>
      </c>
      <c r="B148" s="89" t="s">
        <v>164</v>
      </c>
      <c r="C148" s="90">
        <f t="shared" ref="C148:C211" si="48">F148+I148+L148+O148</f>
        <v>0</v>
      </c>
      <c r="D148" s="352"/>
      <c r="E148" s="353"/>
      <c r="F148" s="350">
        <f t="shared" si="44"/>
        <v>0</v>
      </c>
      <c r="G148" s="348"/>
      <c r="H148" s="349"/>
      <c r="I148" s="350">
        <f t="shared" si="45"/>
        <v>0</v>
      </c>
      <c r="J148" s="348"/>
      <c r="K148" s="349"/>
      <c r="L148" s="350">
        <f t="shared" si="46"/>
        <v>0</v>
      </c>
      <c r="M148" s="53"/>
      <c r="N148" s="54"/>
      <c r="O148" s="55">
        <f t="shared" si="47"/>
        <v>0</v>
      </c>
      <c r="P148" s="57"/>
    </row>
    <row r="149" spans="1:16" ht="24" customHeight="1" x14ac:dyDescent="0.25">
      <c r="A149" s="51">
        <v>2355</v>
      </c>
      <c r="B149" s="89" t="s">
        <v>165</v>
      </c>
      <c r="C149" s="90">
        <f t="shared" si="48"/>
        <v>300</v>
      </c>
      <c r="D149" s="352">
        <v>300</v>
      </c>
      <c r="E149" s="353"/>
      <c r="F149" s="350">
        <f t="shared" si="44"/>
        <v>300</v>
      </c>
      <c r="G149" s="348"/>
      <c r="H149" s="349"/>
      <c r="I149" s="350">
        <f t="shared" si="45"/>
        <v>0</v>
      </c>
      <c r="J149" s="348"/>
      <c r="K149" s="349"/>
      <c r="L149" s="350">
        <f t="shared" si="46"/>
        <v>0</v>
      </c>
      <c r="M149" s="53"/>
      <c r="N149" s="54"/>
      <c r="O149" s="55">
        <f t="shared" si="47"/>
        <v>0</v>
      </c>
      <c r="P149" s="57"/>
    </row>
    <row r="150" spans="1:16" ht="24" hidden="1" customHeight="1" x14ac:dyDescent="0.25">
      <c r="A150" s="51">
        <v>2359</v>
      </c>
      <c r="B150" s="89" t="s">
        <v>166</v>
      </c>
      <c r="C150" s="90">
        <f t="shared" si="48"/>
        <v>0</v>
      </c>
      <c r="D150" s="352"/>
      <c r="E150" s="353"/>
      <c r="F150" s="350">
        <f t="shared" si="44"/>
        <v>0</v>
      </c>
      <c r="G150" s="348"/>
      <c r="H150" s="349"/>
      <c r="I150" s="350">
        <f t="shared" si="45"/>
        <v>0</v>
      </c>
      <c r="J150" s="348"/>
      <c r="K150" s="349"/>
      <c r="L150" s="350">
        <f t="shared" si="46"/>
        <v>0</v>
      </c>
      <c r="M150" s="53"/>
      <c r="N150" s="54"/>
      <c r="O150" s="55">
        <f t="shared" si="47"/>
        <v>0</v>
      </c>
      <c r="P150" s="57"/>
    </row>
    <row r="151" spans="1:16" ht="24.75" customHeight="1" x14ac:dyDescent="0.25">
      <c r="A151" s="189">
        <v>2360</v>
      </c>
      <c r="B151" s="89" t="s">
        <v>167</v>
      </c>
      <c r="C151" s="90">
        <f t="shared" si="48"/>
        <v>225</v>
      </c>
      <c r="D151" s="806">
        <f t="shared" ref="D151:O151" si="49">SUM(D152:D158)</f>
        <v>225</v>
      </c>
      <c r="E151" s="365">
        <f t="shared" si="49"/>
        <v>0</v>
      </c>
      <c r="F151" s="350">
        <f t="shared" si="49"/>
        <v>225</v>
      </c>
      <c r="G151" s="806">
        <f t="shared" si="49"/>
        <v>0</v>
      </c>
      <c r="H151" s="365">
        <f t="shared" si="49"/>
        <v>0</v>
      </c>
      <c r="I151" s="350">
        <f t="shared" si="49"/>
        <v>0</v>
      </c>
      <c r="J151" s="806">
        <f t="shared" si="49"/>
        <v>0</v>
      </c>
      <c r="K151" s="365">
        <f t="shared" si="49"/>
        <v>0</v>
      </c>
      <c r="L151" s="350">
        <f t="shared" si="49"/>
        <v>0</v>
      </c>
      <c r="M151" s="190">
        <f t="shared" si="49"/>
        <v>0</v>
      </c>
      <c r="N151" s="191">
        <f t="shared" si="49"/>
        <v>0</v>
      </c>
      <c r="O151" s="55">
        <f t="shared" si="49"/>
        <v>0</v>
      </c>
      <c r="P151" s="57"/>
    </row>
    <row r="152" spans="1:16" ht="12" customHeight="1" x14ac:dyDescent="0.25">
      <c r="A152" s="50">
        <v>2361</v>
      </c>
      <c r="B152" s="89" t="s">
        <v>168</v>
      </c>
      <c r="C152" s="90">
        <f t="shared" si="48"/>
        <v>225</v>
      </c>
      <c r="D152" s="352">
        <v>225</v>
      </c>
      <c r="E152" s="353"/>
      <c r="F152" s="350">
        <f t="shared" ref="F152:F159" si="50">D152+E152</f>
        <v>225</v>
      </c>
      <c r="G152" s="348"/>
      <c r="H152" s="349"/>
      <c r="I152" s="350">
        <f t="shared" ref="I152:I159" si="51">G152+H152</f>
        <v>0</v>
      </c>
      <c r="J152" s="348"/>
      <c r="K152" s="349"/>
      <c r="L152" s="350">
        <f t="shared" ref="L152:L159" si="52">K152+J152</f>
        <v>0</v>
      </c>
      <c r="M152" s="53"/>
      <c r="N152" s="54"/>
      <c r="O152" s="55">
        <f t="shared" ref="O152:O159" si="53">N152+M152</f>
        <v>0</v>
      </c>
      <c r="P152" s="57"/>
    </row>
    <row r="153" spans="1:16" ht="24" hidden="1" customHeight="1" x14ac:dyDescent="0.25">
      <c r="A153" s="50">
        <v>2362</v>
      </c>
      <c r="B153" s="89" t="s">
        <v>169</v>
      </c>
      <c r="C153" s="90">
        <f t="shared" si="48"/>
        <v>0</v>
      </c>
      <c r="D153" s="352"/>
      <c r="E153" s="353"/>
      <c r="F153" s="350">
        <f t="shared" si="50"/>
        <v>0</v>
      </c>
      <c r="G153" s="348"/>
      <c r="H153" s="349"/>
      <c r="I153" s="350">
        <f t="shared" si="51"/>
        <v>0</v>
      </c>
      <c r="J153" s="348"/>
      <c r="K153" s="349"/>
      <c r="L153" s="350">
        <f t="shared" si="52"/>
        <v>0</v>
      </c>
      <c r="M153" s="53"/>
      <c r="N153" s="54"/>
      <c r="O153" s="55">
        <f t="shared" si="53"/>
        <v>0</v>
      </c>
      <c r="P153" s="57"/>
    </row>
    <row r="154" spans="1:16" ht="12" hidden="1" customHeight="1" x14ac:dyDescent="0.25">
      <c r="A154" s="50">
        <v>2363</v>
      </c>
      <c r="B154" s="89" t="s">
        <v>170</v>
      </c>
      <c r="C154" s="90">
        <f t="shared" si="48"/>
        <v>0</v>
      </c>
      <c r="D154" s="352"/>
      <c r="E154" s="353"/>
      <c r="F154" s="350">
        <f t="shared" si="50"/>
        <v>0</v>
      </c>
      <c r="G154" s="348"/>
      <c r="H154" s="349"/>
      <c r="I154" s="350">
        <f t="shared" si="51"/>
        <v>0</v>
      </c>
      <c r="J154" s="348"/>
      <c r="K154" s="349"/>
      <c r="L154" s="350">
        <f t="shared" si="52"/>
        <v>0</v>
      </c>
      <c r="M154" s="53"/>
      <c r="N154" s="54"/>
      <c r="O154" s="55">
        <f t="shared" si="53"/>
        <v>0</v>
      </c>
      <c r="P154" s="57"/>
    </row>
    <row r="155" spans="1:16" ht="12" hidden="1" customHeight="1" x14ac:dyDescent="0.25">
      <c r="A155" s="50">
        <v>2364</v>
      </c>
      <c r="B155" s="89" t="s">
        <v>171</v>
      </c>
      <c r="C155" s="90">
        <f t="shared" si="48"/>
        <v>0</v>
      </c>
      <c r="D155" s="352"/>
      <c r="E155" s="353"/>
      <c r="F155" s="350">
        <f t="shared" si="50"/>
        <v>0</v>
      </c>
      <c r="G155" s="348"/>
      <c r="H155" s="349"/>
      <c r="I155" s="350">
        <f t="shared" si="51"/>
        <v>0</v>
      </c>
      <c r="J155" s="348"/>
      <c r="K155" s="349"/>
      <c r="L155" s="350">
        <f t="shared" si="52"/>
        <v>0</v>
      </c>
      <c r="M155" s="53"/>
      <c r="N155" s="54"/>
      <c r="O155" s="55">
        <f t="shared" si="53"/>
        <v>0</v>
      </c>
      <c r="P155" s="57"/>
    </row>
    <row r="156" spans="1:16" ht="12.75" hidden="1" customHeight="1" x14ac:dyDescent="0.25">
      <c r="A156" s="50">
        <v>2365</v>
      </c>
      <c r="B156" s="89" t="s">
        <v>172</v>
      </c>
      <c r="C156" s="90">
        <f t="shared" si="48"/>
        <v>0</v>
      </c>
      <c r="D156" s="352"/>
      <c r="E156" s="353"/>
      <c r="F156" s="350">
        <f t="shared" si="50"/>
        <v>0</v>
      </c>
      <c r="G156" s="348"/>
      <c r="H156" s="349"/>
      <c r="I156" s="350">
        <f t="shared" si="51"/>
        <v>0</v>
      </c>
      <c r="J156" s="348"/>
      <c r="K156" s="349"/>
      <c r="L156" s="350">
        <f t="shared" si="52"/>
        <v>0</v>
      </c>
      <c r="M156" s="53"/>
      <c r="N156" s="54"/>
      <c r="O156" s="55">
        <f t="shared" si="53"/>
        <v>0</v>
      </c>
      <c r="P156" s="57"/>
    </row>
    <row r="157" spans="1:16" ht="36" hidden="1" customHeight="1" x14ac:dyDescent="0.25">
      <c r="A157" s="50">
        <v>2366</v>
      </c>
      <c r="B157" s="89" t="s">
        <v>173</v>
      </c>
      <c r="C157" s="90">
        <f t="shared" si="48"/>
        <v>0</v>
      </c>
      <c r="D157" s="352"/>
      <c r="E157" s="353"/>
      <c r="F157" s="350">
        <f t="shared" si="50"/>
        <v>0</v>
      </c>
      <c r="G157" s="348"/>
      <c r="H157" s="349"/>
      <c r="I157" s="350">
        <f t="shared" si="51"/>
        <v>0</v>
      </c>
      <c r="J157" s="348"/>
      <c r="K157" s="349"/>
      <c r="L157" s="350">
        <f t="shared" si="52"/>
        <v>0</v>
      </c>
      <c r="M157" s="53"/>
      <c r="N157" s="54"/>
      <c r="O157" s="55">
        <f t="shared" si="53"/>
        <v>0</v>
      </c>
      <c r="P157" s="57"/>
    </row>
    <row r="158" spans="1:16" ht="48" hidden="1" customHeight="1" x14ac:dyDescent="0.25">
      <c r="A158" s="50">
        <v>2369</v>
      </c>
      <c r="B158" s="89" t="s">
        <v>174</v>
      </c>
      <c r="C158" s="90">
        <f t="shared" si="48"/>
        <v>0</v>
      </c>
      <c r="D158" s="352"/>
      <c r="E158" s="353"/>
      <c r="F158" s="350">
        <f t="shared" si="50"/>
        <v>0</v>
      </c>
      <c r="G158" s="348"/>
      <c r="H158" s="349"/>
      <c r="I158" s="350">
        <f t="shared" si="51"/>
        <v>0</v>
      </c>
      <c r="J158" s="348"/>
      <c r="K158" s="349"/>
      <c r="L158" s="350">
        <f t="shared" si="52"/>
        <v>0</v>
      </c>
      <c r="M158" s="53"/>
      <c r="N158" s="54"/>
      <c r="O158" s="55">
        <f t="shared" si="53"/>
        <v>0</v>
      </c>
      <c r="P158" s="57"/>
    </row>
    <row r="159" spans="1:16" ht="12" customHeight="1" x14ac:dyDescent="0.25">
      <c r="A159" s="186">
        <v>2370</v>
      </c>
      <c r="B159" s="138" t="s">
        <v>175</v>
      </c>
      <c r="C159" s="143">
        <f t="shared" si="48"/>
        <v>6114</v>
      </c>
      <c r="D159" s="810">
        <v>5114</v>
      </c>
      <c r="E159" s="811"/>
      <c r="F159" s="781">
        <f t="shared" si="50"/>
        <v>5114</v>
      </c>
      <c r="G159" s="780">
        <v>1000</v>
      </c>
      <c r="H159" s="727"/>
      <c r="I159" s="781">
        <f t="shared" si="51"/>
        <v>1000</v>
      </c>
      <c r="J159" s="780"/>
      <c r="K159" s="727"/>
      <c r="L159" s="781">
        <f t="shared" si="52"/>
        <v>0</v>
      </c>
      <c r="M159" s="144"/>
      <c r="N159" s="145"/>
      <c r="O159" s="141">
        <f t="shared" si="53"/>
        <v>0</v>
      </c>
      <c r="P159" s="129"/>
    </row>
    <row r="160" spans="1:16" hidden="1" x14ac:dyDescent="0.25">
      <c r="A160" s="186">
        <v>2380</v>
      </c>
      <c r="B160" s="138" t="s">
        <v>176</v>
      </c>
      <c r="C160" s="143">
        <f t="shared" si="48"/>
        <v>0</v>
      </c>
      <c r="D160" s="804">
        <f t="shared" ref="D160:O160" si="54">SUM(D161:D162)</f>
        <v>0</v>
      </c>
      <c r="E160" s="805">
        <f t="shared" si="54"/>
        <v>0</v>
      </c>
      <c r="F160" s="781">
        <f t="shared" si="54"/>
        <v>0</v>
      </c>
      <c r="G160" s="804">
        <f t="shared" si="54"/>
        <v>0</v>
      </c>
      <c r="H160" s="805">
        <f t="shared" si="54"/>
        <v>0</v>
      </c>
      <c r="I160" s="781">
        <f t="shared" si="54"/>
        <v>0</v>
      </c>
      <c r="J160" s="804">
        <f t="shared" si="54"/>
        <v>0</v>
      </c>
      <c r="K160" s="805">
        <f t="shared" si="54"/>
        <v>0</v>
      </c>
      <c r="L160" s="781">
        <f t="shared" si="54"/>
        <v>0</v>
      </c>
      <c r="M160" s="187">
        <f t="shared" si="54"/>
        <v>0</v>
      </c>
      <c r="N160" s="188">
        <f t="shared" si="54"/>
        <v>0</v>
      </c>
      <c r="O160" s="141">
        <f t="shared" si="54"/>
        <v>0</v>
      </c>
      <c r="P160" s="129"/>
    </row>
    <row r="161" spans="1:16" ht="12" hidden="1" customHeight="1" x14ac:dyDescent="0.25">
      <c r="A161" s="43">
        <v>2381</v>
      </c>
      <c r="B161" s="82" t="s">
        <v>177</v>
      </c>
      <c r="C161" s="83">
        <f t="shared" si="48"/>
        <v>0</v>
      </c>
      <c r="D161" s="489"/>
      <c r="E161" s="490"/>
      <c r="F161" s="491">
        <f>D161+E161</f>
        <v>0</v>
      </c>
      <c r="G161" s="460"/>
      <c r="H161" s="461"/>
      <c r="I161" s="491">
        <f>G161+H161</f>
        <v>0</v>
      </c>
      <c r="J161" s="460"/>
      <c r="K161" s="461"/>
      <c r="L161" s="491">
        <f>K161+J161</f>
        <v>0</v>
      </c>
      <c r="M161" s="46"/>
      <c r="N161" s="47"/>
      <c r="O161" s="134">
        <f>N161+M161</f>
        <v>0</v>
      </c>
      <c r="P161" s="49"/>
    </row>
    <row r="162" spans="1:16" ht="24" hidden="1" customHeight="1" x14ac:dyDescent="0.25">
      <c r="A162" s="50">
        <v>2389</v>
      </c>
      <c r="B162" s="89" t="s">
        <v>178</v>
      </c>
      <c r="C162" s="90">
        <f t="shared" si="48"/>
        <v>0</v>
      </c>
      <c r="D162" s="352"/>
      <c r="E162" s="353"/>
      <c r="F162" s="350">
        <f>D162+E162</f>
        <v>0</v>
      </c>
      <c r="G162" s="348"/>
      <c r="H162" s="349"/>
      <c r="I162" s="350">
        <f>G162+H162</f>
        <v>0</v>
      </c>
      <c r="J162" s="348"/>
      <c r="K162" s="349"/>
      <c r="L162" s="350">
        <f>K162+J162</f>
        <v>0</v>
      </c>
      <c r="M162" s="53"/>
      <c r="N162" s="54"/>
      <c r="O162" s="55">
        <f>N162+M162</f>
        <v>0</v>
      </c>
      <c r="P162" s="57"/>
    </row>
    <row r="163" spans="1:16" ht="12" hidden="1" customHeight="1" x14ac:dyDescent="0.25">
      <c r="A163" s="186">
        <v>2390</v>
      </c>
      <c r="B163" s="138" t="s">
        <v>179</v>
      </c>
      <c r="C163" s="143">
        <f t="shared" si="48"/>
        <v>0</v>
      </c>
      <c r="D163" s="810"/>
      <c r="E163" s="811"/>
      <c r="F163" s="781">
        <f>D163+E163</f>
        <v>0</v>
      </c>
      <c r="G163" s="780"/>
      <c r="H163" s="727"/>
      <c r="I163" s="781">
        <f>G163+H163</f>
        <v>0</v>
      </c>
      <c r="J163" s="780"/>
      <c r="K163" s="727"/>
      <c r="L163" s="781">
        <f>K163+J163</f>
        <v>0</v>
      </c>
      <c r="M163" s="144"/>
      <c r="N163" s="145"/>
      <c r="O163" s="141">
        <f>N163+M163</f>
        <v>0</v>
      </c>
      <c r="P163" s="129"/>
    </row>
    <row r="164" spans="1:16" ht="12" hidden="1" customHeight="1" x14ac:dyDescent="0.25">
      <c r="A164" s="69">
        <v>2400</v>
      </c>
      <c r="B164" s="183" t="s">
        <v>180</v>
      </c>
      <c r="C164" s="70">
        <f t="shared" si="48"/>
        <v>0</v>
      </c>
      <c r="D164" s="812"/>
      <c r="E164" s="813"/>
      <c r="F164" s="756">
        <f>D164+E164</f>
        <v>0</v>
      </c>
      <c r="G164" s="754"/>
      <c r="H164" s="755"/>
      <c r="I164" s="756">
        <f>G164+H164</f>
        <v>0</v>
      </c>
      <c r="J164" s="754"/>
      <c r="K164" s="755"/>
      <c r="L164" s="756">
        <f>K164+J164</f>
        <v>0</v>
      </c>
      <c r="M164" s="71"/>
      <c r="N164" s="72"/>
      <c r="O164" s="73">
        <f>N164+M164</f>
        <v>0</v>
      </c>
      <c r="P164" s="77"/>
    </row>
    <row r="165" spans="1:16" ht="24" hidden="1" x14ac:dyDescent="0.25">
      <c r="A165" s="69">
        <v>2500</v>
      </c>
      <c r="B165" s="183" t="s">
        <v>181</v>
      </c>
      <c r="C165" s="70">
        <f t="shared" si="48"/>
        <v>0</v>
      </c>
      <c r="D165" s="802">
        <f>SUM(D166,D171)</f>
        <v>0</v>
      </c>
      <c r="E165" s="803">
        <f>SUM(E166,E171)</f>
        <v>0</v>
      </c>
      <c r="F165" s="756">
        <f>SUM(F166,F171)</f>
        <v>0</v>
      </c>
      <c r="G165" s="802">
        <f t="shared" ref="G165:M165" si="55">SUM(G166,G171)</f>
        <v>0</v>
      </c>
      <c r="H165" s="803">
        <f>SUM(H166,H171)</f>
        <v>0</v>
      </c>
      <c r="I165" s="756">
        <f>SUM(I166,I171)</f>
        <v>0</v>
      </c>
      <c r="J165" s="802">
        <f t="shared" si="55"/>
        <v>0</v>
      </c>
      <c r="K165" s="803">
        <f>SUM(K166,K171)</f>
        <v>0</v>
      </c>
      <c r="L165" s="756">
        <f>SUM(L166,L171)</f>
        <v>0</v>
      </c>
      <c r="M165" s="184">
        <f t="shared" si="55"/>
        <v>0</v>
      </c>
      <c r="N165" s="185">
        <f>SUM(N166,N171)</f>
        <v>0</v>
      </c>
      <c r="O165" s="73">
        <f>SUM(O166,O171)</f>
        <v>0</v>
      </c>
      <c r="P165" s="77"/>
    </row>
    <row r="166" spans="1:16" ht="16.5" hidden="1" customHeight="1" x14ac:dyDescent="0.25">
      <c r="A166" s="606">
        <v>2510</v>
      </c>
      <c r="B166" s="82" t="s">
        <v>182</v>
      </c>
      <c r="C166" s="83">
        <f t="shared" si="48"/>
        <v>0</v>
      </c>
      <c r="D166" s="807">
        <f>SUM(D167:D170)</f>
        <v>0</v>
      </c>
      <c r="E166" s="808">
        <f>SUM(E167:E170)</f>
        <v>0</v>
      </c>
      <c r="F166" s="491">
        <f>SUM(F167:F170)</f>
        <v>0</v>
      </c>
      <c r="G166" s="807">
        <f t="shared" ref="G166:M166" si="56">SUM(G167:G170)</f>
        <v>0</v>
      </c>
      <c r="H166" s="808">
        <f>SUM(H167:H170)</f>
        <v>0</v>
      </c>
      <c r="I166" s="491">
        <f>SUM(I167:I170)</f>
        <v>0</v>
      </c>
      <c r="J166" s="807">
        <f t="shared" si="56"/>
        <v>0</v>
      </c>
      <c r="K166" s="808">
        <f>SUM(K167:K170)</f>
        <v>0</v>
      </c>
      <c r="L166" s="491">
        <f>SUM(L167:L170)</f>
        <v>0</v>
      </c>
      <c r="M166" s="194">
        <f t="shared" si="56"/>
        <v>0</v>
      </c>
      <c r="N166" s="195">
        <f>SUM(N167:N170)</f>
        <v>0</v>
      </c>
      <c r="O166" s="134">
        <f>SUM(O167:O170)</f>
        <v>0</v>
      </c>
      <c r="P166" s="49"/>
    </row>
    <row r="167" spans="1:16" ht="24" hidden="1" customHeight="1" x14ac:dyDescent="0.25">
      <c r="A167" s="51">
        <v>2512</v>
      </c>
      <c r="B167" s="89" t="s">
        <v>183</v>
      </c>
      <c r="C167" s="90">
        <f t="shared" si="48"/>
        <v>0</v>
      </c>
      <c r="D167" s="352"/>
      <c r="E167" s="353"/>
      <c r="F167" s="350">
        <f t="shared" ref="F167:F172" si="57">D167+E167</f>
        <v>0</v>
      </c>
      <c r="G167" s="348"/>
      <c r="H167" s="349"/>
      <c r="I167" s="350">
        <f t="shared" ref="I167:I172" si="58">G167+H167</f>
        <v>0</v>
      </c>
      <c r="J167" s="348"/>
      <c r="K167" s="349"/>
      <c r="L167" s="350">
        <f t="shared" ref="L167:L172" si="59">K167+J167</f>
        <v>0</v>
      </c>
      <c r="M167" s="53"/>
      <c r="N167" s="54"/>
      <c r="O167" s="55">
        <f t="shared" ref="O167:O172" si="60">N167+M167</f>
        <v>0</v>
      </c>
      <c r="P167" s="57"/>
    </row>
    <row r="168" spans="1:16" ht="36" hidden="1" customHeight="1" x14ac:dyDescent="0.25">
      <c r="A168" s="51">
        <v>2513</v>
      </c>
      <c r="B168" s="89" t="s">
        <v>184</v>
      </c>
      <c r="C168" s="90">
        <f t="shared" si="48"/>
        <v>0</v>
      </c>
      <c r="D168" s="352"/>
      <c r="E168" s="353"/>
      <c r="F168" s="350">
        <f t="shared" si="57"/>
        <v>0</v>
      </c>
      <c r="G168" s="348"/>
      <c r="H168" s="349"/>
      <c r="I168" s="350">
        <f t="shared" si="58"/>
        <v>0</v>
      </c>
      <c r="J168" s="348"/>
      <c r="K168" s="349"/>
      <c r="L168" s="350">
        <f t="shared" si="59"/>
        <v>0</v>
      </c>
      <c r="M168" s="53"/>
      <c r="N168" s="54"/>
      <c r="O168" s="55">
        <f t="shared" si="60"/>
        <v>0</v>
      </c>
      <c r="P168" s="57"/>
    </row>
    <row r="169" spans="1:16" ht="24" hidden="1" customHeight="1" x14ac:dyDescent="0.25">
      <c r="A169" s="51">
        <v>2515</v>
      </c>
      <c r="B169" s="89" t="s">
        <v>185</v>
      </c>
      <c r="C169" s="90">
        <f t="shared" si="48"/>
        <v>0</v>
      </c>
      <c r="D169" s="352"/>
      <c r="E169" s="353"/>
      <c r="F169" s="350">
        <f t="shared" si="57"/>
        <v>0</v>
      </c>
      <c r="G169" s="348"/>
      <c r="H169" s="349"/>
      <c r="I169" s="350">
        <f t="shared" si="58"/>
        <v>0</v>
      </c>
      <c r="J169" s="348"/>
      <c r="K169" s="349"/>
      <c r="L169" s="350">
        <f t="shared" si="59"/>
        <v>0</v>
      </c>
      <c r="M169" s="53"/>
      <c r="N169" s="54"/>
      <c r="O169" s="55">
        <f t="shared" si="60"/>
        <v>0</v>
      </c>
      <c r="P169" s="57"/>
    </row>
    <row r="170" spans="1:16" ht="24" hidden="1" customHeight="1" x14ac:dyDescent="0.25">
      <c r="A170" s="51">
        <v>2519</v>
      </c>
      <c r="B170" s="89" t="s">
        <v>186</v>
      </c>
      <c r="C170" s="90">
        <f t="shared" si="48"/>
        <v>0</v>
      </c>
      <c r="D170" s="352"/>
      <c r="E170" s="353"/>
      <c r="F170" s="350">
        <f t="shared" si="57"/>
        <v>0</v>
      </c>
      <c r="G170" s="348"/>
      <c r="H170" s="349"/>
      <c r="I170" s="350">
        <f t="shared" si="58"/>
        <v>0</v>
      </c>
      <c r="J170" s="348"/>
      <c r="K170" s="349"/>
      <c r="L170" s="350">
        <f t="shared" si="59"/>
        <v>0</v>
      </c>
      <c r="M170" s="53"/>
      <c r="N170" s="54"/>
      <c r="O170" s="55">
        <f t="shared" si="60"/>
        <v>0</v>
      </c>
      <c r="P170" s="57"/>
    </row>
    <row r="171" spans="1:16" ht="24" hidden="1" customHeight="1" x14ac:dyDescent="0.25">
      <c r="A171" s="189">
        <v>2520</v>
      </c>
      <c r="B171" s="89" t="s">
        <v>187</v>
      </c>
      <c r="C171" s="90">
        <f t="shared" si="48"/>
        <v>0</v>
      </c>
      <c r="D171" s="352"/>
      <c r="E171" s="353"/>
      <c r="F171" s="350">
        <f t="shared" si="57"/>
        <v>0</v>
      </c>
      <c r="G171" s="348"/>
      <c r="H171" s="349"/>
      <c r="I171" s="350">
        <f t="shared" si="58"/>
        <v>0</v>
      </c>
      <c r="J171" s="348"/>
      <c r="K171" s="349"/>
      <c r="L171" s="350">
        <f t="shared" si="59"/>
        <v>0</v>
      </c>
      <c r="M171" s="53"/>
      <c r="N171" s="54"/>
      <c r="O171" s="55">
        <f t="shared" si="60"/>
        <v>0</v>
      </c>
      <c r="P171" s="57"/>
    </row>
    <row r="172" spans="1:16" s="207" customFormat="1" ht="36" hidden="1" customHeight="1" x14ac:dyDescent="0.25">
      <c r="A172" s="23">
        <v>2800</v>
      </c>
      <c r="B172" s="82" t="s">
        <v>188</v>
      </c>
      <c r="C172" s="83">
        <f t="shared" si="48"/>
        <v>0</v>
      </c>
      <c r="D172" s="460"/>
      <c r="E172" s="461"/>
      <c r="F172" s="491">
        <f t="shared" si="57"/>
        <v>0</v>
      </c>
      <c r="G172" s="460"/>
      <c r="H172" s="461"/>
      <c r="I172" s="491">
        <f t="shared" si="58"/>
        <v>0</v>
      </c>
      <c r="J172" s="460"/>
      <c r="K172" s="461"/>
      <c r="L172" s="491">
        <f t="shared" si="59"/>
        <v>0</v>
      </c>
      <c r="M172" s="46"/>
      <c r="N172" s="47"/>
      <c r="O172" s="134">
        <f t="shared" si="60"/>
        <v>0</v>
      </c>
      <c r="P172" s="49"/>
    </row>
    <row r="173" spans="1:16" hidden="1" x14ac:dyDescent="0.25">
      <c r="A173" s="177">
        <v>3000</v>
      </c>
      <c r="B173" s="177" t="s">
        <v>189</v>
      </c>
      <c r="C173" s="178">
        <f t="shared" si="48"/>
        <v>0</v>
      </c>
      <c r="D173" s="610">
        <f t="shared" ref="D173:O173" si="61">SUM(D174,D184)</f>
        <v>0</v>
      </c>
      <c r="E173" s="611">
        <f t="shared" si="61"/>
        <v>0</v>
      </c>
      <c r="F173" s="612">
        <f t="shared" si="61"/>
        <v>0</v>
      </c>
      <c r="G173" s="610">
        <f t="shared" si="61"/>
        <v>0</v>
      </c>
      <c r="H173" s="611">
        <f t="shared" si="61"/>
        <v>0</v>
      </c>
      <c r="I173" s="612">
        <f t="shared" si="61"/>
        <v>0</v>
      </c>
      <c r="J173" s="610">
        <f t="shared" si="61"/>
        <v>0</v>
      </c>
      <c r="K173" s="611">
        <f t="shared" si="61"/>
        <v>0</v>
      </c>
      <c r="L173" s="612">
        <f t="shared" si="61"/>
        <v>0</v>
      </c>
      <c r="M173" s="179">
        <f t="shared" si="61"/>
        <v>0</v>
      </c>
      <c r="N173" s="180">
        <f t="shared" si="61"/>
        <v>0</v>
      </c>
      <c r="O173" s="181">
        <f t="shared" si="61"/>
        <v>0</v>
      </c>
      <c r="P173" s="182"/>
    </row>
    <row r="174" spans="1:16" ht="24" hidden="1" x14ac:dyDescent="0.25">
      <c r="A174" s="69">
        <v>3200</v>
      </c>
      <c r="B174" s="208" t="s">
        <v>190</v>
      </c>
      <c r="C174" s="70">
        <f t="shared" si="48"/>
        <v>0</v>
      </c>
      <c r="D174" s="802">
        <f>SUM(D175,D179)</f>
        <v>0</v>
      </c>
      <c r="E174" s="803">
        <f>SUM(E175,E179)</f>
        <v>0</v>
      </c>
      <c r="F174" s="756">
        <f>SUM(F175,F179)</f>
        <v>0</v>
      </c>
      <c r="G174" s="802">
        <f t="shared" ref="G174:M174" si="62">SUM(G175,G179)</f>
        <v>0</v>
      </c>
      <c r="H174" s="803">
        <f>SUM(H175,H179)</f>
        <v>0</v>
      </c>
      <c r="I174" s="756">
        <f>SUM(I175,I179)</f>
        <v>0</v>
      </c>
      <c r="J174" s="802">
        <f t="shared" si="62"/>
        <v>0</v>
      </c>
      <c r="K174" s="803">
        <f>SUM(K175,K179)</f>
        <v>0</v>
      </c>
      <c r="L174" s="756">
        <f>SUM(L175,L179)</f>
        <v>0</v>
      </c>
      <c r="M174" s="184">
        <f t="shared" si="62"/>
        <v>0</v>
      </c>
      <c r="N174" s="185">
        <f>SUM(N175,N179)</f>
        <v>0</v>
      </c>
      <c r="O174" s="73">
        <f>SUM(O175,O179)</f>
        <v>0</v>
      </c>
      <c r="P174" s="77"/>
    </row>
    <row r="175" spans="1:16" ht="36" hidden="1" x14ac:dyDescent="0.25">
      <c r="A175" s="606">
        <v>3260</v>
      </c>
      <c r="B175" s="82" t="s">
        <v>191</v>
      </c>
      <c r="C175" s="83">
        <f t="shared" si="48"/>
        <v>0</v>
      </c>
      <c r="D175" s="807">
        <f t="shared" ref="D175:O175" si="63">SUM(D176:D178)</f>
        <v>0</v>
      </c>
      <c r="E175" s="808">
        <f t="shared" si="63"/>
        <v>0</v>
      </c>
      <c r="F175" s="491">
        <f t="shared" si="63"/>
        <v>0</v>
      </c>
      <c r="G175" s="807">
        <f t="shared" si="63"/>
        <v>0</v>
      </c>
      <c r="H175" s="808">
        <f t="shared" si="63"/>
        <v>0</v>
      </c>
      <c r="I175" s="491">
        <f t="shared" si="63"/>
        <v>0</v>
      </c>
      <c r="J175" s="807">
        <f t="shared" si="63"/>
        <v>0</v>
      </c>
      <c r="K175" s="808">
        <f t="shared" si="63"/>
        <v>0</v>
      </c>
      <c r="L175" s="491">
        <f t="shared" si="63"/>
        <v>0</v>
      </c>
      <c r="M175" s="194">
        <f t="shared" si="63"/>
        <v>0</v>
      </c>
      <c r="N175" s="195">
        <f t="shared" si="63"/>
        <v>0</v>
      </c>
      <c r="O175" s="134">
        <f t="shared" si="63"/>
        <v>0</v>
      </c>
      <c r="P175" s="49"/>
    </row>
    <row r="176" spans="1:16" ht="24" hidden="1" customHeight="1" x14ac:dyDescent="0.25">
      <c r="A176" s="51">
        <v>3261</v>
      </c>
      <c r="B176" s="89" t="s">
        <v>192</v>
      </c>
      <c r="C176" s="90">
        <f t="shared" si="48"/>
        <v>0</v>
      </c>
      <c r="D176" s="352"/>
      <c r="E176" s="353"/>
      <c r="F176" s="350">
        <f>D176+E176</f>
        <v>0</v>
      </c>
      <c r="G176" s="348"/>
      <c r="H176" s="349"/>
      <c r="I176" s="350">
        <f>G176+H176</f>
        <v>0</v>
      </c>
      <c r="J176" s="348"/>
      <c r="K176" s="349"/>
      <c r="L176" s="350">
        <f>K176+J176</f>
        <v>0</v>
      </c>
      <c r="M176" s="53"/>
      <c r="N176" s="54"/>
      <c r="O176" s="55">
        <f>N176+M176</f>
        <v>0</v>
      </c>
      <c r="P176" s="57"/>
    </row>
    <row r="177" spans="1:16" ht="36" hidden="1" customHeight="1" x14ac:dyDescent="0.25">
      <c r="A177" s="51">
        <v>3262</v>
      </c>
      <c r="B177" s="89" t="s">
        <v>193</v>
      </c>
      <c r="C177" s="90">
        <f t="shared" si="48"/>
        <v>0</v>
      </c>
      <c r="D177" s="352"/>
      <c r="E177" s="353"/>
      <c r="F177" s="350">
        <f>D177+E177</f>
        <v>0</v>
      </c>
      <c r="G177" s="348"/>
      <c r="H177" s="349"/>
      <c r="I177" s="350">
        <f>G177+H177</f>
        <v>0</v>
      </c>
      <c r="J177" s="348"/>
      <c r="K177" s="349"/>
      <c r="L177" s="350">
        <f>K177+J177</f>
        <v>0</v>
      </c>
      <c r="M177" s="53"/>
      <c r="N177" s="54"/>
      <c r="O177" s="55">
        <f>N177+M177</f>
        <v>0</v>
      </c>
      <c r="P177" s="57"/>
    </row>
    <row r="178" spans="1:16" ht="24" hidden="1" customHeight="1" x14ac:dyDescent="0.25">
      <c r="A178" s="51">
        <v>3263</v>
      </c>
      <c r="B178" s="89" t="s">
        <v>194</v>
      </c>
      <c r="C178" s="90">
        <f t="shared" si="48"/>
        <v>0</v>
      </c>
      <c r="D178" s="352"/>
      <c r="E178" s="353"/>
      <c r="F178" s="350">
        <f>D178+E178</f>
        <v>0</v>
      </c>
      <c r="G178" s="348"/>
      <c r="H178" s="349"/>
      <c r="I178" s="350">
        <f>G178+H178</f>
        <v>0</v>
      </c>
      <c r="J178" s="348"/>
      <c r="K178" s="349"/>
      <c r="L178" s="350">
        <f>K178+J178</f>
        <v>0</v>
      </c>
      <c r="M178" s="53"/>
      <c r="N178" s="54"/>
      <c r="O178" s="55">
        <f>N178+M178</f>
        <v>0</v>
      </c>
      <c r="P178" s="57"/>
    </row>
    <row r="179" spans="1:16" ht="84" hidden="1" x14ac:dyDescent="0.25">
      <c r="A179" s="606">
        <v>3290</v>
      </c>
      <c r="B179" s="82" t="s">
        <v>195</v>
      </c>
      <c r="C179" s="209">
        <f t="shared" si="48"/>
        <v>0</v>
      </c>
      <c r="D179" s="807">
        <f>SUM(D180:D183)</f>
        <v>0</v>
      </c>
      <c r="E179" s="808">
        <f>SUM(E180:E183)</f>
        <v>0</v>
      </c>
      <c r="F179" s="491">
        <f>SUM(F180:F183)</f>
        <v>0</v>
      </c>
      <c r="G179" s="807">
        <f t="shared" ref="G179:M179" si="64">SUM(G180:G183)</f>
        <v>0</v>
      </c>
      <c r="H179" s="808">
        <f>SUM(H180:H183)</f>
        <v>0</v>
      </c>
      <c r="I179" s="491">
        <f>SUM(I180:I183)</f>
        <v>0</v>
      </c>
      <c r="J179" s="807">
        <f t="shared" si="64"/>
        <v>0</v>
      </c>
      <c r="K179" s="808">
        <f>SUM(K180:K183)</f>
        <v>0</v>
      </c>
      <c r="L179" s="491">
        <f>SUM(L180:L183)</f>
        <v>0</v>
      </c>
      <c r="M179" s="194">
        <f t="shared" si="64"/>
        <v>0</v>
      </c>
      <c r="N179" s="195">
        <f>SUM(N180:N183)</f>
        <v>0</v>
      </c>
      <c r="O179" s="134">
        <f>SUM(O180:O183)</f>
        <v>0</v>
      </c>
      <c r="P179" s="49"/>
    </row>
    <row r="180" spans="1:16" ht="72" hidden="1" customHeight="1" x14ac:dyDescent="0.25">
      <c r="A180" s="51">
        <v>3291</v>
      </c>
      <c r="B180" s="89" t="s">
        <v>196</v>
      </c>
      <c r="C180" s="90">
        <f t="shared" si="48"/>
        <v>0</v>
      </c>
      <c r="D180" s="352"/>
      <c r="E180" s="353"/>
      <c r="F180" s="350">
        <f>D180+E180</f>
        <v>0</v>
      </c>
      <c r="G180" s="348"/>
      <c r="H180" s="349"/>
      <c r="I180" s="350">
        <f>G180+H180</f>
        <v>0</v>
      </c>
      <c r="J180" s="348"/>
      <c r="K180" s="349"/>
      <c r="L180" s="350">
        <f>K180+J180</f>
        <v>0</v>
      </c>
      <c r="M180" s="53"/>
      <c r="N180" s="54"/>
      <c r="O180" s="55">
        <f>N180+M180</f>
        <v>0</v>
      </c>
      <c r="P180" s="57"/>
    </row>
    <row r="181" spans="1:16" ht="72" hidden="1" customHeight="1" x14ac:dyDescent="0.25">
      <c r="A181" s="51">
        <v>3292</v>
      </c>
      <c r="B181" s="89" t="s">
        <v>197</v>
      </c>
      <c r="C181" s="90">
        <f t="shared" si="48"/>
        <v>0</v>
      </c>
      <c r="D181" s="352"/>
      <c r="E181" s="353"/>
      <c r="F181" s="350">
        <f>D181+E181</f>
        <v>0</v>
      </c>
      <c r="G181" s="348"/>
      <c r="H181" s="349"/>
      <c r="I181" s="350">
        <f>G181+H181</f>
        <v>0</v>
      </c>
      <c r="J181" s="348"/>
      <c r="K181" s="349"/>
      <c r="L181" s="350">
        <f>K181+J181</f>
        <v>0</v>
      </c>
      <c r="M181" s="53"/>
      <c r="N181" s="54"/>
      <c r="O181" s="55">
        <f>N181+M181</f>
        <v>0</v>
      </c>
      <c r="P181" s="57"/>
    </row>
    <row r="182" spans="1:16" ht="72" hidden="1" customHeight="1" x14ac:dyDescent="0.25">
      <c r="A182" s="51">
        <v>3293</v>
      </c>
      <c r="B182" s="89" t="s">
        <v>198</v>
      </c>
      <c r="C182" s="90">
        <f t="shared" si="48"/>
        <v>0</v>
      </c>
      <c r="D182" s="352"/>
      <c r="E182" s="353"/>
      <c r="F182" s="350">
        <f>D182+E182</f>
        <v>0</v>
      </c>
      <c r="G182" s="348"/>
      <c r="H182" s="349"/>
      <c r="I182" s="350">
        <f>G182+H182</f>
        <v>0</v>
      </c>
      <c r="J182" s="348"/>
      <c r="K182" s="349"/>
      <c r="L182" s="350">
        <f>K182+J182</f>
        <v>0</v>
      </c>
      <c r="M182" s="53"/>
      <c r="N182" s="54"/>
      <c r="O182" s="55">
        <f>N182+M182</f>
        <v>0</v>
      </c>
      <c r="P182" s="57"/>
    </row>
    <row r="183" spans="1:16" ht="60" hidden="1" customHeight="1" x14ac:dyDescent="0.25">
      <c r="A183" s="210">
        <v>3294</v>
      </c>
      <c r="B183" s="89" t="s">
        <v>199</v>
      </c>
      <c r="C183" s="209">
        <f t="shared" si="48"/>
        <v>0</v>
      </c>
      <c r="D183" s="814"/>
      <c r="E183" s="815"/>
      <c r="F183" s="816">
        <f>D183+E183</f>
        <v>0</v>
      </c>
      <c r="G183" s="817"/>
      <c r="H183" s="818"/>
      <c r="I183" s="816">
        <f>G183+H183</f>
        <v>0</v>
      </c>
      <c r="J183" s="817"/>
      <c r="K183" s="818"/>
      <c r="L183" s="816">
        <f>K183+J183</f>
        <v>0</v>
      </c>
      <c r="M183" s="214"/>
      <c r="N183" s="215"/>
      <c r="O183" s="213">
        <f>N183+M183</f>
        <v>0</v>
      </c>
      <c r="P183" s="216"/>
    </row>
    <row r="184" spans="1:16" ht="48" hidden="1" x14ac:dyDescent="0.25">
      <c r="A184" s="217">
        <v>3300</v>
      </c>
      <c r="B184" s="208" t="s">
        <v>200</v>
      </c>
      <c r="C184" s="218">
        <f t="shared" si="48"/>
        <v>0</v>
      </c>
      <c r="D184" s="819">
        <f>SUM(D185:D186)</f>
        <v>0</v>
      </c>
      <c r="E184" s="820">
        <f>SUM(E185:E186)</f>
        <v>0</v>
      </c>
      <c r="F184" s="821">
        <f>SUM(F185:F186)</f>
        <v>0</v>
      </c>
      <c r="G184" s="819">
        <f t="shared" ref="G184:M184" si="65">SUM(G185:G186)</f>
        <v>0</v>
      </c>
      <c r="H184" s="820">
        <f>SUM(H185:H186)</f>
        <v>0</v>
      </c>
      <c r="I184" s="821">
        <f>SUM(I185:I186)</f>
        <v>0</v>
      </c>
      <c r="J184" s="819">
        <f t="shared" si="65"/>
        <v>0</v>
      </c>
      <c r="K184" s="820">
        <f>SUM(K185:K186)</f>
        <v>0</v>
      </c>
      <c r="L184" s="821">
        <f>SUM(L185:L186)</f>
        <v>0</v>
      </c>
      <c r="M184" s="219">
        <f t="shared" si="65"/>
        <v>0</v>
      </c>
      <c r="N184" s="220">
        <f>SUM(N185:N186)</f>
        <v>0</v>
      </c>
      <c r="O184" s="221">
        <f>SUM(O185:O186)</f>
        <v>0</v>
      </c>
      <c r="P184" s="222"/>
    </row>
    <row r="185" spans="1:16" ht="48" hidden="1" customHeight="1" x14ac:dyDescent="0.25">
      <c r="A185" s="137">
        <v>3310</v>
      </c>
      <c r="B185" s="138" t="s">
        <v>201</v>
      </c>
      <c r="C185" s="143">
        <f t="shared" si="48"/>
        <v>0</v>
      </c>
      <c r="D185" s="810"/>
      <c r="E185" s="811"/>
      <c r="F185" s="781">
        <f>D185+E185</f>
        <v>0</v>
      </c>
      <c r="G185" s="780"/>
      <c r="H185" s="727"/>
      <c r="I185" s="781">
        <f>G185+H185</f>
        <v>0</v>
      </c>
      <c r="J185" s="780"/>
      <c r="K185" s="727"/>
      <c r="L185" s="781">
        <f>K185+J185</f>
        <v>0</v>
      </c>
      <c r="M185" s="144"/>
      <c r="N185" s="145"/>
      <c r="O185" s="141">
        <f>N185+M185</f>
        <v>0</v>
      </c>
      <c r="P185" s="129"/>
    </row>
    <row r="186" spans="1:16" ht="48.75" hidden="1" customHeight="1" x14ac:dyDescent="0.25">
      <c r="A186" s="44">
        <v>3320</v>
      </c>
      <c r="B186" s="82" t="s">
        <v>202</v>
      </c>
      <c r="C186" s="83">
        <f t="shared" si="48"/>
        <v>0</v>
      </c>
      <c r="D186" s="489"/>
      <c r="E186" s="490"/>
      <c r="F186" s="491">
        <f>D186+E186</f>
        <v>0</v>
      </c>
      <c r="G186" s="460"/>
      <c r="H186" s="461"/>
      <c r="I186" s="491">
        <f>G186+H186</f>
        <v>0</v>
      </c>
      <c r="J186" s="460"/>
      <c r="K186" s="461"/>
      <c r="L186" s="491">
        <f>K186+J186</f>
        <v>0</v>
      </c>
      <c r="M186" s="46"/>
      <c r="N186" s="47"/>
      <c r="O186" s="134">
        <f>N186+M186</f>
        <v>0</v>
      </c>
      <c r="P186" s="49"/>
    </row>
    <row r="187" spans="1:16" hidden="1" x14ac:dyDescent="0.25">
      <c r="A187" s="223">
        <v>4000</v>
      </c>
      <c r="B187" s="177" t="s">
        <v>203</v>
      </c>
      <c r="C187" s="178">
        <f t="shared" si="48"/>
        <v>0</v>
      </c>
      <c r="D187" s="610">
        <f t="shared" ref="D187:O187" si="66">SUM(D188,D191)</f>
        <v>0</v>
      </c>
      <c r="E187" s="611">
        <f t="shared" si="66"/>
        <v>0</v>
      </c>
      <c r="F187" s="612">
        <f t="shared" si="66"/>
        <v>0</v>
      </c>
      <c r="G187" s="610">
        <f t="shared" si="66"/>
        <v>0</v>
      </c>
      <c r="H187" s="611">
        <f t="shared" si="66"/>
        <v>0</v>
      </c>
      <c r="I187" s="612">
        <f t="shared" si="66"/>
        <v>0</v>
      </c>
      <c r="J187" s="610">
        <f t="shared" si="66"/>
        <v>0</v>
      </c>
      <c r="K187" s="611">
        <f t="shared" si="66"/>
        <v>0</v>
      </c>
      <c r="L187" s="612">
        <f t="shared" si="66"/>
        <v>0</v>
      </c>
      <c r="M187" s="179">
        <f t="shared" si="66"/>
        <v>0</v>
      </c>
      <c r="N187" s="180">
        <f t="shared" si="66"/>
        <v>0</v>
      </c>
      <c r="O187" s="181">
        <f t="shared" si="66"/>
        <v>0</v>
      </c>
      <c r="P187" s="182"/>
    </row>
    <row r="188" spans="1:16" ht="24" hidden="1" x14ac:dyDescent="0.25">
      <c r="A188" s="224">
        <v>4200</v>
      </c>
      <c r="B188" s="183" t="s">
        <v>204</v>
      </c>
      <c r="C188" s="70">
        <f t="shared" si="48"/>
        <v>0</v>
      </c>
      <c r="D188" s="802">
        <f t="shared" ref="D188:O188" si="67">SUM(D189,D190)</f>
        <v>0</v>
      </c>
      <c r="E188" s="803">
        <f t="shared" si="67"/>
        <v>0</v>
      </c>
      <c r="F188" s="756">
        <f t="shared" si="67"/>
        <v>0</v>
      </c>
      <c r="G188" s="802">
        <f t="shared" si="67"/>
        <v>0</v>
      </c>
      <c r="H188" s="803">
        <f t="shared" si="67"/>
        <v>0</v>
      </c>
      <c r="I188" s="756">
        <f t="shared" si="67"/>
        <v>0</v>
      </c>
      <c r="J188" s="802">
        <f t="shared" si="67"/>
        <v>0</v>
      </c>
      <c r="K188" s="803">
        <f t="shared" si="67"/>
        <v>0</v>
      </c>
      <c r="L188" s="756">
        <f t="shared" si="67"/>
        <v>0</v>
      </c>
      <c r="M188" s="184">
        <f t="shared" si="67"/>
        <v>0</v>
      </c>
      <c r="N188" s="185">
        <f t="shared" si="67"/>
        <v>0</v>
      </c>
      <c r="O188" s="73">
        <f t="shared" si="67"/>
        <v>0</v>
      </c>
      <c r="P188" s="77"/>
    </row>
    <row r="189" spans="1:16" ht="36" hidden="1" customHeight="1" x14ac:dyDescent="0.25">
      <c r="A189" s="606">
        <v>4240</v>
      </c>
      <c r="B189" s="82" t="s">
        <v>205</v>
      </c>
      <c r="C189" s="83">
        <f t="shared" si="48"/>
        <v>0</v>
      </c>
      <c r="D189" s="489"/>
      <c r="E189" s="490"/>
      <c r="F189" s="491">
        <f>D189+E189</f>
        <v>0</v>
      </c>
      <c r="G189" s="460"/>
      <c r="H189" s="461"/>
      <c r="I189" s="491">
        <f>G189+H189</f>
        <v>0</v>
      </c>
      <c r="J189" s="460"/>
      <c r="K189" s="461"/>
      <c r="L189" s="491">
        <f>K189+J189</f>
        <v>0</v>
      </c>
      <c r="M189" s="46"/>
      <c r="N189" s="47"/>
      <c r="O189" s="134">
        <f>N189+M189</f>
        <v>0</v>
      </c>
      <c r="P189" s="49"/>
    </row>
    <row r="190" spans="1:16" ht="24" hidden="1" customHeight="1" x14ac:dyDescent="0.25">
      <c r="A190" s="189">
        <v>4250</v>
      </c>
      <c r="B190" s="89" t="s">
        <v>206</v>
      </c>
      <c r="C190" s="90">
        <f t="shared" si="48"/>
        <v>0</v>
      </c>
      <c r="D190" s="352"/>
      <c r="E190" s="353"/>
      <c r="F190" s="350">
        <f>D190+E190</f>
        <v>0</v>
      </c>
      <c r="G190" s="348"/>
      <c r="H190" s="349"/>
      <c r="I190" s="350">
        <f>G190+H190</f>
        <v>0</v>
      </c>
      <c r="J190" s="348"/>
      <c r="K190" s="349"/>
      <c r="L190" s="350">
        <f>K190+J190</f>
        <v>0</v>
      </c>
      <c r="M190" s="53"/>
      <c r="N190" s="54"/>
      <c r="O190" s="55">
        <f>N190+M190</f>
        <v>0</v>
      </c>
      <c r="P190" s="57"/>
    </row>
    <row r="191" spans="1:16" hidden="1" x14ac:dyDescent="0.25">
      <c r="A191" s="69">
        <v>4300</v>
      </c>
      <c r="B191" s="183" t="s">
        <v>207</v>
      </c>
      <c r="C191" s="70">
        <f t="shared" si="48"/>
        <v>0</v>
      </c>
      <c r="D191" s="802">
        <f t="shared" ref="D191:O191" si="68">SUM(D192)</f>
        <v>0</v>
      </c>
      <c r="E191" s="803">
        <f t="shared" si="68"/>
        <v>0</v>
      </c>
      <c r="F191" s="756">
        <f t="shared" si="68"/>
        <v>0</v>
      </c>
      <c r="G191" s="802">
        <f t="shared" si="68"/>
        <v>0</v>
      </c>
      <c r="H191" s="803">
        <f t="shared" si="68"/>
        <v>0</v>
      </c>
      <c r="I191" s="756">
        <f t="shared" si="68"/>
        <v>0</v>
      </c>
      <c r="J191" s="802">
        <f t="shared" si="68"/>
        <v>0</v>
      </c>
      <c r="K191" s="803">
        <f t="shared" si="68"/>
        <v>0</v>
      </c>
      <c r="L191" s="756">
        <f t="shared" si="68"/>
        <v>0</v>
      </c>
      <c r="M191" s="184">
        <f t="shared" si="68"/>
        <v>0</v>
      </c>
      <c r="N191" s="185">
        <f t="shared" si="68"/>
        <v>0</v>
      </c>
      <c r="O191" s="73">
        <f t="shared" si="68"/>
        <v>0</v>
      </c>
      <c r="P191" s="77"/>
    </row>
    <row r="192" spans="1:16" ht="24" hidden="1" x14ac:dyDescent="0.25">
      <c r="A192" s="606">
        <v>4310</v>
      </c>
      <c r="B192" s="82" t="s">
        <v>208</v>
      </c>
      <c r="C192" s="83">
        <f t="shared" si="48"/>
        <v>0</v>
      </c>
      <c r="D192" s="807">
        <f t="shared" ref="D192:O192" si="69">SUM(D193:D193)</f>
        <v>0</v>
      </c>
      <c r="E192" s="808">
        <f t="shared" si="69"/>
        <v>0</v>
      </c>
      <c r="F192" s="491">
        <f t="shared" si="69"/>
        <v>0</v>
      </c>
      <c r="G192" s="807">
        <f t="shared" si="69"/>
        <v>0</v>
      </c>
      <c r="H192" s="808">
        <f t="shared" si="69"/>
        <v>0</v>
      </c>
      <c r="I192" s="491">
        <f t="shared" si="69"/>
        <v>0</v>
      </c>
      <c r="J192" s="807">
        <f t="shared" si="69"/>
        <v>0</v>
      </c>
      <c r="K192" s="808">
        <f t="shared" si="69"/>
        <v>0</v>
      </c>
      <c r="L192" s="491">
        <f t="shared" si="69"/>
        <v>0</v>
      </c>
      <c r="M192" s="194">
        <f t="shared" si="69"/>
        <v>0</v>
      </c>
      <c r="N192" s="195">
        <f t="shared" si="69"/>
        <v>0</v>
      </c>
      <c r="O192" s="134">
        <f t="shared" si="69"/>
        <v>0</v>
      </c>
      <c r="P192" s="49"/>
    </row>
    <row r="193" spans="1:16" ht="36" hidden="1" customHeight="1" x14ac:dyDescent="0.25">
      <c r="A193" s="51">
        <v>4311</v>
      </c>
      <c r="B193" s="89" t="s">
        <v>209</v>
      </c>
      <c r="C193" s="90">
        <f t="shared" si="48"/>
        <v>0</v>
      </c>
      <c r="D193" s="352"/>
      <c r="E193" s="353"/>
      <c r="F193" s="350">
        <f>D193+E193</f>
        <v>0</v>
      </c>
      <c r="G193" s="348"/>
      <c r="H193" s="349"/>
      <c r="I193" s="350">
        <f>G193+H193</f>
        <v>0</v>
      </c>
      <c r="J193" s="348"/>
      <c r="K193" s="349"/>
      <c r="L193" s="350">
        <f>K193+J193</f>
        <v>0</v>
      </c>
      <c r="M193" s="53"/>
      <c r="N193" s="54"/>
      <c r="O193" s="55">
        <f>N193+M193</f>
        <v>0</v>
      </c>
      <c r="P193" s="57"/>
    </row>
    <row r="194" spans="1:16" s="28" customFormat="1" ht="24" x14ac:dyDescent="0.25">
      <c r="A194" s="225"/>
      <c r="B194" s="23" t="s">
        <v>210</v>
      </c>
      <c r="C194" s="172">
        <f t="shared" si="48"/>
        <v>3885</v>
      </c>
      <c r="D194" s="794">
        <f t="shared" ref="D194:O194" si="70">SUM(D195,D230,D269,D283)</f>
        <v>1000</v>
      </c>
      <c r="E194" s="795">
        <f t="shared" si="70"/>
        <v>0</v>
      </c>
      <c r="F194" s="784">
        <f t="shared" si="70"/>
        <v>1000</v>
      </c>
      <c r="G194" s="794">
        <f t="shared" si="70"/>
        <v>2190</v>
      </c>
      <c r="H194" s="795">
        <f t="shared" si="70"/>
        <v>0</v>
      </c>
      <c r="I194" s="784">
        <f t="shared" si="70"/>
        <v>2190</v>
      </c>
      <c r="J194" s="794">
        <f t="shared" si="70"/>
        <v>695</v>
      </c>
      <c r="K194" s="795">
        <f t="shared" si="70"/>
        <v>0</v>
      </c>
      <c r="L194" s="784">
        <f t="shared" si="70"/>
        <v>695</v>
      </c>
      <c r="M194" s="173">
        <f t="shared" si="70"/>
        <v>0</v>
      </c>
      <c r="N194" s="174">
        <f t="shared" si="70"/>
        <v>0</v>
      </c>
      <c r="O194" s="175">
        <f t="shared" si="70"/>
        <v>0</v>
      </c>
      <c r="P194" s="176"/>
    </row>
    <row r="195" spans="1:16" x14ac:dyDescent="0.25">
      <c r="A195" s="177">
        <v>5000</v>
      </c>
      <c r="B195" s="177" t="s">
        <v>211</v>
      </c>
      <c r="C195" s="178">
        <f t="shared" si="48"/>
        <v>3885</v>
      </c>
      <c r="D195" s="610">
        <f t="shared" ref="D195:O195" si="71">D196+D204</f>
        <v>1000</v>
      </c>
      <c r="E195" s="611">
        <f t="shared" si="71"/>
        <v>0</v>
      </c>
      <c r="F195" s="612">
        <f t="shared" si="71"/>
        <v>1000</v>
      </c>
      <c r="G195" s="610">
        <f t="shared" si="71"/>
        <v>2190</v>
      </c>
      <c r="H195" s="611">
        <f t="shared" si="71"/>
        <v>0</v>
      </c>
      <c r="I195" s="612">
        <f t="shared" si="71"/>
        <v>2190</v>
      </c>
      <c r="J195" s="610">
        <f t="shared" si="71"/>
        <v>695</v>
      </c>
      <c r="K195" s="611">
        <f t="shared" si="71"/>
        <v>0</v>
      </c>
      <c r="L195" s="612">
        <f t="shared" si="71"/>
        <v>695</v>
      </c>
      <c r="M195" s="179">
        <f t="shared" si="71"/>
        <v>0</v>
      </c>
      <c r="N195" s="180">
        <f t="shared" si="71"/>
        <v>0</v>
      </c>
      <c r="O195" s="181">
        <f t="shared" si="71"/>
        <v>0</v>
      </c>
      <c r="P195" s="182"/>
    </row>
    <row r="196" spans="1:16" hidden="1" x14ac:dyDescent="0.25">
      <c r="A196" s="69">
        <v>5100</v>
      </c>
      <c r="B196" s="183" t="s">
        <v>212</v>
      </c>
      <c r="C196" s="70">
        <f t="shared" si="48"/>
        <v>0</v>
      </c>
      <c r="D196" s="802">
        <f t="shared" ref="D196:O196" si="72">D197+D198+D201+D202+D203</f>
        <v>0</v>
      </c>
      <c r="E196" s="803">
        <f t="shared" si="72"/>
        <v>0</v>
      </c>
      <c r="F196" s="756">
        <f t="shared" si="72"/>
        <v>0</v>
      </c>
      <c r="G196" s="802">
        <f t="shared" si="72"/>
        <v>0</v>
      </c>
      <c r="H196" s="803">
        <f t="shared" si="72"/>
        <v>0</v>
      </c>
      <c r="I196" s="756">
        <f t="shared" si="72"/>
        <v>0</v>
      </c>
      <c r="J196" s="802">
        <f t="shared" si="72"/>
        <v>0</v>
      </c>
      <c r="K196" s="803">
        <f t="shared" si="72"/>
        <v>0</v>
      </c>
      <c r="L196" s="756">
        <f t="shared" si="72"/>
        <v>0</v>
      </c>
      <c r="M196" s="184">
        <f t="shared" si="72"/>
        <v>0</v>
      </c>
      <c r="N196" s="185">
        <f t="shared" si="72"/>
        <v>0</v>
      </c>
      <c r="O196" s="73">
        <f t="shared" si="72"/>
        <v>0</v>
      </c>
      <c r="P196" s="77"/>
    </row>
    <row r="197" spans="1:16" ht="12" hidden="1" customHeight="1" x14ac:dyDescent="0.25">
      <c r="A197" s="606">
        <v>5110</v>
      </c>
      <c r="B197" s="82" t="s">
        <v>213</v>
      </c>
      <c r="C197" s="83">
        <f t="shared" si="48"/>
        <v>0</v>
      </c>
      <c r="D197" s="489"/>
      <c r="E197" s="490"/>
      <c r="F197" s="491">
        <f>D197+E197</f>
        <v>0</v>
      </c>
      <c r="G197" s="460"/>
      <c r="H197" s="461"/>
      <c r="I197" s="491">
        <f>G197+H197</f>
        <v>0</v>
      </c>
      <c r="J197" s="460"/>
      <c r="K197" s="461"/>
      <c r="L197" s="491">
        <f>K197+J197</f>
        <v>0</v>
      </c>
      <c r="M197" s="46"/>
      <c r="N197" s="47"/>
      <c r="O197" s="134">
        <f>N197+M197</f>
        <v>0</v>
      </c>
      <c r="P197" s="49"/>
    </row>
    <row r="198" spans="1:16" ht="24" hidden="1" x14ac:dyDescent="0.25">
      <c r="A198" s="189">
        <v>5120</v>
      </c>
      <c r="B198" s="89" t="s">
        <v>214</v>
      </c>
      <c r="C198" s="90">
        <f t="shared" si="48"/>
        <v>0</v>
      </c>
      <c r="D198" s="806">
        <f t="shared" ref="D198:O198" si="73">D199+D200</f>
        <v>0</v>
      </c>
      <c r="E198" s="365">
        <f t="shared" si="73"/>
        <v>0</v>
      </c>
      <c r="F198" s="350">
        <f t="shared" si="73"/>
        <v>0</v>
      </c>
      <c r="G198" s="806">
        <f t="shared" si="73"/>
        <v>0</v>
      </c>
      <c r="H198" s="365">
        <f t="shared" si="73"/>
        <v>0</v>
      </c>
      <c r="I198" s="350">
        <f t="shared" si="73"/>
        <v>0</v>
      </c>
      <c r="J198" s="806">
        <f t="shared" si="73"/>
        <v>0</v>
      </c>
      <c r="K198" s="365">
        <f t="shared" si="73"/>
        <v>0</v>
      </c>
      <c r="L198" s="350">
        <f t="shared" si="73"/>
        <v>0</v>
      </c>
      <c r="M198" s="190">
        <f t="shared" si="73"/>
        <v>0</v>
      </c>
      <c r="N198" s="191">
        <f t="shared" si="73"/>
        <v>0</v>
      </c>
      <c r="O198" s="55">
        <f t="shared" si="73"/>
        <v>0</v>
      </c>
      <c r="P198" s="57"/>
    </row>
    <row r="199" spans="1:16" ht="12" hidden="1" customHeight="1" x14ac:dyDescent="0.25">
      <c r="A199" s="51">
        <v>5121</v>
      </c>
      <c r="B199" s="89" t="s">
        <v>215</v>
      </c>
      <c r="C199" s="90">
        <f t="shared" si="48"/>
        <v>0</v>
      </c>
      <c r="D199" s="352"/>
      <c r="E199" s="353"/>
      <c r="F199" s="350">
        <f>D199+E199</f>
        <v>0</v>
      </c>
      <c r="G199" s="348"/>
      <c r="H199" s="349"/>
      <c r="I199" s="350">
        <f>G199+H199</f>
        <v>0</v>
      </c>
      <c r="J199" s="348"/>
      <c r="K199" s="349"/>
      <c r="L199" s="350">
        <f>K199+J199</f>
        <v>0</v>
      </c>
      <c r="M199" s="53"/>
      <c r="N199" s="54"/>
      <c r="O199" s="55">
        <f>N199+M199</f>
        <v>0</v>
      </c>
      <c r="P199" s="57"/>
    </row>
    <row r="200" spans="1:16" ht="24" hidden="1" customHeight="1" x14ac:dyDescent="0.25">
      <c r="A200" s="51">
        <v>5129</v>
      </c>
      <c r="B200" s="89" t="s">
        <v>216</v>
      </c>
      <c r="C200" s="90">
        <f t="shared" si="48"/>
        <v>0</v>
      </c>
      <c r="D200" s="352"/>
      <c r="E200" s="353"/>
      <c r="F200" s="350">
        <f>D200+E200</f>
        <v>0</v>
      </c>
      <c r="G200" s="348"/>
      <c r="H200" s="349"/>
      <c r="I200" s="350">
        <f>G200+H200</f>
        <v>0</v>
      </c>
      <c r="J200" s="348"/>
      <c r="K200" s="349"/>
      <c r="L200" s="350">
        <f>K200+J200</f>
        <v>0</v>
      </c>
      <c r="M200" s="53"/>
      <c r="N200" s="54"/>
      <c r="O200" s="55">
        <f>N200+M200</f>
        <v>0</v>
      </c>
      <c r="P200" s="57"/>
    </row>
    <row r="201" spans="1:16" ht="12" hidden="1" customHeight="1" x14ac:dyDescent="0.25">
      <c r="A201" s="189">
        <v>5130</v>
      </c>
      <c r="B201" s="89" t="s">
        <v>217</v>
      </c>
      <c r="C201" s="90">
        <f t="shared" si="48"/>
        <v>0</v>
      </c>
      <c r="D201" s="352"/>
      <c r="E201" s="353"/>
      <c r="F201" s="350">
        <f>D201+E201</f>
        <v>0</v>
      </c>
      <c r="G201" s="348"/>
      <c r="H201" s="349"/>
      <c r="I201" s="350">
        <f>G201+H201</f>
        <v>0</v>
      </c>
      <c r="J201" s="348"/>
      <c r="K201" s="349"/>
      <c r="L201" s="350">
        <f>K201+J201</f>
        <v>0</v>
      </c>
      <c r="M201" s="53"/>
      <c r="N201" s="54"/>
      <c r="O201" s="55">
        <f>N201+M201</f>
        <v>0</v>
      </c>
      <c r="P201" s="57"/>
    </row>
    <row r="202" spans="1:16" ht="12" hidden="1" customHeight="1" x14ac:dyDescent="0.25">
      <c r="A202" s="189">
        <v>5140</v>
      </c>
      <c r="B202" s="89" t="s">
        <v>218</v>
      </c>
      <c r="C202" s="90">
        <f t="shared" si="48"/>
        <v>0</v>
      </c>
      <c r="D202" s="352"/>
      <c r="E202" s="353"/>
      <c r="F202" s="350">
        <f>D202+E202</f>
        <v>0</v>
      </c>
      <c r="G202" s="348"/>
      <c r="H202" s="349"/>
      <c r="I202" s="350">
        <f>G202+H202</f>
        <v>0</v>
      </c>
      <c r="J202" s="348"/>
      <c r="K202" s="349"/>
      <c r="L202" s="350">
        <f>K202+J202</f>
        <v>0</v>
      </c>
      <c r="M202" s="53"/>
      <c r="N202" s="54"/>
      <c r="O202" s="55">
        <f>N202+M202</f>
        <v>0</v>
      </c>
      <c r="P202" s="57"/>
    </row>
    <row r="203" spans="1:16" ht="24" hidden="1" customHeight="1" x14ac:dyDescent="0.25">
      <c r="A203" s="189">
        <v>5170</v>
      </c>
      <c r="B203" s="89" t="s">
        <v>219</v>
      </c>
      <c r="C203" s="90">
        <f t="shared" si="48"/>
        <v>0</v>
      </c>
      <c r="D203" s="352"/>
      <c r="E203" s="353"/>
      <c r="F203" s="350">
        <f>D203+E203</f>
        <v>0</v>
      </c>
      <c r="G203" s="348"/>
      <c r="H203" s="349"/>
      <c r="I203" s="350">
        <f>G203+H203</f>
        <v>0</v>
      </c>
      <c r="J203" s="348"/>
      <c r="K203" s="349"/>
      <c r="L203" s="350">
        <f>K203+J203</f>
        <v>0</v>
      </c>
      <c r="M203" s="53"/>
      <c r="N203" s="54"/>
      <c r="O203" s="55">
        <f>N203+M203</f>
        <v>0</v>
      </c>
      <c r="P203" s="57"/>
    </row>
    <row r="204" spans="1:16" x14ac:dyDescent="0.25">
      <c r="A204" s="69">
        <v>5200</v>
      </c>
      <c r="B204" s="183" t="s">
        <v>220</v>
      </c>
      <c r="C204" s="70">
        <f t="shared" si="48"/>
        <v>3885</v>
      </c>
      <c r="D204" s="802">
        <f t="shared" ref="D204:O204" si="74">D205+D215+D216+D225+D226+D227+D229</f>
        <v>1000</v>
      </c>
      <c r="E204" s="803">
        <f t="shared" si="74"/>
        <v>0</v>
      </c>
      <c r="F204" s="756">
        <f t="shared" si="74"/>
        <v>1000</v>
      </c>
      <c r="G204" s="802">
        <f t="shared" si="74"/>
        <v>2190</v>
      </c>
      <c r="H204" s="803">
        <f t="shared" si="74"/>
        <v>0</v>
      </c>
      <c r="I204" s="756">
        <f t="shared" si="74"/>
        <v>2190</v>
      </c>
      <c r="J204" s="802">
        <f t="shared" si="74"/>
        <v>695</v>
      </c>
      <c r="K204" s="803">
        <f t="shared" si="74"/>
        <v>0</v>
      </c>
      <c r="L204" s="756">
        <f t="shared" si="74"/>
        <v>695</v>
      </c>
      <c r="M204" s="184">
        <f t="shared" si="74"/>
        <v>0</v>
      </c>
      <c r="N204" s="185">
        <f t="shared" si="74"/>
        <v>0</v>
      </c>
      <c r="O204" s="73">
        <f t="shared" si="74"/>
        <v>0</v>
      </c>
      <c r="P204" s="77"/>
    </row>
    <row r="205" spans="1:16" hidden="1" x14ac:dyDescent="0.25">
      <c r="A205" s="186">
        <v>5210</v>
      </c>
      <c r="B205" s="138" t="s">
        <v>221</v>
      </c>
      <c r="C205" s="143">
        <f t="shared" si="48"/>
        <v>0</v>
      </c>
      <c r="D205" s="804">
        <f t="shared" ref="D205:O205" si="75">SUM(D206:D214)</f>
        <v>0</v>
      </c>
      <c r="E205" s="805">
        <f t="shared" si="75"/>
        <v>0</v>
      </c>
      <c r="F205" s="781">
        <f t="shared" si="75"/>
        <v>0</v>
      </c>
      <c r="G205" s="804">
        <f t="shared" si="75"/>
        <v>0</v>
      </c>
      <c r="H205" s="805">
        <f t="shared" si="75"/>
        <v>0</v>
      </c>
      <c r="I205" s="781">
        <f t="shared" si="75"/>
        <v>0</v>
      </c>
      <c r="J205" s="804">
        <f t="shared" si="75"/>
        <v>0</v>
      </c>
      <c r="K205" s="805">
        <f t="shared" si="75"/>
        <v>0</v>
      </c>
      <c r="L205" s="781">
        <f t="shared" si="75"/>
        <v>0</v>
      </c>
      <c r="M205" s="187">
        <f t="shared" si="75"/>
        <v>0</v>
      </c>
      <c r="N205" s="188">
        <f t="shared" si="75"/>
        <v>0</v>
      </c>
      <c r="O205" s="141">
        <f t="shared" si="75"/>
        <v>0</v>
      </c>
      <c r="P205" s="129"/>
    </row>
    <row r="206" spans="1:16" ht="12" hidden="1" customHeight="1" x14ac:dyDescent="0.25">
      <c r="A206" s="44">
        <v>5211</v>
      </c>
      <c r="B206" s="82" t="s">
        <v>222</v>
      </c>
      <c r="C206" s="83">
        <f t="shared" si="48"/>
        <v>0</v>
      </c>
      <c r="D206" s="489"/>
      <c r="E206" s="490"/>
      <c r="F206" s="491">
        <f t="shared" ref="F206:F215" si="76">D206+E206</f>
        <v>0</v>
      </c>
      <c r="G206" s="460"/>
      <c r="H206" s="461"/>
      <c r="I206" s="491">
        <f t="shared" ref="I206:I215" si="77">G206+H206</f>
        <v>0</v>
      </c>
      <c r="J206" s="460"/>
      <c r="K206" s="461"/>
      <c r="L206" s="491">
        <f t="shared" ref="L206:L215" si="78">K206+J206</f>
        <v>0</v>
      </c>
      <c r="M206" s="46"/>
      <c r="N206" s="47"/>
      <c r="O206" s="134">
        <f t="shared" ref="O206:O215" si="79">N206+M206</f>
        <v>0</v>
      </c>
      <c r="P206" s="49"/>
    </row>
    <row r="207" spans="1:16" ht="12" hidden="1" customHeight="1" x14ac:dyDescent="0.25">
      <c r="A207" s="51">
        <v>5212</v>
      </c>
      <c r="B207" s="89" t="s">
        <v>223</v>
      </c>
      <c r="C207" s="90">
        <f t="shared" si="48"/>
        <v>0</v>
      </c>
      <c r="D207" s="352"/>
      <c r="E207" s="353"/>
      <c r="F207" s="350">
        <f t="shared" si="76"/>
        <v>0</v>
      </c>
      <c r="G207" s="348"/>
      <c r="H207" s="349"/>
      <c r="I207" s="350">
        <f t="shared" si="77"/>
        <v>0</v>
      </c>
      <c r="J207" s="348"/>
      <c r="K207" s="349"/>
      <c r="L207" s="350">
        <f t="shared" si="78"/>
        <v>0</v>
      </c>
      <c r="M207" s="53"/>
      <c r="N207" s="54"/>
      <c r="O207" s="55">
        <f t="shared" si="79"/>
        <v>0</v>
      </c>
      <c r="P207" s="57"/>
    </row>
    <row r="208" spans="1:16" ht="12" hidden="1" customHeight="1" x14ac:dyDescent="0.25">
      <c r="A208" s="51">
        <v>5213</v>
      </c>
      <c r="B208" s="89" t="s">
        <v>224</v>
      </c>
      <c r="C208" s="90">
        <f t="shared" si="48"/>
        <v>0</v>
      </c>
      <c r="D208" s="352"/>
      <c r="E208" s="353"/>
      <c r="F208" s="350">
        <f t="shared" si="76"/>
        <v>0</v>
      </c>
      <c r="G208" s="348"/>
      <c r="H208" s="349"/>
      <c r="I208" s="350">
        <f t="shared" si="77"/>
        <v>0</v>
      </c>
      <c r="J208" s="348"/>
      <c r="K208" s="349"/>
      <c r="L208" s="350">
        <f t="shared" si="78"/>
        <v>0</v>
      </c>
      <c r="M208" s="53"/>
      <c r="N208" s="54"/>
      <c r="O208" s="55">
        <f t="shared" si="79"/>
        <v>0</v>
      </c>
      <c r="P208" s="57"/>
    </row>
    <row r="209" spans="1:16" ht="12" hidden="1" customHeight="1" x14ac:dyDescent="0.25">
      <c r="A209" s="51">
        <v>5214</v>
      </c>
      <c r="B209" s="89" t="s">
        <v>225</v>
      </c>
      <c r="C209" s="90">
        <f t="shared" si="48"/>
        <v>0</v>
      </c>
      <c r="D209" s="352"/>
      <c r="E209" s="353"/>
      <c r="F209" s="350">
        <f t="shared" si="76"/>
        <v>0</v>
      </c>
      <c r="G209" s="348"/>
      <c r="H209" s="349"/>
      <c r="I209" s="350">
        <f t="shared" si="77"/>
        <v>0</v>
      </c>
      <c r="J209" s="348"/>
      <c r="K209" s="349"/>
      <c r="L209" s="350">
        <f t="shared" si="78"/>
        <v>0</v>
      </c>
      <c r="M209" s="53"/>
      <c r="N209" s="54"/>
      <c r="O209" s="55">
        <f t="shared" si="79"/>
        <v>0</v>
      </c>
      <c r="P209" s="57"/>
    </row>
    <row r="210" spans="1:16" ht="12" hidden="1" customHeight="1" x14ac:dyDescent="0.25">
      <c r="A210" s="51">
        <v>5215</v>
      </c>
      <c r="B210" s="89" t="s">
        <v>226</v>
      </c>
      <c r="C210" s="90">
        <f t="shared" si="48"/>
        <v>0</v>
      </c>
      <c r="D210" s="352"/>
      <c r="E210" s="353"/>
      <c r="F210" s="350">
        <f t="shared" si="76"/>
        <v>0</v>
      </c>
      <c r="G210" s="348"/>
      <c r="H210" s="349"/>
      <c r="I210" s="350">
        <f t="shared" si="77"/>
        <v>0</v>
      </c>
      <c r="J210" s="348"/>
      <c r="K210" s="349"/>
      <c r="L210" s="350">
        <f t="shared" si="78"/>
        <v>0</v>
      </c>
      <c r="M210" s="53"/>
      <c r="N210" s="54"/>
      <c r="O210" s="55">
        <f t="shared" si="79"/>
        <v>0</v>
      </c>
      <c r="P210" s="57"/>
    </row>
    <row r="211" spans="1:16" ht="14.25" hidden="1" customHeight="1" x14ac:dyDescent="0.25">
      <c r="A211" s="51">
        <v>5216</v>
      </c>
      <c r="B211" s="89" t="s">
        <v>227</v>
      </c>
      <c r="C211" s="90">
        <f t="shared" si="48"/>
        <v>0</v>
      </c>
      <c r="D211" s="352"/>
      <c r="E211" s="353"/>
      <c r="F211" s="350">
        <f t="shared" si="76"/>
        <v>0</v>
      </c>
      <c r="G211" s="348"/>
      <c r="H211" s="349"/>
      <c r="I211" s="350">
        <f t="shared" si="77"/>
        <v>0</v>
      </c>
      <c r="J211" s="348"/>
      <c r="K211" s="349"/>
      <c r="L211" s="350">
        <f t="shared" si="78"/>
        <v>0</v>
      </c>
      <c r="M211" s="53"/>
      <c r="N211" s="54"/>
      <c r="O211" s="55">
        <f t="shared" si="79"/>
        <v>0</v>
      </c>
      <c r="P211" s="57"/>
    </row>
    <row r="212" spans="1:16" ht="12" hidden="1" customHeight="1" x14ac:dyDescent="0.25">
      <c r="A212" s="51">
        <v>5217</v>
      </c>
      <c r="B212" s="89" t="s">
        <v>228</v>
      </c>
      <c r="C212" s="90">
        <f t="shared" ref="C212:C275" si="80">F212+I212+L212+O212</f>
        <v>0</v>
      </c>
      <c r="D212" s="352"/>
      <c r="E212" s="353"/>
      <c r="F212" s="350">
        <f t="shared" si="76"/>
        <v>0</v>
      </c>
      <c r="G212" s="348"/>
      <c r="H212" s="349"/>
      <c r="I212" s="350">
        <f t="shared" si="77"/>
        <v>0</v>
      </c>
      <c r="J212" s="348"/>
      <c r="K212" s="349"/>
      <c r="L212" s="350">
        <f t="shared" si="78"/>
        <v>0</v>
      </c>
      <c r="M212" s="53"/>
      <c r="N212" s="54"/>
      <c r="O212" s="55">
        <f t="shared" si="79"/>
        <v>0</v>
      </c>
      <c r="P212" s="57"/>
    </row>
    <row r="213" spans="1:16" ht="12" hidden="1" customHeight="1" x14ac:dyDescent="0.25">
      <c r="A213" s="51">
        <v>5218</v>
      </c>
      <c r="B213" s="89" t="s">
        <v>229</v>
      </c>
      <c r="C213" s="90">
        <f t="shared" si="80"/>
        <v>0</v>
      </c>
      <c r="D213" s="352"/>
      <c r="E213" s="353"/>
      <c r="F213" s="350">
        <f t="shared" si="76"/>
        <v>0</v>
      </c>
      <c r="G213" s="348"/>
      <c r="H213" s="349"/>
      <c r="I213" s="350">
        <f t="shared" si="77"/>
        <v>0</v>
      </c>
      <c r="J213" s="348"/>
      <c r="K213" s="349"/>
      <c r="L213" s="350">
        <f t="shared" si="78"/>
        <v>0</v>
      </c>
      <c r="M213" s="53"/>
      <c r="N213" s="54"/>
      <c r="O213" s="55">
        <f t="shared" si="79"/>
        <v>0</v>
      </c>
      <c r="P213" s="57"/>
    </row>
    <row r="214" spans="1:16" ht="12" hidden="1" customHeight="1" x14ac:dyDescent="0.25">
      <c r="A214" s="51">
        <v>5219</v>
      </c>
      <c r="B214" s="89" t="s">
        <v>230</v>
      </c>
      <c r="C214" s="90">
        <f t="shared" si="80"/>
        <v>0</v>
      </c>
      <c r="D214" s="352"/>
      <c r="E214" s="353"/>
      <c r="F214" s="350">
        <f t="shared" si="76"/>
        <v>0</v>
      </c>
      <c r="G214" s="348"/>
      <c r="H214" s="349"/>
      <c r="I214" s="350">
        <f t="shared" si="77"/>
        <v>0</v>
      </c>
      <c r="J214" s="348"/>
      <c r="K214" s="349"/>
      <c r="L214" s="350">
        <f t="shared" si="78"/>
        <v>0</v>
      </c>
      <c r="M214" s="53"/>
      <c r="N214" s="54"/>
      <c r="O214" s="55">
        <f t="shared" si="79"/>
        <v>0</v>
      </c>
      <c r="P214" s="57"/>
    </row>
    <row r="215" spans="1:16" ht="13.5" hidden="1" customHeight="1" x14ac:dyDescent="0.25">
      <c r="A215" s="189">
        <v>5220</v>
      </c>
      <c r="B215" s="89" t="s">
        <v>231</v>
      </c>
      <c r="C215" s="90">
        <f t="shared" si="80"/>
        <v>0</v>
      </c>
      <c r="D215" s="352"/>
      <c r="E215" s="353"/>
      <c r="F215" s="350">
        <f t="shared" si="76"/>
        <v>0</v>
      </c>
      <c r="G215" s="348"/>
      <c r="H215" s="349"/>
      <c r="I215" s="350">
        <f t="shared" si="77"/>
        <v>0</v>
      </c>
      <c r="J215" s="348"/>
      <c r="K215" s="349"/>
      <c r="L215" s="350">
        <f t="shared" si="78"/>
        <v>0</v>
      </c>
      <c r="M215" s="53"/>
      <c r="N215" s="54"/>
      <c r="O215" s="55">
        <f t="shared" si="79"/>
        <v>0</v>
      </c>
      <c r="P215" s="57"/>
    </row>
    <row r="216" spans="1:16" x14ac:dyDescent="0.25">
      <c r="A216" s="189">
        <v>5230</v>
      </c>
      <c r="B216" s="89" t="s">
        <v>232</v>
      </c>
      <c r="C216" s="90">
        <f t="shared" si="80"/>
        <v>3885</v>
      </c>
      <c r="D216" s="806">
        <f t="shared" ref="D216:O216" si="81">SUM(D217:D224)</f>
        <v>1000</v>
      </c>
      <c r="E216" s="365">
        <f t="shared" si="81"/>
        <v>0</v>
      </c>
      <c r="F216" s="350">
        <f t="shared" si="81"/>
        <v>1000</v>
      </c>
      <c r="G216" s="806">
        <f t="shared" si="81"/>
        <v>2190</v>
      </c>
      <c r="H216" s="365">
        <f t="shared" si="81"/>
        <v>0</v>
      </c>
      <c r="I216" s="350">
        <f t="shared" si="81"/>
        <v>2190</v>
      </c>
      <c r="J216" s="806">
        <f t="shared" si="81"/>
        <v>695</v>
      </c>
      <c r="K216" s="365">
        <f t="shared" si="81"/>
        <v>0</v>
      </c>
      <c r="L216" s="350">
        <f t="shared" si="81"/>
        <v>695</v>
      </c>
      <c r="M216" s="190">
        <f t="shared" si="81"/>
        <v>0</v>
      </c>
      <c r="N216" s="191">
        <f t="shared" si="81"/>
        <v>0</v>
      </c>
      <c r="O216" s="55">
        <f t="shared" si="81"/>
        <v>0</v>
      </c>
      <c r="P216" s="57"/>
    </row>
    <row r="217" spans="1:16" ht="12" hidden="1" customHeight="1" x14ac:dyDescent="0.25">
      <c r="A217" s="51">
        <v>5231</v>
      </c>
      <c r="B217" s="89" t="s">
        <v>233</v>
      </c>
      <c r="C217" s="90">
        <f t="shared" si="80"/>
        <v>0</v>
      </c>
      <c r="D217" s="352"/>
      <c r="E217" s="353"/>
      <c r="F217" s="350">
        <f t="shared" ref="F217:F226" si="82">D217+E217</f>
        <v>0</v>
      </c>
      <c r="G217" s="348"/>
      <c r="H217" s="349"/>
      <c r="I217" s="350">
        <f t="shared" ref="I217:I226" si="83">G217+H217</f>
        <v>0</v>
      </c>
      <c r="J217" s="348"/>
      <c r="K217" s="349"/>
      <c r="L217" s="350">
        <f t="shared" ref="L217:L226" si="84">K217+J217</f>
        <v>0</v>
      </c>
      <c r="M217" s="53"/>
      <c r="N217" s="54"/>
      <c r="O217" s="55">
        <f t="shared" ref="O217:O226" si="85">N217+M217</f>
        <v>0</v>
      </c>
      <c r="P217" s="57"/>
    </row>
    <row r="218" spans="1:16" ht="12" hidden="1" customHeight="1" x14ac:dyDescent="0.25">
      <c r="A218" s="51">
        <v>5232</v>
      </c>
      <c r="B218" s="89" t="s">
        <v>234</v>
      </c>
      <c r="C218" s="90">
        <f t="shared" si="80"/>
        <v>0</v>
      </c>
      <c r="D218" s="352"/>
      <c r="E218" s="353"/>
      <c r="F218" s="350">
        <f t="shared" si="82"/>
        <v>0</v>
      </c>
      <c r="G218" s="348"/>
      <c r="H218" s="349"/>
      <c r="I218" s="350">
        <f t="shared" si="83"/>
        <v>0</v>
      </c>
      <c r="J218" s="348"/>
      <c r="K218" s="349"/>
      <c r="L218" s="350">
        <f t="shared" si="84"/>
        <v>0</v>
      </c>
      <c r="M218" s="53"/>
      <c r="N218" s="54"/>
      <c r="O218" s="55">
        <f t="shared" si="85"/>
        <v>0</v>
      </c>
      <c r="P218" s="57"/>
    </row>
    <row r="219" spans="1:16" ht="12" customHeight="1" x14ac:dyDescent="0.25">
      <c r="A219" s="51">
        <v>5233</v>
      </c>
      <c r="B219" s="89" t="s">
        <v>235</v>
      </c>
      <c r="C219" s="90">
        <f t="shared" si="80"/>
        <v>3190</v>
      </c>
      <c r="D219" s="352">
        <v>1000</v>
      </c>
      <c r="E219" s="353"/>
      <c r="F219" s="350">
        <f t="shared" si="82"/>
        <v>1000</v>
      </c>
      <c r="G219" s="348">
        <v>2190</v>
      </c>
      <c r="H219" s="349"/>
      <c r="I219" s="350">
        <f t="shared" si="83"/>
        <v>2190</v>
      </c>
      <c r="J219" s="348"/>
      <c r="K219" s="349"/>
      <c r="L219" s="350">
        <f t="shared" si="84"/>
        <v>0</v>
      </c>
      <c r="M219" s="53"/>
      <c r="N219" s="54"/>
      <c r="O219" s="55">
        <f t="shared" si="85"/>
        <v>0</v>
      </c>
      <c r="P219" s="57"/>
    </row>
    <row r="220" spans="1:16" ht="24" hidden="1" customHeight="1" x14ac:dyDescent="0.25">
      <c r="A220" s="51">
        <v>5234</v>
      </c>
      <c r="B220" s="89" t="s">
        <v>236</v>
      </c>
      <c r="C220" s="90">
        <f t="shared" si="80"/>
        <v>0</v>
      </c>
      <c r="D220" s="352"/>
      <c r="E220" s="353"/>
      <c r="F220" s="350">
        <f t="shared" si="82"/>
        <v>0</v>
      </c>
      <c r="G220" s="348"/>
      <c r="H220" s="349"/>
      <c r="I220" s="350">
        <f t="shared" si="83"/>
        <v>0</v>
      </c>
      <c r="J220" s="348"/>
      <c r="K220" s="349"/>
      <c r="L220" s="350">
        <f t="shared" si="84"/>
        <v>0</v>
      </c>
      <c r="M220" s="53"/>
      <c r="N220" s="54"/>
      <c r="O220" s="55">
        <f t="shared" si="85"/>
        <v>0</v>
      </c>
      <c r="P220" s="57"/>
    </row>
    <row r="221" spans="1:16" ht="14.25" hidden="1" customHeight="1" x14ac:dyDescent="0.25">
      <c r="A221" s="51">
        <v>5236</v>
      </c>
      <c r="B221" s="89" t="s">
        <v>237</v>
      </c>
      <c r="C221" s="90">
        <f t="shared" si="80"/>
        <v>0</v>
      </c>
      <c r="D221" s="352"/>
      <c r="E221" s="353"/>
      <c r="F221" s="350">
        <f t="shared" si="82"/>
        <v>0</v>
      </c>
      <c r="G221" s="348"/>
      <c r="H221" s="349"/>
      <c r="I221" s="350">
        <f t="shared" si="83"/>
        <v>0</v>
      </c>
      <c r="J221" s="348"/>
      <c r="K221" s="349"/>
      <c r="L221" s="350">
        <f t="shared" si="84"/>
        <v>0</v>
      </c>
      <c r="M221" s="53"/>
      <c r="N221" s="54"/>
      <c r="O221" s="55">
        <f t="shared" si="85"/>
        <v>0</v>
      </c>
      <c r="P221" s="57"/>
    </row>
    <row r="222" spans="1:16" ht="14.25" hidden="1" customHeight="1" x14ac:dyDescent="0.25">
      <c r="A222" s="51">
        <v>5237</v>
      </c>
      <c r="B222" s="89" t="s">
        <v>238</v>
      </c>
      <c r="C222" s="90">
        <f t="shared" si="80"/>
        <v>0</v>
      </c>
      <c r="D222" s="352"/>
      <c r="E222" s="353"/>
      <c r="F222" s="350">
        <f t="shared" si="82"/>
        <v>0</v>
      </c>
      <c r="G222" s="348"/>
      <c r="H222" s="349"/>
      <c r="I222" s="350">
        <f t="shared" si="83"/>
        <v>0</v>
      </c>
      <c r="J222" s="348"/>
      <c r="K222" s="349"/>
      <c r="L222" s="350">
        <f t="shared" si="84"/>
        <v>0</v>
      </c>
      <c r="M222" s="53"/>
      <c r="N222" s="54"/>
      <c r="O222" s="55">
        <f t="shared" si="85"/>
        <v>0</v>
      </c>
      <c r="P222" s="57"/>
    </row>
    <row r="223" spans="1:16" ht="22.5" customHeight="1" x14ac:dyDescent="0.25">
      <c r="A223" s="51">
        <v>5238</v>
      </c>
      <c r="B223" s="89" t="s">
        <v>239</v>
      </c>
      <c r="C223" s="90">
        <f t="shared" si="80"/>
        <v>695</v>
      </c>
      <c r="D223" s="196"/>
      <c r="E223" s="197"/>
      <c r="F223" s="55">
        <f t="shared" si="82"/>
        <v>0</v>
      </c>
      <c r="G223" s="53"/>
      <c r="H223" s="54"/>
      <c r="I223" s="55">
        <f t="shared" si="83"/>
        <v>0</v>
      </c>
      <c r="J223" s="53">
        <v>695</v>
      </c>
      <c r="K223" s="54"/>
      <c r="L223" s="55">
        <f t="shared" si="84"/>
        <v>695</v>
      </c>
      <c r="M223" s="53"/>
      <c r="N223" s="54"/>
      <c r="O223" s="55">
        <f t="shared" si="85"/>
        <v>0</v>
      </c>
      <c r="P223" s="57"/>
    </row>
    <row r="224" spans="1:16" ht="24" hidden="1" customHeight="1" x14ac:dyDescent="0.25">
      <c r="A224" s="51">
        <v>5239</v>
      </c>
      <c r="B224" s="89" t="s">
        <v>240</v>
      </c>
      <c r="C224" s="90">
        <f t="shared" si="80"/>
        <v>0</v>
      </c>
      <c r="D224" s="352"/>
      <c r="E224" s="353"/>
      <c r="F224" s="350">
        <f t="shared" si="82"/>
        <v>0</v>
      </c>
      <c r="G224" s="348"/>
      <c r="H224" s="349"/>
      <c r="I224" s="350">
        <f t="shared" si="83"/>
        <v>0</v>
      </c>
      <c r="J224" s="348"/>
      <c r="K224" s="349"/>
      <c r="L224" s="350">
        <f t="shared" si="84"/>
        <v>0</v>
      </c>
      <c r="M224" s="53"/>
      <c r="N224" s="54"/>
      <c r="O224" s="55">
        <f t="shared" si="85"/>
        <v>0</v>
      </c>
      <c r="P224" s="57"/>
    </row>
    <row r="225" spans="1:16" ht="24" hidden="1" customHeight="1" x14ac:dyDescent="0.25">
      <c r="A225" s="189">
        <v>5240</v>
      </c>
      <c r="B225" s="89" t="s">
        <v>241</v>
      </c>
      <c r="C225" s="90">
        <f t="shared" si="80"/>
        <v>0</v>
      </c>
      <c r="D225" s="352"/>
      <c r="E225" s="353"/>
      <c r="F225" s="350">
        <f t="shared" si="82"/>
        <v>0</v>
      </c>
      <c r="G225" s="348"/>
      <c r="H225" s="349"/>
      <c r="I225" s="350">
        <f t="shared" si="83"/>
        <v>0</v>
      </c>
      <c r="J225" s="348"/>
      <c r="K225" s="349"/>
      <c r="L225" s="350">
        <f t="shared" si="84"/>
        <v>0</v>
      </c>
      <c r="M225" s="53"/>
      <c r="N225" s="54"/>
      <c r="O225" s="55">
        <f t="shared" si="85"/>
        <v>0</v>
      </c>
      <c r="P225" s="57"/>
    </row>
    <row r="226" spans="1:16" ht="12" hidden="1" customHeight="1" x14ac:dyDescent="0.25">
      <c r="A226" s="189">
        <v>5250</v>
      </c>
      <c r="B226" s="89" t="s">
        <v>242</v>
      </c>
      <c r="C226" s="90">
        <f t="shared" si="80"/>
        <v>0</v>
      </c>
      <c r="D226" s="352"/>
      <c r="E226" s="353"/>
      <c r="F226" s="350">
        <f t="shared" si="82"/>
        <v>0</v>
      </c>
      <c r="G226" s="348"/>
      <c r="H226" s="349"/>
      <c r="I226" s="350">
        <f t="shared" si="83"/>
        <v>0</v>
      </c>
      <c r="J226" s="348"/>
      <c r="K226" s="349"/>
      <c r="L226" s="350">
        <f t="shared" si="84"/>
        <v>0</v>
      </c>
      <c r="M226" s="53"/>
      <c r="N226" s="54"/>
      <c r="O226" s="55">
        <f t="shared" si="85"/>
        <v>0</v>
      </c>
      <c r="P226" s="57"/>
    </row>
    <row r="227" spans="1:16" hidden="1" x14ac:dyDescent="0.25">
      <c r="A227" s="189">
        <v>5260</v>
      </c>
      <c r="B227" s="89" t="s">
        <v>243</v>
      </c>
      <c r="C227" s="90">
        <f t="shared" si="80"/>
        <v>0</v>
      </c>
      <c r="D227" s="806">
        <f t="shared" ref="D227:O227" si="86">SUM(D228)</f>
        <v>0</v>
      </c>
      <c r="E227" s="365">
        <f t="shared" si="86"/>
        <v>0</v>
      </c>
      <c r="F227" s="350">
        <f t="shared" si="86"/>
        <v>0</v>
      </c>
      <c r="G227" s="806">
        <f t="shared" si="86"/>
        <v>0</v>
      </c>
      <c r="H227" s="365">
        <f t="shared" si="86"/>
        <v>0</v>
      </c>
      <c r="I227" s="350">
        <f t="shared" si="86"/>
        <v>0</v>
      </c>
      <c r="J227" s="806">
        <f t="shared" si="86"/>
        <v>0</v>
      </c>
      <c r="K227" s="365">
        <f t="shared" si="86"/>
        <v>0</v>
      </c>
      <c r="L227" s="350">
        <f t="shared" si="86"/>
        <v>0</v>
      </c>
      <c r="M227" s="190">
        <f t="shared" si="86"/>
        <v>0</v>
      </c>
      <c r="N227" s="191">
        <f t="shared" si="86"/>
        <v>0</v>
      </c>
      <c r="O227" s="55">
        <f t="shared" si="86"/>
        <v>0</v>
      </c>
      <c r="P227" s="57"/>
    </row>
    <row r="228" spans="1:16" ht="24" hidden="1" customHeight="1" x14ac:dyDescent="0.25">
      <c r="A228" s="51">
        <v>5269</v>
      </c>
      <c r="B228" s="89" t="s">
        <v>244</v>
      </c>
      <c r="C228" s="90">
        <f t="shared" si="80"/>
        <v>0</v>
      </c>
      <c r="D228" s="352"/>
      <c r="E228" s="353"/>
      <c r="F228" s="350">
        <f>D228+E228</f>
        <v>0</v>
      </c>
      <c r="G228" s="348"/>
      <c r="H228" s="349"/>
      <c r="I228" s="350">
        <f>G228+H228</f>
        <v>0</v>
      </c>
      <c r="J228" s="348"/>
      <c r="K228" s="349"/>
      <c r="L228" s="350">
        <f>K228+J228</f>
        <v>0</v>
      </c>
      <c r="M228" s="53"/>
      <c r="N228" s="54"/>
      <c r="O228" s="55">
        <f>N228+M228</f>
        <v>0</v>
      </c>
      <c r="P228" s="57"/>
    </row>
    <row r="229" spans="1:16" ht="24" hidden="1" customHeight="1" x14ac:dyDescent="0.25">
      <c r="A229" s="186">
        <v>5270</v>
      </c>
      <c r="B229" s="138" t="s">
        <v>245</v>
      </c>
      <c r="C229" s="143">
        <f t="shared" si="80"/>
        <v>0</v>
      </c>
      <c r="D229" s="810"/>
      <c r="E229" s="811"/>
      <c r="F229" s="781">
        <f>D229+E229</f>
        <v>0</v>
      </c>
      <c r="G229" s="780"/>
      <c r="H229" s="727"/>
      <c r="I229" s="781">
        <f>G229+H229</f>
        <v>0</v>
      </c>
      <c r="J229" s="780"/>
      <c r="K229" s="727"/>
      <c r="L229" s="781">
        <f>K229+J229</f>
        <v>0</v>
      </c>
      <c r="M229" s="144"/>
      <c r="N229" s="145"/>
      <c r="O229" s="141">
        <f>N229+M229</f>
        <v>0</v>
      </c>
      <c r="P229" s="129"/>
    </row>
    <row r="230" spans="1:16" hidden="1" x14ac:dyDescent="0.25">
      <c r="A230" s="177">
        <v>6000</v>
      </c>
      <c r="B230" s="177" t="s">
        <v>246</v>
      </c>
      <c r="C230" s="609">
        <f t="shared" si="80"/>
        <v>0</v>
      </c>
      <c r="D230" s="610">
        <f t="shared" ref="D230:O230" si="87">D231+D251+D259</f>
        <v>0</v>
      </c>
      <c r="E230" s="611">
        <f t="shared" si="87"/>
        <v>0</v>
      </c>
      <c r="F230" s="612">
        <f t="shared" si="87"/>
        <v>0</v>
      </c>
      <c r="G230" s="610">
        <f t="shared" si="87"/>
        <v>0</v>
      </c>
      <c r="H230" s="611">
        <f t="shared" si="87"/>
        <v>0</v>
      </c>
      <c r="I230" s="612">
        <f t="shared" si="87"/>
        <v>0</v>
      </c>
      <c r="J230" s="610">
        <f t="shared" si="87"/>
        <v>0</v>
      </c>
      <c r="K230" s="611">
        <f t="shared" si="87"/>
        <v>0</v>
      </c>
      <c r="L230" s="612">
        <f t="shared" si="87"/>
        <v>0</v>
      </c>
      <c r="M230" s="610">
        <f t="shared" si="87"/>
        <v>0</v>
      </c>
      <c r="N230" s="180">
        <f t="shared" si="87"/>
        <v>0</v>
      </c>
      <c r="O230" s="181">
        <f t="shared" si="87"/>
        <v>0</v>
      </c>
      <c r="P230" s="182"/>
    </row>
    <row r="231" spans="1:16" ht="14.25" hidden="1" customHeight="1" x14ac:dyDescent="0.25">
      <c r="A231" s="217">
        <v>6200</v>
      </c>
      <c r="B231" s="208" t="s">
        <v>247</v>
      </c>
      <c r="C231" s="218">
        <f t="shared" si="80"/>
        <v>0</v>
      </c>
      <c r="D231" s="819">
        <f t="shared" ref="D231:O231" si="88">SUM(D232,D233,D235,D238,D244,D245,D246)</f>
        <v>0</v>
      </c>
      <c r="E231" s="820">
        <f t="shared" si="88"/>
        <v>0</v>
      </c>
      <c r="F231" s="821">
        <f t="shared" si="88"/>
        <v>0</v>
      </c>
      <c r="G231" s="819">
        <f t="shared" si="88"/>
        <v>0</v>
      </c>
      <c r="H231" s="820">
        <f t="shared" si="88"/>
        <v>0</v>
      </c>
      <c r="I231" s="821">
        <f t="shared" si="88"/>
        <v>0</v>
      </c>
      <c r="J231" s="819">
        <f t="shared" si="88"/>
        <v>0</v>
      </c>
      <c r="K231" s="820">
        <f t="shared" si="88"/>
        <v>0</v>
      </c>
      <c r="L231" s="821">
        <f t="shared" si="88"/>
        <v>0</v>
      </c>
      <c r="M231" s="219">
        <f t="shared" si="88"/>
        <v>0</v>
      </c>
      <c r="N231" s="220">
        <f t="shared" si="88"/>
        <v>0</v>
      </c>
      <c r="O231" s="221">
        <f t="shared" si="88"/>
        <v>0</v>
      </c>
      <c r="P231" s="222"/>
    </row>
    <row r="232" spans="1:16" ht="24" hidden="1" customHeight="1" x14ac:dyDescent="0.25">
      <c r="A232" s="606">
        <v>6220</v>
      </c>
      <c r="B232" s="82" t="s">
        <v>248</v>
      </c>
      <c r="C232" s="83">
        <f t="shared" si="80"/>
        <v>0</v>
      </c>
      <c r="D232" s="489"/>
      <c r="E232" s="490"/>
      <c r="F232" s="491">
        <f>D232+E232</f>
        <v>0</v>
      </c>
      <c r="G232" s="460"/>
      <c r="H232" s="461"/>
      <c r="I232" s="491">
        <f>G232+H232</f>
        <v>0</v>
      </c>
      <c r="J232" s="460"/>
      <c r="K232" s="461"/>
      <c r="L232" s="491">
        <f>K232+J232</f>
        <v>0</v>
      </c>
      <c r="M232" s="46"/>
      <c r="N232" s="47"/>
      <c r="O232" s="134">
        <f>N232+M232</f>
        <v>0</v>
      </c>
      <c r="P232" s="49"/>
    </row>
    <row r="233" spans="1:16" hidden="1" x14ac:dyDescent="0.25">
      <c r="A233" s="189">
        <v>6230</v>
      </c>
      <c r="B233" s="89" t="s">
        <v>249</v>
      </c>
      <c r="C233" s="90">
        <f t="shared" si="80"/>
        <v>0</v>
      </c>
      <c r="D233" s="806">
        <f t="shared" ref="D233:O233" si="89">SUM(D234)</f>
        <v>0</v>
      </c>
      <c r="E233" s="365">
        <f t="shared" si="89"/>
        <v>0</v>
      </c>
      <c r="F233" s="350">
        <f t="shared" si="89"/>
        <v>0</v>
      </c>
      <c r="G233" s="806">
        <f t="shared" si="89"/>
        <v>0</v>
      </c>
      <c r="H233" s="365">
        <f t="shared" si="89"/>
        <v>0</v>
      </c>
      <c r="I233" s="350">
        <f t="shared" si="89"/>
        <v>0</v>
      </c>
      <c r="J233" s="806">
        <f t="shared" si="89"/>
        <v>0</v>
      </c>
      <c r="K233" s="365">
        <f t="shared" si="89"/>
        <v>0</v>
      </c>
      <c r="L233" s="350">
        <f t="shared" si="89"/>
        <v>0</v>
      </c>
      <c r="M233" s="190">
        <f t="shared" si="89"/>
        <v>0</v>
      </c>
      <c r="N233" s="191">
        <f t="shared" si="89"/>
        <v>0</v>
      </c>
      <c r="O233" s="55">
        <f t="shared" si="89"/>
        <v>0</v>
      </c>
      <c r="P233" s="57"/>
    </row>
    <row r="234" spans="1:16" ht="24" hidden="1" customHeight="1" x14ac:dyDescent="0.25">
      <c r="A234" s="51">
        <v>6239</v>
      </c>
      <c r="B234" s="82" t="s">
        <v>250</v>
      </c>
      <c r="C234" s="90">
        <f t="shared" si="80"/>
        <v>0</v>
      </c>
      <c r="D234" s="489"/>
      <c r="E234" s="490"/>
      <c r="F234" s="491">
        <f>D234+E234</f>
        <v>0</v>
      </c>
      <c r="G234" s="460"/>
      <c r="H234" s="461"/>
      <c r="I234" s="491">
        <f>G234+H234</f>
        <v>0</v>
      </c>
      <c r="J234" s="460"/>
      <c r="K234" s="461"/>
      <c r="L234" s="491">
        <f>K234+J234</f>
        <v>0</v>
      </c>
      <c r="M234" s="46"/>
      <c r="N234" s="47"/>
      <c r="O234" s="134">
        <f>N234+M234</f>
        <v>0</v>
      </c>
      <c r="P234" s="49"/>
    </row>
    <row r="235" spans="1:16" ht="24" hidden="1" x14ac:dyDescent="0.25">
      <c r="A235" s="189">
        <v>6240</v>
      </c>
      <c r="B235" s="89" t="s">
        <v>251</v>
      </c>
      <c r="C235" s="90">
        <f t="shared" si="80"/>
        <v>0</v>
      </c>
      <c r="D235" s="806">
        <f t="shared" ref="D235:O235" si="90">SUM(D236:D237)</f>
        <v>0</v>
      </c>
      <c r="E235" s="365">
        <f t="shared" si="90"/>
        <v>0</v>
      </c>
      <c r="F235" s="350">
        <f t="shared" si="90"/>
        <v>0</v>
      </c>
      <c r="G235" s="806">
        <f t="shared" si="90"/>
        <v>0</v>
      </c>
      <c r="H235" s="365">
        <f t="shared" si="90"/>
        <v>0</v>
      </c>
      <c r="I235" s="350">
        <f t="shared" si="90"/>
        <v>0</v>
      </c>
      <c r="J235" s="806">
        <f t="shared" si="90"/>
        <v>0</v>
      </c>
      <c r="K235" s="365">
        <f t="shared" si="90"/>
        <v>0</v>
      </c>
      <c r="L235" s="350">
        <f t="shared" si="90"/>
        <v>0</v>
      </c>
      <c r="M235" s="190">
        <f t="shared" si="90"/>
        <v>0</v>
      </c>
      <c r="N235" s="191">
        <f t="shared" si="90"/>
        <v>0</v>
      </c>
      <c r="O235" s="55">
        <f t="shared" si="90"/>
        <v>0</v>
      </c>
      <c r="P235" s="57"/>
    </row>
    <row r="236" spans="1:16" ht="12" hidden="1" customHeight="1" x14ac:dyDescent="0.25">
      <c r="A236" s="51">
        <v>6241</v>
      </c>
      <c r="B236" s="89" t="s">
        <v>252</v>
      </c>
      <c r="C236" s="90">
        <f t="shared" si="80"/>
        <v>0</v>
      </c>
      <c r="D236" s="352"/>
      <c r="E236" s="353"/>
      <c r="F236" s="350">
        <f>D236+E236</f>
        <v>0</v>
      </c>
      <c r="G236" s="348"/>
      <c r="H236" s="349"/>
      <c r="I236" s="350">
        <f>G236+H236</f>
        <v>0</v>
      </c>
      <c r="J236" s="348"/>
      <c r="K236" s="349"/>
      <c r="L236" s="350">
        <f>K236+J236</f>
        <v>0</v>
      </c>
      <c r="M236" s="53"/>
      <c r="N236" s="54"/>
      <c r="O236" s="55">
        <f>N236+M236</f>
        <v>0</v>
      </c>
      <c r="P236" s="57"/>
    </row>
    <row r="237" spans="1:16" ht="12" hidden="1" customHeight="1" x14ac:dyDescent="0.25">
      <c r="A237" s="51">
        <v>6242</v>
      </c>
      <c r="B237" s="89" t="s">
        <v>253</v>
      </c>
      <c r="C237" s="90">
        <f t="shared" si="80"/>
        <v>0</v>
      </c>
      <c r="D237" s="352"/>
      <c r="E237" s="353"/>
      <c r="F237" s="350">
        <f>D237+E237</f>
        <v>0</v>
      </c>
      <c r="G237" s="348"/>
      <c r="H237" s="349"/>
      <c r="I237" s="350">
        <f>G237+H237</f>
        <v>0</v>
      </c>
      <c r="J237" s="348"/>
      <c r="K237" s="349"/>
      <c r="L237" s="350">
        <f>K237+J237</f>
        <v>0</v>
      </c>
      <c r="M237" s="53"/>
      <c r="N237" s="54"/>
      <c r="O237" s="55">
        <f>N237+M237</f>
        <v>0</v>
      </c>
      <c r="P237" s="57"/>
    </row>
    <row r="238" spans="1:16" ht="25.5" hidden="1" customHeight="1" x14ac:dyDescent="0.25">
      <c r="A238" s="189">
        <v>6250</v>
      </c>
      <c r="B238" s="89" t="s">
        <v>254</v>
      </c>
      <c r="C238" s="90">
        <f t="shared" si="80"/>
        <v>0</v>
      </c>
      <c r="D238" s="806">
        <f t="shared" ref="D238:O238" si="91">SUM(D239:D243)</f>
        <v>0</v>
      </c>
      <c r="E238" s="365">
        <f t="shared" si="91"/>
        <v>0</v>
      </c>
      <c r="F238" s="350">
        <f t="shared" si="91"/>
        <v>0</v>
      </c>
      <c r="G238" s="806">
        <f t="shared" si="91"/>
        <v>0</v>
      </c>
      <c r="H238" s="365">
        <f t="shared" si="91"/>
        <v>0</v>
      </c>
      <c r="I238" s="350">
        <f t="shared" si="91"/>
        <v>0</v>
      </c>
      <c r="J238" s="806">
        <f t="shared" si="91"/>
        <v>0</v>
      </c>
      <c r="K238" s="365">
        <f t="shared" si="91"/>
        <v>0</v>
      </c>
      <c r="L238" s="350">
        <f t="shared" si="91"/>
        <v>0</v>
      </c>
      <c r="M238" s="190">
        <f t="shared" si="91"/>
        <v>0</v>
      </c>
      <c r="N238" s="191">
        <f t="shared" si="91"/>
        <v>0</v>
      </c>
      <c r="O238" s="55">
        <f t="shared" si="91"/>
        <v>0</v>
      </c>
      <c r="P238" s="57"/>
    </row>
    <row r="239" spans="1:16" ht="14.25" hidden="1" customHeight="1" x14ac:dyDescent="0.25">
      <c r="A239" s="51">
        <v>6252</v>
      </c>
      <c r="B239" s="89" t="s">
        <v>255</v>
      </c>
      <c r="C239" s="90">
        <f t="shared" si="80"/>
        <v>0</v>
      </c>
      <c r="D239" s="352"/>
      <c r="E239" s="353"/>
      <c r="F239" s="350">
        <f t="shared" ref="F239:F245" si="92">D239+E239</f>
        <v>0</v>
      </c>
      <c r="G239" s="348"/>
      <c r="H239" s="349"/>
      <c r="I239" s="350">
        <f t="shared" ref="I239:I245" si="93">G239+H239</f>
        <v>0</v>
      </c>
      <c r="J239" s="348"/>
      <c r="K239" s="349"/>
      <c r="L239" s="350">
        <f t="shared" ref="L239:L245" si="94">K239+J239</f>
        <v>0</v>
      </c>
      <c r="M239" s="53"/>
      <c r="N239" s="54"/>
      <c r="O239" s="55">
        <f t="shared" ref="O239:O245" si="95">N239+M239</f>
        <v>0</v>
      </c>
      <c r="P239" s="57"/>
    </row>
    <row r="240" spans="1:16" ht="14.25" hidden="1" customHeight="1" x14ac:dyDescent="0.25">
      <c r="A240" s="51">
        <v>6253</v>
      </c>
      <c r="B240" s="89" t="s">
        <v>256</v>
      </c>
      <c r="C240" s="90">
        <f t="shared" si="80"/>
        <v>0</v>
      </c>
      <c r="D240" s="352"/>
      <c r="E240" s="353"/>
      <c r="F240" s="350">
        <f t="shared" si="92"/>
        <v>0</v>
      </c>
      <c r="G240" s="348"/>
      <c r="H240" s="349"/>
      <c r="I240" s="350">
        <f t="shared" si="93"/>
        <v>0</v>
      </c>
      <c r="J240" s="348"/>
      <c r="K240" s="349"/>
      <c r="L240" s="350">
        <f t="shared" si="94"/>
        <v>0</v>
      </c>
      <c r="M240" s="53"/>
      <c r="N240" s="54"/>
      <c r="O240" s="55">
        <f t="shared" si="95"/>
        <v>0</v>
      </c>
      <c r="P240" s="57"/>
    </row>
    <row r="241" spans="1:16" ht="24" hidden="1" customHeight="1" x14ac:dyDescent="0.25">
      <c r="A241" s="51">
        <v>6254</v>
      </c>
      <c r="B241" s="89" t="s">
        <v>257</v>
      </c>
      <c r="C241" s="90">
        <f t="shared" si="80"/>
        <v>0</v>
      </c>
      <c r="D241" s="352"/>
      <c r="E241" s="353"/>
      <c r="F241" s="350">
        <f t="shared" si="92"/>
        <v>0</v>
      </c>
      <c r="G241" s="348"/>
      <c r="H241" s="349"/>
      <c r="I241" s="350">
        <f t="shared" si="93"/>
        <v>0</v>
      </c>
      <c r="J241" s="348"/>
      <c r="K241" s="349"/>
      <c r="L241" s="350">
        <f t="shared" si="94"/>
        <v>0</v>
      </c>
      <c r="M241" s="53"/>
      <c r="N241" s="54"/>
      <c r="O241" s="55">
        <f t="shared" si="95"/>
        <v>0</v>
      </c>
      <c r="P241" s="57"/>
    </row>
    <row r="242" spans="1:16" ht="24" hidden="1" customHeight="1" x14ac:dyDescent="0.25">
      <c r="A242" s="51">
        <v>6255</v>
      </c>
      <c r="B242" s="89" t="s">
        <v>258</v>
      </c>
      <c r="C242" s="90">
        <f t="shared" si="80"/>
        <v>0</v>
      </c>
      <c r="D242" s="352"/>
      <c r="E242" s="353"/>
      <c r="F242" s="350">
        <f t="shared" si="92"/>
        <v>0</v>
      </c>
      <c r="G242" s="348"/>
      <c r="H242" s="349"/>
      <c r="I242" s="350">
        <f t="shared" si="93"/>
        <v>0</v>
      </c>
      <c r="J242" s="348"/>
      <c r="K242" s="349"/>
      <c r="L242" s="350">
        <f t="shared" si="94"/>
        <v>0</v>
      </c>
      <c r="M242" s="53"/>
      <c r="N242" s="54"/>
      <c r="O242" s="55">
        <f t="shared" si="95"/>
        <v>0</v>
      </c>
      <c r="P242" s="57"/>
    </row>
    <row r="243" spans="1:16" ht="12" hidden="1" customHeight="1" x14ac:dyDescent="0.25">
      <c r="A243" s="51">
        <v>6259</v>
      </c>
      <c r="B243" s="89" t="s">
        <v>259</v>
      </c>
      <c r="C243" s="90">
        <f t="shared" si="80"/>
        <v>0</v>
      </c>
      <c r="D243" s="352"/>
      <c r="E243" s="353"/>
      <c r="F243" s="350">
        <f t="shared" si="92"/>
        <v>0</v>
      </c>
      <c r="G243" s="348"/>
      <c r="H243" s="349"/>
      <c r="I243" s="350">
        <f t="shared" si="93"/>
        <v>0</v>
      </c>
      <c r="J243" s="348"/>
      <c r="K243" s="349"/>
      <c r="L243" s="350">
        <f t="shared" si="94"/>
        <v>0</v>
      </c>
      <c r="M243" s="53"/>
      <c r="N243" s="54"/>
      <c r="O243" s="55">
        <f t="shared" si="95"/>
        <v>0</v>
      </c>
      <c r="P243" s="57"/>
    </row>
    <row r="244" spans="1:16" ht="24" hidden="1" customHeight="1" x14ac:dyDescent="0.25">
      <c r="A244" s="189">
        <v>6260</v>
      </c>
      <c r="B244" s="89" t="s">
        <v>260</v>
      </c>
      <c r="C244" s="90">
        <f t="shared" si="80"/>
        <v>0</v>
      </c>
      <c r="D244" s="352"/>
      <c r="E244" s="353"/>
      <c r="F244" s="350">
        <f t="shared" si="92"/>
        <v>0</v>
      </c>
      <c r="G244" s="348"/>
      <c r="H244" s="349"/>
      <c r="I244" s="350">
        <f t="shared" si="93"/>
        <v>0</v>
      </c>
      <c r="J244" s="348"/>
      <c r="K244" s="349"/>
      <c r="L244" s="350">
        <f t="shared" si="94"/>
        <v>0</v>
      </c>
      <c r="M244" s="53"/>
      <c r="N244" s="54"/>
      <c r="O244" s="55">
        <f t="shared" si="95"/>
        <v>0</v>
      </c>
      <c r="P244" s="57"/>
    </row>
    <row r="245" spans="1:16" ht="12" hidden="1" customHeight="1" x14ac:dyDescent="0.25">
      <c r="A245" s="189">
        <v>6270</v>
      </c>
      <c r="B245" s="89" t="s">
        <v>261</v>
      </c>
      <c r="C245" s="90">
        <f t="shared" si="80"/>
        <v>0</v>
      </c>
      <c r="D245" s="352"/>
      <c r="E245" s="353"/>
      <c r="F245" s="350">
        <f t="shared" si="92"/>
        <v>0</v>
      </c>
      <c r="G245" s="348"/>
      <c r="H245" s="349"/>
      <c r="I245" s="350">
        <f t="shared" si="93"/>
        <v>0</v>
      </c>
      <c r="J245" s="348"/>
      <c r="K245" s="349"/>
      <c r="L245" s="350">
        <f t="shared" si="94"/>
        <v>0</v>
      </c>
      <c r="M245" s="53"/>
      <c r="N245" s="54"/>
      <c r="O245" s="55">
        <f t="shared" si="95"/>
        <v>0</v>
      </c>
      <c r="P245" s="57"/>
    </row>
    <row r="246" spans="1:16" ht="24" hidden="1" x14ac:dyDescent="0.25">
      <c r="A246" s="606">
        <v>6290</v>
      </c>
      <c r="B246" s="82" t="s">
        <v>262</v>
      </c>
      <c r="C246" s="209">
        <f t="shared" si="80"/>
        <v>0</v>
      </c>
      <c r="D246" s="807">
        <f>SUM(D247:D250)</f>
        <v>0</v>
      </c>
      <c r="E246" s="808">
        <f>SUM(E247:E250)</f>
        <v>0</v>
      </c>
      <c r="F246" s="491">
        <f>SUM(F247:F250)</f>
        <v>0</v>
      </c>
      <c r="G246" s="807">
        <f t="shared" ref="G246:M246" si="96">SUM(G247:G250)</f>
        <v>0</v>
      </c>
      <c r="H246" s="808">
        <f>SUM(H247:H250)</f>
        <v>0</v>
      </c>
      <c r="I246" s="491">
        <f>SUM(I247:I250)</f>
        <v>0</v>
      </c>
      <c r="J246" s="807">
        <f t="shared" si="96"/>
        <v>0</v>
      </c>
      <c r="K246" s="808">
        <f>SUM(K247:K250)</f>
        <v>0</v>
      </c>
      <c r="L246" s="491">
        <f>SUM(L247:L250)</f>
        <v>0</v>
      </c>
      <c r="M246" s="194">
        <f t="shared" si="96"/>
        <v>0</v>
      </c>
      <c r="N246" s="195">
        <f>SUM(N247:N250)</f>
        <v>0</v>
      </c>
      <c r="O246" s="134">
        <f>SUM(O247:O250)</f>
        <v>0</v>
      </c>
      <c r="P246" s="49"/>
    </row>
    <row r="247" spans="1:16" ht="12" hidden="1" customHeight="1" x14ac:dyDescent="0.25">
      <c r="A247" s="51">
        <v>6291</v>
      </c>
      <c r="B247" s="89" t="s">
        <v>263</v>
      </c>
      <c r="C247" s="90">
        <f t="shared" si="80"/>
        <v>0</v>
      </c>
      <c r="D247" s="352"/>
      <c r="E247" s="353"/>
      <c r="F247" s="350">
        <f>D247+E247</f>
        <v>0</v>
      </c>
      <c r="G247" s="348"/>
      <c r="H247" s="349"/>
      <c r="I247" s="350">
        <f>G247+H247</f>
        <v>0</v>
      </c>
      <c r="J247" s="348"/>
      <c r="K247" s="349"/>
      <c r="L247" s="350">
        <f>K247+J247</f>
        <v>0</v>
      </c>
      <c r="M247" s="53"/>
      <c r="N247" s="54"/>
      <c r="O247" s="55">
        <f>N247+M247</f>
        <v>0</v>
      </c>
      <c r="P247" s="57"/>
    </row>
    <row r="248" spans="1:16" ht="12" hidden="1" customHeight="1" x14ac:dyDescent="0.25">
      <c r="A248" s="51">
        <v>6292</v>
      </c>
      <c r="B248" s="89" t="s">
        <v>264</v>
      </c>
      <c r="C248" s="90">
        <f t="shared" si="80"/>
        <v>0</v>
      </c>
      <c r="D248" s="352"/>
      <c r="E248" s="353"/>
      <c r="F248" s="350">
        <f>D248+E248</f>
        <v>0</v>
      </c>
      <c r="G248" s="348"/>
      <c r="H248" s="349"/>
      <c r="I248" s="350">
        <f>G248+H248</f>
        <v>0</v>
      </c>
      <c r="J248" s="348"/>
      <c r="K248" s="349"/>
      <c r="L248" s="350">
        <f>K248+J248</f>
        <v>0</v>
      </c>
      <c r="M248" s="53"/>
      <c r="N248" s="54"/>
      <c r="O248" s="55">
        <f>N248+M248</f>
        <v>0</v>
      </c>
      <c r="P248" s="57"/>
    </row>
    <row r="249" spans="1:16" ht="72" hidden="1" customHeight="1" x14ac:dyDescent="0.25">
      <c r="A249" s="51">
        <v>6296</v>
      </c>
      <c r="B249" s="89" t="s">
        <v>265</v>
      </c>
      <c r="C249" s="90">
        <f t="shared" si="80"/>
        <v>0</v>
      </c>
      <c r="D249" s="352"/>
      <c r="E249" s="353"/>
      <c r="F249" s="350">
        <f>D249+E249</f>
        <v>0</v>
      </c>
      <c r="G249" s="348"/>
      <c r="H249" s="349"/>
      <c r="I249" s="350">
        <f>G249+H249</f>
        <v>0</v>
      </c>
      <c r="J249" s="348"/>
      <c r="K249" s="349"/>
      <c r="L249" s="350">
        <f>K249+J249</f>
        <v>0</v>
      </c>
      <c r="M249" s="53"/>
      <c r="N249" s="54"/>
      <c r="O249" s="55">
        <f>N249+M249</f>
        <v>0</v>
      </c>
      <c r="P249" s="57"/>
    </row>
    <row r="250" spans="1:16" ht="39.75" hidden="1" customHeight="1" x14ac:dyDescent="0.25">
      <c r="A250" s="51">
        <v>6299</v>
      </c>
      <c r="B250" s="89" t="s">
        <v>266</v>
      </c>
      <c r="C250" s="90">
        <f t="shared" si="80"/>
        <v>0</v>
      </c>
      <c r="D250" s="352"/>
      <c r="E250" s="353"/>
      <c r="F250" s="350">
        <f>D250+E250</f>
        <v>0</v>
      </c>
      <c r="G250" s="348"/>
      <c r="H250" s="349"/>
      <c r="I250" s="350">
        <f>G250+H250</f>
        <v>0</v>
      </c>
      <c r="J250" s="348"/>
      <c r="K250" s="349"/>
      <c r="L250" s="350">
        <f>K250+J250</f>
        <v>0</v>
      </c>
      <c r="M250" s="53"/>
      <c r="N250" s="54"/>
      <c r="O250" s="55">
        <f>N250+M250</f>
        <v>0</v>
      </c>
      <c r="P250" s="57"/>
    </row>
    <row r="251" spans="1:16" hidden="1" x14ac:dyDescent="0.25">
      <c r="A251" s="69">
        <v>6300</v>
      </c>
      <c r="B251" s="183" t="s">
        <v>267</v>
      </c>
      <c r="C251" s="70">
        <f t="shared" si="80"/>
        <v>0</v>
      </c>
      <c r="D251" s="802">
        <f>SUM(D252,D257,D258)</f>
        <v>0</v>
      </c>
      <c r="E251" s="803">
        <f>SUM(E252,E257,E258)</f>
        <v>0</v>
      </c>
      <c r="F251" s="756">
        <f>SUM(F252,F257,F258)</f>
        <v>0</v>
      </c>
      <c r="G251" s="802">
        <f t="shared" ref="G251:M251" si="97">SUM(G252,G257,G258)</f>
        <v>0</v>
      </c>
      <c r="H251" s="803">
        <f>SUM(H252,H257,H258)</f>
        <v>0</v>
      </c>
      <c r="I251" s="756">
        <f>SUM(I252,I257,I258)</f>
        <v>0</v>
      </c>
      <c r="J251" s="802">
        <f t="shared" si="97"/>
        <v>0</v>
      </c>
      <c r="K251" s="803">
        <f>SUM(K252,K257,K258)</f>
        <v>0</v>
      </c>
      <c r="L251" s="756">
        <f>SUM(L252,L257,L258)</f>
        <v>0</v>
      </c>
      <c r="M251" s="184">
        <f t="shared" si="97"/>
        <v>0</v>
      </c>
      <c r="N251" s="185">
        <f>SUM(N252,N257,N258)</f>
        <v>0</v>
      </c>
      <c r="O251" s="73">
        <f>SUM(O252,O257,O258)</f>
        <v>0</v>
      </c>
      <c r="P251" s="77"/>
    </row>
    <row r="252" spans="1:16" ht="24" hidden="1" x14ac:dyDescent="0.25">
      <c r="A252" s="606">
        <v>6320</v>
      </c>
      <c r="B252" s="82" t="s">
        <v>268</v>
      </c>
      <c r="C252" s="209">
        <f t="shared" si="80"/>
        <v>0</v>
      </c>
      <c r="D252" s="807">
        <f>SUM(D253:D256)</f>
        <v>0</v>
      </c>
      <c r="E252" s="808">
        <f>SUM(E253:E256)</f>
        <v>0</v>
      </c>
      <c r="F252" s="491">
        <f>SUM(F253:F256)</f>
        <v>0</v>
      </c>
      <c r="G252" s="807">
        <f t="shared" ref="G252:M252" si="98">SUM(G253:G256)</f>
        <v>0</v>
      </c>
      <c r="H252" s="808">
        <f>SUM(H253:H256)</f>
        <v>0</v>
      </c>
      <c r="I252" s="491">
        <f>SUM(I253:I256)</f>
        <v>0</v>
      </c>
      <c r="J252" s="807">
        <f t="shared" si="98"/>
        <v>0</v>
      </c>
      <c r="K252" s="808">
        <f>SUM(K253:K256)</f>
        <v>0</v>
      </c>
      <c r="L252" s="491">
        <f>SUM(L253:L256)</f>
        <v>0</v>
      </c>
      <c r="M252" s="194">
        <f t="shared" si="98"/>
        <v>0</v>
      </c>
      <c r="N252" s="195">
        <f>SUM(N253:N256)</f>
        <v>0</v>
      </c>
      <c r="O252" s="134">
        <f>SUM(O253:O256)</f>
        <v>0</v>
      </c>
      <c r="P252" s="49"/>
    </row>
    <row r="253" spans="1:16" ht="12" hidden="1" customHeight="1" x14ac:dyDescent="0.25">
      <c r="A253" s="51">
        <v>6322</v>
      </c>
      <c r="B253" s="89" t="s">
        <v>269</v>
      </c>
      <c r="C253" s="90">
        <f t="shared" si="80"/>
        <v>0</v>
      </c>
      <c r="D253" s="352"/>
      <c r="E253" s="353"/>
      <c r="F253" s="350">
        <f t="shared" ref="F253:F258" si="99">D253+E253</f>
        <v>0</v>
      </c>
      <c r="G253" s="348"/>
      <c r="H253" s="349"/>
      <c r="I253" s="350">
        <f t="shared" ref="I253:I258" si="100">G253+H253</f>
        <v>0</v>
      </c>
      <c r="J253" s="348"/>
      <c r="K253" s="349"/>
      <c r="L253" s="350">
        <f t="shared" ref="L253:L258" si="101">K253+J253</f>
        <v>0</v>
      </c>
      <c r="M253" s="53"/>
      <c r="N253" s="54"/>
      <c r="O253" s="55">
        <f t="shared" ref="O253:O258" si="102">N253+M253</f>
        <v>0</v>
      </c>
      <c r="P253" s="57"/>
    </row>
    <row r="254" spans="1:16" ht="24" hidden="1" customHeight="1" x14ac:dyDescent="0.25">
      <c r="A254" s="51">
        <v>6323</v>
      </c>
      <c r="B254" s="89" t="s">
        <v>270</v>
      </c>
      <c r="C254" s="90">
        <f t="shared" si="80"/>
        <v>0</v>
      </c>
      <c r="D254" s="352"/>
      <c r="E254" s="353"/>
      <c r="F254" s="350">
        <f t="shared" si="99"/>
        <v>0</v>
      </c>
      <c r="G254" s="348"/>
      <c r="H254" s="349"/>
      <c r="I254" s="350">
        <f t="shared" si="100"/>
        <v>0</v>
      </c>
      <c r="J254" s="348"/>
      <c r="K254" s="349"/>
      <c r="L254" s="350">
        <f t="shared" si="101"/>
        <v>0</v>
      </c>
      <c r="M254" s="53"/>
      <c r="N254" s="54"/>
      <c r="O254" s="55">
        <f t="shared" si="102"/>
        <v>0</v>
      </c>
      <c r="P254" s="57"/>
    </row>
    <row r="255" spans="1:16" ht="24" hidden="1" customHeight="1" x14ac:dyDescent="0.25">
      <c r="A255" s="51">
        <v>6324</v>
      </c>
      <c r="B255" s="89" t="s">
        <v>271</v>
      </c>
      <c r="C255" s="90">
        <f t="shared" si="80"/>
        <v>0</v>
      </c>
      <c r="D255" s="352"/>
      <c r="E255" s="353"/>
      <c r="F255" s="350">
        <f t="shared" si="99"/>
        <v>0</v>
      </c>
      <c r="G255" s="348"/>
      <c r="H255" s="349"/>
      <c r="I255" s="350">
        <f t="shared" si="100"/>
        <v>0</v>
      </c>
      <c r="J255" s="348"/>
      <c r="K255" s="349"/>
      <c r="L255" s="350">
        <f t="shared" si="101"/>
        <v>0</v>
      </c>
      <c r="M255" s="53"/>
      <c r="N255" s="54"/>
      <c r="O255" s="55">
        <f t="shared" si="102"/>
        <v>0</v>
      </c>
      <c r="P255" s="57"/>
    </row>
    <row r="256" spans="1:16" ht="12" hidden="1" customHeight="1" x14ac:dyDescent="0.25">
      <c r="A256" s="44">
        <v>6329</v>
      </c>
      <c r="B256" s="82" t="s">
        <v>272</v>
      </c>
      <c r="C256" s="83">
        <f t="shared" si="80"/>
        <v>0</v>
      </c>
      <c r="D256" s="489"/>
      <c r="E256" s="490"/>
      <c r="F256" s="491">
        <f t="shared" si="99"/>
        <v>0</v>
      </c>
      <c r="G256" s="460"/>
      <c r="H256" s="461"/>
      <c r="I256" s="491">
        <f t="shared" si="100"/>
        <v>0</v>
      </c>
      <c r="J256" s="460"/>
      <c r="K256" s="461"/>
      <c r="L256" s="491">
        <f t="shared" si="101"/>
        <v>0</v>
      </c>
      <c r="M256" s="46"/>
      <c r="N256" s="47"/>
      <c r="O256" s="134">
        <f t="shared" si="102"/>
        <v>0</v>
      </c>
      <c r="P256" s="49"/>
    </row>
    <row r="257" spans="1:16" ht="24" hidden="1" customHeight="1" x14ac:dyDescent="0.25">
      <c r="A257" s="226">
        <v>6330</v>
      </c>
      <c r="B257" s="227" t="s">
        <v>273</v>
      </c>
      <c r="C257" s="209">
        <f t="shared" si="80"/>
        <v>0</v>
      </c>
      <c r="D257" s="814"/>
      <c r="E257" s="815"/>
      <c r="F257" s="816">
        <f t="shared" si="99"/>
        <v>0</v>
      </c>
      <c r="G257" s="817"/>
      <c r="H257" s="818"/>
      <c r="I257" s="816">
        <f t="shared" si="100"/>
        <v>0</v>
      </c>
      <c r="J257" s="817"/>
      <c r="K257" s="818"/>
      <c r="L257" s="816">
        <f t="shared" si="101"/>
        <v>0</v>
      </c>
      <c r="M257" s="214"/>
      <c r="N257" s="215"/>
      <c r="O257" s="213">
        <f t="shared" si="102"/>
        <v>0</v>
      </c>
      <c r="P257" s="216"/>
    </row>
    <row r="258" spans="1:16" ht="12" hidden="1" customHeight="1" x14ac:dyDescent="0.25">
      <c r="A258" s="189">
        <v>6360</v>
      </c>
      <c r="B258" s="89" t="s">
        <v>274</v>
      </c>
      <c r="C258" s="90">
        <f t="shared" si="80"/>
        <v>0</v>
      </c>
      <c r="D258" s="352"/>
      <c r="E258" s="353"/>
      <c r="F258" s="350">
        <f t="shared" si="99"/>
        <v>0</v>
      </c>
      <c r="G258" s="348"/>
      <c r="H258" s="349"/>
      <c r="I258" s="350">
        <f t="shared" si="100"/>
        <v>0</v>
      </c>
      <c r="J258" s="348"/>
      <c r="K258" s="349"/>
      <c r="L258" s="350">
        <f t="shared" si="101"/>
        <v>0</v>
      </c>
      <c r="M258" s="53"/>
      <c r="N258" s="54"/>
      <c r="O258" s="55">
        <f t="shared" si="102"/>
        <v>0</v>
      </c>
      <c r="P258" s="57"/>
    </row>
    <row r="259" spans="1:16" ht="36" hidden="1" x14ac:dyDescent="0.25">
      <c r="A259" s="69">
        <v>6400</v>
      </c>
      <c r="B259" s="183" t="s">
        <v>275</v>
      </c>
      <c r="C259" s="70">
        <f t="shared" si="80"/>
        <v>0</v>
      </c>
      <c r="D259" s="802">
        <f>SUM(D260,D264)</f>
        <v>0</v>
      </c>
      <c r="E259" s="803">
        <f>SUM(E260,E264)</f>
        <v>0</v>
      </c>
      <c r="F259" s="756">
        <f>SUM(F260,F264)</f>
        <v>0</v>
      </c>
      <c r="G259" s="802">
        <f t="shared" ref="G259:M259" si="103">SUM(G260,G264)</f>
        <v>0</v>
      </c>
      <c r="H259" s="803">
        <f>SUM(H260,H264)</f>
        <v>0</v>
      </c>
      <c r="I259" s="756">
        <f>SUM(I260,I264)</f>
        <v>0</v>
      </c>
      <c r="J259" s="802">
        <f t="shared" si="103"/>
        <v>0</v>
      </c>
      <c r="K259" s="803">
        <f>SUM(K260,K264)</f>
        <v>0</v>
      </c>
      <c r="L259" s="756">
        <f>SUM(L260,L264)</f>
        <v>0</v>
      </c>
      <c r="M259" s="184">
        <f t="shared" si="103"/>
        <v>0</v>
      </c>
      <c r="N259" s="185">
        <f>SUM(N260,N264)</f>
        <v>0</v>
      </c>
      <c r="O259" s="73">
        <f>SUM(O260,O264)</f>
        <v>0</v>
      </c>
      <c r="P259" s="77"/>
    </row>
    <row r="260" spans="1:16" ht="24" hidden="1" x14ac:dyDescent="0.25">
      <c r="A260" s="606">
        <v>6410</v>
      </c>
      <c r="B260" s="82" t="s">
        <v>276</v>
      </c>
      <c r="C260" s="83">
        <f t="shared" si="80"/>
        <v>0</v>
      </c>
      <c r="D260" s="807">
        <f>SUM(D261:D263)</f>
        <v>0</v>
      </c>
      <c r="E260" s="808">
        <f>SUM(E261:E263)</f>
        <v>0</v>
      </c>
      <c r="F260" s="491">
        <f>SUM(F261:F263)</f>
        <v>0</v>
      </c>
      <c r="G260" s="807">
        <f t="shared" ref="G260:M260" si="104">SUM(G261:G263)</f>
        <v>0</v>
      </c>
      <c r="H260" s="808">
        <f>SUM(H261:H263)</f>
        <v>0</v>
      </c>
      <c r="I260" s="491">
        <f>SUM(I261:I263)</f>
        <v>0</v>
      </c>
      <c r="J260" s="807">
        <f t="shared" si="104"/>
        <v>0</v>
      </c>
      <c r="K260" s="808">
        <f>SUM(K261:K263)</f>
        <v>0</v>
      </c>
      <c r="L260" s="491">
        <f>SUM(L261:L263)</f>
        <v>0</v>
      </c>
      <c r="M260" s="194">
        <f t="shared" si="104"/>
        <v>0</v>
      </c>
      <c r="N260" s="195">
        <f>SUM(N261:N263)</f>
        <v>0</v>
      </c>
      <c r="O260" s="134">
        <f>SUM(O261:O263)</f>
        <v>0</v>
      </c>
      <c r="P260" s="49"/>
    </row>
    <row r="261" spans="1:16" ht="12" hidden="1" customHeight="1" x14ac:dyDescent="0.25">
      <c r="A261" s="51">
        <v>6411</v>
      </c>
      <c r="B261" s="201" t="s">
        <v>277</v>
      </c>
      <c r="C261" s="90">
        <f t="shared" si="80"/>
        <v>0</v>
      </c>
      <c r="D261" s="352"/>
      <c r="E261" s="353"/>
      <c r="F261" s="350">
        <f>D261+E261</f>
        <v>0</v>
      </c>
      <c r="G261" s="348"/>
      <c r="H261" s="349"/>
      <c r="I261" s="350">
        <f>G261+H261</f>
        <v>0</v>
      </c>
      <c r="J261" s="348"/>
      <c r="K261" s="349"/>
      <c r="L261" s="350">
        <f>K261+J261</f>
        <v>0</v>
      </c>
      <c r="M261" s="53"/>
      <c r="N261" s="54"/>
      <c r="O261" s="55">
        <f>N261+M261</f>
        <v>0</v>
      </c>
      <c r="P261" s="57"/>
    </row>
    <row r="262" spans="1:16" ht="36" hidden="1" customHeight="1" x14ac:dyDescent="0.25">
      <c r="A262" s="51">
        <v>6412</v>
      </c>
      <c r="B262" s="89" t="s">
        <v>278</v>
      </c>
      <c r="C262" s="90">
        <f t="shared" si="80"/>
        <v>0</v>
      </c>
      <c r="D262" s="352"/>
      <c r="E262" s="353"/>
      <c r="F262" s="350">
        <f>D262+E262</f>
        <v>0</v>
      </c>
      <c r="G262" s="348"/>
      <c r="H262" s="349"/>
      <c r="I262" s="350">
        <f>G262+H262</f>
        <v>0</v>
      </c>
      <c r="J262" s="348"/>
      <c r="K262" s="349"/>
      <c r="L262" s="350">
        <f>K262+J262</f>
        <v>0</v>
      </c>
      <c r="M262" s="53"/>
      <c r="N262" s="54"/>
      <c r="O262" s="55">
        <f>N262+M262</f>
        <v>0</v>
      </c>
      <c r="P262" s="57"/>
    </row>
    <row r="263" spans="1:16" ht="36" hidden="1" customHeight="1" x14ac:dyDescent="0.25">
      <c r="A263" s="51">
        <v>6419</v>
      </c>
      <c r="B263" s="89" t="s">
        <v>279</v>
      </c>
      <c r="C263" s="90">
        <f t="shared" si="80"/>
        <v>0</v>
      </c>
      <c r="D263" s="352"/>
      <c r="E263" s="353"/>
      <c r="F263" s="350">
        <f>D263+E263</f>
        <v>0</v>
      </c>
      <c r="G263" s="348"/>
      <c r="H263" s="349"/>
      <c r="I263" s="350">
        <f>G263+H263</f>
        <v>0</v>
      </c>
      <c r="J263" s="348"/>
      <c r="K263" s="349"/>
      <c r="L263" s="350">
        <f>K263+J263</f>
        <v>0</v>
      </c>
      <c r="M263" s="53"/>
      <c r="N263" s="54"/>
      <c r="O263" s="55">
        <f>N263+M263</f>
        <v>0</v>
      </c>
      <c r="P263" s="57"/>
    </row>
    <row r="264" spans="1:16" ht="48" hidden="1" x14ac:dyDescent="0.25">
      <c r="A264" s="189">
        <v>6420</v>
      </c>
      <c r="B264" s="89" t="s">
        <v>280</v>
      </c>
      <c r="C264" s="90">
        <f t="shared" si="80"/>
        <v>0</v>
      </c>
      <c r="D264" s="806">
        <f t="shared" ref="D264:O264" si="105">SUM(D265:D268)</f>
        <v>0</v>
      </c>
      <c r="E264" s="365">
        <f t="shared" si="105"/>
        <v>0</v>
      </c>
      <c r="F264" s="350">
        <f t="shared" si="105"/>
        <v>0</v>
      </c>
      <c r="G264" s="806">
        <f t="shared" si="105"/>
        <v>0</v>
      </c>
      <c r="H264" s="365">
        <f t="shared" si="105"/>
        <v>0</v>
      </c>
      <c r="I264" s="350">
        <f t="shared" si="105"/>
        <v>0</v>
      </c>
      <c r="J264" s="806">
        <f t="shared" si="105"/>
        <v>0</v>
      </c>
      <c r="K264" s="365">
        <f t="shared" si="105"/>
        <v>0</v>
      </c>
      <c r="L264" s="350">
        <f t="shared" si="105"/>
        <v>0</v>
      </c>
      <c r="M264" s="190">
        <f t="shared" si="105"/>
        <v>0</v>
      </c>
      <c r="N264" s="191">
        <f t="shared" si="105"/>
        <v>0</v>
      </c>
      <c r="O264" s="55">
        <f t="shared" si="105"/>
        <v>0</v>
      </c>
      <c r="P264" s="57"/>
    </row>
    <row r="265" spans="1:16" ht="36" hidden="1" customHeight="1" x14ac:dyDescent="0.25">
      <c r="A265" s="51">
        <v>6421</v>
      </c>
      <c r="B265" s="89" t="s">
        <v>281</v>
      </c>
      <c r="C265" s="90">
        <f t="shared" si="80"/>
        <v>0</v>
      </c>
      <c r="D265" s="352"/>
      <c r="E265" s="353"/>
      <c r="F265" s="350">
        <f>D265+E265</f>
        <v>0</v>
      </c>
      <c r="G265" s="348"/>
      <c r="H265" s="349"/>
      <c r="I265" s="350">
        <f>G265+H265</f>
        <v>0</v>
      </c>
      <c r="J265" s="348"/>
      <c r="K265" s="349"/>
      <c r="L265" s="350">
        <f>K265+J265</f>
        <v>0</v>
      </c>
      <c r="M265" s="53"/>
      <c r="N265" s="54"/>
      <c r="O265" s="55">
        <f>N265+M265</f>
        <v>0</v>
      </c>
      <c r="P265" s="57"/>
    </row>
    <row r="266" spans="1:16" ht="12" hidden="1" customHeight="1" x14ac:dyDescent="0.25">
      <c r="A266" s="51">
        <v>6422</v>
      </c>
      <c r="B266" s="89" t="s">
        <v>282</v>
      </c>
      <c r="C266" s="90">
        <f t="shared" si="80"/>
        <v>0</v>
      </c>
      <c r="D266" s="352"/>
      <c r="E266" s="353"/>
      <c r="F266" s="350">
        <f>D266+E266</f>
        <v>0</v>
      </c>
      <c r="G266" s="348"/>
      <c r="H266" s="349"/>
      <c r="I266" s="350">
        <f>G266+H266</f>
        <v>0</v>
      </c>
      <c r="J266" s="348"/>
      <c r="K266" s="349"/>
      <c r="L266" s="350">
        <f>K266+J266</f>
        <v>0</v>
      </c>
      <c r="M266" s="53"/>
      <c r="N266" s="54"/>
      <c r="O266" s="55">
        <f>N266+M266</f>
        <v>0</v>
      </c>
      <c r="P266" s="57"/>
    </row>
    <row r="267" spans="1:16" ht="13.5" hidden="1" customHeight="1" x14ac:dyDescent="0.25">
      <c r="A267" s="51">
        <v>6423</v>
      </c>
      <c r="B267" s="89" t="s">
        <v>283</v>
      </c>
      <c r="C267" s="90">
        <f t="shared" si="80"/>
        <v>0</v>
      </c>
      <c r="D267" s="352"/>
      <c r="E267" s="353"/>
      <c r="F267" s="350">
        <f>D267+E267</f>
        <v>0</v>
      </c>
      <c r="G267" s="348"/>
      <c r="H267" s="349"/>
      <c r="I267" s="350">
        <f>G267+H267</f>
        <v>0</v>
      </c>
      <c r="J267" s="348"/>
      <c r="K267" s="349"/>
      <c r="L267" s="350">
        <f>K267+J267</f>
        <v>0</v>
      </c>
      <c r="M267" s="53"/>
      <c r="N267" s="54"/>
      <c r="O267" s="55">
        <f>N267+M267</f>
        <v>0</v>
      </c>
      <c r="P267" s="57"/>
    </row>
    <row r="268" spans="1:16" ht="36" hidden="1" customHeight="1" x14ac:dyDescent="0.25">
      <c r="A268" s="51">
        <v>6424</v>
      </c>
      <c r="B268" s="89" t="s">
        <v>284</v>
      </c>
      <c r="C268" s="90">
        <f t="shared" si="80"/>
        <v>0</v>
      </c>
      <c r="D268" s="352"/>
      <c r="E268" s="353"/>
      <c r="F268" s="350">
        <f>D268+E268</f>
        <v>0</v>
      </c>
      <c r="G268" s="348"/>
      <c r="H268" s="349"/>
      <c r="I268" s="350">
        <f>G268+H268</f>
        <v>0</v>
      </c>
      <c r="J268" s="348"/>
      <c r="K268" s="349"/>
      <c r="L268" s="350">
        <f>K268+J268</f>
        <v>0</v>
      </c>
      <c r="M268" s="53"/>
      <c r="N268" s="54"/>
      <c r="O268" s="55">
        <f>N268+M268</f>
        <v>0</v>
      </c>
      <c r="P268" s="57"/>
    </row>
    <row r="269" spans="1:16" ht="48" hidden="1" x14ac:dyDescent="0.25">
      <c r="A269" s="228">
        <v>7000</v>
      </c>
      <c r="B269" s="228" t="s">
        <v>285</v>
      </c>
      <c r="C269" s="229">
        <f t="shared" si="80"/>
        <v>0</v>
      </c>
      <c r="D269" s="699">
        <f t="shared" ref="D269:O269" si="106">SUM(D270,D281)</f>
        <v>0</v>
      </c>
      <c r="E269" s="700">
        <f t="shared" si="106"/>
        <v>0</v>
      </c>
      <c r="F269" s="701">
        <f t="shared" si="106"/>
        <v>0</v>
      </c>
      <c r="G269" s="699">
        <f t="shared" si="106"/>
        <v>0</v>
      </c>
      <c r="H269" s="700">
        <f t="shared" si="106"/>
        <v>0</v>
      </c>
      <c r="I269" s="701">
        <f t="shared" si="106"/>
        <v>0</v>
      </c>
      <c r="J269" s="699">
        <f t="shared" si="106"/>
        <v>0</v>
      </c>
      <c r="K269" s="700">
        <f t="shared" si="106"/>
        <v>0</v>
      </c>
      <c r="L269" s="701">
        <f t="shared" si="106"/>
        <v>0</v>
      </c>
      <c r="M269" s="230">
        <f t="shared" si="106"/>
        <v>0</v>
      </c>
      <c r="N269" s="231">
        <f t="shared" si="106"/>
        <v>0</v>
      </c>
      <c r="O269" s="232">
        <f t="shared" si="106"/>
        <v>0</v>
      </c>
      <c r="P269" s="233"/>
    </row>
    <row r="270" spans="1:16" ht="24" hidden="1" x14ac:dyDescent="0.25">
      <c r="A270" s="69">
        <v>7200</v>
      </c>
      <c r="B270" s="183" t="s">
        <v>286</v>
      </c>
      <c r="C270" s="70">
        <f t="shared" si="80"/>
        <v>0</v>
      </c>
      <c r="D270" s="802">
        <f t="shared" ref="D270:O270" si="107">SUM(D271,D272,D275,D276,D280)</f>
        <v>0</v>
      </c>
      <c r="E270" s="803">
        <f t="shared" si="107"/>
        <v>0</v>
      </c>
      <c r="F270" s="756">
        <f t="shared" si="107"/>
        <v>0</v>
      </c>
      <c r="G270" s="802">
        <f t="shared" si="107"/>
        <v>0</v>
      </c>
      <c r="H270" s="803">
        <f t="shared" si="107"/>
        <v>0</v>
      </c>
      <c r="I270" s="756">
        <f t="shared" si="107"/>
        <v>0</v>
      </c>
      <c r="J270" s="802">
        <f t="shared" si="107"/>
        <v>0</v>
      </c>
      <c r="K270" s="803">
        <f t="shared" si="107"/>
        <v>0</v>
      </c>
      <c r="L270" s="756">
        <f t="shared" si="107"/>
        <v>0</v>
      </c>
      <c r="M270" s="184">
        <f t="shared" si="107"/>
        <v>0</v>
      </c>
      <c r="N270" s="185">
        <f t="shared" si="107"/>
        <v>0</v>
      </c>
      <c r="O270" s="73">
        <f t="shared" si="107"/>
        <v>0</v>
      </c>
      <c r="P270" s="77"/>
    </row>
    <row r="271" spans="1:16" ht="24" hidden="1" customHeight="1" x14ac:dyDescent="0.25">
      <c r="A271" s="606">
        <v>7210</v>
      </c>
      <c r="B271" s="82" t="s">
        <v>287</v>
      </c>
      <c r="C271" s="83">
        <f t="shared" si="80"/>
        <v>0</v>
      </c>
      <c r="D271" s="489"/>
      <c r="E271" s="490"/>
      <c r="F271" s="491">
        <f>D271+E271</f>
        <v>0</v>
      </c>
      <c r="G271" s="460"/>
      <c r="H271" s="461"/>
      <c r="I271" s="491">
        <f>G271+H271</f>
        <v>0</v>
      </c>
      <c r="J271" s="460"/>
      <c r="K271" s="461"/>
      <c r="L271" s="491">
        <f>K271+J271</f>
        <v>0</v>
      </c>
      <c r="M271" s="46"/>
      <c r="N271" s="47"/>
      <c r="O271" s="134">
        <f>N271+M271</f>
        <v>0</v>
      </c>
      <c r="P271" s="49"/>
    </row>
    <row r="272" spans="1:16" s="234" customFormat="1" ht="24" hidden="1" x14ac:dyDescent="0.25">
      <c r="A272" s="189">
        <v>7220</v>
      </c>
      <c r="B272" s="89" t="s">
        <v>288</v>
      </c>
      <c r="C272" s="90">
        <f t="shared" si="80"/>
        <v>0</v>
      </c>
      <c r="D272" s="806">
        <f t="shared" ref="D272:O272" si="108">SUM(D273:D274)</f>
        <v>0</v>
      </c>
      <c r="E272" s="365">
        <f t="shared" si="108"/>
        <v>0</v>
      </c>
      <c r="F272" s="350">
        <f t="shared" si="108"/>
        <v>0</v>
      </c>
      <c r="G272" s="806">
        <f t="shared" si="108"/>
        <v>0</v>
      </c>
      <c r="H272" s="365">
        <f t="shared" si="108"/>
        <v>0</v>
      </c>
      <c r="I272" s="350">
        <f t="shared" si="108"/>
        <v>0</v>
      </c>
      <c r="J272" s="806">
        <f t="shared" si="108"/>
        <v>0</v>
      </c>
      <c r="K272" s="365">
        <f t="shared" si="108"/>
        <v>0</v>
      </c>
      <c r="L272" s="350">
        <f t="shared" si="108"/>
        <v>0</v>
      </c>
      <c r="M272" s="190">
        <f t="shared" si="108"/>
        <v>0</v>
      </c>
      <c r="N272" s="191">
        <f t="shared" si="108"/>
        <v>0</v>
      </c>
      <c r="O272" s="55">
        <f t="shared" si="108"/>
        <v>0</v>
      </c>
      <c r="P272" s="57"/>
    </row>
    <row r="273" spans="1:16" s="234" customFormat="1" ht="36" hidden="1" customHeight="1" x14ac:dyDescent="0.25">
      <c r="A273" s="51">
        <v>7221</v>
      </c>
      <c r="B273" s="89" t="s">
        <v>289</v>
      </c>
      <c r="C273" s="90">
        <f t="shared" si="80"/>
        <v>0</v>
      </c>
      <c r="D273" s="352"/>
      <c r="E273" s="353"/>
      <c r="F273" s="350">
        <f>D273+E273</f>
        <v>0</v>
      </c>
      <c r="G273" s="348"/>
      <c r="H273" s="349"/>
      <c r="I273" s="350">
        <f>G273+H273</f>
        <v>0</v>
      </c>
      <c r="J273" s="348"/>
      <c r="K273" s="349"/>
      <c r="L273" s="350">
        <f>K273+J273</f>
        <v>0</v>
      </c>
      <c r="M273" s="53"/>
      <c r="N273" s="54"/>
      <c r="O273" s="55">
        <f>N273+M273</f>
        <v>0</v>
      </c>
      <c r="P273" s="57"/>
    </row>
    <row r="274" spans="1:16" s="234" customFormat="1" ht="36" hidden="1" customHeight="1" x14ac:dyDescent="0.25">
      <c r="A274" s="51">
        <v>7222</v>
      </c>
      <c r="B274" s="89" t="s">
        <v>290</v>
      </c>
      <c r="C274" s="90">
        <f t="shared" si="80"/>
        <v>0</v>
      </c>
      <c r="D274" s="352"/>
      <c r="E274" s="353"/>
      <c r="F274" s="350">
        <f>D274+E274</f>
        <v>0</v>
      </c>
      <c r="G274" s="348"/>
      <c r="H274" s="349"/>
      <c r="I274" s="350">
        <f>G274+H274</f>
        <v>0</v>
      </c>
      <c r="J274" s="348"/>
      <c r="K274" s="349"/>
      <c r="L274" s="350">
        <f>K274+J274</f>
        <v>0</v>
      </c>
      <c r="M274" s="53"/>
      <c r="N274" s="54"/>
      <c r="O274" s="55">
        <f>N274+M274</f>
        <v>0</v>
      </c>
      <c r="P274" s="57"/>
    </row>
    <row r="275" spans="1:16" ht="24" hidden="1" customHeight="1" x14ac:dyDescent="0.25">
      <c r="A275" s="189">
        <v>7230</v>
      </c>
      <c r="B275" s="89" t="s">
        <v>291</v>
      </c>
      <c r="C275" s="90">
        <f t="shared" si="80"/>
        <v>0</v>
      </c>
      <c r="D275" s="352"/>
      <c r="E275" s="353"/>
      <c r="F275" s="350">
        <f>D275+E275</f>
        <v>0</v>
      </c>
      <c r="G275" s="348"/>
      <c r="H275" s="349"/>
      <c r="I275" s="350">
        <f>G275+H275</f>
        <v>0</v>
      </c>
      <c r="J275" s="348"/>
      <c r="K275" s="349"/>
      <c r="L275" s="350">
        <f>K275+J275</f>
        <v>0</v>
      </c>
      <c r="M275" s="53"/>
      <c r="N275" s="54"/>
      <c r="O275" s="55">
        <f>N275+M275</f>
        <v>0</v>
      </c>
      <c r="P275" s="57"/>
    </row>
    <row r="276" spans="1:16" ht="24" hidden="1" x14ac:dyDescent="0.25">
      <c r="A276" s="189">
        <v>7240</v>
      </c>
      <c r="B276" s="89" t="s">
        <v>292</v>
      </c>
      <c r="C276" s="90">
        <f t="shared" ref="C276:C301" si="109">F276+I276+L276+O276</f>
        <v>0</v>
      </c>
      <c r="D276" s="806">
        <f t="shared" ref="D276:O276" si="110">SUM(D277:D279)</f>
        <v>0</v>
      </c>
      <c r="E276" s="365">
        <f t="shared" si="110"/>
        <v>0</v>
      </c>
      <c r="F276" s="350">
        <f t="shared" si="110"/>
        <v>0</v>
      </c>
      <c r="G276" s="806">
        <f t="shared" si="110"/>
        <v>0</v>
      </c>
      <c r="H276" s="365">
        <f t="shared" si="110"/>
        <v>0</v>
      </c>
      <c r="I276" s="350">
        <f t="shared" si="110"/>
        <v>0</v>
      </c>
      <c r="J276" s="806">
        <f t="shared" si="110"/>
        <v>0</v>
      </c>
      <c r="K276" s="365">
        <f t="shared" si="110"/>
        <v>0</v>
      </c>
      <c r="L276" s="350">
        <f t="shared" si="110"/>
        <v>0</v>
      </c>
      <c r="M276" s="190">
        <f t="shared" si="110"/>
        <v>0</v>
      </c>
      <c r="N276" s="191">
        <f t="shared" si="110"/>
        <v>0</v>
      </c>
      <c r="O276" s="55">
        <f t="shared" si="110"/>
        <v>0</v>
      </c>
      <c r="P276" s="57"/>
    </row>
    <row r="277" spans="1:16" ht="48" hidden="1" customHeight="1" x14ac:dyDescent="0.25">
      <c r="A277" s="51">
        <v>7245</v>
      </c>
      <c r="B277" s="89" t="s">
        <v>293</v>
      </c>
      <c r="C277" s="90">
        <f t="shared" si="109"/>
        <v>0</v>
      </c>
      <c r="D277" s="352"/>
      <c r="E277" s="353"/>
      <c r="F277" s="350">
        <f>D277+E277</f>
        <v>0</v>
      </c>
      <c r="G277" s="348"/>
      <c r="H277" s="349"/>
      <c r="I277" s="350">
        <f>G277+H277</f>
        <v>0</v>
      </c>
      <c r="J277" s="348"/>
      <c r="K277" s="349"/>
      <c r="L277" s="350">
        <f>K277+J277</f>
        <v>0</v>
      </c>
      <c r="M277" s="53"/>
      <c r="N277" s="54"/>
      <c r="O277" s="55">
        <f>N277+M277</f>
        <v>0</v>
      </c>
      <c r="P277" s="57"/>
    </row>
    <row r="278" spans="1:16" ht="84.75" hidden="1" customHeight="1" x14ac:dyDescent="0.25">
      <c r="A278" s="51">
        <v>7246</v>
      </c>
      <c r="B278" s="89" t="s">
        <v>294</v>
      </c>
      <c r="C278" s="90">
        <f t="shared" si="109"/>
        <v>0</v>
      </c>
      <c r="D278" s="352"/>
      <c r="E278" s="353"/>
      <c r="F278" s="350">
        <f>D278+E278</f>
        <v>0</v>
      </c>
      <c r="G278" s="348"/>
      <c r="H278" s="349"/>
      <c r="I278" s="350">
        <f>G278+H278</f>
        <v>0</v>
      </c>
      <c r="J278" s="348"/>
      <c r="K278" s="349"/>
      <c r="L278" s="350">
        <f>K278+J278</f>
        <v>0</v>
      </c>
      <c r="M278" s="53"/>
      <c r="N278" s="54"/>
      <c r="O278" s="55">
        <f>N278+M278</f>
        <v>0</v>
      </c>
      <c r="P278" s="57"/>
    </row>
    <row r="279" spans="1:16" ht="36" hidden="1" customHeight="1" x14ac:dyDescent="0.25">
      <c r="A279" s="51">
        <v>7247</v>
      </c>
      <c r="B279" s="89" t="s">
        <v>295</v>
      </c>
      <c r="C279" s="90">
        <f t="shared" si="109"/>
        <v>0</v>
      </c>
      <c r="D279" s="352"/>
      <c r="E279" s="353"/>
      <c r="F279" s="350">
        <f>D279+E279</f>
        <v>0</v>
      </c>
      <c r="G279" s="348"/>
      <c r="H279" s="349"/>
      <c r="I279" s="350">
        <f>G279+H279</f>
        <v>0</v>
      </c>
      <c r="J279" s="348"/>
      <c r="K279" s="349"/>
      <c r="L279" s="350">
        <f>K279+J279</f>
        <v>0</v>
      </c>
      <c r="M279" s="53"/>
      <c r="N279" s="54"/>
      <c r="O279" s="55">
        <f>N279+M279</f>
        <v>0</v>
      </c>
      <c r="P279" s="57"/>
    </row>
    <row r="280" spans="1:16" ht="24" hidden="1" customHeight="1" x14ac:dyDescent="0.25">
      <c r="A280" s="606">
        <v>7260</v>
      </c>
      <c r="B280" s="82" t="s">
        <v>296</v>
      </c>
      <c r="C280" s="83">
        <f t="shared" si="109"/>
        <v>0</v>
      </c>
      <c r="D280" s="489"/>
      <c r="E280" s="490"/>
      <c r="F280" s="491">
        <f>D280+E280</f>
        <v>0</v>
      </c>
      <c r="G280" s="460"/>
      <c r="H280" s="461"/>
      <c r="I280" s="491">
        <f>G280+H280</f>
        <v>0</v>
      </c>
      <c r="J280" s="460"/>
      <c r="K280" s="461"/>
      <c r="L280" s="491">
        <f>K280+J280</f>
        <v>0</v>
      </c>
      <c r="M280" s="46"/>
      <c r="N280" s="47"/>
      <c r="O280" s="134">
        <f>N280+M280</f>
        <v>0</v>
      </c>
      <c r="P280" s="49"/>
    </row>
    <row r="281" spans="1:16" hidden="1" x14ac:dyDescent="0.25">
      <c r="A281" s="136">
        <v>7700</v>
      </c>
      <c r="B281" s="109" t="s">
        <v>297</v>
      </c>
      <c r="C281" s="110">
        <f t="shared" si="109"/>
        <v>0</v>
      </c>
      <c r="D281" s="829">
        <f t="shared" ref="D281:O281" si="111">D282</f>
        <v>0</v>
      </c>
      <c r="E281" s="830">
        <f t="shared" si="111"/>
        <v>0</v>
      </c>
      <c r="F281" s="779">
        <f t="shared" si="111"/>
        <v>0</v>
      </c>
      <c r="G281" s="829">
        <f t="shared" si="111"/>
        <v>0</v>
      </c>
      <c r="H281" s="830">
        <f t="shared" si="111"/>
        <v>0</v>
      </c>
      <c r="I281" s="779">
        <f t="shared" si="111"/>
        <v>0</v>
      </c>
      <c r="J281" s="829">
        <f t="shared" si="111"/>
        <v>0</v>
      </c>
      <c r="K281" s="830">
        <f t="shared" si="111"/>
        <v>0</v>
      </c>
      <c r="L281" s="779">
        <f t="shared" si="111"/>
        <v>0</v>
      </c>
      <c r="M281" s="235">
        <f t="shared" si="111"/>
        <v>0</v>
      </c>
      <c r="N281" s="236">
        <f t="shared" si="111"/>
        <v>0</v>
      </c>
      <c r="O281" s="131">
        <f t="shared" si="111"/>
        <v>0</v>
      </c>
      <c r="P281" s="119"/>
    </row>
    <row r="282" spans="1:16" ht="12" hidden="1" customHeight="1" x14ac:dyDescent="0.25">
      <c r="A282" s="186">
        <v>7720</v>
      </c>
      <c r="B282" s="82" t="s">
        <v>298</v>
      </c>
      <c r="C282" s="98">
        <f t="shared" si="109"/>
        <v>0</v>
      </c>
      <c r="D282" s="831"/>
      <c r="E282" s="832"/>
      <c r="F282" s="833">
        <f>D282+E282</f>
        <v>0</v>
      </c>
      <c r="G282" s="769"/>
      <c r="H282" s="770"/>
      <c r="I282" s="833">
        <f>G282+H282</f>
        <v>0</v>
      </c>
      <c r="J282" s="769"/>
      <c r="K282" s="770"/>
      <c r="L282" s="833">
        <f>K282+J282</f>
        <v>0</v>
      </c>
      <c r="M282" s="102"/>
      <c r="N282" s="103"/>
      <c r="O282" s="239">
        <f>N282+M282</f>
        <v>0</v>
      </c>
      <c r="P282" s="107"/>
    </row>
    <row r="283" spans="1:16" hidden="1" x14ac:dyDescent="0.25">
      <c r="A283" s="240">
        <v>9000</v>
      </c>
      <c r="B283" s="241" t="s">
        <v>299</v>
      </c>
      <c r="C283" s="242">
        <f t="shared" si="109"/>
        <v>0</v>
      </c>
      <c r="D283" s="243">
        <f t="shared" ref="D283:O284" si="112">D284</f>
        <v>0</v>
      </c>
      <c r="E283" s="244">
        <f t="shared" si="112"/>
        <v>0</v>
      </c>
      <c r="F283" s="245">
        <f t="shared" si="112"/>
        <v>0</v>
      </c>
      <c r="G283" s="243">
        <f>G284</f>
        <v>0</v>
      </c>
      <c r="H283" s="244">
        <f>H284</f>
        <v>0</v>
      </c>
      <c r="I283" s="245">
        <f>I284</f>
        <v>0</v>
      </c>
      <c r="J283" s="243">
        <f t="shared" si="112"/>
        <v>0</v>
      </c>
      <c r="K283" s="244">
        <f t="shared" si="112"/>
        <v>0</v>
      </c>
      <c r="L283" s="245">
        <f t="shared" si="112"/>
        <v>0</v>
      </c>
      <c r="M283" s="243">
        <f t="shared" si="112"/>
        <v>0</v>
      </c>
      <c r="N283" s="244">
        <f t="shared" si="112"/>
        <v>0</v>
      </c>
      <c r="O283" s="245">
        <f t="shared" si="112"/>
        <v>0</v>
      </c>
      <c r="P283" s="246"/>
    </row>
    <row r="284" spans="1:16" ht="24" hidden="1" x14ac:dyDescent="0.25">
      <c r="A284" s="247">
        <v>9200</v>
      </c>
      <c r="B284" s="89" t="s">
        <v>300</v>
      </c>
      <c r="C284" s="143">
        <f t="shared" si="109"/>
        <v>0</v>
      </c>
      <c r="D284" s="804">
        <f t="shared" si="112"/>
        <v>0</v>
      </c>
      <c r="E284" s="805">
        <f t="shared" si="112"/>
        <v>0</v>
      </c>
      <c r="F284" s="781">
        <f t="shared" si="112"/>
        <v>0</v>
      </c>
      <c r="G284" s="804">
        <f t="shared" si="112"/>
        <v>0</v>
      </c>
      <c r="H284" s="805">
        <f t="shared" si="112"/>
        <v>0</v>
      </c>
      <c r="I284" s="781">
        <f t="shared" si="112"/>
        <v>0</v>
      </c>
      <c r="J284" s="804">
        <f t="shared" si="112"/>
        <v>0</v>
      </c>
      <c r="K284" s="805">
        <f t="shared" si="112"/>
        <v>0</v>
      </c>
      <c r="L284" s="781">
        <f t="shared" si="112"/>
        <v>0</v>
      </c>
      <c r="M284" s="187">
        <f t="shared" si="112"/>
        <v>0</v>
      </c>
      <c r="N284" s="188">
        <f t="shared" si="112"/>
        <v>0</v>
      </c>
      <c r="O284" s="141">
        <f t="shared" si="112"/>
        <v>0</v>
      </c>
      <c r="P284" s="129"/>
    </row>
    <row r="285" spans="1:16" ht="24" hidden="1" customHeight="1" x14ac:dyDescent="0.25">
      <c r="A285" s="248">
        <v>9230</v>
      </c>
      <c r="B285" s="89" t="s">
        <v>301</v>
      </c>
      <c r="C285" s="143">
        <f t="shared" si="109"/>
        <v>0</v>
      </c>
      <c r="D285" s="810"/>
      <c r="E285" s="811"/>
      <c r="F285" s="781">
        <f>D285+E285</f>
        <v>0</v>
      </c>
      <c r="G285" s="780"/>
      <c r="H285" s="727"/>
      <c r="I285" s="781">
        <f>G285+H285</f>
        <v>0</v>
      </c>
      <c r="J285" s="780"/>
      <c r="K285" s="727"/>
      <c r="L285" s="781">
        <f>K285+J285</f>
        <v>0</v>
      </c>
      <c r="M285" s="144"/>
      <c r="N285" s="145"/>
      <c r="O285" s="141">
        <f>N285+M285</f>
        <v>0</v>
      </c>
      <c r="P285" s="129"/>
    </row>
    <row r="286" spans="1:16" x14ac:dyDescent="0.25">
      <c r="A286" s="201"/>
      <c r="B286" s="89" t="s">
        <v>302</v>
      </c>
      <c r="C286" s="90">
        <f t="shared" si="109"/>
        <v>5</v>
      </c>
      <c r="D286" s="806">
        <f t="shared" ref="D286:O286" si="113">SUM(D287:D288)</f>
        <v>0</v>
      </c>
      <c r="E286" s="365">
        <f t="shared" si="113"/>
        <v>0</v>
      </c>
      <c r="F286" s="350">
        <f t="shared" si="113"/>
        <v>0</v>
      </c>
      <c r="G286" s="806">
        <f t="shared" si="113"/>
        <v>5</v>
      </c>
      <c r="H286" s="365">
        <f t="shared" si="113"/>
        <v>0</v>
      </c>
      <c r="I286" s="350">
        <f t="shared" si="113"/>
        <v>5</v>
      </c>
      <c r="J286" s="806">
        <f t="shared" si="113"/>
        <v>0</v>
      </c>
      <c r="K286" s="365">
        <f t="shared" si="113"/>
        <v>0</v>
      </c>
      <c r="L286" s="350">
        <f t="shared" si="113"/>
        <v>0</v>
      </c>
      <c r="M286" s="190">
        <f t="shared" si="113"/>
        <v>0</v>
      </c>
      <c r="N286" s="191">
        <f t="shared" si="113"/>
        <v>0</v>
      </c>
      <c r="O286" s="55">
        <f t="shared" si="113"/>
        <v>0</v>
      </c>
      <c r="P286" s="57"/>
    </row>
    <row r="287" spans="1:16" ht="12" hidden="1" customHeight="1" x14ac:dyDescent="0.25">
      <c r="A287" s="201" t="s">
        <v>303</v>
      </c>
      <c r="B287" s="51" t="s">
        <v>304</v>
      </c>
      <c r="C287" s="90">
        <f t="shared" si="109"/>
        <v>0</v>
      </c>
      <c r="D287" s="352"/>
      <c r="E287" s="353"/>
      <c r="F287" s="350">
        <f>D287+E287</f>
        <v>0</v>
      </c>
      <c r="G287" s="348"/>
      <c r="H287" s="349"/>
      <c r="I287" s="350">
        <f>G287+H287</f>
        <v>0</v>
      </c>
      <c r="J287" s="348"/>
      <c r="K287" s="349"/>
      <c r="L287" s="350">
        <f>K287+J287</f>
        <v>0</v>
      </c>
      <c r="M287" s="53"/>
      <c r="N287" s="54"/>
      <c r="O287" s="55">
        <f>N287+M287</f>
        <v>0</v>
      </c>
      <c r="P287" s="57"/>
    </row>
    <row r="288" spans="1:16" ht="24" customHeight="1" thickBot="1" x14ac:dyDescent="0.3">
      <c r="A288" s="201" t="s">
        <v>305</v>
      </c>
      <c r="B288" s="249" t="s">
        <v>306</v>
      </c>
      <c r="C288" s="83">
        <f t="shared" si="109"/>
        <v>5</v>
      </c>
      <c r="D288" s="199"/>
      <c r="E288" s="200"/>
      <c r="F288" s="134">
        <f>D288+E288</f>
        <v>0</v>
      </c>
      <c r="G288" s="46">
        <v>5</v>
      </c>
      <c r="H288" s="47">
        <v>0</v>
      </c>
      <c r="I288" s="134">
        <f>G288+H288</f>
        <v>5</v>
      </c>
      <c r="J288" s="46"/>
      <c r="K288" s="47"/>
      <c r="L288" s="134">
        <f>K288+J288</f>
        <v>0</v>
      </c>
      <c r="M288" s="46"/>
      <c r="N288" s="47"/>
      <c r="O288" s="134">
        <f>N288+M288</f>
        <v>0</v>
      </c>
      <c r="P288" s="67"/>
    </row>
    <row r="289" spans="1:17" ht="16.5" thickTop="1" thickBot="1" x14ac:dyDescent="0.3">
      <c r="A289" s="250"/>
      <c r="B289" s="250" t="s">
        <v>307</v>
      </c>
      <c r="C289" s="251">
        <f t="shared" si="109"/>
        <v>632607</v>
      </c>
      <c r="D289" s="841">
        <f t="shared" ref="D289:O289" si="114">SUM(D286,D269,D230,D195,D187,D173,D75,D53,D283)</f>
        <v>419582</v>
      </c>
      <c r="E289" s="842">
        <f t="shared" si="114"/>
        <v>0</v>
      </c>
      <c r="F289" s="843">
        <f t="shared" si="114"/>
        <v>419582</v>
      </c>
      <c r="G289" s="841">
        <f t="shared" si="114"/>
        <v>176168</v>
      </c>
      <c r="H289" s="842">
        <f t="shared" si="114"/>
        <v>10583</v>
      </c>
      <c r="I289" s="843">
        <f t="shared" si="114"/>
        <v>186751</v>
      </c>
      <c r="J289" s="841">
        <f t="shared" si="114"/>
        <v>24969</v>
      </c>
      <c r="K289" s="842">
        <f t="shared" si="114"/>
        <v>1305</v>
      </c>
      <c r="L289" s="843">
        <f t="shared" si="114"/>
        <v>26274</v>
      </c>
      <c r="M289" s="252">
        <f t="shared" si="114"/>
        <v>0</v>
      </c>
      <c r="N289" s="253">
        <f t="shared" si="114"/>
        <v>0</v>
      </c>
      <c r="O289" s="254">
        <f t="shared" si="114"/>
        <v>0</v>
      </c>
      <c r="P289" s="255"/>
    </row>
    <row r="290" spans="1:17" s="28" customFormat="1" ht="13.5" thickTop="1" thickBot="1" x14ac:dyDescent="0.3">
      <c r="A290" s="1544" t="s">
        <v>308</v>
      </c>
      <c r="B290" s="1545"/>
      <c r="C290" s="256">
        <f t="shared" si="109"/>
        <v>-5451</v>
      </c>
      <c r="D290" s="844">
        <f t="shared" ref="D290:I290" si="115">SUM(D24,D25,D41)-D51</f>
        <v>0</v>
      </c>
      <c r="E290" s="845">
        <f t="shared" si="115"/>
        <v>0</v>
      </c>
      <c r="F290" s="846">
        <f t="shared" si="115"/>
        <v>0</v>
      </c>
      <c r="G290" s="844">
        <f t="shared" si="115"/>
        <v>5</v>
      </c>
      <c r="H290" s="845">
        <f t="shared" si="115"/>
        <v>0</v>
      </c>
      <c r="I290" s="846">
        <f t="shared" si="115"/>
        <v>5</v>
      </c>
      <c r="J290" s="844">
        <f>(J26+J43)-J51</f>
        <v>-5456</v>
      </c>
      <c r="K290" s="845">
        <f>(K26+K43)-K51</f>
        <v>0</v>
      </c>
      <c r="L290" s="846">
        <f>(L26+L43)-L51</f>
        <v>-5456</v>
      </c>
      <c r="M290" s="257">
        <f>M45-M51</f>
        <v>0</v>
      </c>
      <c r="N290" s="258">
        <f>N45-N51</f>
        <v>0</v>
      </c>
      <c r="O290" s="259">
        <f>O45-O51</f>
        <v>0</v>
      </c>
      <c r="P290" s="260"/>
    </row>
    <row r="291" spans="1:17" s="28" customFormat="1" ht="12.75" thickTop="1" x14ac:dyDescent="0.25">
      <c r="A291" s="1546" t="s">
        <v>309</v>
      </c>
      <c r="B291" s="1547"/>
      <c r="C291" s="261">
        <f t="shared" si="109"/>
        <v>5451</v>
      </c>
      <c r="D291" s="847">
        <f t="shared" ref="D291:O291" si="116">SUM(D292,D293)-D300+D301</f>
        <v>0</v>
      </c>
      <c r="E291" s="848">
        <f t="shared" si="116"/>
        <v>0</v>
      </c>
      <c r="F291" s="849">
        <f t="shared" si="116"/>
        <v>0</v>
      </c>
      <c r="G291" s="847">
        <f t="shared" si="116"/>
        <v>-5</v>
      </c>
      <c r="H291" s="848">
        <f t="shared" si="116"/>
        <v>0</v>
      </c>
      <c r="I291" s="849">
        <f t="shared" si="116"/>
        <v>-5</v>
      </c>
      <c r="J291" s="847">
        <f t="shared" si="116"/>
        <v>5456</v>
      </c>
      <c r="K291" s="848">
        <f t="shared" si="116"/>
        <v>0</v>
      </c>
      <c r="L291" s="849">
        <f t="shared" si="116"/>
        <v>5456</v>
      </c>
      <c r="M291" s="262">
        <f t="shared" si="116"/>
        <v>0</v>
      </c>
      <c r="N291" s="263">
        <f t="shared" si="116"/>
        <v>0</v>
      </c>
      <c r="O291" s="264">
        <f t="shared" si="116"/>
        <v>0</v>
      </c>
      <c r="P291" s="265"/>
    </row>
    <row r="292" spans="1:17" s="28" customFormat="1" ht="12.75" thickBot="1" x14ac:dyDescent="0.3">
      <c r="A292" s="157" t="s">
        <v>310</v>
      </c>
      <c r="B292" s="157" t="s">
        <v>311</v>
      </c>
      <c r="C292" s="158">
        <f t="shared" si="109"/>
        <v>5451</v>
      </c>
      <c r="D292" s="785">
        <f t="shared" ref="D292:O292" si="117">D21-D286</f>
        <v>0</v>
      </c>
      <c r="E292" s="786">
        <f t="shared" si="117"/>
        <v>0</v>
      </c>
      <c r="F292" s="787">
        <f t="shared" si="117"/>
        <v>0</v>
      </c>
      <c r="G292" s="785">
        <f t="shared" si="117"/>
        <v>-5</v>
      </c>
      <c r="H292" s="786">
        <f t="shared" si="117"/>
        <v>0</v>
      </c>
      <c r="I292" s="787">
        <f t="shared" si="117"/>
        <v>-5</v>
      </c>
      <c r="J292" s="785">
        <f t="shared" si="117"/>
        <v>5456</v>
      </c>
      <c r="K292" s="786">
        <f t="shared" si="117"/>
        <v>0</v>
      </c>
      <c r="L292" s="787">
        <f t="shared" si="117"/>
        <v>5456</v>
      </c>
      <c r="M292" s="159">
        <f t="shared" si="117"/>
        <v>0</v>
      </c>
      <c r="N292" s="160">
        <f t="shared" si="117"/>
        <v>0</v>
      </c>
      <c r="O292" s="161">
        <f t="shared" si="117"/>
        <v>0</v>
      </c>
      <c r="P292" s="35"/>
    </row>
    <row r="293" spans="1:17" s="28" customFormat="1" ht="12.75" hidden="1" thickTop="1" x14ac:dyDescent="0.25">
      <c r="A293" s="266" t="s">
        <v>312</v>
      </c>
      <c r="B293" s="266" t="s">
        <v>313</v>
      </c>
      <c r="C293" s="261">
        <f t="shared" si="109"/>
        <v>0</v>
      </c>
      <c r="D293" s="847">
        <f t="shared" ref="D293:O293" si="118">SUM(D294,D296,D298)-SUM(D295,D297,D299)</f>
        <v>0</v>
      </c>
      <c r="E293" s="848">
        <f t="shared" si="118"/>
        <v>0</v>
      </c>
      <c r="F293" s="849">
        <f t="shared" si="118"/>
        <v>0</v>
      </c>
      <c r="G293" s="847">
        <f t="shared" si="118"/>
        <v>0</v>
      </c>
      <c r="H293" s="848">
        <f t="shared" si="118"/>
        <v>0</v>
      </c>
      <c r="I293" s="849">
        <f t="shared" si="118"/>
        <v>0</v>
      </c>
      <c r="J293" s="847">
        <f t="shared" si="118"/>
        <v>0</v>
      </c>
      <c r="K293" s="848">
        <f t="shared" si="118"/>
        <v>0</v>
      </c>
      <c r="L293" s="849">
        <f t="shared" si="118"/>
        <v>0</v>
      </c>
      <c r="M293" s="262">
        <f t="shared" si="118"/>
        <v>0</v>
      </c>
      <c r="N293" s="263">
        <f t="shared" si="118"/>
        <v>0</v>
      </c>
      <c r="O293" s="264">
        <f t="shared" si="118"/>
        <v>0</v>
      </c>
      <c r="P293" s="265"/>
    </row>
    <row r="294" spans="1:17" ht="12" hidden="1" customHeight="1" x14ac:dyDescent="0.25">
      <c r="A294" s="267" t="s">
        <v>314</v>
      </c>
      <c r="B294" s="142" t="s">
        <v>315</v>
      </c>
      <c r="C294" s="98">
        <f t="shared" si="109"/>
        <v>0</v>
      </c>
      <c r="D294" s="831"/>
      <c r="E294" s="832"/>
      <c r="F294" s="833">
        <f t="shared" ref="F294:F301" si="119">D294+E294</f>
        <v>0</v>
      </c>
      <c r="G294" s="769"/>
      <c r="H294" s="770"/>
      <c r="I294" s="833">
        <f t="shared" ref="I294:I301" si="120">G294+H294</f>
        <v>0</v>
      </c>
      <c r="J294" s="769"/>
      <c r="K294" s="770"/>
      <c r="L294" s="833">
        <f t="shared" ref="L294:L301" si="121">K294+J294</f>
        <v>0</v>
      </c>
      <c r="M294" s="102"/>
      <c r="N294" s="103"/>
      <c r="O294" s="239">
        <f t="shared" ref="O294:O301" si="122">N294+M294</f>
        <v>0</v>
      </c>
      <c r="P294" s="107"/>
    </row>
    <row r="295" spans="1:17" ht="24" hidden="1" customHeight="1" x14ac:dyDescent="0.25">
      <c r="A295" s="201" t="s">
        <v>316</v>
      </c>
      <c r="B295" s="50" t="s">
        <v>317</v>
      </c>
      <c r="C295" s="90">
        <f t="shared" si="109"/>
        <v>0</v>
      </c>
      <c r="D295" s="352"/>
      <c r="E295" s="353"/>
      <c r="F295" s="350">
        <f t="shared" si="119"/>
        <v>0</v>
      </c>
      <c r="G295" s="348"/>
      <c r="H295" s="349"/>
      <c r="I295" s="350">
        <f t="shared" si="120"/>
        <v>0</v>
      </c>
      <c r="J295" s="348"/>
      <c r="K295" s="349"/>
      <c r="L295" s="350">
        <f t="shared" si="121"/>
        <v>0</v>
      </c>
      <c r="M295" s="53"/>
      <c r="N295" s="54"/>
      <c r="O295" s="55">
        <f t="shared" si="122"/>
        <v>0</v>
      </c>
      <c r="P295" s="57"/>
    </row>
    <row r="296" spans="1:17" ht="12" hidden="1" customHeight="1" x14ac:dyDescent="0.25">
      <c r="A296" s="201" t="s">
        <v>318</v>
      </c>
      <c r="B296" s="50" t="s">
        <v>319</v>
      </c>
      <c r="C296" s="90">
        <f t="shared" si="109"/>
        <v>0</v>
      </c>
      <c r="D296" s="352"/>
      <c r="E296" s="353"/>
      <c r="F296" s="350">
        <f t="shared" si="119"/>
        <v>0</v>
      </c>
      <c r="G296" s="348"/>
      <c r="H296" s="349"/>
      <c r="I296" s="350">
        <f t="shared" si="120"/>
        <v>0</v>
      </c>
      <c r="J296" s="348"/>
      <c r="K296" s="349"/>
      <c r="L296" s="350">
        <f t="shared" si="121"/>
        <v>0</v>
      </c>
      <c r="M296" s="53"/>
      <c r="N296" s="54"/>
      <c r="O296" s="55">
        <f t="shared" si="122"/>
        <v>0</v>
      </c>
      <c r="P296" s="57"/>
    </row>
    <row r="297" spans="1:17" ht="24" hidden="1" customHeight="1" x14ac:dyDescent="0.25">
      <c r="A297" s="201" t="s">
        <v>320</v>
      </c>
      <c r="B297" s="50" t="s">
        <v>321</v>
      </c>
      <c r="C297" s="90">
        <f t="shared" si="109"/>
        <v>0</v>
      </c>
      <c r="D297" s="352"/>
      <c r="E297" s="353"/>
      <c r="F297" s="350">
        <f t="shared" si="119"/>
        <v>0</v>
      </c>
      <c r="G297" s="348"/>
      <c r="H297" s="349"/>
      <c r="I297" s="350">
        <f t="shared" si="120"/>
        <v>0</v>
      </c>
      <c r="J297" s="348"/>
      <c r="K297" s="349"/>
      <c r="L297" s="350">
        <f t="shared" si="121"/>
        <v>0</v>
      </c>
      <c r="M297" s="53"/>
      <c r="N297" s="54"/>
      <c r="O297" s="55">
        <f t="shared" si="122"/>
        <v>0</v>
      </c>
      <c r="P297" s="57"/>
    </row>
    <row r="298" spans="1:17" ht="12" hidden="1" customHeight="1" x14ac:dyDescent="0.25">
      <c r="A298" s="201" t="s">
        <v>322</v>
      </c>
      <c r="B298" s="50" t="s">
        <v>323</v>
      </c>
      <c r="C298" s="90">
        <f t="shared" si="109"/>
        <v>0</v>
      </c>
      <c r="D298" s="352"/>
      <c r="E298" s="353"/>
      <c r="F298" s="350">
        <f t="shared" si="119"/>
        <v>0</v>
      </c>
      <c r="G298" s="348"/>
      <c r="H298" s="349"/>
      <c r="I298" s="350">
        <f t="shared" si="120"/>
        <v>0</v>
      </c>
      <c r="J298" s="348"/>
      <c r="K298" s="349"/>
      <c r="L298" s="350">
        <f t="shared" si="121"/>
        <v>0</v>
      </c>
      <c r="M298" s="53"/>
      <c r="N298" s="54"/>
      <c r="O298" s="55">
        <f t="shared" si="122"/>
        <v>0</v>
      </c>
      <c r="P298" s="57"/>
    </row>
    <row r="299" spans="1:17" ht="24.75" hidden="1" customHeight="1" thickBot="1" x14ac:dyDescent="0.3">
      <c r="A299" s="268" t="s">
        <v>324</v>
      </c>
      <c r="B299" s="269" t="s">
        <v>325</v>
      </c>
      <c r="C299" s="209">
        <f t="shared" si="109"/>
        <v>0</v>
      </c>
      <c r="D299" s="814"/>
      <c r="E299" s="815"/>
      <c r="F299" s="816">
        <f t="shared" si="119"/>
        <v>0</v>
      </c>
      <c r="G299" s="817"/>
      <c r="H299" s="818"/>
      <c r="I299" s="816">
        <f t="shared" si="120"/>
        <v>0</v>
      </c>
      <c r="J299" s="817"/>
      <c r="K299" s="818"/>
      <c r="L299" s="816">
        <f t="shared" si="121"/>
        <v>0</v>
      </c>
      <c r="M299" s="214"/>
      <c r="N299" s="215"/>
      <c r="O299" s="213">
        <f t="shared" si="122"/>
        <v>0</v>
      </c>
      <c r="P299" s="216"/>
    </row>
    <row r="300" spans="1:17" s="28" customFormat="1" ht="13.5" hidden="1" customHeight="1" thickTop="1" thickBot="1" x14ac:dyDescent="0.3">
      <c r="A300" s="270" t="s">
        <v>326</v>
      </c>
      <c r="B300" s="270" t="s">
        <v>327</v>
      </c>
      <c r="C300" s="256">
        <f t="shared" si="109"/>
        <v>0</v>
      </c>
      <c r="D300" s="850"/>
      <c r="E300" s="851"/>
      <c r="F300" s="846">
        <f t="shared" si="119"/>
        <v>0</v>
      </c>
      <c r="G300" s="850"/>
      <c r="H300" s="851"/>
      <c r="I300" s="852">
        <f t="shared" si="120"/>
        <v>0</v>
      </c>
      <c r="J300" s="850"/>
      <c r="K300" s="851"/>
      <c r="L300" s="852">
        <f t="shared" si="121"/>
        <v>0</v>
      </c>
      <c r="M300" s="271"/>
      <c r="N300" s="272"/>
      <c r="O300" s="273">
        <f t="shared" si="122"/>
        <v>0</v>
      </c>
      <c r="P300" s="274"/>
    </row>
    <row r="301" spans="1:17" s="28" customFormat="1" ht="48.75" hidden="1" customHeight="1" thickTop="1" x14ac:dyDescent="0.25">
      <c r="A301" s="266" t="s">
        <v>328</v>
      </c>
      <c r="B301" s="275" t="s">
        <v>329</v>
      </c>
      <c r="C301" s="261">
        <f t="shared" si="109"/>
        <v>0</v>
      </c>
      <c r="D301" s="812"/>
      <c r="E301" s="813"/>
      <c r="F301" s="756">
        <f t="shared" si="119"/>
        <v>0</v>
      </c>
      <c r="G301" s="812"/>
      <c r="H301" s="813"/>
      <c r="I301" s="756">
        <f t="shared" si="120"/>
        <v>0</v>
      </c>
      <c r="J301" s="812"/>
      <c r="K301" s="813"/>
      <c r="L301" s="756">
        <f t="shared" si="121"/>
        <v>0</v>
      </c>
      <c r="M301" s="205"/>
      <c r="N301" s="206"/>
      <c r="O301" s="73">
        <f t="shared" si="122"/>
        <v>0</v>
      </c>
      <c r="P301" s="77"/>
    </row>
    <row r="302" spans="1:17" s="4" customFormat="1" ht="15.75" thickTop="1" x14ac:dyDescent="0.25">
      <c r="D302" s="730"/>
      <c r="E302" s="730"/>
      <c r="F302" s="730"/>
      <c r="G302" s="730"/>
      <c r="H302" s="730"/>
      <c r="I302" s="730"/>
      <c r="J302" s="730"/>
      <c r="K302" s="730"/>
      <c r="L302" s="730"/>
      <c r="N302"/>
      <c r="O302"/>
      <c r="P302"/>
      <c r="Q302"/>
    </row>
    <row r="303" spans="1:17" s="4" customFormat="1" x14ac:dyDescent="0.25">
      <c r="D303" s="730"/>
      <c r="E303" s="730"/>
      <c r="F303" s="730"/>
      <c r="G303" s="730"/>
      <c r="H303" s="730"/>
      <c r="I303" s="730"/>
      <c r="J303" s="730"/>
      <c r="K303" s="730"/>
      <c r="L303" s="730"/>
      <c r="N303"/>
      <c r="O303"/>
      <c r="P303"/>
      <c r="Q303"/>
    </row>
    <row r="304" spans="1:17" s="4" customFormat="1" x14ac:dyDescent="0.25">
      <c r="D304" s="730"/>
      <c r="E304" s="730"/>
      <c r="F304" s="730"/>
      <c r="G304" s="730"/>
      <c r="H304" s="730"/>
      <c r="I304" s="730"/>
      <c r="J304" s="730"/>
      <c r="K304" s="730"/>
      <c r="L304" s="730"/>
      <c r="N304"/>
      <c r="O304"/>
      <c r="P304"/>
      <c r="Q304"/>
    </row>
    <row r="305" spans="4:17" s="4" customFormat="1" x14ac:dyDescent="0.25">
      <c r="D305" s="730"/>
      <c r="E305" s="730"/>
      <c r="F305" s="730"/>
      <c r="G305" s="730"/>
      <c r="H305" s="730"/>
      <c r="I305" s="730"/>
      <c r="J305" s="730"/>
      <c r="K305" s="730"/>
      <c r="L305" s="730"/>
      <c r="N305"/>
      <c r="O305"/>
      <c r="P305"/>
      <c r="Q305"/>
    </row>
  </sheetData>
  <sheetProtection algorithmName="SHA-512" hashValue="raAIfkJU3zl2LAc9eWBr9RRI0becr02xbgSPdFUt2VTlECBvJJAAQZnaf+iCChpeV1hDzus2pmHzQXk71VBjVg==" saltValue="BqlxkUvoXtppiSnsFHxknw==" spinCount="100000" sheet="1" objects="1" scenarios="1" formatCells="0" formatColumns="0" formatRows="0" deleteColumns="0"/>
  <autoFilter ref="A18:P301">
    <filterColumn colId="2">
      <filters>
        <filter val="1 095"/>
        <filter val="1 345"/>
        <filter val="1 441"/>
        <filter val="1 469"/>
        <filter val="1 766"/>
        <filter val="1 847"/>
        <filter val="1 920"/>
        <filter val="10 672"/>
        <filter val="107 204"/>
        <filter val="123 202"/>
        <filter val="125 712"/>
        <filter val="15 970"/>
        <filter val="16 914"/>
        <filter val="17 501"/>
        <filter val="176"/>
        <filter val="186"/>
        <filter val="19 420"/>
        <filter val="19 936"/>
        <filter val="2 016"/>
        <filter val="2 162"/>
        <filter val="2 458"/>
        <filter val="2 558"/>
        <filter val="2 972"/>
        <filter val="20 744"/>
        <filter val="225"/>
        <filter val="28"/>
        <filter val="29 082"/>
        <filter val="3 128"/>
        <filter val="3 190"/>
        <filter val="3 717"/>
        <filter val="3 830"/>
        <filter val="3 885"/>
        <filter val="30 592"/>
        <filter val="300"/>
        <filter val="342 634"/>
        <filter val="375"/>
        <filter val="375 433"/>
        <filter val="4 172"/>
        <filter val="4 678"/>
        <filter val="4 767"/>
        <filter val="4 780"/>
        <filter val="450"/>
        <filter val="459"/>
        <filter val="5"/>
        <filter val="5 356"/>
        <filter val="5 451"/>
        <filter val="-5 451"/>
        <filter val="5 456"/>
        <filter val="5 614"/>
        <filter val="500"/>
        <filter val="501"/>
        <filter val="501 145"/>
        <filter val="6 114"/>
        <filter val="601 963"/>
        <filter val="624 347"/>
        <filter val="626"/>
        <filter val="628 232"/>
        <filter val="628 237"/>
        <filter val="69 098"/>
        <filter val="695"/>
        <filter val="74"/>
        <filter val="751"/>
        <filter val="85"/>
        <filter val="92 884"/>
        <filter val="929"/>
        <filter val="95 12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horizontalDpi="200" verticalDpi="200" r:id="rId1"/>
  <headerFooter differentFirst="1">
    <oddFooter>&amp;L&amp;"Times New Roman,Regular"&amp;9&amp;D; &amp;T&amp;R&amp;"Times New Roman,Regular"&amp;9&amp;P (&amp;N)</oddFooter>
    <firstHeader>&amp;R&amp;"Times New Roman,Regular"&amp;9 16.pielikums Jūrmalas pilsētas domes
2019.gada 31.oktobra saistošajiem noteikumiem Nr.46
(protokols Nr.14, 28.punkts)</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3" sqref="T3"/>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781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782</v>
      </c>
      <c r="D3" s="1517"/>
      <c r="E3" s="1517"/>
      <c r="F3" s="1517"/>
      <c r="G3" s="1517"/>
      <c r="H3" s="1517"/>
      <c r="I3" s="1517"/>
      <c r="J3" s="1517"/>
      <c r="K3" s="1517"/>
      <c r="L3" s="1517"/>
      <c r="M3" s="1517"/>
      <c r="N3" s="1517"/>
      <c r="O3" s="1517"/>
      <c r="P3" s="1518"/>
      <c r="Q3" s="277"/>
    </row>
    <row r="4" spans="1:17" ht="12.75" customHeight="1" x14ac:dyDescent="0.25">
      <c r="A4" s="5" t="s">
        <v>4</v>
      </c>
      <c r="B4" s="6"/>
      <c r="C4" s="1517" t="s">
        <v>783</v>
      </c>
      <c r="D4" s="1517"/>
      <c r="E4" s="1517"/>
      <c r="F4" s="1517"/>
      <c r="G4" s="1517"/>
      <c r="H4" s="1517"/>
      <c r="I4" s="1517"/>
      <c r="J4" s="1517"/>
      <c r="K4" s="1517"/>
      <c r="L4" s="1517"/>
      <c r="M4" s="1517"/>
      <c r="N4" s="1517"/>
      <c r="O4" s="1517"/>
      <c r="P4" s="1518"/>
      <c r="Q4" s="277"/>
    </row>
    <row r="5" spans="1:17" ht="12.75" customHeight="1" x14ac:dyDescent="0.25">
      <c r="A5" s="7" t="s">
        <v>6</v>
      </c>
      <c r="B5" s="8"/>
      <c r="C5" s="1512" t="s">
        <v>784</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799</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786</v>
      </c>
      <c r="D9" s="1512"/>
      <c r="E9" s="1512"/>
      <c r="F9" s="1512"/>
      <c r="G9" s="1512"/>
      <c r="H9" s="1512"/>
      <c r="I9" s="1512"/>
      <c r="J9" s="1512"/>
      <c r="K9" s="1512"/>
      <c r="L9" s="1512"/>
      <c r="M9" s="1512"/>
      <c r="N9" s="1512"/>
      <c r="O9" s="1512"/>
      <c r="P9" s="1513"/>
      <c r="Q9" s="277"/>
    </row>
    <row r="10" spans="1:17" ht="12.75" customHeight="1" x14ac:dyDescent="0.25">
      <c r="A10" s="7"/>
      <c r="B10" s="8" t="s">
        <v>15</v>
      </c>
      <c r="C10" s="1512" t="s">
        <v>787</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788</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789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t="s">
        <v>790</v>
      </c>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102.6"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997170</v>
      </c>
      <c r="D20" s="32">
        <f>SUM(D21,D24,D25,D41,D43)</f>
        <v>465505</v>
      </c>
      <c r="E20" s="33">
        <f t="shared" ref="E20:F20" si="1">SUM(E21,E24,E25,E41,E43)</f>
        <v>0</v>
      </c>
      <c r="F20" s="34">
        <f t="shared" si="1"/>
        <v>465505</v>
      </c>
      <c r="G20" s="32">
        <f>SUM(G21,G24,G43)</f>
        <v>540794</v>
      </c>
      <c r="H20" s="33">
        <f t="shared" ref="H20:I20" si="2">SUM(H21,H24,H43)</f>
        <v>-28837</v>
      </c>
      <c r="I20" s="34">
        <f t="shared" si="2"/>
        <v>511957</v>
      </c>
      <c r="J20" s="32">
        <f>SUM(J21,J26,J43)</f>
        <v>19288</v>
      </c>
      <c r="K20" s="33">
        <f t="shared" ref="K20:L20" si="3">SUM(K21,K26,K43)</f>
        <v>420</v>
      </c>
      <c r="L20" s="34">
        <f t="shared" si="3"/>
        <v>19708</v>
      </c>
      <c r="M20" s="32">
        <f>SUM(M21,M45)</f>
        <v>0</v>
      </c>
      <c r="N20" s="33">
        <f t="shared" ref="N20:O20" si="4">SUM(N21,N45)</f>
        <v>0</v>
      </c>
      <c r="O20" s="34">
        <f t="shared" si="4"/>
        <v>0</v>
      </c>
      <c r="P20" s="35"/>
    </row>
    <row r="21" spans="1:16" ht="12.75" thickTop="1" x14ac:dyDescent="0.25">
      <c r="A21" s="36"/>
      <c r="B21" s="37" t="s">
        <v>39</v>
      </c>
      <c r="C21" s="38">
        <f t="shared" si="0"/>
        <v>3608</v>
      </c>
      <c r="D21" s="39">
        <f>SUM(D22:D23)</f>
        <v>0</v>
      </c>
      <c r="E21" s="40">
        <f t="shared" ref="E21:F21" si="5">SUM(E22:E23)</f>
        <v>0</v>
      </c>
      <c r="F21" s="41">
        <f t="shared" si="5"/>
        <v>0</v>
      </c>
      <c r="G21" s="39">
        <f>SUM(G22:G23)</f>
        <v>0</v>
      </c>
      <c r="H21" s="40">
        <f t="shared" ref="H21:I21" si="6">SUM(H22:H23)</f>
        <v>0</v>
      </c>
      <c r="I21" s="41">
        <f t="shared" si="6"/>
        <v>0</v>
      </c>
      <c r="J21" s="39">
        <f>SUM(J22:J23)</f>
        <v>3608</v>
      </c>
      <c r="K21" s="40">
        <f t="shared" ref="K21:L21" si="7">SUM(K22:K23)</f>
        <v>0</v>
      </c>
      <c r="L21" s="41">
        <f t="shared" si="7"/>
        <v>3608</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3608</v>
      </c>
      <c r="D23" s="53"/>
      <c r="E23" s="54"/>
      <c r="F23" s="55">
        <f t="shared" ref="F23:F25" si="9">D23+E23</f>
        <v>0</v>
      </c>
      <c r="G23" s="53"/>
      <c r="H23" s="54"/>
      <c r="I23" s="55">
        <f t="shared" ref="I23:I24" si="10">G23+H23</f>
        <v>0</v>
      </c>
      <c r="J23" s="53">
        <v>3608</v>
      </c>
      <c r="K23" s="54"/>
      <c r="L23" s="56">
        <f>K23+J23</f>
        <v>3608</v>
      </c>
      <c r="M23" s="53"/>
      <c r="N23" s="54"/>
      <c r="O23" s="55">
        <f>N23+M23</f>
        <v>0</v>
      </c>
      <c r="P23" s="601"/>
    </row>
    <row r="24" spans="1:16" s="28" customFormat="1" ht="38.25" customHeight="1" thickBot="1" x14ac:dyDescent="0.3">
      <c r="A24" s="58">
        <v>19300</v>
      </c>
      <c r="B24" s="58" t="s">
        <v>42</v>
      </c>
      <c r="C24" s="59">
        <f>F24+I24</f>
        <v>977462</v>
      </c>
      <c r="D24" s="60">
        <v>465505</v>
      </c>
      <c r="E24" s="63"/>
      <c r="F24" s="62">
        <f t="shared" si="9"/>
        <v>465505</v>
      </c>
      <c r="G24" s="60">
        <v>540794</v>
      </c>
      <c r="H24" s="63">
        <f>3178-32861+682+164</f>
        <v>-28837</v>
      </c>
      <c r="I24" s="62">
        <f t="shared" si="10"/>
        <v>511957</v>
      </c>
      <c r="J24" s="64" t="s">
        <v>43</v>
      </c>
      <c r="K24" s="65" t="s">
        <v>43</v>
      </c>
      <c r="L24" s="66" t="s">
        <v>43</v>
      </c>
      <c r="M24" s="64" t="s">
        <v>43</v>
      </c>
      <c r="N24" s="65" t="s">
        <v>43</v>
      </c>
      <c r="O24" s="66" t="s">
        <v>43</v>
      </c>
      <c r="P24" s="1014" t="s">
        <v>791</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16050</v>
      </c>
      <c r="D26" s="74" t="s">
        <v>43</v>
      </c>
      <c r="E26" s="75" t="s">
        <v>43</v>
      </c>
      <c r="F26" s="76" t="s">
        <v>43</v>
      </c>
      <c r="G26" s="74" t="s">
        <v>43</v>
      </c>
      <c r="H26" s="75" t="s">
        <v>43</v>
      </c>
      <c r="I26" s="76" t="s">
        <v>43</v>
      </c>
      <c r="J26" s="78">
        <f>SUM(J27,J31,J33,J36)</f>
        <v>15630</v>
      </c>
      <c r="K26" s="79">
        <f t="shared" ref="K26:L26" si="11">SUM(K27,K31,K33,K36)</f>
        <v>420</v>
      </c>
      <c r="L26" s="80">
        <f t="shared" si="11"/>
        <v>16050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11320</v>
      </c>
      <c r="D33" s="74" t="s">
        <v>43</v>
      </c>
      <c r="E33" s="75" t="s">
        <v>43</v>
      </c>
      <c r="F33" s="76" t="s">
        <v>43</v>
      </c>
      <c r="G33" s="74" t="s">
        <v>43</v>
      </c>
      <c r="H33" s="75" t="s">
        <v>43</v>
      </c>
      <c r="I33" s="76" t="s">
        <v>43</v>
      </c>
      <c r="J33" s="78">
        <f>SUM(J34:J35)</f>
        <v>10900</v>
      </c>
      <c r="K33" s="79">
        <f t="shared" ref="K33:L33" si="17">SUM(K34:K35)</f>
        <v>420</v>
      </c>
      <c r="L33" s="80">
        <f t="shared" si="17"/>
        <v>11320</v>
      </c>
      <c r="M33" s="78" t="s">
        <v>43</v>
      </c>
      <c r="N33" s="79" t="s">
        <v>43</v>
      </c>
      <c r="O33" s="80" t="s">
        <v>43</v>
      </c>
      <c r="P33" s="77"/>
    </row>
    <row r="34" spans="1:16" ht="27" customHeight="1" x14ac:dyDescent="0.25">
      <c r="A34" s="44">
        <v>21381</v>
      </c>
      <c r="B34" s="82" t="s">
        <v>53</v>
      </c>
      <c r="C34" s="83">
        <f t="shared" si="16"/>
        <v>11320</v>
      </c>
      <c r="D34" s="84" t="s">
        <v>43</v>
      </c>
      <c r="E34" s="85" t="s">
        <v>43</v>
      </c>
      <c r="F34" s="86" t="s">
        <v>43</v>
      </c>
      <c r="G34" s="84" t="s">
        <v>43</v>
      </c>
      <c r="H34" s="85" t="s">
        <v>43</v>
      </c>
      <c r="I34" s="86" t="s">
        <v>43</v>
      </c>
      <c r="J34" s="46">
        <v>10900</v>
      </c>
      <c r="K34" s="47">
        <v>420</v>
      </c>
      <c r="L34" s="48">
        <f t="shared" ref="L34:L35" si="18">K34+J34</f>
        <v>11320</v>
      </c>
      <c r="M34" s="87" t="s">
        <v>43</v>
      </c>
      <c r="N34" s="88" t="s">
        <v>43</v>
      </c>
      <c r="O34" s="48" t="s">
        <v>43</v>
      </c>
      <c r="P34" s="49" t="s">
        <v>792</v>
      </c>
    </row>
    <row r="35" spans="1:16" ht="24" hidden="1" customHeight="1" x14ac:dyDescent="0.25">
      <c r="A35" s="210">
        <v>21383</v>
      </c>
      <c r="B35" s="227" t="s">
        <v>54</v>
      </c>
      <c r="C35" s="209">
        <f t="shared" si="16"/>
        <v>0</v>
      </c>
      <c r="D35" s="1015" t="s">
        <v>43</v>
      </c>
      <c r="E35" s="1016" t="s">
        <v>43</v>
      </c>
      <c r="F35" s="1017" t="s">
        <v>43</v>
      </c>
      <c r="G35" s="1015" t="s">
        <v>43</v>
      </c>
      <c r="H35" s="1016" t="s">
        <v>43</v>
      </c>
      <c r="I35" s="1017" t="s">
        <v>43</v>
      </c>
      <c r="J35" s="214"/>
      <c r="K35" s="215"/>
      <c r="L35" s="1003">
        <f t="shared" si="18"/>
        <v>0</v>
      </c>
      <c r="M35" s="1001" t="s">
        <v>43</v>
      </c>
      <c r="N35" s="1002" t="s">
        <v>43</v>
      </c>
      <c r="O35" s="1003" t="s">
        <v>43</v>
      </c>
      <c r="P35" s="216"/>
    </row>
    <row r="36" spans="1:16" s="28" customFormat="1" ht="25.5" customHeight="1" x14ac:dyDescent="0.25">
      <c r="A36" s="1004">
        <v>21390</v>
      </c>
      <c r="B36" s="217" t="s">
        <v>55</v>
      </c>
      <c r="C36" s="218">
        <f t="shared" si="16"/>
        <v>4730</v>
      </c>
      <c r="D36" s="1018" t="s">
        <v>43</v>
      </c>
      <c r="E36" s="1019" t="s">
        <v>43</v>
      </c>
      <c r="F36" s="1020" t="s">
        <v>43</v>
      </c>
      <c r="G36" s="1018" t="s">
        <v>43</v>
      </c>
      <c r="H36" s="1019" t="s">
        <v>43</v>
      </c>
      <c r="I36" s="1020" t="s">
        <v>43</v>
      </c>
      <c r="J36" s="1011">
        <f>SUM(J37:J40)</f>
        <v>4730</v>
      </c>
      <c r="K36" s="1012">
        <f t="shared" ref="K36:L36" si="19">SUM(K37:K40)</f>
        <v>0</v>
      </c>
      <c r="L36" s="1013">
        <f t="shared" si="19"/>
        <v>4730</v>
      </c>
      <c r="M36" s="1011" t="s">
        <v>43</v>
      </c>
      <c r="N36" s="1012" t="s">
        <v>43</v>
      </c>
      <c r="O36" s="1013" t="s">
        <v>43</v>
      </c>
      <c r="P36" s="222"/>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4730</v>
      </c>
      <c r="D40" s="111" t="s">
        <v>43</v>
      </c>
      <c r="E40" s="112" t="s">
        <v>43</v>
      </c>
      <c r="F40" s="113" t="s">
        <v>43</v>
      </c>
      <c r="G40" s="111" t="s">
        <v>43</v>
      </c>
      <c r="H40" s="112" t="s">
        <v>43</v>
      </c>
      <c r="I40" s="113" t="s">
        <v>43</v>
      </c>
      <c r="J40" s="114">
        <v>4730</v>
      </c>
      <c r="K40" s="115"/>
      <c r="L40" s="116">
        <f t="shared" si="20"/>
        <v>4730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50</v>
      </c>
      <c r="D43" s="78">
        <f>D44</f>
        <v>0</v>
      </c>
      <c r="E43" s="79">
        <f t="shared" ref="E43:L43" si="22">E44</f>
        <v>0</v>
      </c>
      <c r="F43" s="80">
        <f t="shared" si="22"/>
        <v>0</v>
      </c>
      <c r="G43" s="78">
        <f t="shared" si="22"/>
        <v>0</v>
      </c>
      <c r="H43" s="79">
        <f t="shared" si="22"/>
        <v>0</v>
      </c>
      <c r="I43" s="80">
        <f t="shared" si="22"/>
        <v>0</v>
      </c>
      <c r="J43" s="78">
        <f t="shared" si="22"/>
        <v>50</v>
      </c>
      <c r="K43" s="79">
        <f t="shared" si="22"/>
        <v>0</v>
      </c>
      <c r="L43" s="80">
        <f t="shared" si="22"/>
        <v>50</v>
      </c>
      <c r="M43" s="78" t="s">
        <v>43</v>
      </c>
      <c r="N43" s="79" t="s">
        <v>43</v>
      </c>
      <c r="O43" s="80" t="s">
        <v>43</v>
      </c>
      <c r="P43" s="77"/>
    </row>
    <row r="44" spans="1:16" s="28" customFormat="1" ht="24" customHeight="1" x14ac:dyDescent="0.25">
      <c r="A44" s="51">
        <v>21499</v>
      </c>
      <c r="B44" s="89" t="s">
        <v>63</v>
      </c>
      <c r="C44" s="133">
        <f>F44+I44+L44</f>
        <v>50</v>
      </c>
      <c r="D44" s="46"/>
      <c r="E44" s="47"/>
      <c r="F44" s="134">
        <f>D44+E44</f>
        <v>0</v>
      </c>
      <c r="G44" s="46"/>
      <c r="H44" s="47"/>
      <c r="I44" s="134">
        <f>G44+H44</f>
        <v>0</v>
      </c>
      <c r="J44" s="46">
        <v>50</v>
      </c>
      <c r="K44" s="47"/>
      <c r="L44" s="48">
        <f>K44+J44</f>
        <v>50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997170</v>
      </c>
      <c r="D50" s="159">
        <f>SUM(D51,D286)</f>
        <v>465505</v>
      </c>
      <c r="E50" s="160">
        <f t="shared" ref="E50:F50" si="26">SUM(E51,E286)</f>
        <v>0</v>
      </c>
      <c r="F50" s="161">
        <f t="shared" si="26"/>
        <v>465505</v>
      </c>
      <c r="G50" s="159">
        <f>SUM(G51,G286)</f>
        <v>540794</v>
      </c>
      <c r="H50" s="160">
        <f>SUM(H51,H286)</f>
        <v>-28837</v>
      </c>
      <c r="I50" s="161">
        <f t="shared" ref="I50" si="27">SUM(I51,I286)</f>
        <v>511957</v>
      </c>
      <c r="J50" s="32">
        <f>SUM(J51,J286)</f>
        <v>19288</v>
      </c>
      <c r="K50" s="33">
        <f t="shared" ref="K50:L50" si="28">SUM(K51,K286)</f>
        <v>420</v>
      </c>
      <c r="L50" s="34">
        <f t="shared" si="28"/>
        <v>19708</v>
      </c>
      <c r="M50" s="32">
        <f>SUM(M51,M286)</f>
        <v>0</v>
      </c>
      <c r="N50" s="33">
        <f t="shared" ref="N50:O50" si="29">SUM(N51,N286)</f>
        <v>0</v>
      </c>
      <c r="O50" s="34">
        <f t="shared" si="29"/>
        <v>0</v>
      </c>
      <c r="P50" s="35"/>
    </row>
    <row r="51" spans="1:16" s="28" customFormat="1" ht="36.75" thickTop="1" x14ac:dyDescent="0.25">
      <c r="A51" s="162"/>
      <c r="B51" s="163" t="s">
        <v>69</v>
      </c>
      <c r="C51" s="164">
        <f t="shared" si="0"/>
        <v>997169</v>
      </c>
      <c r="D51" s="165">
        <f>SUM(D52,D194)</f>
        <v>465505</v>
      </c>
      <c r="E51" s="166">
        <f t="shared" ref="E51:F51" si="30">SUM(E52,E194)</f>
        <v>0</v>
      </c>
      <c r="F51" s="167">
        <f t="shared" si="30"/>
        <v>465505</v>
      </c>
      <c r="G51" s="165">
        <f>SUM(G52,G194)</f>
        <v>540793</v>
      </c>
      <c r="H51" s="166">
        <f t="shared" ref="H51:I51" si="31">SUM(H52,H194)</f>
        <v>-28837</v>
      </c>
      <c r="I51" s="167">
        <f t="shared" si="31"/>
        <v>511956</v>
      </c>
      <c r="J51" s="168">
        <f>SUM(J52,J194)</f>
        <v>19288</v>
      </c>
      <c r="K51" s="169">
        <f t="shared" ref="K51:L51" si="32">SUM(K52,K194)</f>
        <v>420</v>
      </c>
      <c r="L51" s="170">
        <f t="shared" si="32"/>
        <v>19708</v>
      </c>
      <c r="M51" s="168">
        <f>SUM(M52,M194)</f>
        <v>0</v>
      </c>
      <c r="N51" s="169">
        <f t="shared" ref="N51:O51" si="33">SUM(N52,N194)</f>
        <v>0</v>
      </c>
      <c r="O51" s="170">
        <f t="shared" si="33"/>
        <v>0</v>
      </c>
      <c r="P51" s="171"/>
    </row>
    <row r="52" spans="1:16" s="28" customFormat="1" ht="24" x14ac:dyDescent="0.25">
      <c r="A52" s="24"/>
      <c r="B52" s="22" t="s">
        <v>70</v>
      </c>
      <c r="C52" s="172">
        <f t="shared" si="0"/>
        <v>978757</v>
      </c>
      <c r="D52" s="173">
        <f>SUM(D53,D75,D173,D187)</f>
        <v>451796</v>
      </c>
      <c r="E52" s="174">
        <f t="shared" ref="E52:F52" si="34">SUM(E53,E75,E173,E187)</f>
        <v>0</v>
      </c>
      <c r="F52" s="175">
        <f t="shared" si="34"/>
        <v>451796</v>
      </c>
      <c r="G52" s="173">
        <f>SUM(G53,G75,G173,G187)</f>
        <v>536140</v>
      </c>
      <c r="H52" s="174">
        <f t="shared" ref="H52:I52" si="35">SUM(H53,H75,H173,H187)</f>
        <v>-28837</v>
      </c>
      <c r="I52" s="175">
        <f t="shared" si="35"/>
        <v>507303</v>
      </c>
      <c r="J52" s="173">
        <f>SUM(J53,J75,J173,J187)</f>
        <v>19238</v>
      </c>
      <c r="K52" s="174">
        <f t="shared" ref="K52:L52" si="36">SUM(K53,K75,K173,K187)</f>
        <v>420</v>
      </c>
      <c r="L52" s="175">
        <f t="shared" si="36"/>
        <v>19658</v>
      </c>
      <c r="M52" s="173">
        <f>SUM(M53,M75,M173,M187)</f>
        <v>0</v>
      </c>
      <c r="N52" s="174">
        <f t="shared" ref="N52:O52" si="37">SUM(N53,N75,N173,N187)</f>
        <v>0</v>
      </c>
      <c r="O52" s="175">
        <f t="shared" si="37"/>
        <v>0</v>
      </c>
      <c r="P52" s="176"/>
    </row>
    <row r="53" spans="1:16" s="28" customFormat="1" x14ac:dyDescent="0.25">
      <c r="A53" s="177">
        <v>1000</v>
      </c>
      <c r="B53" s="177" t="s">
        <v>71</v>
      </c>
      <c r="C53" s="178">
        <f t="shared" si="0"/>
        <v>846207</v>
      </c>
      <c r="D53" s="179">
        <f>SUM(D54,D67)</f>
        <v>351497</v>
      </c>
      <c r="E53" s="180">
        <f t="shared" ref="E53:F53" si="38">SUM(E54,E67)</f>
        <v>0</v>
      </c>
      <c r="F53" s="181">
        <f t="shared" si="38"/>
        <v>351497</v>
      </c>
      <c r="G53" s="179">
        <f>SUM(G54,G67)</f>
        <v>526725</v>
      </c>
      <c r="H53" s="180">
        <f t="shared" ref="H53:I53" si="39">SUM(H54,H67)</f>
        <v>-32015</v>
      </c>
      <c r="I53" s="181">
        <f t="shared" si="39"/>
        <v>494710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638379</v>
      </c>
      <c r="D54" s="184">
        <f>SUM(D55,D58,D66)</f>
        <v>244066</v>
      </c>
      <c r="E54" s="185">
        <f t="shared" ref="E54:F54" si="42">SUM(E55,E58,E66)</f>
        <v>0</v>
      </c>
      <c r="F54" s="73">
        <f t="shared" si="42"/>
        <v>244066</v>
      </c>
      <c r="G54" s="184">
        <f>SUM(G55,G58,G66)</f>
        <v>420851</v>
      </c>
      <c r="H54" s="185">
        <f t="shared" ref="H54:I54" si="43">SUM(H55,H58,H66)</f>
        <v>-26538</v>
      </c>
      <c r="I54" s="73">
        <f t="shared" si="43"/>
        <v>394313</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593623</v>
      </c>
      <c r="D55" s="187">
        <f>SUM(D56:D57)</f>
        <v>204151</v>
      </c>
      <c r="E55" s="188">
        <f t="shared" ref="E55:F55" si="46">SUM(E56:E57)</f>
        <v>-950</v>
      </c>
      <c r="F55" s="141">
        <f t="shared" si="46"/>
        <v>203201</v>
      </c>
      <c r="G55" s="187">
        <f>SUM(G56:G57)</f>
        <v>417099</v>
      </c>
      <c r="H55" s="188">
        <f t="shared" ref="H55:I55" si="47">SUM(H56:H57)</f>
        <v>-26677</v>
      </c>
      <c r="I55" s="141">
        <f t="shared" si="47"/>
        <v>390422</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7.75" customHeight="1" x14ac:dyDescent="0.25">
      <c r="A57" s="51">
        <v>1119</v>
      </c>
      <c r="B57" s="89" t="s">
        <v>75</v>
      </c>
      <c r="C57" s="90">
        <f t="shared" si="0"/>
        <v>593623</v>
      </c>
      <c r="D57" s="53">
        <v>204151</v>
      </c>
      <c r="E57" s="54">
        <v>-950</v>
      </c>
      <c r="F57" s="55">
        <f t="shared" si="50"/>
        <v>203201</v>
      </c>
      <c r="G57" s="53">
        <v>417099</v>
      </c>
      <c r="H57" s="54">
        <f>-27359+682</f>
        <v>-26677</v>
      </c>
      <c r="I57" s="55">
        <f t="shared" si="51"/>
        <v>390422</v>
      </c>
      <c r="J57" s="53"/>
      <c r="K57" s="54"/>
      <c r="L57" s="55">
        <f t="shared" si="52"/>
        <v>0</v>
      </c>
      <c r="M57" s="53"/>
      <c r="N57" s="54"/>
      <c r="O57" s="55">
        <f t="shared" si="53"/>
        <v>0</v>
      </c>
      <c r="P57" s="57" t="s">
        <v>793</v>
      </c>
    </row>
    <row r="58" spans="1:16" x14ac:dyDescent="0.25">
      <c r="A58" s="189">
        <v>1140</v>
      </c>
      <c r="B58" s="89" t="s">
        <v>76</v>
      </c>
      <c r="C58" s="90">
        <f t="shared" si="0"/>
        <v>40818</v>
      </c>
      <c r="D58" s="190">
        <f>SUM(D59:D65)</f>
        <v>36927</v>
      </c>
      <c r="E58" s="191">
        <f>SUM(E59:E65)</f>
        <v>0</v>
      </c>
      <c r="F58" s="55">
        <f t="shared" ref="F58" si="54">SUM(F59:F65)</f>
        <v>36927</v>
      </c>
      <c r="G58" s="190">
        <f>SUM(G59:G65)</f>
        <v>3752</v>
      </c>
      <c r="H58" s="191">
        <f t="shared" ref="H58:I58" si="55">SUM(H59:H65)</f>
        <v>139</v>
      </c>
      <c r="I58" s="55">
        <f t="shared" si="55"/>
        <v>3891</v>
      </c>
      <c r="J58" s="190">
        <f>SUM(J59:J65)</f>
        <v>0</v>
      </c>
      <c r="K58" s="191">
        <f t="shared" ref="K58:L58" si="56">SUM(K59:K65)</f>
        <v>0</v>
      </c>
      <c r="L58" s="55">
        <f t="shared" si="56"/>
        <v>0</v>
      </c>
      <c r="M58" s="190">
        <f>SUM(M59:M65)</f>
        <v>0</v>
      </c>
      <c r="N58" s="191">
        <f t="shared" ref="N58:O58" si="57">SUM(N59:N65)</f>
        <v>0</v>
      </c>
      <c r="O58" s="55">
        <f t="shared" si="57"/>
        <v>0</v>
      </c>
      <c r="P58" s="57"/>
    </row>
    <row r="59" spans="1:16" x14ac:dyDescent="0.25">
      <c r="A59" s="51">
        <v>1141</v>
      </c>
      <c r="B59" s="89" t="s">
        <v>77</v>
      </c>
      <c r="C59" s="90">
        <f t="shared" si="0"/>
        <v>4196</v>
      </c>
      <c r="D59" s="53">
        <v>4196</v>
      </c>
      <c r="E59" s="54"/>
      <c r="F59" s="55">
        <f t="shared" ref="F59:F66" si="58">D59+E59</f>
        <v>4196</v>
      </c>
      <c r="G59" s="53"/>
      <c r="H59" s="54"/>
      <c r="I59" s="55">
        <f t="shared" ref="I59:I66" si="59">G59+H59</f>
        <v>0</v>
      </c>
      <c r="J59" s="53"/>
      <c r="K59" s="54"/>
      <c r="L59" s="55">
        <f t="shared" ref="L59:L66" si="60">K59+J59</f>
        <v>0</v>
      </c>
      <c r="M59" s="53"/>
      <c r="N59" s="54"/>
      <c r="O59" s="55">
        <f t="shared" ref="O59:O66" si="61">N59+M59</f>
        <v>0</v>
      </c>
      <c r="P59" s="57"/>
    </row>
    <row r="60" spans="1:16" ht="30" customHeight="1" x14ac:dyDescent="0.25">
      <c r="A60" s="51">
        <v>1142</v>
      </c>
      <c r="B60" s="89" t="s">
        <v>78</v>
      </c>
      <c r="C60" s="90">
        <f t="shared" si="0"/>
        <v>1083</v>
      </c>
      <c r="D60" s="53">
        <v>1083</v>
      </c>
      <c r="E60" s="54"/>
      <c r="F60" s="55">
        <f t="shared" si="58"/>
        <v>1083</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3634</v>
      </c>
      <c r="D63" s="53">
        <v>3634</v>
      </c>
      <c r="E63" s="54"/>
      <c r="F63" s="55">
        <f t="shared" si="58"/>
        <v>3634</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28014</v>
      </c>
      <c r="D64" s="53">
        <v>28014</v>
      </c>
      <c r="E64" s="54"/>
      <c r="F64" s="55">
        <f t="shared" si="58"/>
        <v>28014</v>
      </c>
      <c r="G64" s="53"/>
      <c r="H64" s="54"/>
      <c r="I64" s="55">
        <f t="shared" si="59"/>
        <v>0</v>
      </c>
      <c r="J64" s="53"/>
      <c r="K64" s="54"/>
      <c r="L64" s="55">
        <f t="shared" si="60"/>
        <v>0</v>
      </c>
      <c r="M64" s="53"/>
      <c r="N64" s="54"/>
      <c r="O64" s="55">
        <f t="shared" si="61"/>
        <v>0</v>
      </c>
      <c r="P64" s="57"/>
    </row>
    <row r="65" spans="1:16" ht="30" customHeight="1" x14ac:dyDescent="0.25">
      <c r="A65" s="51">
        <v>1149</v>
      </c>
      <c r="B65" s="89" t="s">
        <v>83</v>
      </c>
      <c r="C65" s="90">
        <f t="shared" si="0"/>
        <v>3891</v>
      </c>
      <c r="D65" s="53"/>
      <c r="E65" s="54"/>
      <c r="F65" s="55">
        <f t="shared" si="58"/>
        <v>0</v>
      </c>
      <c r="G65" s="53">
        <v>3752</v>
      </c>
      <c r="H65" s="54">
        <v>139</v>
      </c>
      <c r="I65" s="55">
        <f t="shared" si="59"/>
        <v>3891</v>
      </c>
      <c r="J65" s="53"/>
      <c r="K65" s="54"/>
      <c r="L65" s="55">
        <f t="shared" si="60"/>
        <v>0</v>
      </c>
      <c r="M65" s="53"/>
      <c r="N65" s="54"/>
      <c r="O65" s="55">
        <f t="shared" si="61"/>
        <v>0</v>
      </c>
      <c r="P65" s="57" t="s">
        <v>794</v>
      </c>
    </row>
    <row r="66" spans="1:16" ht="42" customHeight="1" x14ac:dyDescent="0.25">
      <c r="A66" s="186">
        <v>1150</v>
      </c>
      <c r="B66" s="138" t="s">
        <v>84</v>
      </c>
      <c r="C66" s="143">
        <f t="shared" si="0"/>
        <v>3938</v>
      </c>
      <c r="D66" s="144">
        <v>2988</v>
      </c>
      <c r="E66" s="145">
        <v>950</v>
      </c>
      <c r="F66" s="141">
        <f t="shared" si="58"/>
        <v>3938</v>
      </c>
      <c r="G66" s="144"/>
      <c r="H66" s="145"/>
      <c r="I66" s="141">
        <f t="shared" si="59"/>
        <v>0</v>
      </c>
      <c r="J66" s="144"/>
      <c r="K66" s="145"/>
      <c r="L66" s="141">
        <f t="shared" si="60"/>
        <v>0</v>
      </c>
      <c r="M66" s="144"/>
      <c r="N66" s="145"/>
      <c r="O66" s="141">
        <f t="shared" si="61"/>
        <v>0</v>
      </c>
      <c r="P66" s="129" t="s">
        <v>795</v>
      </c>
    </row>
    <row r="67" spans="1:16" ht="24" x14ac:dyDescent="0.25">
      <c r="A67" s="69">
        <v>1200</v>
      </c>
      <c r="B67" s="183" t="s">
        <v>85</v>
      </c>
      <c r="C67" s="70">
        <f t="shared" si="0"/>
        <v>207828</v>
      </c>
      <c r="D67" s="184">
        <f>SUM(D68:D69)</f>
        <v>107431</v>
      </c>
      <c r="E67" s="185">
        <f t="shared" ref="E67:F67" si="62">SUM(E68:E69)</f>
        <v>0</v>
      </c>
      <c r="F67" s="73">
        <f t="shared" si="62"/>
        <v>107431</v>
      </c>
      <c r="G67" s="184">
        <f>SUM(G68:G69)</f>
        <v>105874</v>
      </c>
      <c r="H67" s="185">
        <f t="shared" ref="H67:I67" si="63">SUM(H68:H69)</f>
        <v>-5477</v>
      </c>
      <c r="I67" s="73">
        <f t="shared" si="63"/>
        <v>100397</v>
      </c>
      <c r="J67" s="184">
        <f>SUM(J68:J69)</f>
        <v>0</v>
      </c>
      <c r="K67" s="185">
        <f t="shared" ref="K67:L67" si="64">SUM(K68:K69)</f>
        <v>0</v>
      </c>
      <c r="L67" s="73">
        <f t="shared" si="64"/>
        <v>0</v>
      </c>
      <c r="M67" s="184">
        <f>SUM(M68:M69)</f>
        <v>0</v>
      </c>
      <c r="N67" s="185">
        <f t="shared" ref="N67:O67" si="65">SUM(N68:N69)</f>
        <v>0</v>
      </c>
      <c r="O67" s="73">
        <f t="shared" si="65"/>
        <v>0</v>
      </c>
      <c r="P67" s="77"/>
    </row>
    <row r="68" spans="1:16" ht="29.25" customHeight="1" x14ac:dyDescent="0.25">
      <c r="A68" s="983">
        <v>1210</v>
      </c>
      <c r="B68" s="82" t="s">
        <v>86</v>
      </c>
      <c r="C68" s="83">
        <f t="shared" si="0"/>
        <v>161238</v>
      </c>
      <c r="D68" s="46">
        <v>64461</v>
      </c>
      <c r="E68" s="47"/>
      <c r="F68" s="134">
        <f>D68+E68</f>
        <v>64461</v>
      </c>
      <c r="G68" s="46">
        <v>102254</v>
      </c>
      <c r="H68" s="47">
        <f>-5641+164</f>
        <v>-5477</v>
      </c>
      <c r="I68" s="134">
        <f>G68+H68</f>
        <v>96777</v>
      </c>
      <c r="J68" s="46"/>
      <c r="K68" s="47"/>
      <c r="L68" s="134">
        <f>K68+J68</f>
        <v>0</v>
      </c>
      <c r="M68" s="46"/>
      <c r="N68" s="47"/>
      <c r="O68" s="134">
        <f>N68+M68</f>
        <v>0</v>
      </c>
      <c r="P68" s="49" t="s">
        <v>796</v>
      </c>
    </row>
    <row r="69" spans="1:16" ht="24" x14ac:dyDescent="0.25">
      <c r="A69" s="189">
        <v>1220</v>
      </c>
      <c r="B69" s="89" t="s">
        <v>87</v>
      </c>
      <c r="C69" s="90">
        <f t="shared" si="0"/>
        <v>46590</v>
      </c>
      <c r="D69" s="190">
        <f>SUM(D70:D74)</f>
        <v>42970</v>
      </c>
      <c r="E69" s="191">
        <f t="shared" ref="E69:F69" si="66">SUM(E70:E74)</f>
        <v>0</v>
      </c>
      <c r="F69" s="55">
        <f t="shared" si="66"/>
        <v>42970</v>
      </c>
      <c r="G69" s="190">
        <f>SUM(G70:G74)</f>
        <v>3620</v>
      </c>
      <c r="H69" s="191">
        <f t="shared" ref="H69:I69" si="67">SUM(H70:H74)</f>
        <v>0</v>
      </c>
      <c r="I69" s="55">
        <f t="shared" si="67"/>
        <v>3620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30649</v>
      </c>
      <c r="D70" s="53">
        <v>27029</v>
      </c>
      <c r="E70" s="54"/>
      <c r="F70" s="55">
        <f t="shared" ref="F70:F74" si="70">D70+E70</f>
        <v>27029</v>
      </c>
      <c r="G70" s="53">
        <v>3620</v>
      </c>
      <c r="H70" s="54"/>
      <c r="I70" s="55">
        <f t="shared" ref="I70:I74" si="71">G70+H70</f>
        <v>3620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132550</v>
      </c>
      <c r="D75" s="179">
        <f>SUM(D76,D83,D130,D164,D165,D172)</f>
        <v>100299</v>
      </c>
      <c r="E75" s="180">
        <f t="shared" ref="E75:F75" si="74">SUM(E76,E83,E130,E164,E165,E172)</f>
        <v>0</v>
      </c>
      <c r="F75" s="181">
        <f t="shared" si="74"/>
        <v>100299</v>
      </c>
      <c r="G75" s="179">
        <f>SUM(G76,G83,G130,G164,G165,G172)</f>
        <v>9415</v>
      </c>
      <c r="H75" s="180">
        <f t="shared" ref="H75:I75" si="75">SUM(H76,H83,H130,H164,H165,H172)</f>
        <v>3178</v>
      </c>
      <c r="I75" s="181">
        <f t="shared" si="75"/>
        <v>12593</v>
      </c>
      <c r="J75" s="179">
        <f>SUM(J76,J83,J130,J164,J165,J172)</f>
        <v>19238</v>
      </c>
      <c r="K75" s="180">
        <f t="shared" ref="K75:L75" si="76">SUM(K76,K83,K130,K164,K165,K172)</f>
        <v>420</v>
      </c>
      <c r="L75" s="181">
        <f t="shared" si="76"/>
        <v>19658</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45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idden="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98598</v>
      </c>
      <c r="D83" s="184">
        <f>SUM(D84,D89,D95,D103,D112,D116,D122,D128)</f>
        <v>72924</v>
      </c>
      <c r="E83" s="185">
        <f t="shared" ref="E83:F83" si="98">SUM(E84,E89,E95,E103,E112,E116,E122,E128)</f>
        <v>0</v>
      </c>
      <c r="F83" s="73">
        <f t="shared" si="98"/>
        <v>72924</v>
      </c>
      <c r="G83" s="184">
        <f>SUM(G84,G89,G95,G103,G112,G116,G122,G128)</f>
        <v>2968</v>
      </c>
      <c r="H83" s="185">
        <f t="shared" ref="H83:I83" si="99">SUM(H84,H89,H95,H103,H112,H116,H122,H128)</f>
        <v>3178</v>
      </c>
      <c r="I83" s="73">
        <f t="shared" si="99"/>
        <v>6146</v>
      </c>
      <c r="J83" s="184">
        <f>SUM(J84,J89,J95,J103,J112,J116,J122,J128)</f>
        <v>19108</v>
      </c>
      <c r="K83" s="185">
        <f t="shared" ref="K83:L83" si="100">SUM(K84,K89,K95,K103,K112,K116,K122,K128)</f>
        <v>420</v>
      </c>
      <c r="L83" s="73">
        <f t="shared" si="100"/>
        <v>19528</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533</v>
      </c>
      <c r="D84" s="187">
        <f>SUM(D85:D88)</f>
        <v>433</v>
      </c>
      <c r="E84" s="188">
        <f t="shared" ref="E84:F84" si="103">SUM(E85:E88)</f>
        <v>0</v>
      </c>
      <c r="F84" s="141">
        <f t="shared" si="103"/>
        <v>433</v>
      </c>
      <c r="G84" s="187">
        <f>SUM(G85:G88)</f>
        <v>0</v>
      </c>
      <c r="H84" s="188">
        <f t="shared" ref="H84:I84" si="104">SUM(H85:H88)</f>
        <v>0</v>
      </c>
      <c r="I84" s="141">
        <f t="shared" si="104"/>
        <v>0</v>
      </c>
      <c r="J84" s="187">
        <f>SUM(J85:J88)</f>
        <v>100</v>
      </c>
      <c r="K84" s="188">
        <f t="shared" ref="K84:L84" si="105">SUM(K85:K88)</f>
        <v>0</v>
      </c>
      <c r="L84" s="141">
        <f t="shared" si="105"/>
        <v>100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382</v>
      </c>
      <c r="D86" s="196">
        <v>382</v>
      </c>
      <c r="E86" s="197"/>
      <c r="F86" s="55">
        <f t="shared" si="107"/>
        <v>382</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6" customHeight="1" x14ac:dyDescent="0.25">
      <c r="A88" s="51">
        <v>2219</v>
      </c>
      <c r="B88" s="89" t="s">
        <v>104</v>
      </c>
      <c r="C88" s="90">
        <f t="shared" si="102"/>
        <v>100</v>
      </c>
      <c r="D88" s="196"/>
      <c r="E88" s="197"/>
      <c r="F88" s="55">
        <f t="shared" si="107"/>
        <v>0</v>
      </c>
      <c r="G88" s="53"/>
      <c r="H88" s="54"/>
      <c r="I88" s="55">
        <f t="shared" si="108"/>
        <v>0</v>
      </c>
      <c r="J88" s="53">
        <v>100</v>
      </c>
      <c r="K88" s="54"/>
      <c r="L88" s="55">
        <f t="shared" si="109"/>
        <v>100</v>
      </c>
      <c r="M88" s="53"/>
      <c r="N88" s="54"/>
      <c r="O88" s="55">
        <f t="shared" si="110"/>
        <v>0</v>
      </c>
      <c r="P88" s="57"/>
    </row>
    <row r="89" spans="1:16" ht="24" x14ac:dyDescent="0.25">
      <c r="A89" s="189">
        <v>2220</v>
      </c>
      <c r="B89" s="89" t="s">
        <v>105</v>
      </c>
      <c r="C89" s="90">
        <f t="shared" si="102"/>
        <v>79378</v>
      </c>
      <c r="D89" s="190">
        <f>SUM(D90:D94)</f>
        <v>61818</v>
      </c>
      <c r="E89" s="191">
        <f t="shared" ref="E89:F89" si="111">SUM(E90:E94)</f>
        <v>0</v>
      </c>
      <c r="F89" s="55">
        <f t="shared" si="111"/>
        <v>61818</v>
      </c>
      <c r="G89" s="190">
        <f>SUM(G90:G94)</f>
        <v>0</v>
      </c>
      <c r="H89" s="191">
        <f t="shared" ref="H89:I89" si="112">SUM(H90:H94)</f>
        <v>0</v>
      </c>
      <c r="I89" s="55">
        <f t="shared" si="112"/>
        <v>0</v>
      </c>
      <c r="J89" s="190">
        <f>SUM(J90:J94)</f>
        <v>17140</v>
      </c>
      <c r="K89" s="191">
        <f t="shared" ref="K89:L89" si="113">SUM(K90:K94)</f>
        <v>420</v>
      </c>
      <c r="L89" s="55">
        <f t="shared" si="113"/>
        <v>17560</v>
      </c>
      <c r="M89" s="190">
        <f>SUM(M90:M94)</f>
        <v>0</v>
      </c>
      <c r="N89" s="191">
        <f t="shared" ref="N89:O89" si="114">SUM(N90:N94)</f>
        <v>0</v>
      </c>
      <c r="O89" s="55">
        <f t="shared" si="114"/>
        <v>0</v>
      </c>
      <c r="P89" s="57"/>
    </row>
    <row r="90" spans="1:16" ht="25.5" customHeight="1" x14ac:dyDescent="0.25">
      <c r="A90" s="51">
        <v>2221</v>
      </c>
      <c r="B90" s="89" t="s">
        <v>106</v>
      </c>
      <c r="C90" s="90">
        <f t="shared" si="102"/>
        <v>43228</v>
      </c>
      <c r="D90" s="196">
        <v>34310</v>
      </c>
      <c r="E90" s="197"/>
      <c r="F90" s="55">
        <f t="shared" ref="F90:F94" si="115">D90+E90</f>
        <v>34310</v>
      </c>
      <c r="G90" s="53"/>
      <c r="H90" s="54"/>
      <c r="I90" s="55">
        <f t="shared" ref="I90:I94" si="116">G90+H90</f>
        <v>0</v>
      </c>
      <c r="J90" s="53">
        <v>8498</v>
      </c>
      <c r="K90" s="54">
        <v>420</v>
      </c>
      <c r="L90" s="55">
        <f t="shared" ref="L90:L94" si="117">K90+J90</f>
        <v>8918</v>
      </c>
      <c r="M90" s="53"/>
      <c r="N90" s="54"/>
      <c r="O90" s="55">
        <f t="shared" ref="O90:O94" si="118">N90+M90</f>
        <v>0</v>
      </c>
      <c r="P90" s="57" t="s">
        <v>797</v>
      </c>
    </row>
    <row r="91" spans="1:16" ht="12" customHeight="1" x14ac:dyDescent="0.25">
      <c r="A91" s="51">
        <v>2222</v>
      </c>
      <c r="B91" s="89" t="s">
        <v>107</v>
      </c>
      <c r="C91" s="90">
        <f t="shared" si="102"/>
        <v>6320</v>
      </c>
      <c r="D91" s="196">
        <v>2320</v>
      </c>
      <c r="E91" s="197"/>
      <c r="F91" s="55">
        <f t="shared" si="115"/>
        <v>2320</v>
      </c>
      <c r="G91" s="53"/>
      <c r="H91" s="54"/>
      <c r="I91" s="55">
        <f t="shared" si="116"/>
        <v>0</v>
      </c>
      <c r="J91" s="53">
        <v>4000</v>
      </c>
      <c r="K91" s="54"/>
      <c r="L91" s="55">
        <f t="shared" si="117"/>
        <v>4000</v>
      </c>
      <c r="M91" s="53"/>
      <c r="N91" s="54"/>
      <c r="O91" s="55">
        <f t="shared" si="118"/>
        <v>0</v>
      </c>
      <c r="P91" s="57"/>
    </row>
    <row r="92" spans="1:16" ht="12" customHeight="1" x14ac:dyDescent="0.25">
      <c r="A92" s="51">
        <v>2223</v>
      </c>
      <c r="B92" s="89" t="s">
        <v>108</v>
      </c>
      <c r="C92" s="90">
        <f t="shared" si="102"/>
        <v>28932</v>
      </c>
      <c r="D92" s="196">
        <v>24932</v>
      </c>
      <c r="E92" s="197"/>
      <c r="F92" s="55">
        <f t="shared" si="115"/>
        <v>24932</v>
      </c>
      <c r="G92" s="53"/>
      <c r="H92" s="54"/>
      <c r="I92" s="55">
        <f t="shared" si="116"/>
        <v>0</v>
      </c>
      <c r="J92" s="53">
        <v>4000</v>
      </c>
      <c r="K92" s="54"/>
      <c r="L92" s="55">
        <f t="shared" si="117"/>
        <v>4000</v>
      </c>
      <c r="M92" s="53"/>
      <c r="N92" s="54"/>
      <c r="O92" s="55">
        <f t="shared" si="118"/>
        <v>0</v>
      </c>
      <c r="P92" s="57"/>
    </row>
    <row r="93" spans="1:16" ht="48" customHeight="1" x14ac:dyDescent="0.25">
      <c r="A93" s="51">
        <v>2224</v>
      </c>
      <c r="B93" s="89" t="s">
        <v>109</v>
      </c>
      <c r="C93" s="90">
        <f t="shared" si="102"/>
        <v>898</v>
      </c>
      <c r="D93" s="196">
        <v>256</v>
      </c>
      <c r="E93" s="197"/>
      <c r="F93" s="55">
        <f t="shared" si="115"/>
        <v>256</v>
      </c>
      <c r="G93" s="53"/>
      <c r="H93" s="54"/>
      <c r="I93" s="55">
        <f t="shared" si="116"/>
        <v>0</v>
      </c>
      <c r="J93" s="53">
        <v>642</v>
      </c>
      <c r="K93" s="54"/>
      <c r="L93" s="55">
        <f t="shared" si="117"/>
        <v>642</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2174</v>
      </c>
      <c r="D95" s="190">
        <f>SUM(D96:D102)</f>
        <v>2174</v>
      </c>
      <c r="E95" s="191">
        <f t="shared" ref="E95:F95" si="119">SUM(E96:E102)</f>
        <v>0</v>
      </c>
      <c r="F95" s="55">
        <f t="shared" si="119"/>
        <v>2174</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customHeight="1" x14ac:dyDescent="0.25">
      <c r="A99" s="51">
        <v>2234</v>
      </c>
      <c r="B99" s="89" t="s">
        <v>115</v>
      </c>
      <c r="C99" s="90">
        <f t="shared" si="102"/>
        <v>28</v>
      </c>
      <c r="D99" s="196">
        <v>28</v>
      </c>
      <c r="E99" s="197"/>
      <c r="F99" s="55">
        <f t="shared" si="123"/>
        <v>28</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7" customHeight="1" x14ac:dyDescent="0.25">
      <c r="A102" s="51">
        <v>2239</v>
      </c>
      <c r="B102" s="89" t="s">
        <v>118</v>
      </c>
      <c r="C102" s="90">
        <f t="shared" si="102"/>
        <v>2146</v>
      </c>
      <c r="D102" s="196">
        <v>2146</v>
      </c>
      <c r="E102" s="197"/>
      <c r="F102" s="55">
        <f t="shared" si="123"/>
        <v>2146</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7568</v>
      </c>
      <c r="D103" s="190">
        <f>SUM(D104:D111)</f>
        <v>5700</v>
      </c>
      <c r="E103" s="191">
        <f t="shared" ref="E103:F103" si="127">SUM(E104:E111)</f>
        <v>0</v>
      </c>
      <c r="F103" s="55">
        <f t="shared" si="127"/>
        <v>5700</v>
      </c>
      <c r="G103" s="190">
        <f>SUM(G104:G111)</f>
        <v>0</v>
      </c>
      <c r="H103" s="191">
        <f t="shared" ref="H103:I103" si="128">SUM(H104:H111)</f>
        <v>0</v>
      </c>
      <c r="I103" s="55">
        <f t="shared" si="128"/>
        <v>0</v>
      </c>
      <c r="J103" s="190">
        <f>SUM(J104:J111)</f>
        <v>1868</v>
      </c>
      <c r="K103" s="191">
        <f t="shared" ref="K103:L103" si="129">SUM(K104:K111)</f>
        <v>0</v>
      </c>
      <c r="L103" s="55">
        <f t="shared" si="129"/>
        <v>1868</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x14ac:dyDescent="0.25">
      <c r="A106" s="51">
        <v>2243</v>
      </c>
      <c r="B106" s="89" t="s">
        <v>122</v>
      </c>
      <c r="C106" s="90">
        <f t="shared" si="102"/>
        <v>3415</v>
      </c>
      <c r="D106" s="196">
        <v>1547</v>
      </c>
      <c r="E106" s="197"/>
      <c r="F106" s="55">
        <f t="shared" si="131"/>
        <v>1547</v>
      </c>
      <c r="G106" s="53"/>
      <c r="H106" s="54"/>
      <c r="I106" s="55">
        <f t="shared" si="132"/>
        <v>0</v>
      </c>
      <c r="J106" s="53">
        <v>1868</v>
      </c>
      <c r="K106" s="54"/>
      <c r="L106" s="55">
        <f t="shared" si="133"/>
        <v>1868</v>
      </c>
      <c r="M106" s="53"/>
      <c r="N106" s="54"/>
      <c r="O106" s="55">
        <f t="shared" si="134"/>
        <v>0</v>
      </c>
      <c r="P106" s="57"/>
    </row>
    <row r="107" spans="1:16" ht="12" customHeight="1" x14ac:dyDescent="0.25">
      <c r="A107" s="51">
        <v>2244</v>
      </c>
      <c r="B107" s="89" t="s">
        <v>123</v>
      </c>
      <c r="C107" s="90">
        <f t="shared" si="102"/>
        <v>3845</v>
      </c>
      <c r="D107" s="196">
        <v>3845</v>
      </c>
      <c r="E107" s="197"/>
      <c r="F107" s="55">
        <f t="shared" si="131"/>
        <v>3845</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308</v>
      </c>
      <c r="D111" s="196">
        <v>308</v>
      </c>
      <c r="E111" s="197"/>
      <c r="F111" s="55">
        <f t="shared" si="131"/>
        <v>308</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2710</v>
      </c>
      <c r="D112" s="190">
        <f>SUM(D113:D115)</f>
        <v>2710</v>
      </c>
      <c r="E112" s="191">
        <f t="shared" ref="E112:F112" si="135">SUM(E113:E115)</f>
        <v>0</v>
      </c>
      <c r="F112" s="55">
        <f t="shared" si="135"/>
        <v>2710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85</v>
      </c>
      <c r="D113" s="196">
        <v>85</v>
      </c>
      <c r="E113" s="197"/>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2176</v>
      </c>
      <c r="D114" s="196">
        <v>2176</v>
      </c>
      <c r="E114" s="197"/>
      <c r="F114" s="55">
        <f t="shared" si="139"/>
        <v>2176</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449</v>
      </c>
      <c r="D115" s="196">
        <v>449</v>
      </c>
      <c r="E115" s="197"/>
      <c r="F115" s="55">
        <f t="shared" si="139"/>
        <v>449</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52</v>
      </c>
      <c r="D116" s="190">
        <f>SUM(D117:D121)</f>
        <v>52</v>
      </c>
      <c r="E116" s="191">
        <f t="shared" ref="E116:F116" si="143">SUM(E117:E121)</f>
        <v>0</v>
      </c>
      <c r="F116" s="55">
        <f t="shared" si="143"/>
        <v>52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6183</v>
      </c>
      <c r="D122" s="190">
        <f>SUM(D123:D127)</f>
        <v>37</v>
      </c>
      <c r="E122" s="191">
        <f t="shared" ref="E122:F122" si="151">SUM(E123:E127)</f>
        <v>0</v>
      </c>
      <c r="F122" s="55">
        <f t="shared" si="151"/>
        <v>37</v>
      </c>
      <c r="G122" s="190">
        <f>SUM(G123:G127)</f>
        <v>2968</v>
      </c>
      <c r="H122" s="191">
        <f t="shared" ref="H122:I122" si="152">SUM(H123:H127)</f>
        <v>3178</v>
      </c>
      <c r="I122" s="55">
        <f t="shared" si="152"/>
        <v>6146</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7" customHeight="1" x14ac:dyDescent="0.25">
      <c r="A127" s="51">
        <v>2279</v>
      </c>
      <c r="B127" s="89" t="s">
        <v>143</v>
      </c>
      <c r="C127" s="90">
        <f t="shared" si="102"/>
        <v>6183</v>
      </c>
      <c r="D127" s="196">
        <v>37</v>
      </c>
      <c r="E127" s="197"/>
      <c r="F127" s="55">
        <f t="shared" si="155"/>
        <v>37</v>
      </c>
      <c r="G127" s="53">
        <v>2968</v>
      </c>
      <c r="H127" s="54">
        <v>3178</v>
      </c>
      <c r="I127" s="55">
        <f t="shared" si="156"/>
        <v>6146</v>
      </c>
      <c r="J127" s="53"/>
      <c r="K127" s="54"/>
      <c r="L127" s="55">
        <f t="shared" si="157"/>
        <v>0</v>
      </c>
      <c r="M127" s="53"/>
      <c r="N127" s="54"/>
      <c r="O127" s="55">
        <f t="shared" si="158"/>
        <v>0</v>
      </c>
      <c r="P127" s="57" t="s">
        <v>798</v>
      </c>
    </row>
    <row r="128" spans="1:16" ht="48" hidden="1" x14ac:dyDescent="0.25">
      <c r="A128" s="45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33952</v>
      </c>
      <c r="D130" s="184">
        <f>SUM(D131,D136,D140,D141,D144,D151,D159,D160,D163)</f>
        <v>27375</v>
      </c>
      <c r="E130" s="185">
        <f t="shared" ref="E130:F130" si="160">SUM(E131,E136,E140,E141,E144,E151,E159,E160,E163)</f>
        <v>0</v>
      </c>
      <c r="F130" s="73">
        <f t="shared" si="160"/>
        <v>27375</v>
      </c>
      <c r="G130" s="184">
        <f>SUM(G131,G136,G140,G141,G144,G151,G159,G160,G163)</f>
        <v>6447</v>
      </c>
      <c r="H130" s="185">
        <f t="shared" ref="H130:I130" si="161">SUM(H131,H136,H140,H141,H144,H151,H159,H160,H163)</f>
        <v>0</v>
      </c>
      <c r="I130" s="73">
        <f t="shared" si="161"/>
        <v>6447</v>
      </c>
      <c r="J130" s="184">
        <f>SUM(J131,J136,J140,J141,J144,J151,J159,J160,J163)</f>
        <v>130</v>
      </c>
      <c r="K130" s="185">
        <f t="shared" ref="K130:L130" si="162">SUM(K131,K136,K140,K141,K144,K151,K159,K160,K163)</f>
        <v>0</v>
      </c>
      <c r="L130" s="73">
        <f t="shared" si="162"/>
        <v>130</v>
      </c>
      <c r="M130" s="184">
        <f>SUM(M131,M136,M140,M141,M144,M151,M159,M160,M163)</f>
        <v>0</v>
      </c>
      <c r="N130" s="185">
        <f t="shared" ref="N130:O130" si="163">SUM(N131,N136,N140,N141,N144,N151,N159,N160,N163)</f>
        <v>0</v>
      </c>
      <c r="O130" s="73">
        <f t="shared" si="163"/>
        <v>0</v>
      </c>
      <c r="P130" s="77"/>
    </row>
    <row r="131" spans="1:16" ht="24" x14ac:dyDescent="0.25">
      <c r="A131" s="456">
        <v>2310</v>
      </c>
      <c r="B131" s="82" t="s">
        <v>147</v>
      </c>
      <c r="C131" s="83">
        <f t="shared" si="102"/>
        <v>15130</v>
      </c>
      <c r="D131" s="194">
        <f t="shared" ref="D131:O131" si="164">SUM(D132:D135)</f>
        <v>15000</v>
      </c>
      <c r="E131" s="195">
        <f t="shared" si="164"/>
        <v>0</v>
      </c>
      <c r="F131" s="134">
        <f t="shared" si="164"/>
        <v>15000</v>
      </c>
      <c r="G131" s="194">
        <f t="shared" si="164"/>
        <v>0</v>
      </c>
      <c r="H131" s="195">
        <f t="shared" si="164"/>
        <v>0</v>
      </c>
      <c r="I131" s="134">
        <f t="shared" si="164"/>
        <v>0</v>
      </c>
      <c r="J131" s="194">
        <f t="shared" si="164"/>
        <v>130</v>
      </c>
      <c r="K131" s="195">
        <f t="shared" si="164"/>
        <v>0</v>
      </c>
      <c r="L131" s="134">
        <f t="shared" si="164"/>
        <v>130</v>
      </c>
      <c r="M131" s="194">
        <f t="shared" si="164"/>
        <v>0</v>
      </c>
      <c r="N131" s="195">
        <f t="shared" si="164"/>
        <v>0</v>
      </c>
      <c r="O131" s="134">
        <f t="shared" si="164"/>
        <v>0</v>
      </c>
      <c r="P131" s="49"/>
    </row>
    <row r="132" spans="1:16" ht="12" customHeight="1" x14ac:dyDescent="0.25">
      <c r="A132" s="51">
        <v>2311</v>
      </c>
      <c r="B132" s="89" t="s">
        <v>148</v>
      </c>
      <c r="C132" s="90">
        <f t="shared" si="102"/>
        <v>3187</v>
      </c>
      <c r="D132" s="196">
        <v>3187</v>
      </c>
      <c r="E132" s="197"/>
      <c r="F132" s="55">
        <f t="shared" ref="F132:F135" si="165">D132+E132</f>
        <v>3187</v>
      </c>
      <c r="G132" s="53"/>
      <c r="H132" s="54"/>
      <c r="I132" s="55">
        <f t="shared" ref="I132:I135" si="166">G132+H132</f>
        <v>0</v>
      </c>
      <c r="J132" s="53"/>
      <c r="K132" s="54"/>
      <c r="L132" s="55">
        <f t="shared" ref="L132:L135" si="167">K132+J132</f>
        <v>0</v>
      </c>
      <c r="M132" s="53"/>
      <c r="N132" s="54"/>
      <c r="O132" s="55">
        <f t="shared" ref="O132:O135" si="168">N132+M132</f>
        <v>0</v>
      </c>
      <c r="P132" s="57"/>
    </row>
    <row r="133" spans="1:16" x14ac:dyDescent="0.25">
      <c r="A133" s="51">
        <v>2312</v>
      </c>
      <c r="B133" s="89" t="s">
        <v>149</v>
      </c>
      <c r="C133" s="90">
        <f t="shared" si="102"/>
        <v>11553</v>
      </c>
      <c r="D133" s="196">
        <v>11423</v>
      </c>
      <c r="E133" s="197"/>
      <c r="F133" s="55">
        <f t="shared" si="165"/>
        <v>11423</v>
      </c>
      <c r="G133" s="53"/>
      <c r="H133" s="54"/>
      <c r="I133" s="55">
        <f t="shared" si="166"/>
        <v>0</v>
      </c>
      <c r="J133" s="53">
        <v>130</v>
      </c>
      <c r="K133" s="54"/>
      <c r="L133" s="55">
        <f t="shared" si="167"/>
        <v>130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390</v>
      </c>
      <c r="D135" s="196">
        <v>390</v>
      </c>
      <c r="E135" s="197"/>
      <c r="F135" s="55">
        <f t="shared" si="165"/>
        <v>390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250</v>
      </c>
      <c r="D141" s="190">
        <f>SUM(D142:D143)</f>
        <v>250</v>
      </c>
      <c r="E141" s="191">
        <f t="shared" ref="E141:F141" si="177">SUM(E142:E143)</f>
        <v>0</v>
      </c>
      <c r="F141" s="55">
        <f t="shared" si="177"/>
        <v>250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250</v>
      </c>
      <c r="D142" s="196">
        <v>250</v>
      </c>
      <c r="E142" s="197"/>
      <c r="F142" s="55">
        <f t="shared" ref="F142:F143" si="181">D142+E142</f>
        <v>250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4637</v>
      </c>
      <c r="D144" s="187">
        <f>SUM(D145:D150)</f>
        <v>4637</v>
      </c>
      <c r="E144" s="188">
        <f t="shared" ref="E144:F144" si="185">SUM(E145:E150)</f>
        <v>0</v>
      </c>
      <c r="F144" s="141">
        <f t="shared" si="185"/>
        <v>4637</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1352</v>
      </c>
      <c r="D145" s="199">
        <v>1352</v>
      </c>
      <c r="E145" s="200"/>
      <c r="F145" s="134">
        <f t="shared" ref="F145:F150" si="189">D145+E145</f>
        <v>1352</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3185</v>
      </c>
      <c r="D146" s="196">
        <v>3185</v>
      </c>
      <c r="E146" s="197"/>
      <c r="F146" s="55">
        <f t="shared" si="189"/>
        <v>3185</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100</v>
      </c>
      <c r="D149" s="196">
        <v>100</v>
      </c>
      <c r="E149" s="197"/>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1328</v>
      </c>
      <c r="D151" s="190">
        <f>SUM(D152:D158)</f>
        <v>1328</v>
      </c>
      <c r="E151" s="191">
        <f t="shared" ref="E151:F151" si="194">SUM(E152:E158)</f>
        <v>0</v>
      </c>
      <c r="F151" s="55">
        <f t="shared" si="194"/>
        <v>1328</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558</v>
      </c>
      <c r="D152" s="196">
        <v>558</v>
      </c>
      <c r="E152" s="197"/>
      <c r="F152" s="55">
        <f t="shared" ref="F152:F159" si="198">D152+E152</f>
        <v>558</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770</v>
      </c>
      <c r="D154" s="196">
        <v>770</v>
      </c>
      <c r="E154" s="197"/>
      <c r="F154" s="55">
        <f t="shared" si="198"/>
        <v>770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12607</v>
      </c>
      <c r="D159" s="203">
        <v>6160</v>
      </c>
      <c r="E159" s="204"/>
      <c r="F159" s="141">
        <f t="shared" si="198"/>
        <v>6160</v>
      </c>
      <c r="G159" s="144">
        <v>6447</v>
      </c>
      <c r="H159" s="145"/>
      <c r="I159" s="141">
        <f t="shared" si="199"/>
        <v>6447</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45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45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5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45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45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18412</v>
      </c>
      <c r="D194" s="173">
        <f t="shared" ref="D194:O194" si="259">SUM(D195,D230,D269,D283)</f>
        <v>13709</v>
      </c>
      <c r="E194" s="174">
        <f t="shared" si="259"/>
        <v>0</v>
      </c>
      <c r="F194" s="175">
        <f t="shared" si="259"/>
        <v>13709</v>
      </c>
      <c r="G194" s="173">
        <f t="shared" si="259"/>
        <v>4653</v>
      </c>
      <c r="H194" s="174">
        <f t="shared" si="259"/>
        <v>0</v>
      </c>
      <c r="I194" s="175">
        <f t="shared" si="259"/>
        <v>4653</v>
      </c>
      <c r="J194" s="173">
        <f t="shared" si="259"/>
        <v>50</v>
      </c>
      <c r="K194" s="174">
        <f t="shared" si="259"/>
        <v>0</v>
      </c>
      <c r="L194" s="175">
        <f t="shared" si="259"/>
        <v>50</v>
      </c>
      <c r="M194" s="173">
        <f t="shared" si="259"/>
        <v>0</v>
      </c>
      <c r="N194" s="174">
        <f t="shared" si="259"/>
        <v>0</v>
      </c>
      <c r="O194" s="175">
        <f t="shared" si="259"/>
        <v>0</v>
      </c>
      <c r="P194" s="176"/>
    </row>
    <row r="195" spans="1:16" x14ac:dyDescent="0.25">
      <c r="A195" s="177">
        <v>5000</v>
      </c>
      <c r="B195" s="177" t="s">
        <v>211</v>
      </c>
      <c r="C195" s="178">
        <f t="shared" si="193"/>
        <v>18362</v>
      </c>
      <c r="D195" s="179">
        <f>D196+D204</f>
        <v>13709</v>
      </c>
      <c r="E195" s="180">
        <f t="shared" ref="E195:F195" si="260">E196+E204</f>
        <v>0</v>
      </c>
      <c r="F195" s="181">
        <f t="shared" si="260"/>
        <v>13709</v>
      </c>
      <c r="G195" s="179">
        <f>G196+G204</f>
        <v>4653</v>
      </c>
      <c r="H195" s="180">
        <f t="shared" ref="H195:I195" si="261">H196+H204</f>
        <v>0</v>
      </c>
      <c r="I195" s="181">
        <f t="shared" si="261"/>
        <v>4653</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45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18362</v>
      </c>
      <c r="D204" s="184">
        <f>D205+D215+D216+D225+D226+D227+D229</f>
        <v>13709</v>
      </c>
      <c r="E204" s="185">
        <f t="shared" ref="E204:F204" si="276">E205+E215+E216+E225+E226+E227+E229</f>
        <v>0</v>
      </c>
      <c r="F204" s="73">
        <f t="shared" si="276"/>
        <v>13709</v>
      </c>
      <c r="G204" s="184">
        <f>G205+G215+G216+G225+G226+G227+G229</f>
        <v>4653</v>
      </c>
      <c r="H204" s="185">
        <f t="shared" ref="H204:I204" si="277">H205+H215+H216+H225+H226+H227+H229</f>
        <v>0</v>
      </c>
      <c r="I204" s="73">
        <f t="shared" si="277"/>
        <v>4653</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18362</v>
      </c>
      <c r="D216" s="190">
        <f>SUM(D217:D224)</f>
        <v>13709</v>
      </c>
      <c r="E216" s="191">
        <f t="shared" ref="E216:F216" si="289">SUM(E217:E224)</f>
        <v>0</v>
      </c>
      <c r="F216" s="55">
        <f t="shared" si="289"/>
        <v>13709</v>
      </c>
      <c r="G216" s="190">
        <f>SUM(G217:G224)</f>
        <v>4653</v>
      </c>
      <c r="H216" s="191">
        <f t="shared" ref="H216:I216" si="290">SUM(H217:H224)</f>
        <v>0</v>
      </c>
      <c r="I216" s="55">
        <f t="shared" si="290"/>
        <v>4653</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7862</v>
      </c>
      <c r="D219" s="196">
        <v>3209</v>
      </c>
      <c r="E219" s="197"/>
      <c r="F219" s="55">
        <f t="shared" si="293"/>
        <v>3209</v>
      </c>
      <c r="G219" s="53">
        <v>4653</v>
      </c>
      <c r="H219" s="54"/>
      <c r="I219" s="55">
        <f t="shared" si="294"/>
        <v>4653</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10500</v>
      </c>
      <c r="D223" s="196">
        <v>10500</v>
      </c>
      <c r="E223" s="197"/>
      <c r="F223" s="55">
        <f t="shared" si="293"/>
        <v>10500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45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5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45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45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8">
        <v>7000</v>
      </c>
      <c r="B269" s="228" t="s">
        <v>285</v>
      </c>
      <c r="C269" s="229">
        <f t="shared" si="288"/>
        <v>50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50</v>
      </c>
      <c r="K269" s="231">
        <f t="shared" ref="K269:L269" si="357">SUM(K270,K281)</f>
        <v>0</v>
      </c>
      <c r="L269" s="232">
        <f t="shared" si="357"/>
        <v>50</v>
      </c>
      <c r="M269" s="230">
        <f>SUM(M270,M281)</f>
        <v>0</v>
      </c>
      <c r="N269" s="231">
        <f t="shared" ref="N269:O269" si="358">SUM(N270,N281)</f>
        <v>0</v>
      </c>
      <c r="O269" s="232">
        <f t="shared" si="358"/>
        <v>0</v>
      </c>
      <c r="P269" s="233"/>
    </row>
    <row r="270" spans="1:16" ht="24" x14ac:dyDescent="0.25">
      <c r="A270" s="69">
        <v>7200</v>
      </c>
      <c r="B270" s="183" t="s">
        <v>286</v>
      </c>
      <c r="C270" s="70">
        <f t="shared" si="288"/>
        <v>50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50</v>
      </c>
      <c r="K270" s="185">
        <f t="shared" ref="K270:L270" si="361">SUM(K271,K272,K275,K276,K280)</f>
        <v>0</v>
      </c>
      <c r="L270" s="73">
        <f t="shared" si="361"/>
        <v>50</v>
      </c>
      <c r="M270" s="184">
        <f>SUM(M271,M272,M275,M276,M280)</f>
        <v>0</v>
      </c>
      <c r="N270" s="185">
        <f t="shared" ref="N270:O270" si="362">SUM(N271,N272,N275,N276,N280)</f>
        <v>0</v>
      </c>
      <c r="O270" s="73">
        <f t="shared" si="362"/>
        <v>0</v>
      </c>
      <c r="P270" s="77"/>
    </row>
    <row r="271" spans="1:16" ht="24" hidden="1" customHeight="1" x14ac:dyDescent="0.25">
      <c r="A271" s="45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291</v>
      </c>
      <c r="C275" s="90">
        <f t="shared" si="288"/>
        <v>50</v>
      </c>
      <c r="D275" s="196"/>
      <c r="E275" s="197"/>
      <c r="F275" s="55">
        <f t="shared" si="367"/>
        <v>0</v>
      </c>
      <c r="G275" s="53"/>
      <c r="H275" s="54"/>
      <c r="I275" s="55">
        <f t="shared" si="368"/>
        <v>0</v>
      </c>
      <c r="J275" s="53">
        <v>50</v>
      </c>
      <c r="K275" s="54"/>
      <c r="L275" s="55">
        <f t="shared" si="369"/>
        <v>50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5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1</v>
      </c>
      <c r="D286" s="190">
        <f>SUM(D287:D288)</f>
        <v>0</v>
      </c>
      <c r="E286" s="191">
        <f t="shared" ref="E286:F286" si="381">SUM(E287:E288)</f>
        <v>0</v>
      </c>
      <c r="F286" s="55">
        <f t="shared" si="381"/>
        <v>0</v>
      </c>
      <c r="G286" s="190">
        <f>SUM(G287:G288)</f>
        <v>1</v>
      </c>
      <c r="H286" s="191">
        <f t="shared" ref="H286:I286" si="382">SUM(H287:H288)</f>
        <v>0</v>
      </c>
      <c r="I286" s="55">
        <f t="shared" si="382"/>
        <v>1</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1</v>
      </c>
      <c r="D288" s="199"/>
      <c r="E288" s="200"/>
      <c r="F288" s="134">
        <f t="shared" si="385"/>
        <v>0</v>
      </c>
      <c r="G288" s="46">
        <v>1</v>
      </c>
      <c r="H288" s="47"/>
      <c r="I288" s="134">
        <f t="shared" si="386"/>
        <v>1</v>
      </c>
      <c r="J288" s="46"/>
      <c r="K288" s="47"/>
      <c r="L288" s="134">
        <f t="shared" si="387"/>
        <v>0</v>
      </c>
      <c r="M288" s="46"/>
      <c r="N288" s="47"/>
      <c r="O288" s="134">
        <f t="shared" si="388"/>
        <v>0</v>
      </c>
      <c r="P288" s="49"/>
    </row>
    <row r="289" spans="1:16" ht="12.75" thickBot="1" x14ac:dyDescent="0.3">
      <c r="A289" s="250"/>
      <c r="B289" s="250" t="s">
        <v>307</v>
      </c>
      <c r="C289" s="251">
        <f t="shared" si="371"/>
        <v>997170</v>
      </c>
      <c r="D289" s="252">
        <f t="shared" ref="D289:O289" si="389">SUM(D286,D269,D230,D195,D187,D173,D75,D53,D283)</f>
        <v>465505</v>
      </c>
      <c r="E289" s="253">
        <f t="shared" si="389"/>
        <v>0</v>
      </c>
      <c r="F289" s="254">
        <f t="shared" si="389"/>
        <v>465505</v>
      </c>
      <c r="G289" s="252">
        <f t="shared" si="389"/>
        <v>540794</v>
      </c>
      <c r="H289" s="253">
        <f t="shared" si="389"/>
        <v>-28837</v>
      </c>
      <c r="I289" s="254">
        <f t="shared" si="389"/>
        <v>511957</v>
      </c>
      <c r="J289" s="252">
        <f t="shared" si="389"/>
        <v>19288</v>
      </c>
      <c r="K289" s="253">
        <f t="shared" si="389"/>
        <v>420</v>
      </c>
      <c r="L289" s="254">
        <f t="shared" si="389"/>
        <v>19708</v>
      </c>
      <c r="M289" s="252">
        <f t="shared" si="389"/>
        <v>0</v>
      </c>
      <c r="N289" s="253">
        <f t="shared" si="389"/>
        <v>0</v>
      </c>
      <c r="O289" s="254">
        <f t="shared" si="389"/>
        <v>0</v>
      </c>
      <c r="P289" s="255"/>
    </row>
    <row r="290" spans="1:16" s="28" customFormat="1" ht="13.5" thickTop="1" thickBot="1" x14ac:dyDescent="0.3">
      <c r="A290" s="1544" t="s">
        <v>308</v>
      </c>
      <c r="B290" s="1545"/>
      <c r="C290" s="256">
        <f t="shared" si="371"/>
        <v>-3607</v>
      </c>
      <c r="D290" s="257">
        <f>SUM(D24,D25,D41)-D51</f>
        <v>0</v>
      </c>
      <c r="E290" s="258">
        <f t="shared" ref="E290:F290" si="390">SUM(E24,E25,E41)-E51</f>
        <v>0</v>
      </c>
      <c r="F290" s="259">
        <f t="shared" si="390"/>
        <v>0</v>
      </c>
      <c r="G290" s="257">
        <f>SUM(G24,G25,G41)-G51</f>
        <v>1</v>
      </c>
      <c r="H290" s="258">
        <f t="shared" ref="H290:I290" si="391">SUM(H24,H25,H41)-H51</f>
        <v>0</v>
      </c>
      <c r="I290" s="259">
        <f t="shared" si="391"/>
        <v>1</v>
      </c>
      <c r="J290" s="257">
        <f>(J26+J43)-J51</f>
        <v>-3608</v>
      </c>
      <c r="K290" s="258">
        <f t="shared" ref="K290:L290" si="392">(K26+K43)-K51</f>
        <v>0</v>
      </c>
      <c r="L290" s="259">
        <f t="shared" si="392"/>
        <v>-3608</v>
      </c>
      <c r="M290" s="257">
        <f>M45-M51</f>
        <v>0</v>
      </c>
      <c r="N290" s="258">
        <f t="shared" ref="N290:O290" si="393">N45-N51</f>
        <v>0</v>
      </c>
      <c r="O290" s="259">
        <f t="shared" si="393"/>
        <v>0</v>
      </c>
      <c r="P290" s="260"/>
    </row>
    <row r="291" spans="1:16" s="28" customFormat="1" ht="12.75" thickTop="1" x14ac:dyDescent="0.25">
      <c r="A291" s="1546" t="s">
        <v>309</v>
      </c>
      <c r="B291" s="1547"/>
      <c r="C291" s="261">
        <f t="shared" si="371"/>
        <v>3607</v>
      </c>
      <c r="D291" s="262">
        <f t="shared" ref="D291:O291" si="394">SUM(D292,D293)-D300+D301</f>
        <v>0</v>
      </c>
      <c r="E291" s="263">
        <f t="shared" si="394"/>
        <v>0</v>
      </c>
      <c r="F291" s="264">
        <f t="shared" si="394"/>
        <v>0</v>
      </c>
      <c r="G291" s="262">
        <f t="shared" si="394"/>
        <v>-1</v>
      </c>
      <c r="H291" s="263">
        <f t="shared" si="394"/>
        <v>0</v>
      </c>
      <c r="I291" s="264">
        <f t="shared" si="394"/>
        <v>-1</v>
      </c>
      <c r="J291" s="262">
        <f t="shared" si="394"/>
        <v>3608</v>
      </c>
      <c r="K291" s="263">
        <f t="shared" si="394"/>
        <v>0</v>
      </c>
      <c r="L291" s="264">
        <f t="shared" si="394"/>
        <v>3608</v>
      </c>
      <c r="M291" s="262">
        <f t="shared" si="394"/>
        <v>0</v>
      </c>
      <c r="N291" s="263">
        <f t="shared" si="394"/>
        <v>0</v>
      </c>
      <c r="O291" s="264">
        <f t="shared" si="394"/>
        <v>0</v>
      </c>
      <c r="P291" s="265"/>
    </row>
    <row r="292" spans="1:16" s="28" customFormat="1" ht="12.75" thickBot="1" x14ac:dyDescent="0.3">
      <c r="A292" s="157" t="s">
        <v>310</v>
      </c>
      <c r="B292" s="157" t="s">
        <v>311</v>
      </c>
      <c r="C292" s="158">
        <f t="shared" si="371"/>
        <v>3607</v>
      </c>
      <c r="D292" s="159">
        <f t="shared" ref="D292:O292" si="395">D21-D286</f>
        <v>0</v>
      </c>
      <c r="E292" s="160">
        <f t="shared" si="395"/>
        <v>0</v>
      </c>
      <c r="F292" s="161">
        <f t="shared" si="395"/>
        <v>0</v>
      </c>
      <c r="G292" s="159">
        <f t="shared" si="395"/>
        <v>-1</v>
      </c>
      <c r="H292" s="160">
        <f t="shared" si="395"/>
        <v>0</v>
      </c>
      <c r="I292" s="161">
        <f t="shared" si="395"/>
        <v>-1</v>
      </c>
      <c r="J292" s="159">
        <f t="shared" si="395"/>
        <v>3608</v>
      </c>
      <c r="K292" s="160">
        <f t="shared" si="395"/>
        <v>0</v>
      </c>
      <c r="L292" s="161">
        <f t="shared" si="395"/>
        <v>3608</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MkKSDpnDXtMza9gSfEXt0r21MZAuGI6ol2RiFVHQnG7S3ajyCw/ZOcexntiR+5x+VPJc0B6w2zn42HNU66sBA==" saltValue="267Og3kP1JNKjVU+Lp5NNA==" spinCount="100000" sheet="1" objects="1" scenarios="1" formatCells="0" formatColumns="0" formatRows="0" deleteColumns="0"/>
  <autoFilter ref="A18:P301">
    <filterColumn colId="2">
      <filters>
        <filter val="1"/>
        <filter val="1 000"/>
        <filter val="1 083"/>
        <filter val="1 328"/>
        <filter val="1 352"/>
        <filter val="10 500"/>
        <filter val="100"/>
        <filter val="11 320"/>
        <filter val="11 553"/>
        <filter val="12 607"/>
        <filter val="132 550"/>
        <filter val="14 941"/>
        <filter val="15 130"/>
        <filter val="16 050"/>
        <filter val="161 074"/>
        <filter val="18 362"/>
        <filter val="18 412"/>
        <filter val="2 146"/>
        <filter val="2 174"/>
        <filter val="2 176"/>
        <filter val="2 710"/>
        <filter val="207 664"/>
        <filter val="250"/>
        <filter val="28"/>
        <filter val="28 014"/>
        <filter val="28 932"/>
        <filter val="3 185"/>
        <filter val="3 187"/>
        <filter val="3 415"/>
        <filter val="3 607"/>
        <filter val="-3 607"/>
        <filter val="3 608"/>
        <filter val="3 634"/>
        <filter val="3 845"/>
        <filter val="3 891"/>
        <filter val="3 938"/>
        <filter val="30 649"/>
        <filter val="308"/>
        <filter val="33 952"/>
        <filter val="382"/>
        <filter val="390"/>
        <filter val="4 196"/>
        <filter val="4 637"/>
        <filter val="4 730"/>
        <filter val="40 818"/>
        <filter val="43 228"/>
        <filter val="449"/>
        <filter val="46 590"/>
        <filter val="50"/>
        <filter val="51"/>
        <filter val="52"/>
        <filter val="533"/>
        <filter val="558"/>
        <filter val="592 941"/>
        <filter val="6 183"/>
        <filter val="6 320"/>
        <filter val="637 697"/>
        <filter val="7 568"/>
        <filter val="7 862"/>
        <filter val="770"/>
        <filter val="79 378"/>
        <filter val="845 361"/>
        <filter val="85"/>
        <filter val="898"/>
        <filter val="976 616"/>
        <filter val="977 911"/>
        <filter val="98 598"/>
        <filter val="996 323"/>
        <filter val="996 32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2019.gada 31.oktobra saistošajiem noteikumiem Nr.46
(protokols Nr.14, 28.punkts)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T2" sqref="T2"/>
    </sheetView>
  </sheetViews>
  <sheetFormatPr defaultRowHeight="15" outlineLevelCol="1" x14ac:dyDescent="0.25"/>
  <cols>
    <col min="1" max="1" width="10.85546875" customWidth="1"/>
    <col min="2" max="2" width="28" customWidth="1"/>
    <col min="3" max="3" width="8" customWidth="1"/>
    <col min="4" max="5" width="8.7109375" hidden="1" customWidth="1" outlineLevel="1"/>
    <col min="6" max="6" width="8.7109375" customWidth="1" collapsed="1"/>
    <col min="7" max="8" width="8.7109375" hidden="1" customWidth="1" outlineLevel="1"/>
    <col min="9" max="9" width="8.7109375" customWidth="1" collapsed="1"/>
    <col min="10" max="11" width="8.28515625" hidden="1" customWidth="1" outlineLevel="1"/>
    <col min="12" max="12" width="8.28515625" customWidth="1" collapsed="1"/>
    <col min="13" max="14" width="7.42578125" hidden="1" customWidth="1" outlineLevel="1"/>
    <col min="15" max="15" width="6.85546875" customWidth="1" collapsed="1"/>
    <col min="16" max="16" width="26.7109375" hidden="1" customWidth="1" outlineLevel="1"/>
    <col min="17" max="17" width="9.140625" collapsed="1"/>
    <col min="257" max="257" width="10.85546875" customWidth="1"/>
    <col min="258" max="258" width="28" customWidth="1"/>
    <col min="259" max="259" width="8" customWidth="1"/>
    <col min="260" max="265" width="8.7109375" customWidth="1"/>
    <col min="266" max="268" width="8.28515625" customWidth="1"/>
    <col min="269" max="270" width="7.42578125" customWidth="1"/>
    <col min="271" max="271" width="6.85546875" customWidth="1"/>
    <col min="272" max="272" width="26.7109375" customWidth="1"/>
    <col min="513" max="513" width="10.85546875" customWidth="1"/>
    <col min="514" max="514" width="28" customWidth="1"/>
    <col min="515" max="515" width="8" customWidth="1"/>
    <col min="516" max="521" width="8.7109375" customWidth="1"/>
    <col min="522" max="524" width="8.28515625" customWidth="1"/>
    <col min="525" max="526" width="7.42578125" customWidth="1"/>
    <col min="527" max="527" width="6.85546875" customWidth="1"/>
    <col min="528" max="528" width="26.7109375" customWidth="1"/>
    <col min="769" max="769" width="10.85546875" customWidth="1"/>
    <col min="770" max="770" width="28" customWidth="1"/>
    <col min="771" max="771" width="8" customWidth="1"/>
    <col min="772" max="777" width="8.7109375" customWidth="1"/>
    <col min="778" max="780" width="8.28515625" customWidth="1"/>
    <col min="781" max="782" width="7.42578125" customWidth="1"/>
    <col min="783" max="783" width="6.85546875" customWidth="1"/>
    <col min="784" max="784" width="26.7109375" customWidth="1"/>
    <col min="1025" max="1025" width="10.85546875" customWidth="1"/>
    <col min="1026" max="1026" width="28" customWidth="1"/>
    <col min="1027" max="1027" width="8" customWidth="1"/>
    <col min="1028" max="1033" width="8.7109375" customWidth="1"/>
    <col min="1034" max="1036" width="8.28515625" customWidth="1"/>
    <col min="1037" max="1038" width="7.42578125" customWidth="1"/>
    <col min="1039" max="1039" width="6.85546875" customWidth="1"/>
    <col min="1040" max="1040" width="26.7109375" customWidth="1"/>
    <col min="1281" max="1281" width="10.85546875" customWidth="1"/>
    <col min="1282" max="1282" width="28" customWidth="1"/>
    <col min="1283" max="1283" width="8" customWidth="1"/>
    <col min="1284" max="1289" width="8.7109375" customWidth="1"/>
    <col min="1290" max="1292" width="8.28515625" customWidth="1"/>
    <col min="1293" max="1294" width="7.42578125" customWidth="1"/>
    <col min="1295" max="1295" width="6.85546875" customWidth="1"/>
    <col min="1296" max="1296" width="26.7109375" customWidth="1"/>
    <col min="1537" max="1537" width="10.85546875" customWidth="1"/>
    <col min="1538" max="1538" width="28" customWidth="1"/>
    <col min="1539" max="1539" width="8" customWidth="1"/>
    <col min="1540" max="1545" width="8.7109375" customWidth="1"/>
    <col min="1546" max="1548" width="8.28515625" customWidth="1"/>
    <col min="1549" max="1550" width="7.42578125" customWidth="1"/>
    <col min="1551" max="1551" width="6.85546875" customWidth="1"/>
    <col min="1552" max="1552" width="26.7109375" customWidth="1"/>
    <col min="1793" max="1793" width="10.85546875" customWidth="1"/>
    <col min="1794" max="1794" width="28" customWidth="1"/>
    <col min="1795" max="1795" width="8" customWidth="1"/>
    <col min="1796" max="1801" width="8.7109375" customWidth="1"/>
    <col min="1802" max="1804" width="8.28515625" customWidth="1"/>
    <col min="1805" max="1806" width="7.42578125" customWidth="1"/>
    <col min="1807" max="1807" width="6.85546875" customWidth="1"/>
    <col min="1808" max="1808" width="26.7109375" customWidth="1"/>
    <col min="2049" max="2049" width="10.85546875" customWidth="1"/>
    <col min="2050" max="2050" width="28" customWidth="1"/>
    <col min="2051" max="2051" width="8" customWidth="1"/>
    <col min="2052" max="2057" width="8.7109375" customWidth="1"/>
    <col min="2058" max="2060" width="8.28515625" customWidth="1"/>
    <col min="2061" max="2062" width="7.42578125" customWidth="1"/>
    <col min="2063" max="2063" width="6.85546875" customWidth="1"/>
    <col min="2064" max="2064" width="26.7109375" customWidth="1"/>
    <col min="2305" max="2305" width="10.85546875" customWidth="1"/>
    <col min="2306" max="2306" width="28" customWidth="1"/>
    <col min="2307" max="2307" width="8" customWidth="1"/>
    <col min="2308" max="2313" width="8.7109375" customWidth="1"/>
    <col min="2314" max="2316" width="8.28515625" customWidth="1"/>
    <col min="2317" max="2318" width="7.42578125" customWidth="1"/>
    <col min="2319" max="2319" width="6.85546875" customWidth="1"/>
    <col min="2320" max="2320" width="26.7109375" customWidth="1"/>
    <col min="2561" max="2561" width="10.85546875" customWidth="1"/>
    <col min="2562" max="2562" width="28" customWidth="1"/>
    <col min="2563" max="2563" width="8" customWidth="1"/>
    <col min="2564" max="2569" width="8.7109375" customWidth="1"/>
    <col min="2570" max="2572" width="8.28515625" customWidth="1"/>
    <col min="2573" max="2574" width="7.42578125" customWidth="1"/>
    <col min="2575" max="2575" width="6.85546875" customWidth="1"/>
    <col min="2576" max="2576" width="26.7109375" customWidth="1"/>
    <col min="2817" max="2817" width="10.85546875" customWidth="1"/>
    <col min="2818" max="2818" width="28" customWidth="1"/>
    <col min="2819" max="2819" width="8" customWidth="1"/>
    <col min="2820" max="2825" width="8.7109375" customWidth="1"/>
    <col min="2826" max="2828" width="8.28515625" customWidth="1"/>
    <col min="2829" max="2830" width="7.42578125" customWidth="1"/>
    <col min="2831" max="2831" width="6.85546875" customWidth="1"/>
    <col min="2832" max="2832" width="26.7109375" customWidth="1"/>
    <col min="3073" max="3073" width="10.85546875" customWidth="1"/>
    <col min="3074" max="3074" width="28" customWidth="1"/>
    <col min="3075" max="3075" width="8" customWidth="1"/>
    <col min="3076" max="3081" width="8.7109375" customWidth="1"/>
    <col min="3082" max="3084" width="8.28515625" customWidth="1"/>
    <col min="3085" max="3086" width="7.42578125" customWidth="1"/>
    <col min="3087" max="3087" width="6.85546875" customWidth="1"/>
    <col min="3088" max="3088" width="26.7109375" customWidth="1"/>
    <col min="3329" max="3329" width="10.85546875" customWidth="1"/>
    <col min="3330" max="3330" width="28" customWidth="1"/>
    <col min="3331" max="3331" width="8" customWidth="1"/>
    <col min="3332" max="3337" width="8.7109375" customWidth="1"/>
    <col min="3338" max="3340" width="8.28515625" customWidth="1"/>
    <col min="3341" max="3342" width="7.42578125" customWidth="1"/>
    <col min="3343" max="3343" width="6.85546875" customWidth="1"/>
    <col min="3344" max="3344" width="26.7109375" customWidth="1"/>
    <col min="3585" max="3585" width="10.85546875" customWidth="1"/>
    <col min="3586" max="3586" width="28" customWidth="1"/>
    <col min="3587" max="3587" width="8" customWidth="1"/>
    <col min="3588" max="3593" width="8.7109375" customWidth="1"/>
    <col min="3594" max="3596" width="8.28515625" customWidth="1"/>
    <col min="3597" max="3598" width="7.42578125" customWidth="1"/>
    <col min="3599" max="3599" width="6.85546875" customWidth="1"/>
    <col min="3600" max="3600" width="26.7109375" customWidth="1"/>
    <col min="3841" max="3841" width="10.85546875" customWidth="1"/>
    <col min="3842" max="3842" width="28" customWidth="1"/>
    <col min="3843" max="3843" width="8" customWidth="1"/>
    <col min="3844" max="3849" width="8.7109375" customWidth="1"/>
    <col min="3850" max="3852" width="8.28515625" customWidth="1"/>
    <col min="3853" max="3854" width="7.42578125" customWidth="1"/>
    <col min="3855" max="3855" width="6.85546875" customWidth="1"/>
    <col min="3856" max="3856" width="26.7109375" customWidth="1"/>
    <col min="4097" max="4097" width="10.85546875" customWidth="1"/>
    <col min="4098" max="4098" width="28" customWidth="1"/>
    <col min="4099" max="4099" width="8" customWidth="1"/>
    <col min="4100" max="4105" width="8.7109375" customWidth="1"/>
    <col min="4106" max="4108" width="8.28515625" customWidth="1"/>
    <col min="4109" max="4110" width="7.42578125" customWidth="1"/>
    <col min="4111" max="4111" width="6.85546875" customWidth="1"/>
    <col min="4112" max="4112" width="26.7109375" customWidth="1"/>
    <col min="4353" max="4353" width="10.85546875" customWidth="1"/>
    <col min="4354" max="4354" width="28" customWidth="1"/>
    <col min="4355" max="4355" width="8" customWidth="1"/>
    <col min="4356" max="4361" width="8.7109375" customWidth="1"/>
    <col min="4362" max="4364" width="8.28515625" customWidth="1"/>
    <col min="4365" max="4366" width="7.42578125" customWidth="1"/>
    <col min="4367" max="4367" width="6.85546875" customWidth="1"/>
    <col min="4368" max="4368" width="26.7109375" customWidth="1"/>
    <col min="4609" max="4609" width="10.85546875" customWidth="1"/>
    <col min="4610" max="4610" width="28" customWidth="1"/>
    <col min="4611" max="4611" width="8" customWidth="1"/>
    <col min="4612" max="4617" width="8.7109375" customWidth="1"/>
    <col min="4618" max="4620" width="8.28515625" customWidth="1"/>
    <col min="4621" max="4622" width="7.42578125" customWidth="1"/>
    <col min="4623" max="4623" width="6.85546875" customWidth="1"/>
    <col min="4624" max="4624" width="26.7109375" customWidth="1"/>
    <col min="4865" max="4865" width="10.85546875" customWidth="1"/>
    <col min="4866" max="4866" width="28" customWidth="1"/>
    <col min="4867" max="4867" width="8" customWidth="1"/>
    <col min="4868" max="4873" width="8.7109375" customWidth="1"/>
    <col min="4874" max="4876" width="8.28515625" customWidth="1"/>
    <col min="4877" max="4878" width="7.42578125" customWidth="1"/>
    <col min="4879" max="4879" width="6.85546875" customWidth="1"/>
    <col min="4880" max="4880" width="26.7109375" customWidth="1"/>
    <col min="5121" max="5121" width="10.85546875" customWidth="1"/>
    <col min="5122" max="5122" width="28" customWidth="1"/>
    <col min="5123" max="5123" width="8" customWidth="1"/>
    <col min="5124" max="5129" width="8.7109375" customWidth="1"/>
    <col min="5130" max="5132" width="8.28515625" customWidth="1"/>
    <col min="5133" max="5134" width="7.42578125" customWidth="1"/>
    <col min="5135" max="5135" width="6.85546875" customWidth="1"/>
    <col min="5136" max="5136" width="26.7109375" customWidth="1"/>
    <col min="5377" max="5377" width="10.85546875" customWidth="1"/>
    <col min="5378" max="5378" width="28" customWidth="1"/>
    <col min="5379" max="5379" width="8" customWidth="1"/>
    <col min="5380" max="5385" width="8.7109375" customWidth="1"/>
    <col min="5386" max="5388" width="8.28515625" customWidth="1"/>
    <col min="5389" max="5390" width="7.42578125" customWidth="1"/>
    <col min="5391" max="5391" width="6.85546875" customWidth="1"/>
    <col min="5392" max="5392" width="26.7109375" customWidth="1"/>
    <col min="5633" max="5633" width="10.85546875" customWidth="1"/>
    <col min="5634" max="5634" width="28" customWidth="1"/>
    <col min="5635" max="5635" width="8" customWidth="1"/>
    <col min="5636" max="5641" width="8.7109375" customWidth="1"/>
    <col min="5642" max="5644" width="8.28515625" customWidth="1"/>
    <col min="5645" max="5646" width="7.42578125" customWidth="1"/>
    <col min="5647" max="5647" width="6.85546875" customWidth="1"/>
    <col min="5648" max="5648" width="26.7109375" customWidth="1"/>
    <col min="5889" max="5889" width="10.85546875" customWidth="1"/>
    <col min="5890" max="5890" width="28" customWidth="1"/>
    <col min="5891" max="5891" width="8" customWidth="1"/>
    <col min="5892" max="5897" width="8.7109375" customWidth="1"/>
    <col min="5898" max="5900" width="8.28515625" customWidth="1"/>
    <col min="5901" max="5902" width="7.42578125" customWidth="1"/>
    <col min="5903" max="5903" width="6.85546875" customWidth="1"/>
    <col min="5904" max="5904" width="26.7109375" customWidth="1"/>
    <col min="6145" max="6145" width="10.85546875" customWidth="1"/>
    <col min="6146" max="6146" width="28" customWidth="1"/>
    <col min="6147" max="6147" width="8" customWidth="1"/>
    <col min="6148" max="6153" width="8.7109375" customWidth="1"/>
    <col min="6154" max="6156" width="8.28515625" customWidth="1"/>
    <col min="6157" max="6158" width="7.42578125" customWidth="1"/>
    <col min="6159" max="6159" width="6.85546875" customWidth="1"/>
    <col min="6160" max="6160" width="26.7109375" customWidth="1"/>
    <col min="6401" max="6401" width="10.85546875" customWidth="1"/>
    <col min="6402" max="6402" width="28" customWidth="1"/>
    <col min="6403" max="6403" width="8" customWidth="1"/>
    <col min="6404" max="6409" width="8.7109375" customWidth="1"/>
    <col min="6410" max="6412" width="8.28515625" customWidth="1"/>
    <col min="6413" max="6414" width="7.42578125" customWidth="1"/>
    <col min="6415" max="6415" width="6.85546875" customWidth="1"/>
    <col min="6416" max="6416" width="26.7109375" customWidth="1"/>
    <col min="6657" max="6657" width="10.85546875" customWidth="1"/>
    <col min="6658" max="6658" width="28" customWidth="1"/>
    <col min="6659" max="6659" width="8" customWidth="1"/>
    <col min="6660" max="6665" width="8.7109375" customWidth="1"/>
    <col min="6666" max="6668" width="8.28515625" customWidth="1"/>
    <col min="6669" max="6670" width="7.42578125" customWidth="1"/>
    <col min="6671" max="6671" width="6.85546875" customWidth="1"/>
    <col min="6672" max="6672" width="26.7109375" customWidth="1"/>
    <col min="6913" max="6913" width="10.85546875" customWidth="1"/>
    <col min="6914" max="6914" width="28" customWidth="1"/>
    <col min="6915" max="6915" width="8" customWidth="1"/>
    <col min="6916" max="6921" width="8.7109375" customWidth="1"/>
    <col min="6922" max="6924" width="8.28515625" customWidth="1"/>
    <col min="6925" max="6926" width="7.42578125" customWidth="1"/>
    <col min="6927" max="6927" width="6.85546875" customWidth="1"/>
    <col min="6928" max="6928" width="26.7109375" customWidth="1"/>
    <col min="7169" max="7169" width="10.85546875" customWidth="1"/>
    <col min="7170" max="7170" width="28" customWidth="1"/>
    <col min="7171" max="7171" width="8" customWidth="1"/>
    <col min="7172" max="7177" width="8.7109375" customWidth="1"/>
    <col min="7178" max="7180" width="8.28515625" customWidth="1"/>
    <col min="7181" max="7182" width="7.42578125" customWidth="1"/>
    <col min="7183" max="7183" width="6.85546875" customWidth="1"/>
    <col min="7184" max="7184" width="26.7109375" customWidth="1"/>
    <col min="7425" max="7425" width="10.85546875" customWidth="1"/>
    <col min="7426" max="7426" width="28" customWidth="1"/>
    <col min="7427" max="7427" width="8" customWidth="1"/>
    <col min="7428" max="7433" width="8.7109375" customWidth="1"/>
    <col min="7434" max="7436" width="8.28515625" customWidth="1"/>
    <col min="7437" max="7438" width="7.42578125" customWidth="1"/>
    <col min="7439" max="7439" width="6.85546875" customWidth="1"/>
    <col min="7440" max="7440" width="26.7109375" customWidth="1"/>
    <col min="7681" max="7681" width="10.85546875" customWidth="1"/>
    <col min="7682" max="7682" width="28" customWidth="1"/>
    <col min="7683" max="7683" width="8" customWidth="1"/>
    <col min="7684" max="7689" width="8.7109375" customWidth="1"/>
    <col min="7690" max="7692" width="8.28515625" customWidth="1"/>
    <col min="7693" max="7694" width="7.42578125" customWidth="1"/>
    <col min="7695" max="7695" width="6.85546875" customWidth="1"/>
    <col min="7696" max="7696" width="26.7109375" customWidth="1"/>
    <col min="7937" max="7937" width="10.85546875" customWidth="1"/>
    <col min="7938" max="7938" width="28" customWidth="1"/>
    <col min="7939" max="7939" width="8" customWidth="1"/>
    <col min="7940" max="7945" width="8.7109375" customWidth="1"/>
    <col min="7946" max="7948" width="8.28515625" customWidth="1"/>
    <col min="7949" max="7950" width="7.42578125" customWidth="1"/>
    <col min="7951" max="7951" width="6.85546875" customWidth="1"/>
    <col min="7952" max="7952" width="26.7109375" customWidth="1"/>
    <col min="8193" max="8193" width="10.85546875" customWidth="1"/>
    <col min="8194" max="8194" width="28" customWidth="1"/>
    <col min="8195" max="8195" width="8" customWidth="1"/>
    <col min="8196" max="8201" width="8.7109375" customWidth="1"/>
    <col min="8202" max="8204" width="8.28515625" customWidth="1"/>
    <col min="8205" max="8206" width="7.42578125" customWidth="1"/>
    <col min="8207" max="8207" width="6.85546875" customWidth="1"/>
    <col min="8208" max="8208" width="26.7109375" customWidth="1"/>
    <col min="8449" max="8449" width="10.85546875" customWidth="1"/>
    <col min="8450" max="8450" width="28" customWidth="1"/>
    <col min="8451" max="8451" width="8" customWidth="1"/>
    <col min="8452" max="8457" width="8.7109375" customWidth="1"/>
    <col min="8458" max="8460" width="8.28515625" customWidth="1"/>
    <col min="8461" max="8462" width="7.42578125" customWidth="1"/>
    <col min="8463" max="8463" width="6.85546875" customWidth="1"/>
    <col min="8464" max="8464" width="26.7109375" customWidth="1"/>
    <col min="8705" max="8705" width="10.85546875" customWidth="1"/>
    <col min="8706" max="8706" width="28" customWidth="1"/>
    <col min="8707" max="8707" width="8" customWidth="1"/>
    <col min="8708" max="8713" width="8.7109375" customWidth="1"/>
    <col min="8714" max="8716" width="8.28515625" customWidth="1"/>
    <col min="8717" max="8718" width="7.42578125" customWidth="1"/>
    <col min="8719" max="8719" width="6.85546875" customWidth="1"/>
    <col min="8720" max="8720" width="26.7109375" customWidth="1"/>
    <col min="8961" max="8961" width="10.85546875" customWidth="1"/>
    <col min="8962" max="8962" width="28" customWidth="1"/>
    <col min="8963" max="8963" width="8" customWidth="1"/>
    <col min="8964" max="8969" width="8.7109375" customWidth="1"/>
    <col min="8970" max="8972" width="8.28515625" customWidth="1"/>
    <col min="8973" max="8974" width="7.42578125" customWidth="1"/>
    <col min="8975" max="8975" width="6.85546875" customWidth="1"/>
    <col min="8976" max="8976" width="26.7109375" customWidth="1"/>
    <col min="9217" max="9217" width="10.85546875" customWidth="1"/>
    <col min="9218" max="9218" width="28" customWidth="1"/>
    <col min="9219" max="9219" width="8" customWidth="1"/>
    <col min="9220" max="9225" width="8.7109375" customWidth="1"/>
    <col min="9226" max="9228" width="8.28515625" customWidth="1"/>
    <col min="9229" max="9230" width="7.42578125" customWidth="1"/>
    <col min="9231" max="9231" width="6.85546875" customWidth="1"/>
    <col min="9232" max="9232" width="26.7109375" customWidth="1"/>
    <col min="9473" max="9473" width="10.85546875" customWidth="1"/>
    <col min="9474" max="9474" width="28" customWidth="1"/>
    <col min="9475" max="9475" width="8" customWidth="1"/>
    <col min="9476" max="9481" width="8.7109375" customWidth="1"/>
    <col min="9482" max="9484" width="8.28515625" customWidth="1"/>
    <col min="9485" max="9486" width="7.42578125" customWidth="1"/>
    <col min="9487" max="9487" width="6.85546875" customWidth="1"/>
    <col min="9488" max="9488" width="26.7109375" customWidth="1"/>
    <col min="9729" max="9729" width="10.85546875" customWidth="1"/>
    <col min="9730" max="9730" width="28" customWidth="1"/>
    <col min="9731" max="9731" width="8" customWidth="1"/>
    <col min="9732" max="9737" width="8.7109375" customWidth="1"/>
    <col min="9738" max="9740" width="8.28515625" customWidth="1"/>
    <col min="9741" max="9742" width="7.42578125" customWidth="1"/>
    <col min="9743" max="9743" width="6.85546875" customWidth="1"/>
    <col min="9744" max="9744" width="26.7109375" customWidth="1"/>
    <col min="9985" max="9985" width="10.85546875" customWidth="1"/>
    <col min="9986" max="9986" width="28" customWidth="1"/>
    <col min="9987" max="9987" width="8" customWidth="1"/>
    <col min="9988" max="9993" width="8.7109375" customWidth="1"/>
    <col min="9994" max="9996" width="8.28515625" customWidth="1"/>
    <col min="9997" max="9998" width="7.42578125" customWidth="1"/>
    <col min="9999" max="9999" width="6.85546875" customWidth="1"/>
    <col min="10000" max="10000" width="26.7109375" customWidth="1"/>
    <col min="10241" max="10241" width="10.85546875" customWidth="1"/>
    <col min="10242" max="10242" width="28" customWidth="1"/>
    <col min="10243" max="10243" width="8" customWidth="1"/>
    <col min="10244" max="10249" width="8.7109375" customWidth="1"/>
    <col min="10250" max="10252" width="8.28515625" customWidth="1"/>
    <col min="10253" max="10254" width="7.42578125" customWidth="1"/>
    <col min="10255" max="10255" width="6.85546875" customWidth="1"/>
    <col min="10256" max="10256" width="26.7109375" customWidth="1"/>
    <col min="10497" max="10497" width="10.85546875" customWidth="1"/>
    <col min="10498" max="10498" width="28" customWidth="1"/>
    <col min="10499" max="10499" width="8" customWidth="1"/>
    <col min="10500" max="10505" width="8.7109375" customWidth="1"/>
    <col min="10506" max="10508" width="8.28515625" customWidth="1"/>
    <col min="10509" max="10510" width="7.42578125" customWidth="1"/>
    <col min="10511" max="10511" width="6.85546875" customWidth="1"/>
    <col min="10512" max="10512" width="26.7109375" customWidth="1"/>
    <col min="10753" max="10753" width="10.85546875" customWidth="1"/>
    <col min="10754" max="10754" width="28" customWidth="1"/>
    <col min="10755" max="10755" width="8" customWidth="1"/>
    <col min="10756" max="10761" width="8.7109375" customWidth="1"/>
    <col min="10762" max="10764" width="8.28515625" customWidth="1"/>
    <col min="10765" max="10766" width="7.42578125" customWidth="1"/>
    <col min="10767" max="10767" width="6.85546875" customWidth="1"/>
    <col min="10768" max="10768" width="26.7109375" customWidth="1"/>
    <col min="11009" max="11009" width="10.85546875" customWidth="1"/>
    <col min="11010" max="11010" width="28" customWidth="1"/>
    <col min="11011" max="11011" width="8" customWidth="1"/>
    <col min="11012" max="11017" width="8.7109375" customWidth="1"/>
    <col min="11018" max="11020" width="8.28515625" customWidth="1"/>
    <col min="11021" max="11022" width="7.42578125" customWidth="1"/>
    <col min="11023" max="11023" width="6.85546875" customWidth="1"/>
    <col min="11024" max="11024" width="26.7109375" customWidth="1"/>
    <col min="11265" max="11265" width="10.85546875" customWidth="1"/>
    <col min="11266" max="11266" width="28" customWidth="1"/>
    <col min="11267" max="11267" width="8" customWidth="1"/>
    <col min="11268" max="11273" width="8.7109375" customWidth="1"/>
    <col min="11274" max="11276" width="8.28515625" customWidth="1"/>
    <col min="11277" max="11278" width="7.42578125" customWidth="1"/>
    <col min="11279" max="11279" width="6.85546875" customWidth="1"/>
    <col min="11280" max="11280" width="26.7109375" customWidth="1"/>
    <col min="11521" max="11521" width="10.85546875" customWidth="1"/>
    <col min="11522" max="11522" width="28" customWidth="1"/>
    <col min="11523" max="11523" width="8" customWidth="1"/>
    <col min="11524" max="11529" width="8.7109375" customWidth="1"/>
    <col min="11530" max="11532" width="8.28515625" customWidth="1"/>
    <col min="11533" max="11534" width="7.42578125" customWidth="1"/>
    <col min="11535" max="11535" width="6.85546875" customWidth="1"/>
    <col min="11536" max="11536" width="26.7109375" customWidth="1"/>
    <col min="11777" max="11777" width="10.85546875" customWidth="1"/>
    <col min="11778" max="11778" width="28" customWidth="1"/>
    <col min="11779" max="11779" width="8" customWidth="1"/>
    <col min="11780" max="11785" width="8.7109375" customWidth="1"/>
    <col min="11786" max="11788" width="8.28515625" customWidth="1"/>
    <col min="11789" max="11790" width="7.42578125" customWidth="1"/>
    <col min="11791" max="11791" width="6.85546875" customWidth="1"/>
    <col min="11792" max="11792" width="26.7109375" customWidth="1"/>
    <col min="12033" max="12033" width="10.85546875" customWidth="1"/>
    <col min="12034" max="12034" width="28" customWidth="1"/>
    <col min="12035" max="12035" width="8" customWidth="1"/>
    <col min="12036" max="12041" width="8.7109375" customWidth="1"/>
    <col min="12042" max="12044" width="8.28515625" customWidth="1"/>
    <col min="12045" max="12046" width="7.42578125" customWidth="1"/>
    <col min="12047" max="12047" width="6.85546875" customWidth="1"/>
    <col min="12048" max="12048" width="26.7109375" customWidth="1"/>
    <col min="12289" max="12289" width="10.85546875" customWidth="1"/>
    <col min="12290" max="12290" width="28" customWidth="1"/>
    <col min="12291" max="12291" width="8" customWidth="1"/>
    <col min="12292" max="12297" width="8.7109375" customWidth="1"/>
    <col min="12298" max="12300" width="8.28515625" customWidth="1"/>
    <col min="12301" max="12302" width="7.42578125" customWidth="1"/>
    <col min="12303" max="12303" width="6.85546875" customWidth="1"/>
    <col min="12304" max="12304" width="26.7109375" customWidth="1"/>
    <col min="12545" max="12545" width="10.85546875" customWidth="1"/>
    <col min="12546" max="12546" width="28" customWidth="1"/>
    <col min="12547" max="12547" width="8" customWidth="1"/>
    <col min="12548" max="12553" width="8.7109375" customWidth="1"/>
    <col min="12554" max="12556" width="8.28515625" customWidth="1"/>
    <col min="12557" max="12558" width="7.42578125" customWidth="1"/>
    <col min="12559" max="12559" width="6.85546875" customWidth="1"/>
    <col min="12560" max="12560" width="26.7109375" customWidth="1"/>
    <col min="12801" max="12801" width="10.85546875" customWidth="1"/>
    <col min="12802" max="12802" width="28" customWidth="1"/>
    <col min="12803" max="12803" width="8" customWidth="1"/>
    <col min="12804" max="12809" width="8.7109375" customWidth="1"/>
    <col min="12810" max="12812" width="8.28515625" customWidth="1"/>
    <col min="12813" max="12814" width="7.42578125" customWidth="1"/>
    <col min="12815" max="12815" width="6.85546875" customWidth="1"/>
    <col min="12816" max="12816" width="26.7109375" customWidth="1"/>
    <col min="13057" max="13057" width="10.85546875" customWidth="1"/>
    <col min="13058" max="13058" width="28" customWidth="1"/>
    <col min="13059" max="13059" width="8" customWidth="1"/>
    <col min="13060" max="13065" width="8.7109375" customWidth="1"/>
    <col min="13066" max="13068" width="8.28515625" customWidth="1"/>
    <col min="13069" max="13070" width="7.42578125" customWidth="1"/>
    <col min="13071" max="13071" width="6.85546875" customWidth="1"/>
    <col min="13072" max="13072" width="26.7109375" customWidth="1"/>
    <col min="13313" max="13313" width="10.85546875" customWidth="1"/>
    <col min="13314" max="13314" width="28" customWidth="1"/>
    <col min="13315" max="13315" width="8" customWidth="1"/>
    <col min="13316" max="13321" width="8.7109375" customWidth="1"/>
    <col min="13322" max="13324" width="8.28515625" customWidth="1"/>
    <col min="13325" max="13326" width="7.42578125" customWidth="1"/>
    <col min="13327" max="13327" width="6.85546875" customWidth="1"/>
    <col min="13328" max="13328" width="26.7109375" customWidth="1"/>
    <col min="13569" max="13569" width="10.85546875" customWidth="1"/>
    <col min="13570" max="13570" width="28" customWidth="1"/>
    <col min="13571" max="13571" width="8" customWidth="1"/>
    <col min="13572" max="13577" width="8.7109375" customWidth="1"/>
    <col min="13578" max="13580" width="8.28515625" customWidth="1"/>
    <col min="13581" max="13582" width="7.42578125" customWidth="1"/>
    <col min="13583" max="13583" width="6.85546875" customWidth="1"/>
    <col min="13584" max="13584" width="26.7109375" customWidth="1"/>
    <col min="13825" max="13825" width="10.85546875" customWidth="1"/>
    <col min="13826" max="13826" width="28" customWidth="1"/>
    <col min="13827" max="13827" width="8" customWidth="1"/>
    <col min="13828" max="13833" width="8.7109375" customWidth="1"/>
    <col min="13834" max="13836" width="8.28515625" customWidth="1"/>
    <col min="13837" max="13838" width="7.42578125" customWidth="1"/>
    <col min="13839" max="13839" width="6.85546875" customWidth="1"/>
    <col min="13840" max="13840" width="26.7109375" customWidth="1"/>
    <col min="14081" max="14081" width="10.85546875" customWidth="1"/>
    <col min="14082" max="14082" width="28" customWidth="1"/>
    <col min="14083" max="14083" width="8" customWidth="1"/>
    <col min="14084" max="14089" width="8.7109375" customWidth="1"/>
    <col min="14090" max="14092" width="8.28515625" customWidth="1"/>
    <col min="14093" max="14094" width="7.42578125" customWidth="1"/>
    <col min="14095" max="14095" width="6.85546875" customWidth="1"/>
    <col min="14096" max="14096" width="26.7109375" customWidth="1"/>
    <col min="14337" max="14337" width="10.85546875" customWidth="1"/>
    <col min="14338" max="14338" width="28" customWidth="1"/>
    <col min="14339" max="14339" width="8" customWidth="1"/>
    <col min="14340" max="14345" width="8.7109375" customWidth="1"/>
    <col min="14346" max="14348" width="8.28515625" customWidth="1"/>
    <col min="14349" max="14350" width="7.42578125" customWidth="1"/>
    <col min="14351" max="14351" width="6.85546875" customWidth="1"/>
    <col min="14352" max="14352" width="26.7109375" customWidth="1"/>
    <col min="14593" max="14593" width="10.85546875" customWidth="1"/>
    <col min="14594" max="14594" width="28" customWidth="1"/>
    <col min="14595" max="14595" width="8" customWidth="1"/>
    <col min="14596" max="14601" width="8.7109375" customWidth="1"/>
    <col min="14602" max="14604" width="8.28515625" customWidth="1"/>
    <col min="14605" max="14606" width="7.42578125" customWidth="1"/>
    <col min="14607" max="14607" width="6.85546875" customWidth="1"/>
    <col min="14608" max="14608" width="26.7109375" customWidth="1"/>
    <col min="14849" max="14849" width="10.85546875" customWidth="1"/>
    <col min="14850" max="14850" width="28" customWidth="1"/>
    <col min="14851" max="14851" width="8" customWidth="1"/>
    <col min="14852" max="14857" width="8.7109375" customWidth="1"/>
    <col min="14858" max="14860" width="8.28515625" customWidth="1"/>
    <col min="14861" max="14862" width="7.42578125" customWidth="1"/>
    <col min="14863" max="14863" width="6.85546875" customWidth="1"/>
    <col min="14864" max="14864" width="26.7109375" customWidth="1"/>
    <col min="15105" max="15105" width="10.85546875" customWidth="1"/>
    <col min="15106" max="15106" width="28" customWidth="1"/>
    <col min="15107" max="15107" width="8" customWidth="1"/>
    <col min="15108" max="15113" width="8.7109375" customWidth="1"/>
    <col min="15114" max="15116" width="8.28515625" customWidth="1"/>
    <col min="15117" max="15118" width="7.42578125" customWidth="1"/>
    <col min="15119" max="15119" width="6.85546875" customWidth="1"/>
    <col min="15120" max="15120" width="26.7109375" customWidth="1"/>
    <col min="15361" max="15361" width="10.85546875" customWidth="1"/>
    <col min="15362" max="15362" width="28" customWidth="1"/>
    <col min="15363" max="15363" width="8" customWidth="1"/>
    <col min="15364" max="15369" width="8.7109375" customWidth="1"/>
    <col min="15370" max="15372" width="8.28515625" customWidth="1"/>
    <col min="15373" max="15374" width="7.42578125" customWidth="1"/>
    <col min="15375" max="15375" width="6.85546875" customWidth="1"/>
    <col min="15376" max="15376" width="26.7109375" customWidth="1"/>
    <col min="15617" max="15617" width="10.85546875" customWidth="1"/>
    <col min="15618" max="15618" width="28" customWidth="1"/>
    <col min="15619" max="15619" width="8" customWidth="1"/>
    <col min="15620" max="15625" width="8.7109375" customWidth="1"/>
    <col min="15626" max="15628" width="8.28515625" customWidth="1"/>
    <col min="15629" max="15630" width="7.42578125" customWidth="1"/>
    <col min="15631" max="15631" width="6.85546875" customWidth="1"/>
    <col min="15632" max="15632" width="26.7109375" customWidth="1"/>
    <col min="15873" max="15873" width="10.85546875" customWidth="1"/>
    <col min="15874" max="15874" width="28" customWidth="1"/>
    <col min="15875" max="15875" width="8" customWidth="1"/>
    <col min="15876" max="15881" width="8.7109375" customWidth="1"/>
    <col min="15882" max="15884" width="8.28515625" customWidth="1"/>
    <col min="15885" max="15886" width="7.42578125" customWidth="1"/>
    <col min="15887" max="15887" width="6.85546875" customWidth="1"/>
    <col min="15888" max="15888" width="26.7109375" customWidth="1"/>
    <col min="16129" max="16129" width="10.85546875" customWidth="1"/>
    <col min="16130" max="16130" width="28" customWidth="1"/>
    <col min="16131" max="16131" width="8" customWidth="1"/>
    <col min="16132" max="16137" width="8.7109375" customWidth="1"/>
    <col min="16138" max="16140" width="8.28515625" customWidth="1"/>
    <col min="16141" max="16142" width="7.42578125" customWidth="1"/>
    <col min="16143" max="16143" width="6.85546875" customWidth="1"/>
    <col min="16144" max="16144" width="26.7109375" customWidth="1"/>
  </cols>
  <sheetData>
    <row r="1" spans="1:17" x14ac:dyDescent="0.25">
      <c r="A1" s="1"/>
      <c r="B1" s="1"/>
      <c r="C1" s="1"/>
      <c r="D1" s="730"/>
      <c r="E1" s="730"/>
      <c r="F1" s="730"/>
      <c r="G1" s="730"/>
      <c r="H1" s="730"/>
      <c r="I1" s="730"/>
      <c r="J1" s="730"/>
      <c r="K1" s="730"/>
      <c r="L1" s="730"/>
      <c r="M1" s="1"/>
      <c r="N1" s="2"/>
      <c r="O1" s="3" t="s">
        <v>853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873</v>
      </c>
      <c r="D3" s="1517"/>
      <c r="E3" s="1517"/>
      <c r="F3" s="1517"/>
      <c r="G3" s="1517"/>
      <c r="H3" s="1517"/>
      <c r="I3" s="1517"/>
      <c r="J3" s="1517"/>
      <c r="K3" s="1517"/>
      <c r="L3" s="1517"/>
      <c r="M3" s="1517"/>
      <c r="N3" s="1517"/>
      <c r="O3" s="1517"/>
      <c r="P3" s="1518"/>
      <c r="Q3" s="853"/>
    </row>
    <row r="4" spans="1:17" ht="12.75" customHeight="1" x14ac:dyDescent="0.25">
      <c r="A4" s="5" t="s">
        <v>4</v>
      </c>
      <c r="B4" s="6"/>
      <c r="C4" s="1517" t="s">
        <v>854</v>
      </c>
      <c r="D4" s="1517"/>
      <c r="E4" s="1517"/>
      <c r="F4" s="1517"/>
      <c r="G4" s="1517"/>
      <c r="H4" s="1517"/>
      <c r="I4" s="1517"/>
      <c r="J4" s="1517"/>
      <c r="K4" s="1517"/>
      <c r="L4" s="1517"/>
      <c r="M4" s="1517"/>
      <c r="N4" s="1517"/>
      <c r="O4" s="1517"/>
      <c r="P4" s="1518"/>
      <c r="Q4" s="853"/>
    </row>
    <row r="5" spans="1:17" ht="12.75" customHeight="1" x14ac:dyDescent="0.25">
      <c r="A5" s="7" t="s">
        <v>6</v>
      </c>
      <c r="B5" s="8"/>
      <c r="C5" s="1512" t="s">
        <v>855</v>
      </c>
      <c r="D5" s="1512"/>
      <c r="E5" s="1512"/>
      <c r="F5" s="1512"/>
      <c r="G5" s="1512"/>
      <c r="H5" s="1512"/>
      <c r="I5" s="1512"/>
      <c r="J5" s="1512"/>
      <c r="K5" s="1512"/>
      <c r="L5" s="1512"/>
      <c r="M5" s="1512"/>
      <c r="N5" s="1512"/>
      <c r="O5" s="1512"/>
      <c r="P5" s="1513"/>
      <c r="Q5" s="853"/>
    </row>
    <row r="6" spans="1:17" ht="12.75" customHeight="1" x14ac:dyDescent="0.25">
      <c r="A6" s="7" t="s">
        <v>8</v>
      </c>
      <c r="B6" s="8"/>
      <c r="C6" s="1512" t="s">
        <v>595</v>
      </c>
      <c r="D6" s="1512"/>
      <c r="E6" s="1512"/>
      <c r="F6" s="1512"/>
      <c r="G6" s="1512"/>
      <c r="H6" s="1512"/>
      <c r="I6" s="1512"/>
      <c r="J6" s="1512"/>
      <c r="K6" s="1512"/>
      <c r="L6" s="1512"/>
      <c r="M6" s="1512"/>
      <c r="N6" s="1512"/>
      <c r="O6" s="1512"/>
      <c r="P6" s="1513"/>
      <c r="Q6" s="853"/>
    </row>
    <row r="7" spans="1:17" ht="26.25" customHeight="1" x14ac:dyDescent="0.25">
      <c r="A7" s="7" t="s">
        <v>10</v>
      </c>
      <c r="B7" s="8"/>
      <c r="C7" s="1517" t="s">
        <v>596</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856</v>
      </c>
      <c r="D9" s="1512"/>
      <c r="E9" s="1512"/>
      <c r="F9" s="1512"/>
      <c r="G9" s="1512"/>
      <c r="H9" s="1512"/>
      <c r="I9" s="1512"/>
      <c r="J9" s="1512"/>
      <c r="K9" s="1512"/>
      <c r="L9" s="1512"/>
      <c r="M9" s="1512"/>
      <c r="N9" s="1512"/>
      <c r="O9" s="1512"/>
      <c r="P9" s="1513"/>
      <c r="Q9" s="853"/>
    </row>
    <row r="10" spans="1:17" ht="12.75" customHeight="1" x14ac:dyDescent="0.25">
      <c r="A10" s="7"/>
      <c r="B10" s="8" t="s">
        <v>15</v>
      </c>
      <c r="C10" s="1512" t="s">
        <v>857</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9" t="s">
        <v>858</v>
      </c>
      <c r="D12" s="1519"/>
      <c r="E12" s="1519"/>
      <c r="F12" s="1519"/>
      <c r="G12" s="1519"/>
      <c r="H12" s="1519"/>
      <c r="I12" s="1519"/>
      <c r="J12" s="1519"/>
      <c r="K12" s="1519"/>
      <c r="L12" s="1519"/>
      <c r="M12" s="1519"/>
      <c r="N12" s="1519"/>
      <c r="O12" s="1519"/>
      <c r="P12" s="1520"/>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54" t="s">
        <v>23</v>
      </c>
      <c r="E16" s="1556" t="s">
        <v>24</v>
      </c>
      <c r="F16" s="1558" t="s">
        <v>25</v>
      </c>
      <c r="G16" s="1552" t="s">
        <v>26</v>
      </c>
      <c r="H16" s="1553" t="s">
        <v>27</v>
      </c>
      <c r="I16" s="1551" t="s">
        <v>28</v>
      </c>
      <c r="J16" s="1552" t="s">
        <v>29</v>
      </c>
      <c r="K16" s="1553" t="s">
        <v>30</v>
      </c>
      <c r="L16" s="1551" t="s">
        <v>31</v>
      </c>
      <c r="M16" s="1539" t="s">
        <v>32</v>
      </c>
      <c r="N16" s="1540" t="s">
        <v>33</v>
      </c>
      <c r="O16" s="1541" t="s">
        <v>34</v>
      </c>
      <c r="P16" s="1542" t="s">
        <v>35</v>
      </c>
    </row>
    <row r="17" spans="1:16" s="13" customFormat="1" ht="70.5" customHeight="1" thickBot="1" x14ac:dyDescent="0.3">
      <c r="A17" s="1525"/>
      <c r="B17" s="1527"/>
      <c r="C17" s="1532"/>
      <c r="D17" s="1555"/>
      <c r="E17" s="1557"/>
      <c r="F17" s="1559"/>
      <c r="G17" s="1552"/>
      <c r="H17" s="1553"/>
      <c r="I17" s="1551"/>
      <c r="J17" s="1552"/>
      <c r="K17" s="1553"/>
      <c r="L17" s="1551"/>
      <c r="M17" s="1539"/>
      <c r="N17" s="1540"/>
      <c r="O17" s="1541"/>
      <c r="P17" s="1543"/>
    </row>
    <row r="18" spans="1:16" s="13" customFormat="1" ht="9.75" customHeight="1" thickTop="1" x14ac:dyDescent="0.25">
      <c r="A18" s="14" t="s">
        <v>36</v>
      </c>
      <c r="B18" s="14">
        <v>2</v>
      </c>
      <c r="C18" s="15">
        <v>3</v>
      </c>
      <c r="D18" s="731">
        <v>4</v>
      </c>
      <c r="E18" s="732">
        <v>5</v>
      </c>
      <c r="F18" s="733">
        <v>6</v>
      </c>
      <c r="G18" s="731">
        <v>7</v>
      </c>
      <c r="H18" s="734">
        <v>8</v>
      </c>
      <c r="I18" s="735">
        <v>9</v>
      </c>
      <c r="J18" s="734">
        <v>10</v>
      </c>
      <c r="K18" s="732">
        <v>11</v>
      </c>
      <c r="L18" s="736">
        <v>12</v>
      </c>
      <c r="M18" s="15">
        <v>13</v>
      </c>
      <c r="N18" s="17">
        <v>14</v>
      </c>
      <c r="O18" s="20">
        <v>15</v>
      </c>
      <c r="P18" s="20">
        <v>16</v>
      </c>
    </row>
    <row r="19" spans="1:16" s="28" customFormat="1" ht="12" hidden="1" customHeight="1" x14ac:dyDescent="0.25">
      <c r="A19" s="22"/>
      <c r="B19" s="23" t="s">
        <v>37</v>
      </c>
      <c r="C19" s="24"/>
      <c r="D19" s="737"/>
      <c r="E19" s="738"/>
      <c r="F19" s="739"/>
      <c r="G19" s="737"/>
      <c r="H19" s="738"/>
      <c r="I19" s="739"/>
      <c r="J19" s="737"/>
      <c r="K19" s="738"/>
      <c r="L19" s="739"/>
      <c r="M19" s="25"/>
      <c r="N19" s="26"/>
      <c r="O19" s="27"/>
      <c r="P19" s="27"/>
    </row>
    <row r="20" spans="1:16" s="28" customFormat="1" ht="12.75" thickBot="1" x14ac:dyDescent="0.3">
      <c r="A20" s="29"/>
      <c r="B20" s="30" t="s">
        <v>38</v>
      </c>
      <c r="C20" s="31">
        <f t="shared" ref="C20:C83" si="0">F20+I20+L20+O20</f>
        <v>580480</v>
      </c>
      <c r="D20" s="740">
        <f>SUM(D21,D24,D25,D41,D43)</f>
        <v>322431</v>
      </c>
      <c r="E20" s="741">
        <f>SUM(E21,E24,E25,E41,E43)</f>
        <v>0</v>
      </c>
      <c r="F20" s="742">
        <f>SUM(F21,F24,F25,F41,F43)</f>
        <v>322431</v>
      </c>
      <c r="G20" s="740">
        <f>SUM(G21,G24,G43)</f>
        <v>187236</v>
      </c>
      <c r="H20" s="741">
        <f>SUM(H21,H24,H43)</f>
        <v>2874</v>
      </c>
      <c r="I20" s="742">
        <f>SUM(I21,I24,I43)</f>
        <v>190110</v>
      </c>
      <c r="J20" s="740">
        <f>SUM(J21,J26,J43)</f>
        <v>67939</v>
      </c>
      <c r="K20" s="741">
        <f>SUM(K21,K26,K43)</f>
        <v>0</v>
      </c>
      <c r="L20" s="742">
        <f>SUM(L21,L26,L43)</f>
        <v>67939</v>
      </c>
      <c r="M20" s="32">
        <f>SUM(M21,M45)</f>
        <v>0</v>
      </c>
      <c r="N20" s="33">
        <f>SUM(N21,N45)</f>
        <v>0</v>
      </c>
      <c r="O20" s="34">
        <f>SUM(O21,O45)</f>
        <v>0</v>
      </c>
      <c r="P20" s="35"/>
    </row>
    <row r="21" spans="1:16" ht="15.75" thickTop="1" x14ac:dyDescent="0.25">
      <c r="A21" s="36"/>
      <c r="B21" s="37" t="s">
        <v>39</v>
      </c>
      <c r="C21" s="38">
        <f t="shared" si="0"/>
        <v>243</v>
      </c>
      <c r="D21" s="743">
        <f t="shared" ref="D21:O21" si="1">SUM(D22:D23)</f>
        <v>0</v>
      </c>
      <c r="E21" s="744">
        <f t="shared" si="1"/>
        <v>0</v>
      </c>
      <c r="F21" s="745">
        <f t="shared" si="1"/>
        <v>0</v>
      </c>
      <c r="G21" s="743">
        <f t="shared" si="1"/>
        <v>0</v>
      </c>
      <c r="H21" s="744">
        <f t="shared" si="1"/>
        <v>0</v>
      </c>
      <c r="I21" s="745">
        <f t="shared" si="1"/>
        <v>0</v>
      </c>
      <c r="J21" s="743">
        <f t="shared" si="1"/>
        <v>243</v>
      </c>
      <c r="K21" s="744">
        <f t="shared" si="1"/>
        <v>0</v>
      </c>
      <c r="L21" s="745">
        <f t="shared" si="1"/>
        <v>243</v>
      </c>
      <c r="M21" s="39">
        <f t="shared" si="1"/>
        <v>0</v>
      </c>
      <c r="N21" s="40">
        <f t="shared" si="1"/>
        <v>0</v>
      </c>
      <c r="O21" s="41">
        <f t="shared" si="1"/>
        <v>0</v>
      </c>
      <c r="P21" s="42"/>
    </row>
    <row r="22" spans="1:16" ht="12" hidden="1" customHeight="1" x14ac:dyDescent="0.25">
      <c r="A22" s="43"/>
      <c r="B22" s="44" t="s">
        <v>40</v>
      </c>
      <c r="C22" s="45">
        <f t="shared" si="0"/>
        <v>0</v>
      </c>
      <c r="D22" s="460"/>
      <c r="E22" s="461"/>
      <c r="F22" s="462">
        <f>D22+E22</f>
        <v>0</v>
      </c>
      <c r="G22" s="460"/>
      <c r="H22" s="461"/>
      <c r="I22" s="462">
        <f>G22+H22</f>
        <v>0</v>
      </c>
      <c r="J22" s="460"/>
      <c r="K22" s="461"/>
      <c r="L22" s="462">
        <f>K22+J22</f>
        <v>0</v>
      </c>
      <c r="M22" s="46"/>
      <c r="N22" s="47"/>
      <c r="O22" s="48">
        <f>N22+M22</f>
        <v>0</v>
      </c>
      <c r="P22" s="49"/>
    </row>
    <row r="23" spans="1:16" ht="15" customHeight="1" x14ac:dyDescent="0.25">
      <c r="A23" s="50"/>
      <c r="B23" s="51" t="s">
        <v>41</v>
      </c>
      <c r="C23" s="52">
        <f>F23+I23+L23+O23</f>
        <v>243</v>
      </c>
      <c r="D23" s="348"/>
      <c r="E23" s="349"/>
      <c r="F23" s="350">
        <f>D23+E23</f>
        <v>0</v>
      </c>
      <c r="G23" s="348"/>
      <c r="H23" s="746"/>
      <c r="I23" s="350">
        <f>G23+H23</f>
        <v>0</v>
      </c>
      <c r="J23" s="348">
        <v>243</v>
      </c>
      <c r="K23" s="747"/>
      <c r="L23" s="466">
        <f>K23+J23</f>
        <v>243</v>
      </c>
      <c r="M23" s="53"/>
      <c r="N23" s="54"/>
      <c r="O23" s="55">
        <f>N23+M23</f>
        <v>0</v>
      </c>
      <c r="P23" s="57"/>
    </row>
    <row r="24" spans="1:16" s="28" customFormat="1" ht="38.25" customHeight="1" thickBot="1" x14ac:dyDescent="0.3">
      <c r="A24" s="58">
        <v>19300</v>
      </c>
      <c r="B24" s="58" t="s">
        <v>42</v>
      </c>
      <c r="C24" s="59">
        <f>F24+I24</f>
        <v>512541</v>
      </c>
      <c r="D24" s="748">
        <v>322431</v>
      </c>
      <c r="E24" s="749"/>
      <c r="F24" s="750">
        <f>D24+E24</f>
        <v>322431</v>
      </c>
      <c r="G24" s="748">
        <v>187236</v>
      </c>
      <c r="H24" s="602">
        <v>2874</v>
      </c>
      <c r="I24" s="750">
        <f>G24+H24</f>
        <v>190110</v>
      </c>
      <c r="J24" s="751" t="s">
        <v>43</v>
      </c>
      <c r="K24" s="752" t="s">
        <v>43</v>
      </c>
      <c r="L24" s="753" t="s">
        <v>43</v>
      </c>
      <c r="M24" s="64" t="s">
        <v>43</v>
      </c>
      <c r="N24" s="65" t="s">
        <v>43</v>
      </c>
      <c r="O24" s="66" t="s">
        <v>43</v>
      </c>
      <c r="P24" s="67" t="s">
        <v>859</v>
      </c>
    </row>
    <row r="25" spans="1:16" s="28" customFormat="1" ht="24.75" hidden="1" customHeight="1" thickTop="1" x14ac:dyDescent="0.25">
      <c r="A25" s="69"/>
      <c r="B25" s="69" t="s">
        <v>44</v>
      </c>
      <c r="C25" s="70">
        <f>F25</f>
        <v>0</v>
      </c>
      <c r="D25" s="754"/>
      <c r="E25" s="755"/>
      <c r="F25" s="756">
        <f>D25+E25</f>
        <v>0</v>
      </c>
      <c r="G25" s="757" t="s">
        <v>43</v>
      </c>
      <c r="H25" s="758" t="s">
        <v>43</v>
      </c>
      <c r="I25" s="759" t="s">
        <v>43</v>
      </c>
      <c r="J25" s="757" t="s">
        <v>43</v>
      </c>
      <c r="K25" s="758" t="s">
        <v>43</v>
      </c>
      <c r="L25" s="759" t="s">
        <v>43</v>
      </c>
      <c r="M25" s="74" t="s">
        <v>43</v>
      </c>
      <c r="N25" s="75" t="s">
        <v>43</v>
      </c>
      <c r="O25" s="76" t="s">
        <v>43</v>
      </c>
      <c r="P25" s="77"/>
    </row>
    <row r="26" spans="1:16" s="28" customFormat="1" ht="36" customHeight="1" thickTop="1" x14ac:dyDescent="0.25">
      <c r="A26" s="69">
        <v>21300</v>
      </c>
      <c r="B26" s="69" t="s">
        <v>45</v>
      </c>
      <c r="C26" s="70">
        <f t="shared" ref="C26:C40" si="2">L26</f>
        <v>67656</v>
      </c>
      <c r="D26" s="757" t="s">
        <v>43</v>
      </c>
      <c r="E26" s="758" t="s">
        <v>43</v>
      </c>
      <c r="F26" s="759" t="s">
        <v>43</v>
      </c>
      <c r="G26" s="757" t="s">
        <v>43</v>
      </c>
      <c r="H26" s="758" t="s">
        <v>43</v>
      </c>
      <c r="I26" s="759" t="s">
        <v>43</v>
      </c>
      <c r="J26" s="760">
        <f>SUM(J27,J31,J33,J36)</f>
        <v>67656</v>
      </c>
      <c r="K26" s="761">
        <f>SUM(K27,K31,K33,K36)</f>
        <v>0</v>
      </c>
      <c r="L26" s="762">
        <f>SUM(L27,L31,L33,L36)</f>
        <v>67656</v>
      </c>
      <c r="M26" s="78" t="s">
        <v>43</v>
      </c>
      <c r="N26" s="79" t="s">
        <v>43</v>
      </c>
      <c r="O26" s="80" t="s">
        <v>43</v>
      </c>
      <c r="P26" s="77"/>
    </row>
    <row r="27" spans="1:16" s="28" customFormat="1" ht="24" customHeight="1" x14ac:dyDescent="0.25">
      <c r="A27" s="81">
        <v>21350</v>
      </c>
      <c r="B27" s="69" t="s">
        <v>46</v>
      </c>
      <c r="C27" s="70">
        <f t="shared" si="2"/>
        <v>64626</v>
      </c>
      <c r="D27" s="757" t="s">
        <v>43</v>
      </c>
      <c r="E27" s="758" t="s">
        <v>43</v>
      </c>
      <c r="F27" s="759" t="s">
        <v>43</v>
      </c>
      <c r="G27" s="757" t="s">
        <v>43</v>
      </c>
      <c r="H27" s="758" t="s">
        <v>43</v>
      </c>
      <c r="I27" s="759" t="s">
        <v>43</v>
      </c>
      <c r="J27" s="760">
        <f>SUM(J28:J30)</f>
        <v>64626</v>
      </c>
      <c r="K27" s="761">
        <f>SUM(K28:K30)</f>
        <v>0</v>
      </c>
      <c r="L27" s="762">
        <f>SUM(L28:L30)</f>
        <v>64626</v>
      </c>
      <c r="M27" s="78" t="s">
        <v>43</v>
      </c>
      <c r="N27" s="79" t="s">
        <v>43</v>
      </c>
      <c r="O27" s="80" t="s">
        <v>43</v>
      </c>
      <c r="P27" s="77"/>
    </row>
    <row r="28" spans="1:16" ht="12" customHeight="1" x14ac:dyDescent="0.25">
      <c r="A28" s="43">
        <v>21351</v>
      </c>
      <c r="B28" s="82" t="s">
        <v>47</v>
      </c>
      <c r="C28" s="83">
        <f t="shared" si="2"/>
        <v>13515</v>
      </c>
      <c r="D28" s="470" t="s">
        <v>43</v>
      </c>
      <c r="E28" s="471" t="s">
        <v>43</v>
      </c>
      <c r="F28" s="472" t="s">
        <v>43</v>
      </c>
      <c r="G28" s="470" t="s">
        <v>43</v>
      </c>
      <c r="H28" s="471" t="s">
        <v>43</v>
      </c>
      <c r="I28" s="472" t="s">
        <v>43</v>
      </c>
      <c r="J28" s="460">
        <v>13515</v>
      </c>
      <c r="K28" s="461"/>
      <c r="L28" s="462">
        <f>K28+J28</f>
        <v>13515</v>
      </c>
      <c r="M28" s="87" t="s">
        <v>43</v>
      </c>
      <c r="N28" s="88" t="s">
        <v>43</v>
      </c>
      <c r="O28" s="48" t="s">
        <v>43</v>
      </c>
      <c r="P28" s="49"/>
    </row>
    <row r="29" spans="1:16" ht="12" hidden="1" customHeight="1" x14ac:dyDescent="0.25">
      <c r="A29" s="50">
        <v>21352</v>
      </c>
      <c r="B29" s="89" t="s">
        <v>48</v>
      </c>
      <c r="C29" s="90">
        <f t="shared" si="2"/>
        <v>0</v>
      </c>
      <c r="D29" s="763" t="s">
        <v>43</v>
      </c>
      <c r="E29" s="764" t="s">
        <v>43</v>
      </c>
      <c r="F29" s="765" t="s">
        <v>43</v>
      </c>
      <c r="G29" s="763" t="s">
        <v>43</v>
      </c>
      <c r="H29" s="764" t="s">
        <v>43</v>
      </c>
      <c r="I29" s="765" t="s">
        <v>43</v>
      </c>
      <c r="J29" s="348"/>
      <c r="K29" s="349"/>
      <c r="L29" s="466">
        <f>K29+J29</f>
        <v>0</v>
      </c>
      <c r="M29" s="94" t="s">
        <v>43</v>
      </c>
      <c r="N29" s="95" t="s">
        <v>43</v>
      </c>
      <c r="O29" s="56" t="s">
        <v>43</v>
      </c>
      <c r="P29" s="57"/>
    </row>
    <row r="30" spans="1:16" ht="24" customHeight="1" x14ac:dyDescent="0.25">
      <c r="A30" s="50">
        <v>21359</v>
      </c>
      <c r="B30" s="89" t="s">
        <v>49</v>
      </c>
      <c r="C30" s="90">
        <f t="shared" si="2"/>
        <v>51111</v>
      </c>
      <c r="D30" s="763" t="s">
        <v>43</v>
      </c>
      <c r="E30" s="764" t="s">
        <v>43</v>
      </c>
      <c r="F30" s="765" t="s">
        <v>43</v>
      </c>
      <c r="G30" s="763" t="s">
        <v>43</v>
      </c>
      <c r="H30" s="764" t="s">
        <v>43</v>
      </c>
      <c r="I30" s="765" t="s">
        <v>43</v>
      </c>
      <c r="J30" s="348">
        <v>51111</v>
      </c>
      <c r="K30" s="349"/>
      <c r="L30" s="466">
        <f>K30+J30</f>
        <v>51111</v>
      </c>
      <c r="M30" s="94" t="s">
        <v>43</v>
      </c>
      <c r="N30" s="95" t="s">
        <v>43</v>
      </c>
      <c r="O30" s="56" t="s">
        <v>43</v>
      </c>
      <c r="P30" s="57"/>
    </row>
    <row r="31" spans="1:16" s="28" customFormat="1" ht="36" hidden="1" customHeight="1" x14ac:dyDescent="0.25">
      <c r="A31" s="81">
        <v>21370</v>
      </c>
      <c r="B31" s="69" t="s">
        <v>50</v>
      </c>
      <c r="C31" s="70">
        <f t="shared" si="2"/>
        <v>0</v>
      </c>
      <c r="D31" s="757" t="s">
        <v>43</v>
      </c>
      <c r="E31" s="758" t="s">
        <v>43</v>
      </c>
      <c r="F31" s="759" t="s">
        <v>43</v>
      </c>
      <c r="G31" s="757" t="s">
        <v>43</v>
      </c>
      <c r="H31" s="758" t="s">
        <v>43</v>
      </c>
      <c r="I31" s="759" t="s">
        <v>43</v>
      </c>
      <c r="J31" s="760">
        <f>SUM(J32)</f>
        <v>0</v>
      </c>
      <c r="K31" s="761">
        <f>SUM(K32)</f>
        <v>0</v>
      </c>
      <c r="L31" s="762">
        <f>SUM(L32)</f>
        <v>0</v>
      </c>
      <c r="M31" s="78" t="s">
        <v>43</v>
      </c>
      <c r="N31" s="79" t="s">
        <v>43</v>
      </c>
      <c r="O31" s="80" t="s">
        <v>43</v>
      </c>
      <c r="P31" s="77"/>
    </row>
    <row r="32" spans="1:16" ht="36" hidden="1" customHeight="1" x14ac:dyDescent="0.25">
      <c r="A32" s="96">
        <v>21379</v>
      </c>
      <c r="B32" s="97" t="s">
        <v>51</v>
      </c>
      <c r="C32" s="98">
        <f t="shared" si="2"/>
        <v>0</v>
      </c>
      <c r="D32" s="766" t="s">
        <v>43</v>
      </c>
      <c r="E32" s="767" t="s">
        <v>43</v>
      </c>
      <c r="F32" s="768" t="s">
        <v>43</v>
      </c>
      <c r="G32" s="766" t="s">
        <v>43</v>
      </c>
      <c r="H32" s="767" t="s">
        <v>43</v>
      </c>
      <c r="I32" s="768" t="s">
        <v>43</v>
      </c>
      <c r="J32" s="769"/>
      <c r="K32" s="770"/>
      <c r="L32" s="771">
        <f>K32+J32</f>
        <v>0</v>
      </c>
      <c r="M32" s="105" t="s">
        <v>43</v>
      </c>
      <c r="N32" s="106" t="s">
        <v>43</v>
      </c>
      <c r="O32" s="104" t="s">
        <v>43</v>
      </c>
      <c r="P32" s="107"/>
    </row>
    <row r="33" spans="1:16" s="28" customFormat="1" ht="12" customHeight="1" x14ac:dyDescent="0.25">
      <c r="A33" s="81">
        <v>21380</v>
      </c>
      <c r="B33" s="69" t="s">
        <v>52</v>
      </c>
      <c r="C33" s="70">
        <f t="shared" si="2"/>
        <v>1282</v>
      </c>
      <c r="D33" s="757" t="s">
        <v>43</v>
      </c>
      <c r="E33" s="758" t="s">
        <v>43</v>
      </c>
      <c r="F33" s="759" t="s">
        <v>43</v>
      </c>
      <c r="G33" s="757" t="s">
        <v>43</v>
      </c>
      <c r="H33" s="758" t="s">
        <v>43</v>
      </c>
      <c r="I33" s="759" t="s">
        <v>43</v>
      </c>
      <c r="J33" s="760">
        <f>SUM(J34:J35)</f>
        <v>1282</v>
      </c>
      <c r="K33" s="761">
        <f>SUM(K34:K35)</f>
        <v>0</v>
      </c>
      <c r="L33" s="762">
        <f>SUM(L34:L35)</f>
        <v>1282</v>
      </c>
      <c r="M33" s="78" t="s">
        <v>43</v>
      </c>
      <c r="N33" s="79" t="s">
        <v>43</v>
      </c>
      <c r="O33" s="80" t="s">
        <v>43</v>
      </c>
      <c r="P33" s="77"/>
    </row>
    <row r="34" spans="1:16" ht="12" customHeight="1" x14ac:dyDescent="0.25">
      <c r="A34" s="44">
        <v>21381</v>
      </c>
      <c r="B34" s="82" t="s">
        <v>53</v>
      </c>
      <c r="C34" s="83">
        <f t="shared" si="2"/>
        <v>1282</v>
      </c>
      <c r="D34" s="470" t="s">
        <v>43</v>
      </c>
      <c r="E34" s="471" t="s">
        <v>43</v>
      </c>
      <c r="F34" s="472" t="s">
        <v>43</v>
      </c>
      <c r="G34" s="470" t="s">
        <v>43</v>
      </c>
      <c r="H34" s="471" t="s">
        <v>43</v>
      </c>
      <c r="I34" s="472" t="s">
        <v>43</v>
      </c>
      <c r="J34" s="460">
        <v>1282</v>
      </c>
      <c r="K34" s="461"/>
      <c r="L34" s="462">
        <f>K34+J34</f>
        <v>1282</v>
      </c>
      <c r="M34" s="87" t="s">
        <v>43</v>
      </c>
      <c r="N34" s="88" t="s">
        <v>43</v>
      </c>
      <c r="O34" s="48" t="s">
        <v>43</v>
      </c>
      <c r="P34" s="49"/>
    </row>
    <row r="35" spans="1:16" ht="24" hidden="1" customHeight="1" x14ac:dyDescent="0.25">
      <c r="A35" s="51">
        <v>21383</v>
      </c>
      <c r="B35" s="89" t="s">
        <v>54</v>
      </c>
      <c r="C35" s="90">
        <f t="shared" si="2"/>
        <v>0</v>
      </c>
      <c r="D35" s="763" t="s">
        <v>43</v>
      </c>
      <c r="E35" s="764" t="s">
        <v>43</v>
      </c>
      <c r="F35" s="765" t="s">
        <v>43</v>
      </c>
      <c r="G35" s="763" t="s">
        <v>43</v>
      </c>
      <c r="H35" s="764" t="s">
        <v>43</v>
      </c>
      <c r="I35" s="765" t="s">
        <v>43</v>
      </c>
      <c r="J35" s="348"/>
      <c r="K35" s="349"/>
      <c r="L35" s="466">
        <f>K35+J35</f>
        <v>0</v>
      </c>
      <c r="M35" s="94" t="s">
        <v>43</v>
      </c>
      <c r="N35" s="95" t="s">
        <v>43</v>
      </c>
      <c r="O35" s="56" t="s">
        <v>43</v>
      </c>
      <c r="P35" s="57"/>
    </row>
    <row r="36" spans="1:16" s="28" customFormat="1" ht="25.5" customHeight="1" x14ac:dyDescent="0.25">
      <c r="A36" s="81">
        <v>21390</v>
      </c>
      <c r="B36" s="69" t="s">
        <v>55</v>
      </c>
      <c r="C36" s="70">
        <f t="shared" si="2"/>
        <v>1748</v>
      </c>
      <c r="D36" s="757" t="s">
        <v>43</v>
      </c>
      <c r="E36" s="758" t="s">
        <v>43</v>
      </c>
      <c r="F36" s="759" t="s">
        <v>43</v>
      </c>
      <c r="G36" s="757" t="s">
        <v>43</v>
      </c>
      <c r="H36" s="758" t="s">
        <v>43</v>
      </c>
      <c r="I36" s="759" t="s">
        <v>43</v>
      </c>
      <c r="J36" s="760">
        <f>SUM(J37:J40)</f>
        <v>1748</v>
      </c>
      <c r="K36" s="761">
        <f>SUM(K37:K40)</f>
        <v>0</v>
      </c>
      <c r="L36" s="762">
        <f>SUM(L37:L40)</f>
        <v>1748</v>
      </c>
      <c r="M36" s="78" t="s">
        <v>43</v>
      </c>
      <c r="N36" s="79" t="s">
        <v>43</v>
      </c>
      <c r="O36" s="80" t="s">
        <v>43</v>
      </c>
      <c r="P36" s="77"/>
    </row>
    <row r="37" spans="1:16" ht="24" hidden="1" customHeight="1" x14ac:dyDescent="0.25">
      <c r="A37" s="44">
        <v>21391</v>
      </c>
      <c r="B37" s="82" t="s">
        <v>56</v>
      </c>
      <c r="C37" s="83">
        <f t="shared" si="2"/>
        <v>0</v>
      </c>
      <c r="D37" s="470" t="s">
        <v>43</v>
      </c>
      <c r="E37" s="471" t="s">
        <v>43</v>
      </c>
      <c r="F37" s="472" t="s">
        <v>43</v>
      </c>
      <c r="G37" s="470" t="s">
        <v>43</v>
      </c>
      <c r="H37" s="471" t="s">
        <v>43</v>
      </c>
      <c r="I37" s="472" t="s">
        <v>43</v>
      </c>
      <c r="J37" s="460"/>
      <c r="K37" s="461"/>
      <c r="L37" s="462">
        <f>K37+J37</f>
        <v>0</v>
      </c>
      <c r="M37" s="87" t="s">
        <v>43</v>
      </c>
      <c r="N37" s="88" t="s">
        <v>43</v>
      </c>
      <c r="O37" s="48" t="s">
        <v>43</v>
      </c>
      <c r="P37" s="49"/>
    </row>
    <row r="38" spans="1:16" ht="12" hidden="1" customHeight="1" x14ac:dyDescent="0.25">
      <c r="A38" s="51">
        <v>21393</v>
      </c>
      <c r="B38" s="89" t="s">
        <v>57</v>
      </c>
      <c r="C38" s="90">
        <f t="shared" si="2"/>
        <v>0</v>
      </c>
      <c r="D38" s="763" t="s">
        <v>43</v>
      </c>
      <c r="E38" s="764" t="s">
        <v>43</v>
      </c>
      <c r="F38" s="765" t="s">
        <v>43</v>
      </c>
      <c r="G38" s="763" t="s">
        <v>43</v>
      </c>
      <c r="H38" s="764" t="s">
        <v>43</v>
      </c>
      <c r="I38" s="765" t="s">
        <v>43</v>
      </c>
      <c r="J38" s="348"/>
      <c r="K38" s="349"/>
      <c r="L38" s="466">
        <f>K38+J38</f>
        <v>0</v>
      </c>
      <c r="M38" s="94" t="s">
        <v>43</v>
      </c>
      <c r="N38" s="95" t="s">
        <v>43</v>
      </c>
      <c r="O38" s="56" t="s">
        <v>43</v>
      </c>
      <c r="P38" s="57"/>
    </row>
    <row r="39" spans="1:16" ht="12" hidden="1" customHeight="1" x14ac:dyDescent="0.25">
      <c r="A39" s="51">
        <v>21395</v>
      </c>
      <c r="B39" s="89" t="s">
        <v>58</v>
      </c>
      <c r="C39" s="90">
        <f t="shared" si="2"/>
        <v>0</v>
      </c>
      <c r="D39" s="763" t="s">
        <v>43</v>
      </c>
      <c r="E39" s="764" t="s">
        <v>43</v>
      </c>
      <c r="F39" s="765" t="s">
        <v>43</v>
      </c>
      <c r="G39" s="763" t="s">
        <v>43</v>
      </c>
      <c r="H39" s="764" t="s">
        <v>43</v>
      </c>
      <c r="I39" s="765" t="s">
        <v>43</v>
      </c>
      <c r="J39" s="348"/>
      <c r="K39" s="349"/>
      <c r="L39" s="466">
        <f>K39+J39</f>
        <v>0</v>
      </c>
      <c r="M39" s="94" t="s">
        <v>43</v>
      </c>
      <c r="N39" s="95" t="s">
        <v>43</v>
      </c>
      <c r="O39" s="56" t="s">
        <v>43</v>
      </c>
      <c r="P39" s="57"/>
    </row>
    <row r="40" spans="1:16" ht="24" customHeight="1" x14ac:dyDescent="0.25">
      <c r="A40" s="108">
        <v>21399</v>
      </c>
      <c r="B40" s="109" t="s">
        <v>59</v>
      </c>
      <c r="C40" s="110">
        <f t="shared" si="2"/>
        <v>1748</v>
      </c>
      <c r="D40" s="479" t="s">
        <v>43</v>
      </c>
      <c r="E40" s="480" t="s">
        <v>43</v>
      </c>
      <c r="F40" s="481" t="s">
        <v>43</v>
      </c>
      <c r="G40" s="479" t="s">
        <v>43</v>
      </c>
      <c r="H40" s="480" t="s">
        <v>43</v>
      </c>
      <c r="I40" s="481" t="s">
        <v>43</v>
      </c>
      <c r="J40" s="482">
        <v>1748</v>
      </c>
      <c r="K40" s="772"/>
      <c r="L40" s="484">
        <f>K40+J40</f>
        <v>1748</v>
      </c>
      <c r="M40" s="117" t="s">
        <v>43</v>
      </c>
      <c r="N40" s="118" t="s">
        <v>43</v>
      </c>
      <c r="O40" s="116" t="s">
        <v>43</v>
      </c>
      <c r="P40" s="57"/>
    </row>
    <row r="41" spans="1:16" s="28" customFormat="1" ht="26.25" hidden="1" customHeight="1" x14ac:dyDescent="0.25">
      <c r="A41" s="120">
        <v>21420</v>
      </c>
      <c r="B41" s="121" t="s">
        <v>60</v>
      </c>
      <c r="C41" s="122">
        <f>F41</f>
        <v>0</v>
      </c>
      <c r="D41" s="773">
        <f>SUM(D42)</f>
        <v>0</v>
      </c>
      <c r="E41" s="774">
        <f>SUM(E42)</f>
        <v>0</v>
      </c>
      <c r="F41" s="775">
        <f>SUM(F42)</f>
        <v>0</v>
      </c>
      <c r="G41" s="776" t="s">
        <v>43</v>
      </c>
      <c r="H41" s="777" t="s">
        <v>43</v>
      </c>
      <c r="I41" s="778" t="s">
        <v>43</v>
      </c>
      <c r="J41" s="776" t="s">
        <v>43</v>
      </c>
      <c r="K41" s="777" t="s">
        <v>43</v>
      </c>
      <c r="L41" s="778" t="s">
        <v>43</v>
      </c>
      <c r="M41" s="126" t="s">
        <v>43</v>
      </c>
      <c r="N41" s="127" t="s">
        <v>43</v>
      </c>
      <c r="O41" s="128" t="s">
        <v>43</v>
      </c>
      <c r="P41" s="129"/>
    </row>
    <row r="42" spans="1:16" s="28" customFormat="1" ht="26.25" hidden="1" customHeight="1" x14ac:dyDescent="0.25">
      <c r="A42" s="108">
        <v>21429</v>
      </c>
      <c r="B42" s="109" t="s">
        <v>61</v>
      </c>
      <c r="C42" s="130">
        <f>F42</f>
        <v>0</v>
      </c>
      <c r="D42" s="482"/>
      <c r="E42" s="483"/>
      <c r="F42" s="779">
        <f>D42+E42</f>
        <v>0</v>
      </c>
      <c r="G42" s="479" t="s">
        <v>43</v>
      </c>
      <c r="H42" s="480" t="s">
        <v>43</v>
      </c>
      <c r="I42" s="481" t="s">
        <v>43</v>
      </c>
      <c r="J42" s="479" t="s">
        <v>43</v>
      </c>
      <c r="K42" s="480" t="s">
        <v>43</v>
      </c>
      <c r="L42" s="481" t="s">
        <v>43</v>
      </c>
      <c r="M42" s="111" t="s">
        <v>43</v>
      </c>
      <c r="N42" s="112" t="s">
        <v>43</v>
      </c>
      <c r="O42" s="113" t="s">
        <v>43</v>
      </c>
      <c r="P42" s="119"/>
    </row>
    <row r="43" spans="1:16" s="28" customFormat="1" ht="24" x14ac:dyDescent="0.25">
      <c r="A43" s="81">
        <v>21490</v>
      </c>
      <c r="B43" s="69" t="s">
        <v>62</v>
      </c>
      <c r="C43" s="132">
        <f>F43+I43+L43</f>
        <v>40</v>
      </c>
      <c r="D43" s="760">
        <f>D44</f>
        <v>0</v>
      </c>
      <c r="E43" s="761">
        <f>E44</f>
        <v>0</v>
      </c>
      <c r="F43" s="762">
        <f>F44</f>
        <v>0</v>
      </c>
      <c r="G43" s="760">
        <f t="shared" ref="G43:L43" si="3">G44</f>
        <v>0</v>
      </c>
      <c r="H43" s="761">
        <f t="shared" si="3"/>
        <v>0</v>
      </c>
      <c r="I43" s="762">
        <f t="shared" si="3"/>
        <v>0</v>
      </c>
      <c r="J43" s="760">
        <f t="shared" si="3"/>
        <v>40</v>
      </c>
      <c r="K43" s="761">
        <f t="shared" si="3"/>
        <v>0</v>
      </c>
      <c r="L43" s="762">
        <f t="shared" si="3"/>
        <v>40</v>
      </c>
      <c r="M43" s="78" t="s">
        <v>43</v>
      </c>
      <c r="N43" s="79" t="s">
        <v>43</v>
      </c>
      <c r="O43" s="80" t="s">
        <v>43</v>
      </c>
      <c r="P43" s="77"/>
    </row>
    <row r="44" spans="1:16" s="28" customFormat="1" ht="24" customHeight="1" x14ac:dyDescent="0.25">
      <c r="A44" s="51">
        <v>21499</v>
      </c>
      <c r="B44" s="89" t="s">
        <v>63</v>
      </c>
      <c r="C44" s="133">
        <f>F44+I44+L44</f>
        <v>40</v>
      </c>
      <c r="D44" s="460"/>
      <c r="E44" s="461"/>
      <c r="F44" s="491">
        <f>D44+E44</f>
        <v>0</v>
      </c>
      <c r="G44" s="460"/>
      <c r="H44" s="461"/>
      <c r="I44" s="491">
        <f>G44+H44</f>
        <v>0</v>
      </c>
      <c r="J44" s="460">
        <v>40</v>
      </c>
      <c r="K44" s="461"/>
      <c r="L44" s="462">
        <f>K44+J44</f>
        <v>40</v>
      </c>
      <c r="M44" s="87" t="s">
        <v>43</v>
      </c>
      <c r="N44" s="88" t="s">
        <v>43</v>
      </c>
      <c r="O44" s="48" t="s">
        <v>43</v>
      </c>
      <c r="P44" s="49"/>
    </row>
    <row r="45" spans="1:16" ht="12.75" hidden="1" customHeight="1" x14ac:dyDescent="0.25">
      <c r="A45" s="135">
        <v>23000</v>
      </c>
      <c r="B45" s="136" t="s">
        <v>64</v>
      </c>
      <c r="C45" s="132">
        <f>O45</f>
        <v>0</v>
      </c>
      <c r="D45" s="479" t="s">
        <v>43</v>
      </c>
      <c r="E45" s="480" t="s">
        <v>43</v>
      </c>
      <c r="F45" s="481" t="s">
        <v>43</v>
      </c>
      <c r="G45" s="479" t="s">
        <v>43</v>
      </c>
      <c r="H45" s="480" t="s">
        <v>43</v>
      </c>
      <c r="I45" s="481" t="s">
        <v>43</v>
      </c>
      <c r="J45" s="485" t="s">
        <v>43</v>
      </c>
      <c r="K45" s="486" t="s">
        <v>43</v>
      </c>
      <c r="L45" s="484" t="s">
        <v>43</v>
      </c>
      <c r="M45" s="117">
        <f>SUM(M46:M47)</f>
        <v>0</v>
      </c>
      <c r="N45" s="118">
        <f>SUM(N46:N47)</f>
        <v>0</v>
      </c>
      <c r="O45" s="116">
        <f>SUM(O46:O47)</f>
        <v>0</v>
      </c>
      <c r="P45" s="119"/>
    </row>
    <row r="46" spans="1:16" ht="24" hidden="1" customHeight="1" x14ac:dyDescent="0.25">
      <c r="A46" s="137">
        <v>23410</v>
      </c>
      <c r="B46" s="138" t="s">
        <v>65</v>
      </c>
      <c r="C46" s="122">
        <f>O46</f>
        <v>0</v>
      </c>
      <c r="D46" s="776" t="s">
        <v>43</v>
      </c>
      <c r="E46" s="777" t="s">
        <v>43</v>
      </c>
      <c r="F46" s="778" t="s">
        <v>43</v>
      </c>
      <c r="G46" s="776" t="s">
        <v>43</v>
      </c>
      <c r="H46" s="777" t="s">
        <v>43</v>
      </c>
      <c r="I46" s="778" t="s">
        <v>43</v>
      </c>
      <c r="J46" s="776" t="s">
        <v>43</v>
      </c>
      <c r="K46" s="777" t="s">
        <v>43</v>
      </c>
      <c r="L46" s="778" t="s">
        <v>43</v>
      </c>
      <c r="M46" s="139"/>
      <c r="N46" s="140"/>
      <c r="O46" s="141">
        <f>N46+M46</f>
        <v>0</v>
      </c>
      <c r="P46" s="129"/>
    </row>
    <row r="47" spans="1:16" ht="24" hidden="1" customHeight="1" x14ac:dyDescent="0.25">
      <c r="A47" s="137">
        <v>23510</v>
      </c>
      <c r="B47" s="138" t="s">
        <v>66</v>
      </c>
      <c r="C47" s="122">
        <f>O47</f>
        <v>0</v>
      </c>
      <c r="D47" s="776" t="s">
        <v>43</v>
      </c>
      <c r="E47" s="777" t="s">
        <v>43</v>
      </c>
      <c r="F47" s="778" t="s">
        <v>43</v>
      </c>
      <c r="G47" s="776" t="s">
        <v>43</v>
      </c>
      <c r="H47" s="777" t="s">
        <v>43</v>
      </c>
      <c r="I47" s="778" t="s">
        <v>43</v>
      </c>
      <c r="J47" s="776" t="s">
        <v>43</v>
      </c>
      <c r="K47" s="777" t="s">
        <v>43</v>
      </c>
      <c r="L47" s="778" t="s">
        <v>43</v>
      </c>
      <c r="M47" s="139"/>
      <c r="N47" s="140"/>
      <c r="O47" s="141">
        <f>N47+M47</f>
        <v>0</v>
      </c>
      <c r="P47" s="129"/>
    </row>
    <row r="48" spans="1:16" ht="12" hidden="1" customHeight="1" x14ac:dyDescent="0.25">
      <c r="A48" s="142"/>
      <c r="B48" s="138"/>
      <c r="C48" s="143"/>
      <c r="D48" s="780"/>
      <c r="E48" s="727"/>
      <c r="F48" s="781"/>
      <c r="G48" s="780"/>
      <c r="H48" s="727"/>
      <c r="I48" s="781"/>
      <c r="J48" s="780"/>
      <c r="K48" s="727"/>
      <c r="L48" s="775"/>
      <c r="M48" s="144"/>
      <c r="N48" s="145"/>
      <c r="O48" s="141"/>
      <c r="P48" s="129"/>
    </row>
    <row r="49" spans="1:16" s="28" customFormat="1" ht="12" hidden="1" customHeight="1" x14ac:dyDescent="0.25">
      <c r="A49" s="146"/>
      <c r="B49" s="147" t="s">
        <v>67</v>
      </c>
      <c r="C49" s="148"/>
      <c r="D49" s="782"/>
      <c r="E49" s="783"/>
      <c r="F49" s="784"/>
      <c r="G49" s="460"/>
      <c r="H49" s="461"/>
      <c r="I49" s="491"/>
      <c r="J49" s="460"/>
      <c r="K49" s="461"/>
      <c r="L49" s="462"/>
      <c r="M49" s="152"/>
      <c r="N49" s="153"/>
      <c r="O49" s="154"/>
      <c r="P49" s="156"/>
    </row>
    <row r="50" spans="1:16" s="28" customFormat="1" ht="12.75" thickBot="1" x14ac:dyDescent="0.3">
      <c r="A50" s="157"/>
      <c r="B50" s="29" t="s">
        <v>68</v>
      </c>
      <c r="C50" s="158">
        <f t="shared" si="0"/>
        <v>580480</v>
      </c>
      <c r="D50" s="785">
        <f t="shared" ref="D50:O50" si="4">SUM(D51,D286)</f>
        <v>322431</v>
      </c>
      <c r="E50" s="786">
        <f t="shared" si="4"/>
        <v>0</v>
      </c>
      <c r="F50" s="787">
        <f t="shared" si="4"/>
        <v>322431</v>
      </c>
      <c r="G50" s="785">
        <f t="shared" si="4"/>
        <v>187236</v>
      </c>
      <c r="H50" s="786">
        <f t="shared" si="4"/>
        <v>2874</v>
      </c>
      <c r="I50" s="787">
        <f t="shared" si="4"/>
        <v>190110</v>
      </c>
      <c r="J50" s="740">
        <f t="shared" si="4"/>
        <v>67939</v>
      </c>
      <c r="K50" s="741">
        <f t="shared" si="4"/>
        <v>0</v>
      </c>
      <c r="L50" s="742">
        <f t="shared" si="4"/>
        <v>67939</v>
      </c>
      <c r="M50" s="32">
        <f t="shared" si="4"/>
        <v>0</v>
      </c>
      <c r="N50" s="33">
        <f t="shared" si="4"/>
        <v>0</v>
      </c>
      <c r="O50" s="34">
        <f t="shared" si="4"/>
        <v>0</v>
      </c>
      <c r="P50" s="35"/>
    </row>
    <row r="51" spans="1:16" s="28" customFormat="1" ht="36.75" thickTop="1" x14ac:dyDescent="0.25">
      <c r="A51" s="162"/>
      <c r="B51" s="163" t="s">
        <v>69</v>
      </c>
      <c r="C51" s="164">
        <f t="shared" si="0"/>
        <v>580480</v>
      </c>
      <c r="D51" s="788">
        <f t="shared" ref="D51:O51" si="5">SUM(D52,D194)</f>
        <v>322431</v>
      </c>
      <c r="E51" s="789">
        <f t="shared" si="5"/>
        <v>0</v>
      </c>
      <c r="F51" s="790">
        <f t="shared" si="5"/>
        <v>322431</v>
      </c>
      <c r="G51" s="788">
        <f t="shared" si="5"/>
        <v>187236</v>
      </c>
      <c r="H51" s="789">
        <f t="shared" si="5"/>
        <v>2874</v>
      </c>
      <c r="I51" s="790">
        <f t="shared" si="5"/>
        <v>190110</v>
      </c>
      <c r="J51" s="791">
        <f t="shared" si="5"/>
        <v>67939</v>
      </c>
      <c r="K51" s="792">
        <f t="shared" si="5"/>
        <v>0</v>
      </c>
      <c r="L51" s="793">
        <f t="shared" si="5"/>
        <v>67939</v>
      </c>
      <c r="M51" s="168">
        <f t="shared" si="5"/>
        <v>0</v>
      </c>
      <c r="N51" s="169">
        <f t="shared" si="5"/>
        <v>0</v>
      </c>
      <c r="O51" s="170">
        <f t="shared" si="5"/>
        <v>0</v>
      </c>
      <c r="P51" s="171"/>
    </row>
    <row r="52" spans="1:16" s="28" customFormat="1" ht="24" x14ac:dyDescent="0.25">
      <c r="A52" s="24"/>
      <c r="B52" s="22" t="s">
        <v>70</v>
      </c>
      <c r="C52" s="172">
        <f t="shared" si="0"/>
        <v>576430</v>
      </c>
      <c r="D52" s="794">
        <f t="shared" ref="D52:O52" si="6">SUM(D53,D75,D173,D187)</f>
        <v>318831</v>
      </c>
      <c r="E52" s="795">
        <f t="shared" si="6"/>
        <v>0</v>
      </c>
      <c r="F52" s="784">
        <f t="shared" si="6"/>
        <v>318831</v>
      </c>
      <c r="G52" s="794">
        <f t="shared" si="6"/>
        <v>187086</v>
      </c>
      <c r="H52" s="795">
        <f t="shared" si="6"/>
        <v>2874</v>
      </c>
      <c r="I52" s="784">
        <f t="shared" si="6"/>
        <v>189960</v>
      </c>
      <c r="J52" s="794">
        <f t="shared" si="6"/>
        <v>67639</v>
      </c>
      <c r="K52" s="795">
        <f t="shared" si="6"/>
        <v>0</v>
      </c>
      <c r="L52" s="784">
        <f t="shared" si="6"/>
        <v>67639</v>
      </c>
      <c r="M52" s="173">
        <f t="shared" si="6"/>
        <v>0</v>
      </c>
      <c r="N52" s="174">
        <f t="shared" si="6"/>
        <v>0</v>
      </c>
      <c r="O52" s="175">
        <f t="shared" si="6"/>
        <v>0</v>
      </c>
      <c r="P52" s="176"/>
    </row>
    <row r="53" spans="1:16" s="28" customFormat="1" ht="12" x14ac:dyDescent="0.25">
      <c r="A53" s="796">
        <v>1000</v>
      </c>
      <c r="B53" s="796" t="s">
        <v>71</v>
      </c>
      <c r="C53" s="797">
        <f t="shared" si="0"/>
        <v>517917</v>
      </c>
      <c r="D53" s="798">
        <f t="shared" ref="D53:O53" si="7">SUM(D54,D67)</f>
        <v>278247</v>
      </c>
      <c r="E53" s="799">
        <f t="shared" si="7"/>
        <v>0</v>
      </c>
      <c r="F53" s="800">
        <f t="shared" si="7"/>
        <v>278247</v>
      </c>
      <c r="G53" s="798">
        <f t="shared" si="7"/>
        <v>186388</v>
      </c>
      <c r="H53" s="799">
        <f t="shared" si="7"/>
        <v>2874</v>
      </c>
      <c r="I53" s="800">
        <f t="shared" si="7"/>
        <v>189262</v>
      </c>
      <c r="J53" s="798">
        <f t="shared" si="7"/>
        <v>50408</v>
      </c>
      <c r="K53" s="799">
        <f t="shared" si="7"/>
        <v>0</v>
      </c>
      <c r="L53" s="800">
        <f t="shared" si="7"/>
        <v>50408</v>
      </c>
      <c r="M53" s="798">
        <f t="shared" si="7"/>
        <v>0</v>
      </c>
      <c r="N53" s="799">
        <f t="shared" si="7"/>
        <v>0</v>
      </c>
      <c r="O53" s="800">
        <f t="shared" si="7"/>
        <v>0</v>
      </c>
      <c r="P53" s="801"/>
    </row>
    <row r="54" spans="1:16" x14ac:dyDescent="0.25">
      <c r="A54" s="69">
        <v>1100</v>
      </c>
      <c r="B54" s="183" t="s">
        <v>72</v>
      </c>
      <c r="C54" s="70">
        <f t="shared" si="0"/>
        <v>394010</v>
      </c>
      <c r="D54" s="802">
        <f t="shared" ref="D54:O54" si="8">SUM(D55,D58,D66)</f>
        <v>199662</v>
      </c>
      <c r="E54" s="803">
        <f t="shared" si="8"/>
        <v>2110</v>
      </c>
      <c r="F54" s="756">
        <f t="shared" si="8"/>
        <v>201772</v>
      </c>
      <c r="G54" s="802">
        <f t="shared" si="8"/>
        <v>149454</v>
      </c>
      <c r="H54" s="803">
        <f t="shared" si="8"/>
        <v>2477</v>
      </c>
      <c r="I54" s="756">
        <f t="shared" si="8"/>
        <v>151931</v>
      </c>
      <c r="J54" s="802">
        <f t="shared" si="8"/>
        <v>40307</v>
      </c>
      <c r="K54" s="803">
        <f t="shared" si="8"/>
        <v>0</v>
      </c>
      <c r="L54" s="756">
        <f t="shared" si="8"/>
        <v>40307</v>
      </c>
      <c r="M54" s="184">
        <f t="shared" si="8"/>
        <v>0</v>
      </c>
      <c r="N54" s="185">
        <f t="shared" si="8"/>
        <v>0</v>
      </c>
      <c r="O54" s="73">
        <f t="shared" si="8"/>
        <v>0</v>
      </c>
      <c r="P54" s="77"/>
    </row>
    <row r="55" spans="1:16" x14ac:dyDescent="0.25">
      <c r="A55" s="186">
        <v>1110</v>
      </c>
      <c r="B55" s="138" t="s">
        <v>73</v>
      </c>
      <c r="C55" s="143">
        <f t="shared" si="0"/>
        <v>352985</v>
      </c>
      <c r="D55" s="804">
        <f t="shared" ref="D55:O55" si="9">SUM(D56:D57)</f>
        <v>171684</v>
      </c>
      <c r="E55" s="805">
        <f t="shared" si="9"/>
        <v>0</v>
      </c>
      <c r="F55" s="781">
        <f t="shared" si="9"/>
        <v>171684</v>
      </c>
      <c r="G55" s="804">
        <f t="shared" si="9"/>
        <v>137221</v>
      </c>
      <c r="H55" s="805">
        <f t="shared" si="9"/>
        <v>3773</v>
      </c>
      <c r="I55" s="781">
        <f t="shared" si="9"/>
        <v>140994</v>
      </c>
      <c r="J55" s="804">
        <f t="shared" si="9"/>
        <v>40307</v>
      </c>
      <c r="K55" s="805">
        <f t="shared" si="9"/>
        <v>0</v>
      </c>
      <c r="L55" s="781">
        <f t="shared" si="9"/>
        <v>40307</v>
      </c>
      <c r="M55" s="187">
        <f t="shared" si="9"/>
        <v>0</v>
      </c>
      <c r="N55" s="188">
        <f t="shared" si="9"/>
        <v>0</v>
      </c>
      <c r="O55" s="141">
        <f t="shared" si="9"/>
        <v>0</v>
      </c>
      <c r="P55" s="129"/>
    </row>
    <row r="56" spans="1:16" ht="12" hidden="1" customHeight="1" x14ac:dyDescent="0.25">
      <c r="A56" s="44">
        <v>1111</v>
      </c>
      <c r="B56" s="82" t="s">
        <v>74</v>
      </c>
      <c r="C56" s="83">
        <f t="shared" si="0"/>
        <v>0</v>
      </c>
      <c r="D56" s="460"/>
      <c r="E56" s="461"/>
      <c r="F56" s="491">
        <f>D56+E56</f>
        <v>0</v>
      </c>
      <c r="G56" s="460"/>
      <c r="H56" s="461"/>
      <c r="I56" s="491">
        <f>G56+H56</f>
        <v>0</v>
      </c>
      <c r="J56" s="460"/>
      <c r="K56" s="461"/>
      <c r="L56" s="491">
        <f>K56+J56</f>
        <v>0</v>
      </c>
      <c r="M56" s="46"/>
      <c r="N56" s="47"/>
      <c r="O56" s="134">
        <f>N56+M56</f>
        <v>0</v>
      </c>
      <c r="P56" s="49"/>
    </row>
    <row r="57" spans="1:16" ht="32.25" customHeight="1" x14ac:dyDescent="0.25">
      <c r="A57" s="51">
        <v>1119</v>
      </c>
      <c r="B57" s="89" t="s">
        <v>75</v>
      </c>
      <c r="C57" s="90">
        <f t="shared" si="0"/>
        <v>352985</v>
      </c>
      <c r="D57" s="348">
        <v>171684</v>
      </c>
      <c r="E57" s="349"/>
      <c r="F57" s="350">
        <f>D57+E57</f>
        <v>171684</v>
      </c>
      <c r="G57" s="348">
        <v>137221</v>
      </c>
      <c r="H57" s="604">
        <v>3773</v>
      </c>
      <c r="I57" s="350">
        <f>G57+H57</f>
        <v>140994</v>
      </c>
      <c r="J57" s="348">
        <v>40307</v>
      </c>
      <c r="K57" s="349"/>
      <c r="L57" s="350">
        <f>K57+J57</f>
        <v>40307</v>
      </c>
      <c r="M57" s="53"/>
      <c r="N57" s="54"/>
      <c r="O57" s="55">
        <f>N57+M57</f>
        <v>0</v>
      </c>
      <c r="P57" s="57" t="s">
        <v>860</v>
      </c>
    </row>
    <row r="58" spans="1:16" x14ac:dyDescent="0.25">
      <c r="A58" s="189">
        <v>1140</v>
      </c>
      <c r="B58" s="89" t="s">
        <v>76</v>
      </c>
      <c r="C58" s="90">
        <f t="shared" si="0"/>
        <v>37308</v>
      </c>
      <c r="D58" s="806">
        <f t="shared" ref="D58:O58" si="10">SUM(D59:D65)</f>
        <v>24261</v>
      </c>
      <c r="E58" s="365">
        <f t="shared" si="10"/>
        <v>2110</v>
      </c>
      <c r="F58" s="350">
        <f t="shared" si="10"/>
        <v>26371</v>
      </c>
      <c r="G58" s="806">
        <f t="shared" si="10"/>
        <v>12233</v>
      </c>
      <c r="H58" s="365">
        <f t="shared" si="10"/>
        <v>-1296</v>
      </c>
      <c r="I58" s="350">
        <f t="shared" si="10"/>
        <v>10937</v>
      </c>
      <c r="J58" s="806">
        <f t="shared" si="10"/>
        <v>0</v>
      </c>
      <c r="K58" s="365">
        <f t="shared" si="10"/>
        <v>0</v>
      </c>
      <c r="L58" s="350">
        <f t="shared" si="10"/>
        <v>0</v>
      </c>
      <c r="M58" s="190">
        <f t="shared" si="10"/>
        <v>0</v>
      </c>
      <c r="N58" s="191">
        <f t="shared" si="10"/>
        <v>0</v>
      </c>
      <c r="O58" s="55">
        <f t="shared" si="10"/>
        <v>0</v>
      </c>
      <c r="P58" s="57"/>
    </row>
    <row r="59" spans="1:16" ht="12" customHeight="1" x14ac:dyDescent="0.25">
      <c r="A59" s="51">
        <v>1141</v>
      </c>
      <c r="B59" s="89" t="s">
        <v>77</v>
      </c>
      <c r="C59" s="90">
        <f t="shared" si="0"/>
        <v>4172</v>
      </c>
      <c r="D59" s="348">
        <v>4172</v>
      </c>
      <c r="E59" s="349"/>
      <c r="F59" s="350">
        <f t="shared" ref="F59:F66" si="11">D59+E59</f>
        <v>4172</v>
      </c>
      <c r="G59" s="348"/>
      <c r="H59" s="349"/>
      <c r="I59" s="350">
        <f t="shared" ref="I59:I66" si="12">G59+H59</f>
        <v>0</v>
      </c>
      <c r="J59" s="348"/>
      <c r="K59" s="349"/>
      <c r="L59" s="350">
        <f t="shared" ref="L59:L66" si="13">K59+J59</f>
        <v>0</v>
      </c>
      <c r="M59" s="53"/>
      <c r="N59" s="54"/>
      <c r="O59" s="55">
        <f t="shared" ref="O59:O66" si="14">N59+M59</f>
        <v>0</v>
      </c>
      <c r="P59" s="57"/>
    </row>
    <row r="60" spans="1:16" ht="24.75" customHeight="1" x14ac:dyDescent="0.25">
      <c r="A60" s="51">
        <v>1142</v>
      </c>
      <c r="B60" s="89" t="s">
        <v>78</v>
      </c>
      <c r="C60" s="90">
        <f t="shared" si="0"/>
        <v>1029</v>
      </c>
      <c r="D60" s="348">
        <v>1029</v>
      </c>
      <c r="E60" s="349"/>
      <c r="F60" s="350">
        <f t="shared" si="11"/>
        <v>1029</v>
      </c>
      <c r="G60" s="348"/>
      <c r="H60" s="349"/>
      <c r="I60" s="350">
        <f t="shared" si="12"/>
        <v>0</v>
      </c>
      <c r="J60" s="348"/>
      <c r="K60" s="349"/>
      <c r="L60" s="350">
        <f t="shared" si="13"/>
        <v>0</v>
      </c>
      <c r="M60" s="53"/>
      <c r="N60" s="54"/>
      <c r="O60" s="55">
        <f t="shared" si="14"/>
        <v>0</v>
      </c>
      <c r="P60" s="57"/>
    </row>
    <row r="61" spans="1:16" ht="24" hidden="1" customHeight="1" x14ac:dyDescent="0.25">
      <c r="A61" s="51">
        <v>1145</v>
      </c>
      <c r="B61" s="89" t="s">
        <v>79</v>
      </c>
      <c r="C61" s="90">
        <f t="shared" si="0"/>
        <v>0</v>
      </c>
      <c r="D61" s="348"/>
      <c r="E61" s="349"/>
      <c r="F61" s="350">
        <f t="shared" si="11"/>
        <v>0</v>
      </c>
      <c r="G61" s="348"/>
      <c r="H61" s="349"/>
      <c r="I61" s="350">
        <f t="shared" si="12"/>
        <v>0</v>
      </c>
      <c r="J61" s="348"/>
      <c r="K61" s="349"/>
      <c r="L61" s="350">
        <f t="shared" si="13"/>
        <v>0</v>
      </c>
      <c r="M61" s="53"/>
      <c r="N61" s="54"/>
      <c r="O61" s="55">
        <f t="shared" si="14"/>
        <v>0</v>
      </c>
      <c r="P61" s="57"/>
    </row>
    <row r="62" spans="1:16" ht="27.75" hidden="1" customHeight="1" x14ac:dyDescent="0.25">
      <c r="A62" s="51">
        <v>1146</v>
      </c>
      <c r="B62" s="89" t="s">
        <v>80</v>
      </c>
      <c r="C62" s="90">
        <f t="shared" si="0"/>
        <v>0</v>
      </c>
      <c r="D62" s="348"/>
      <c r="E62" s="349"/>
      <c r="F62" s="350">
        <f t="shared" si="11"/>
        <v>0</v>
      </c>
      <c r="G62" s="348"/>
      <c r="H62" s="349"/>
      <c r="I62" s="350">
        <f t="shared" si="12"/>
        <v>0</v>
      </c>
      <c r="J62" s="348"/>
      <c r="K62" s="349"/>
      <c r="L62" s="350">
        <f t="shared" si="13"/>
        <v>0</v>
      </c>
      <c r="M62" s="53"/>
      <c r="N62" s="54"/>
      <c r="O62" s="55">
        <f t="shared" si="14"/>
        <v>0</v>
      </c>
      <c r="P62" s="57"/>
    </row>
    <row r="63" spans="1:16" ht="22.5" customHeight="1" x14ac:dyDescent="0.25">
      <c r="A63" s="51">
        <v>1147</v>
      </c>
      <c r="B63" s="89" t="s">
        <v>81</v>
      </c>
      <c r="C63" s="90">
        <f t="shared" si="0"/>
        <v>12103</v>
      </c>
      <c r="D63" s="348">
        <v>2403</v>
      </c>
      <c r="E63" s="349"/>
      <c r="F63" s="350">
        <f t="shared" si="11"/>
        <v>2403</v>
      </c>
      <c r="G63" s="348">
        <v>11051</v>
      </c>
      <c r="H63" s="604">
        <v>-1351</v>
      </c>
      <c r="I63" s="350">
        <f t="shared" si="12"/>
        <v>9700</v>
      </c>
      <c r="J63" s="348"/>
      <c r="K63" s="349"/>
      <c r="L63" s="350">
        <f t="shared" si="13"/>
        <v>0</v>
      </c>
      <c r="M63" s="53"/>
      <c r="N63" s="54"/>
      <c r="O63" s="55">
        <f t="shared" si="14"/>
        <v>0</v>
      </c>
      <c r="P63" s="57" t="s">
        <v>861</v>
      </c>
    </row>
    <row r="64" spans="1:16" ht="21" customHeight="1" x14ac:dyDescent="0.25">
      <c r="A64" s="51">
        <v>1148</v>
      </c>
      <c r="B64" s="89" t="s">
        <v>82</v>
      </c>
      <c r="C64" s="90">
        <f t="shared" si="0"/>
        <v>18596</v>
      </c>
      <c r="D64" s="348">
        <v>16486</v>
      </c>
      <c r="E64" s="604">
        <v>2110</v>
      </c>
      <c r="F64" s="350">
        <f t="shared" si="11"/>
        <v>18596</v>
      </c>
      <c r="G64" s="348"/>
      <c r="H64" s="349"/>
      <c r="I64" s="350">
        <f t="shared" si="12"/>
        <v>0</v>
      </c>
      <c r="J64" s="348"/>
      <c r="K64" s="349"/>
      <c r="L64" s="350">
        <f t="shared" si="13"/>
        <v>0</v>
      </c>
      <c r="M64" s="53"/>
      <c r="N64" s="54"/>
      <c r="O64" s="55">
        <f t="shared" si="14"/>
        <v>0</v>
      </c>
      <c r="P64" s="57" t="s">
        <v>862</v>
      </c>
    </row>
    <row r="65" spans="1:16" ht="27.75" customHeight="1" x14ac:dyDescent="0.25">
      <c r="A65" s="51">
        <v>1149</v>
      </c>
      <c r="B65" s="89" t="s">
        <v>83</v>
      </c>
      <c r="C65" s="90">
        <f t="shared" si="0"/>
        <v>1408</v>
      </c>
      <c r="D65" s="348">
        <v>171</v>
      </c>
      <c r="E65" s="349"/>
      <c r="F65" s="350">
        <f t="shared" si="11"/>
        <v>171</v>
      </c>
      <c r="G65" s="348">
        <v>1182</v>
      </c>
      <c r="H65" s="604">
        <v>55</v>
      </c>
      <c r="I65" s="350">
        <f t="shared" si="12"/>
        <v>1237</v>
      </c>
      <c r="J65" s="348"/>
      <c r="K65" s="349"/>
      <c r="L65" s="350">
        <f t="shared" si="13"/>
        <v>0</v>
      </c>
      <c r="M65" s="53"/>
      <c r="N65" s="54"/>
      <c r="O65" s="55">
        <f t="shared" si="14"/>
        <v>0</v>
      </c>
      <c r="P65" s="57" t="s">
        <v>863</v>
      </c>
    </row>
    <row r="66" spans="1:16" ht="21" customHeight="1" x14ac:dyDescent="0.25">
      <c r="A66" s="186">
        <v>1150</v>
      </c>
      <c r="B66" s="138" t="s">
        <v>84</v>
      </c>
      <c r="C66" s="143">
        <f t="shared" si="0"/>
        <v>3717</v>
      </c>
      <c r="D66" s="780">
        <v>3717</v>
      </c>
      <c r="E66" s="727"/>
      <c r="F66" s="781">
        <f t="shared" si="11"/>
        <v>3717</v>
      </c>
      <c r="G66" s="780"/>
      <c r="H66" s="727"/>
      <c r="I66" s="781">
        <f t="shared" si="12"/>
        <v>0</v>
      </c>
      <c r="J66" s="780"/>
      <c r="K66" s="727"/>
      <c r="L66" s="781">
        <f t="shared" si="13"/>
        <v>0</v>
      </c>
      <c r="M66" s="144"/>
      <c r="N66" s="145"/>
      <c r="O66" s="141">
        <f t="shared" si="14"/>
        <v>0</v>
      </c>
      <c r="P66" s="129"/>
    </row>
    <row r="67" spans="1:16" ht="24" x14ac:dyDescent="0.25">
      <c r="A67" s="69">
        <v>1200</v>
      </c>
      <c r="B67" s="183" t="s">
        <v>85</v>
      </c>
      <c r="C67" s="70">
        <f t="shared" si="0"/>
        <v>123907</v>
      </c>
      <c r="D67" s="802">
        <f t="shared" ref="D67:O67" si="15">SUM(D68:D69)</f>
        <v>78585</v>
      </c>
      <c r="E67" s="803">
        <f t="shared" si="15"/>
        <v>-2110</v>
      </c>
      <c r="F67" s="756">
        <f t="shared" si="15"/>
        <v>76475</v>
      </c>
      <c r="G67" s="802">
        <f t="shared" si="15"/>
        <v>36934</v>
      </c>
      <c r="H67" s="803">
        <f t="shared" si="15"/>
        <v>397</v>
      </c>
      <c r="I67" s="756">
        <f t="shared" si="15"/>
        <v>37331</v>
      </c>
      <c r="J67" s="802">
        <f t="shared" si="15"/>
        <v>10101</v>
      </c>
      <c r="K67" s="803">
        <f t="shared" si="15"/>
        <v>0</v>
      </c>
      <c r="L67" s="756">
        <f t="shared" si="15"/>
        <v>10101</v>
      </c>
      <c r="M67" s="184">
        <f t="shared" si="15"/>
        <v>0</v>
      </c>
      <c r="N67" s="185">
        <f t="shared" si="15"/>
        <v>0</v>
      </c>
      <c r="O67" s="73">
        <f t="shared" si="15"/>
        <v>0</v>
      </c>
      <c r="P67" s="77"/>
    </row>
    <row r="68" spans="1:16" ht="35.25" customHeight="1" x14ac:dyDescent="0.25">
      <c r="A68" s="606">
        <v>1210</v>
      </c>
      <c r="B68" s="82" t="s">
        <v>86</v>
      </c>
      <c r="C68" s="83">
        <f t="shared" si="0"/>
        <v>98387</v>
      </c>
      <c r="D68" s="460">
        <v>52349</v>
      </c>
      <c r="E68" s="461"/>
      <c r="F68" s="491">
        <f>D68+E68</f>
        <v>52349</v>
      </c>
      <c r="G68" s="460">
        <v>36144</v>
      </c>
      <c r="H68" s="603">
        <v>147</v>
      </c>
      <c r="I68" s="491">
        <f>G68+H68</f>
        <v>36291</v>
      </c>
      <c r="J68" s="460">
        <v>9747</v>
      </c>
      <c r="K68" s="461"/>
      <c r="L68" s="491">
        <f>K68+J68</f>
        <v>9747</v>
      </c>
      <c r="M68" s="46"/>
      <c r="N68" s="47"/>
      <c r="O68" s="134">
        <f>N68+M68</f>
        <v>0</v>
      </c>
      <c r="P68" s="57" t="s">
        <v>864</v>
      </c>
    </row>
    <row r="69" spans="1:16" ht="24" x14ac:dyDescent="0.25">
      <c r="A69" s="189">
        <v>1220</v>
      </c>
      <c r="B69" s="89" t="s">
        <v>87</v>
      </c>
      <c r="C69" s="90">
        <f t="shared" si="0"/>
        <v>25520</v>
      </c>
      <c r="D69" s="806">
        <f t="shared" ref="D69:O69" si="16">SUM(D70:D74)</f>
        <v>26236</v>
      </c>
      <c r="E69" s="365">
        <f t="shared" si="16"/>
        <v>-2110</v>
      </c>
      <c r="F69" s="350">
        <f t="shared" si="16"/>
        <v>24126</v>
      </c>
      <c r="G69" s="806">
        <f t="shared" si="16"/>
        <v>790</v>
      </c>
      <c r="H69" s="365">
        <f t="shared" si="16"/>
        <v>250</v>
      </c>
      <c r="I69" s="350">
        <f t="shared" si="16"/>
        <v>1040</v>
      </c>
      <c r="J69" s="806">
        <f t="shared" si="16"/>
        <v>354</v>
      </c>
      <c r="K69" s="365">
        <f t="shared" si="16"/>
        <v>0</v>
      </c>
      <c r="L69" s="350">
        <f t="shared" si="16"/>
        <v>354</v>
      </c>
      <c r="M69" s="190">
        <f t="shared" si="16"/>
        <v>0</v>
      </c>
      <c r="N69" s="191">
        <f t="shared" si="16"/>
        <v>0</v>
      </c>
      <c r="O69" s="55">
        <f t="shared" si="16"/>
        <v>0</v>
      </c>
      <c r="P69" s="57"/>
    </row>
    <row r="70" spans="1:16" ht="49.5" customHeight="1" x14ac:dyDescent="0.25">
      <c r="A70" s="51">
        <v>1221</v>
      </c>
      <c r="B70" s="89" t="s">
        <v>88</v>
      </c>
      <c r="C70" s="90">
        <f t="shared" si="0"/>
        <v>15778</v>
      </c>
      <c r="D70" s="348">
        <v>16698</v>
      </c>
      <c r="E70" s="604">
        <v>-2110</v>
      </c>
      <c r="F70" s="350">
        <f>D70+E70</f>
        <v>14588</v>
      </c>
      <c r="G70" s="348">
        <v>790</v>
      </c>
      <c r="H70" s="604">
        <v>250</v>
      </c>
      <c r="I70" s="350">
        <f>G70+H70</f>
        <v>1040</v>
      </c>
      <c r="J70" s="348">
        <v>150</v>
      </c>
      <c r="K70" s="349"/>
      <c r="L70" s="350">
        <f>K70+J70</f>
        <v>150</v>
      </c>
      <c r="M70" s="53"/>
      <c r="N70" s="54"/>
      <c r="O70" s="55">
        <f>N70+M70</f>
        <v>0</v>
      </c>
      <c r="P70" s="57" t="s">
        <v>865</v>
      </c>
    </row>
    <row r="71" spans="1:16" ht="27" hidden="1" customHeight="1" x14ac:dyDescent="0.25">
      <c r="A71" s="51">
        <v>1223</v>
      </c>
      <c r="B71" s="89" t="s">
        <v>89</v>
      </c>
      <c r="C71" s="90">
        <f t="shared" si="0"/>
        <v>0</v>
      </c>
      <c r="D71" s="348"/>
      <c r="E71" s="349"/>
      <c r="F71" s="350">
        <f>D71+E71</f>
        <v>0</v>
      </c>
      <c r="G71" s="348"/>
      <c r="H71" s="349"/>
      <c r="I71" s="350">
        <f>G71+H71</f>
        <v>0</v>
      </c>
      <c r="J71" s="348"/>
      <c r="K71" s="349"/>
      <c r="L71" s="350">
        <f>K71+J71</f>
        <v>0</v>
      </c>
      <c r="M71" s="53"/>
      <c r="N71" s="54"/>
      <c r="O71" s="55">
        <f>N71+M71</f>
        <v>0</v>
      </c>
      <c r="P71" s="57"/>
    </row>
    <row r="72" spans="1:16" ht="24" hidden="1" customHeight="1" x14ac:dyDescent="0.25">
      <c r="A72" s="51">
        <v>1225</v>
      </c>
      <c r="B72" s="89" t="s">
        <v>90</v>
      </c>
      <c r="C72" s="90">
        <f t="shared" si="0"/>
        <v>0</v>
      </c>
      <c r="D72" s="348"/>
      <c r="E72" s="349"/>
      <c r="F72" s="350">
        <f>D72+E72</f>
        <v>0</v>
      </c>
      <c r="G72" s="348"/>
      <c r="H72" s="349"/>
      <c r="I72" s="350">
        <f>G72+H72</f>
        <v>0</v>
      </c>
      <c r="J72" s="348"/>
      <c r="K72" s="349"/>
      <c r="L72" s="350">
        <f>K72+J72</f>
        <v>0</v>
      </c>
      <c r="M72" s="53"/>
      <c r="N72" s="54"/>
      <c r="O72" s="55">
        <f>N72+M72</f>
        <v>0</v>
      </c>
      <c r="P72" s="57"/>
    </row>
    <row r="73" spans="1:16" ht="36" customHeight="1" x14ac:dyDescent="0.25">
      <c r="A73" s="51">
        <v>1227</v>
      </c>
      <c r="B73" s="89" t="s">
        <v>91</v>
      </c>
      <c r="C73" s="90">
        <f t="shared" si="0"/>
        <v>8538</v>
      </c>
      <c r="D73" s="348">
        <v>8538</v>
      </c>
      <c r="E73" s="349"/>
      <c r="F73" s="350">
        <f>D73+E73</f>
        <v>8538</v>
      </c>
      <c r="G73" s="348"/>
      <c r="H73" s="349"/>
      <c r="I73" s="350">
        <f>G73+H73</f>
        <v>0</v>
      </c>
      <c r="J73" s="348"/>
      <c r="K73" s="349"/>
      <c r="L73" s="350">
        <f>K73+J73</f>
        <v>0</v>
      </c>
      <c r="M73" s="53"/>
      <c r="N73" s="54"/>
      <c r="O73" s="55">
        <f>N73+M73</f>
        <v>0</v>
      </c>
      <c r="P73" s="57"/>
    </row>
    <row r="74" spans="1:16" ht="48" customHeight="1" x14ac:dyDescent="0.25">
      <c r="A74" s="51">
        <v>1228</v>
      </c>
      <c r="B74" s="89" t="s">
        <v>92</v>
      </c>
      <c r="C74" s="90">
        <f t="shared" si="0"/>
        <v>1204</v>
      </c>
      <c r="D74" s="348">
        <v>1000</v>
      </c>
      <c r="E74" s="349"/>
      <c r="F74" s="350">
        <f>D74+E74</f>
        <v>1000</v>
      </c>
      <c r="G74" s="348"/>
      <c r="H74" s="349"/>
      <c r="I74" s="350">
        <f>G74+H74</f>
        <v>0</v>
      </c>
      <c r="J74" s="348">
        <v>204</v>
      </c>
      <c r="K74" s="349"/>
      <c r="L74" s="350">
        <f>K74+J74</f>
        <v>204</v>
      </c>
      <c r="M74" s="53"/>
      <c r="N74" s="54"/>
      <c r="O74" s="55">
        <f>N74+M74</f>
        <v>0</v>
      </c>
      <c r="P74" s="57"/>
    </row>
    <row r="75" spans="1:16" x14ac:dyDescent="0.25">
      <c r="A75" s="796">
        <v>2000</v>
      </c>
      <c r="B75" s="796" t="s">
        <v>93</v>
      </c>
      <c r="C75" s="797">
        <f t="shared" si="0"/>
        <v>58513</v>
      </c>
      <c r="D75" s="798">
        <f t="shared" ref="D75:O75" si="17">SUM(D76,D83,D130,D164,D165,D172)</f>
        <v>40584</v>
      </c>
      <c r="E75" s="799">
        <f t="shared" si="17"/>
        <v>0</v>
      </c>
      <c r="F75" s="800">
        <f t="shared" si="17"/>
        <v>40584</v>
      </c>
      <c r="G75" s="798">
        <f t="shared" si="17"/>
        <v>698</v>
      </c>
      <c r="H75" s="799">
        <f t="shared" si="17"/>
        <v>0</v>
      </c>
      <c r="I75" s="800">
        <f t="shared" si="17"/>
        <v>698</v>
      </c>
      <c r="J75" s="798">
        <f t="shared" si="17"/>
        <v>17231</v>
      </c>
      <c r="K75" s="799">
        <f t="shared" si="17"/>
        <v>0</v>
      </c>
      <c r="L75" s="800">
        <f t="shared" si="17"/>
        <v>17231</v>
      </c>
      <c r="M75" s="798">
        <f t="shared" si="17"/>
        <v>0</v>
      </c>
      <c r="N75" s="799">
        <f t="shared" si="17"/>
        <v>0</v>
      </c>
      <c r="O75" s="800">
        <f t="shared" si="17"/>
        <v>0</v>
      </c>
      <c r="P75" s="801"/>
    </row>
    <row r="76" spans="1:16" ht="24" x14ac:dyDescent="0.25">
      <c r="A76" s="69">
        <v>2100</v>
      </c>
      <c r="B76" s="183" t="s">
        <v>94</v>
      </c>
      <c r="C76" s="70">
        <f t="shared" si="0"/>
        <v>20</v>
      </c>
      <c r="D76" s="802">
        <f t="shared" ref="D76:O76" si="18">SUM(D77,D80)</f>
        <v>20</v>
      </c>
      <c r="E76" s="803">
        <f t="shared" si="18"/>
        <v>0</v>
      </c>
      <c r="F76" s="756">
        <f t="shared" si="18"/>
        <v>20</v>
      </c>
      <c r="G76" s="802">
        <f t="shared" si="18"/>
        <v>0</v>
      </c>
      <c r="H76" s="803">
        <f t="shared" si="18"/>
        <v>0</v>
      </c>
      <c r="I76" s="756">
        <f t="shared" si="18"/>
        <v>0</v>
      </c>
      <c r="J76" s="802">
        <f t="shared" si="18"/>
        <v>0</v>
      </c>
      <c r="K76" s="803">
        <f t="shared" si="18"/>
        <v>0</v>
      </c>
      <c r="L76" s="756">
        <f t="shared" si="18"/>
        <v>0</v>
      </c>
      <c r="M76" s="184">
        <f t="shared" si="18"/>
        <v>0</v>
      </c>
      <c r="N76" s="185">
        <f t="shared" si="18"/>
        <v>0</v>
      </c>
      <c r="O76" s="73">
        <f t="shared" si="18"/>
        <v>0</v>
      </c>
      <c r="P76" s="77"/>
    </row>
    <row r="77" spans="1:16" ht="24" x14ac:dyDescent="0.25">
      <c r="A77" s="606">
        <v>2110</v>
      </c>
      <c r="B77" s="82" t="s">
        <v>95</v>
      </c>
      <c r="C77" s="83">
        <f t="shared" si="0"/>
        <v>20</v>
      </c>
      <c r="D77" s="807">
        <f t="shared" ref="D77:O77" si="19">SUM(D78:D79)</f>
        <v>20</v>
      </c>
      <c r="E77" s="808">
        <f t="shared" si="19"/>
        <v>0</v>
      </c>
      <c r="F77" s="491">
        <f t="shared" si="19"/>
        <v>20</v>
      </c>
      <c r="G77" s="807">
        <f t="shared" si="19"/>
        <v>0</v>
      </c>
      <c r="H77" s="808">
        <f t="shared" si="19"/>
        <v>0</v>
      </c>
      <c r="I77" s="491">
        <f t="shared" si="19"/>
        <v>0</v>
      </c>
      <c r="J77" s="807">
        <f t="shared" si="19"/>
        <v>0</v>
      </c>
      <c r="K77" s="808">
        <f t="shared" si="19"/>
        <v>0</v>
      </c>
      <c r="L77" s="491">
        <f t="shared" si="19"/>
        <v>0</v>
      </c>
      <c r="M77" s="194">
        <f t="shared" si="19"/>
        <v>0</v>
      </c>
      <c r="N77" s="195">
        <f t="shared" si="19"/>
        <v>0</v>
      </c>
      <c r="O77" s="134">
        <f t="shared" si="19"/>
        <v>0</v>
      </c>
      <c r="P77" s="49"/>
    </row>
    <row r="78" spans="1:16" ht="18" hidden="1" customHeight="1" x14ac:dyDescent="0.25">
      <c r="A78" s="51">
        <v>2111</v>
      </c>
      <c r="B78" s="89" t="s">
        <v>96</v>
      </c>
      <c r="C78" s="90">
        <f t="shared" si="0"/>
        <v>0</v>
      </c>
      <c r="D78" s="352"/>
      <c r="E78" s="353"/>
      <c r="F78" s="350">
        <f>D78+E78</f>
        <v>0</v>
      </c>
      <c r="G78" s="348"/>
      <c r="H78" s="349"/>
      <c r="I78" s="350">
        <f>G78+H78</f>
        <v>0</v>
      </c>
      <c r="J78" s="348"/>
      <c r="K78" s="349"/>
      <c r="L78" s="350">
        <f>K78+J78</f>
        <v>0</v>
      </c>
      <c r="M78" s="53"/>
      <c r="N78" s="54"/>
      <c r="O78" s="55">
        <f>N78+M78</f>
        <v>0</v>
      </c>
      <c r="P78" s="57"/>
    </row>
    <row r="79" spans="1:16" ht="24" customHeight="1" x14ac:dyDescent="0.25">
      <c r="A79" s="51">
        <v>2112</v>
      </c>
      <c r="B79" s="89" t="s">
        <v>97</v>
      </c>
      <c r="C79" s="90">
        <f t="shared" si="0"/>
        <v>20</v>
      </c>
      <c r="D79" s="352">
        <v>20</v>
      </c>
      <c r="E79" s="353"/>
      <c r="F79" s="350">
        <f>D79+E79</f>
        <v>20</v>
      </c>
      <c r="G79" s="348"/>
      <c r="H79" s="349"/>
      <c r="I79" s="350">
        <f>G79+H79</f>
        <v>0</v>
      </c>
      <c r="J79" s="348"/>
      <c r="K79" s="349"/>
      <c r="L79" s="350">
        <f>K79+J79</f>
        <v>0</v>
      </c>
      <c r="M79" s="53"/>
      <c r="N79" s="54"/>
      <c r="O79" s="55">
        <f>N79+M79</f>
        <v>0</v>
      </c>
      <c r="P79" s="57"/>
    </row>
    <row r="80" spans="1:16" ht="24" hidden="1" x14ac:dyDescent="0.25">
      <c r="A80" s="189">
        <v>2120</v>
      </c>
      <c r="B80" s="89" t="s">
        <v>98</v>
      </c>
      <c r="C80" s="90">
        <f t="shared" si="0"/>
        <v>0</v>
      </c>
      <c r="D80" s="806">
        <f t="shared" ref="D80:O80" si="20">SUM(D81:D82)</f>
        <v>0</v>
      </c>
      <c r="E80" s="365">
        <f t="shared" si="20"/>
        <v>0</v>
      </c>
      <c r="F80" s="350">
        <f t="shared" si="20"/>
        <v>0</v>
      </c>
      <c r="G80" s="806">
        <f t="shared" si="20"/>
        <v>0</v>
      </c>
      <c r="H80" s="365">
        <f t="shared" si="20"/>
        <v>0</v>
      </c>
      <c r="I80" s="350">
        <f t="shared" si="20"/>
        <v>0</v>
      </c>
      <c r="J80" s="806">
        <f t="shared" si="20"/>
        <v>0</v>
      </c>
      <c r="K80" s="365">
        <f t="shared" si="20"/>
        <v>0</v>
      </c>
      <c r="L80" s="350">
        <f t="shared" si="20"/>
        <v>0</v>
      </c>
      <c r="M80" s="190">
        <f t="shared" si="20"/>
        <v>0</v>
      </c>
      <c r="N80" s="191">
        <f t="shared" si="20"/>
        <v>0</v>
      </c>
      <c r="O80" s="55">
        <f t="shared" si="20"/>
        <v>0</v>
      </c>
      <c r="P80" s="57"/>
    </row>
    <row r="81" spans="1:16" ht="12" hidden="1" customHeight="1" x14ac:dyDescent="0.25">
      <c r="A81" s="51">
        <v>2121</v>
      </c>
      <c r="B81" s="89" t="s">
        <v>96</v>
      </c>
      <c r="C81" s="90">
        <f t="shared" si="0"/>
        <v>0</v>
      </c>
      <c r="D81" s="352"/>
      <c r="E81" s="353"/>
      <c r="F81" s="350">
        <f>D81+E81</f>
        <v>0</v>
      </c>
      <c r="G81" s="348"/>
      <c r="H81" s="349"/>
      <c r="I81" s="350">
        <f>G81+H81</f>
        <v>0</v>
      </c>
      <c r="J81" s="348"/>
      <c r="K81" s="349"/>
      <c r="L81" s="350">
        <f>K81+J81</f>
        <v>0</v>
      </c>
      <c r="M81" s="53"/>
      <c r="N81" s="54"/>
      <c r="O81" s="55">
        <f>N81+M81</f>
        <v>0</v>
      </c>
      <c r="P81" s="57"/>
    </row>
    <row r="82" spans="1:16" ht="24" hidden="1" customHeight="1" x14ac:dyDescent="0.25">
      <c r="A82" s="51">
        <v>2122</v>
      </c>
      <c r="B82" s="89" t="s">
        <v>97</v>
      </c>
      <c r="C82" s="90">
        <f t="shared" si="0"/>
        <v>0</v>
      </c>
      <c r="D82" s="352"/>
      <c r="E82" s="353"/>
      <c r="F82" s="350">
        <f>D82+E82</f>
        <v>0</v>
      </c>
      <c r="G82" s="348"/>
      <c r="H82" s="349"/>
      <c r="I82" s="350">
        <f>G82+H82</f>
        <v>0</v>
      </c>
      <c r="J82" s="348"/>
      <c r="K82" s="349"/>
      <c r="L82" s="350">
        <f>K82+J82</f>
        <v>0</v>
      </c>
      <c r="M82" s="53"/>
      <c r="N82" s="54"/>
      <c r="O82" s="55">
        <f>N82+M82</f>
        <v>0</v>
      </c>
      <c r="P82" s="57"/>
    </row>
    <row r="83" spans="1:16" x14ac:dyDescent="0.25">
      <c r="A83" s="69">
        <v>2200</v>
      </c>
      <c r="B83" s="183" t="s">
        <v>99</v>
      </c>
      <c r="C83" s="70">
        <f t="shared" si="0"/>
        <v>41551</v>
      </c>
      <c r="D83" s="802">
        <f t="shared" ref="D83:O83" si="21">SUM(D84,D89,D95,D103,D112,D116,D122,D128)</f>
        <v>33138</v>
      </c>
      <c r="E83" s="803">
        <f t="shared" si="21"/>
        <v>0</v>
      </c>
      <c r="F83" s="756">
        <f t="shared" si="21"/>
        <v>33138</v>
      </c>
      <c r="G83" s="802">
        <f t="shared" si="21"/>
        <v>0</v>
      </c>
      <c r="H83" s="803">
        <f t="shared" si="21"/>
        <v>0</v>
      </c>
      <c r="I83" s="756">
        <f t="shared" si="21"/>
        <v>0</v>
      </c>
      <c r="J83" s="802">
        <f t="shared" si="21"/>
        <v>8413</v>
      </c>
      <c r="K83" s="803">
        <f t="shared" si="21"/>
        <v>0</v>
      </c>
      <c r="L83" s="756">
        <f t="shared" si="21"/>
        <v>8413</v>
      </c>
      <c r="M83" s="184">
        <f t="shared" si="21"/>
        <v>0</v>
      </c>
      <c r="N83" s="185">
        <f t="shared" si="21"/>
        <v>0</v>
      </c>
      <c r="O83" s="73">
        <f t="shared" si="21"/>
        <v>0</v>
      </c>
      <c r="P83" s="77"/>
    </row>
    <row r="84" spans="1:16" x14ac:dyDescent="0.25">
      <c r="A84" s="186">
        <v>2210</v>
      </c>
      <c r="B84" s="138" t="s">
        <v>100</v>
      </c>
      <c r="C84" s="143">
        <f t="shared" ref="C84:C147" si="22">F84+I84+L84+O84</f>
        <v>431</v>
      </c>
      <c r="D84" s="804">
        <f t="shared" ref="D84:O84" si="23">SUM(D85:D88)</f>
        <v>189</v>
      </c>
      <c r="E84" s="805">
        <f t="shared" si="23"/>
        <v>0</v>
      </c>
      <c r="F84" s="781">
        <f t="shared" si="23"/>
        <v>189</v>
      </c>
      <c r="G84" s="804">
        <f t="shared" si="23"/>
        <v>0</v>
      </c>
      <c r="H84" s="805">
        <f t="shared" si="23"/>
        <v>0</v>
      </c>
      <c r="I84" s="781">
        <f t="shared" si="23"/>
        <v>0</v>
      </c>
      <c r="J84" s="804">
        <f t="shared" si="23"/>
        <v>242</v>
      </c>
      <c r="K84" s="805">
        <f t="shared" si="23"/>
        <v>0</v>
      </c>
      <c r="L84" s="781">
        <f t="shared" si="23"/>
        <v>242</v>
      </c>
      <c r="M84" s="187">
        <f t="shared" si="23"/>
        <v>0</v>
      </c>
      <c r="N84" s="188">
        <f t="shared" si="23"/>
        <v>0</v>
      </c>
      <c r="O84" s="141">
        <f t="shared" si="23"/>
        <v>0</v>
      </c>
      <c r="P84" s="129"/>
    </row>
    <row r="85" spans="1:16" ht="24" hidden="1" customHeight="1" x14ac:dyDescent="0.25">
      <c r="A85" s="44">
        <v>2211</v>
      </c>
      <c r="B85" s="82" t="s">
        <v>101</v>
      </c>
      <c r="C85" s="83">
        <f t="shared" si="22"/>
        <v>0</v>
      </c>
      <c r="D85" s="489"/>
      <c r="E85" s="490"/>
      <c r="F85" s="491">
        <f>D85+E85</f>
        <v>0</v>
      </c>
      <c r="G85" s="460"/>
      <c r="H85" s="461"/>
      <c r="I85" s="491">
        <f>G85+H85</f>
        <v>0</v>
      </c>
      <c r="J85" s="460"/>
      <c r="K85" s="461"/>
      <c r="L85" s="491">
        <f>K85+J85</f>
        <v>0</v>
      </c>
      <c r="M85" s="46"/>
      <c r="N85" s="47"/>
      <c r="O85" s="134">
        <f>N85+M85</f>
        <v>0</v>
      </c>
      <c r="P85" s="49"/>
    </row>
    <row r="86" spans="1:16" ht="36" customHeight="1" x14ac:dyDescent="0.25">
      <c r="A86" s="51">
        <v>2212</v>
      </c>
      <c r="B86" s="89" t="s">
        <v>102</v>
      </c>
      <c r="C86" s="90">
        <f t="shared" si="22"/>
        <v>189</v>
      </c>
      <c r="D86" s="352">
        <v>169</v>
      </c>
      <c r="E86" s="353"/>
      <c r="F86" s="350">
        <f>D86+E86</f>
        <v>169</v>
      </c>
      <c r="G86" s="348"/>
      <c r="H86" s="349"/>
      <c r="I86" s="350">
        <f>G86+H86</f>
        <v>0</v>
      </c>
      <c r="J86" s="348">
        <v>20</v>
      </c>
      <c r="K86" s="349"/>
      <c r="L86" s="350">
        <f>K86+J86</f>
        <v>20</v>
      </c>
      <c r="M86" s="53"/>
      <c r="N86" s="54"/>
      <c r="O86" s="55">
        <f>N86+M86</f>
        <v>0</v>
      </c>
      <c r="P86" s="57"/>
    </row>
    <row r="87" spans="1:16" ht="24" customHeight="1" x14ac:dyDescent="0.25">
      <c r="A87" s="51">
        <v>2214</v>
      </c>
      <c r="B87" s="89" t="s">
        <v>103</v>
      </c>
      <c r="C87" s="90">
        <f t="shared" si="22"/>
        <v>122</v>
      </c>
      <c r="D87" s="352"/>
      <c r="E87" s="353"/>
      <c r="F87" s="350">
        <f>D87+E87</f>
        <v>0</v>
      </c>
      <c r="G87" s="348"/>
      <c r="H87" s="349"/>
      <c r="I87" s="350">
        <f>G87+H87</f>
        <v>0</v>
      </c>
      <c r="J87" s="348">
        <v>122</v>
      </c>
      <c r="K87" s="349"/>
      <c r="L87" s="350">
        <f>K87+J87</f>
        <v>122</v>
      </c>
      <c r="M87" s="53"/>
      <c r="N87" s="54"/>
      <c r="O87" s="55">
        <f>N87+M87</f>
        <v>0</v>
      </c>
      <c r="P87" s="57"/>
    </row>
    <row r="88" spans="1:16" ht="12" customHeight="1" x14ac:dyDescent="0.25">
      <c r="A88" s="51">
        <v>2219</v>
      </c>
      <c r="B88" s="89" t="s">
        <v>104</v>
      </c>
      <c r="C88" s="90">
        <f t="shared" si="22"/>
        <v>120</v>
      </c>
      <c r="D88" s="352">
        <v>20</v>
      </c>
      <c r="E88" s="353"/>
      <c r="F88" s="350">
        <f>D88+E88</f>
        <v>20</v>
      </c>
      <c r="G88" s="348"/>
      <c r="H88" s="349"/>
      <c r="I88" s="350">
        <f>G88+H88</f>
        <v>0</v>
      </c>
      <c r="J88" s="348">
        <v>100</v>
      </c>
      <c r="K88" s="349"/>
      <c r="L88" s="350">
        <f>K88+J88</f>
        <v>100</v>
      </c>
      <c r="M88" s="53"/>
      <c r="N88" s="54"/>
      <c r="O88" s="55">
        <f>N88+M88</f>
        <v>0</v>
      </c>
      <c r="P88" s="57"/>
    </row>
    <row r="89" spans="1:16" ht="24" x14ac:dyDescent="0.25">
      <c r="A89" s="189">
        <v>2220</v>
      </c>
      <c r="B89" s="89" t="s">
        <v>105</v>
      </c>
      <c r="C89" s="90">
        <f t="shared" si="22"/>
        <v>22821</v>
      </c>
      <c r="D89" s="806">
        <f t="shared" ref="D89:O89" si="24">SUM(D90:D94)</f>
        <v>19773</v>
      </c>
      <c r="E89" s="365">
        <f t="shared" si="24"/>
        <v>-1967</v>
      </c>
      <c r="F89" s="350">
        <f t="shared" si="24"/>
        <v>17806</v>
      </c>
      <c r="G89" s="806">
        <f t="shared" si="24"/>
        <v>0</v>
      </c>
      <c r="H89" s="365">
        <f t="shared" si="24"/>
        <v>0</v>
      </c>
      <c r="I89" s="350">
        <f t="shared" si="24"/>
        <v>0</v>
      </c>
      <c r="J89" s="806">
        <f t="shared" si="24"/>
        <v>5015</v>
      </c>
      <c r="K89" s="365">
        <f t="shared" si="24"/>
        <v>0</v>
      </c>
      <c r="L89" s="350">
        <f t="shared" si="24"/>
        <v>5015</v>
      </c>
      <c r="M89" s="190">
        <f t="shared" si="24"/>
        <v>0</v>
      </c>
      <c r="N89" s="191">
        <f t="shared" si="24"/>
        <v>0</v>
      </c>
      <c r="O89" s="55">
        <f t="shared" si="24"/>
        <v>0</v>
      </c>
      <c r="P89" s="57"/>
    </row>
    <row r="90" spans="1:16" ht="29.25" customHeight="1" x14ac:dyDescent="0.25">
      <c r="A90" s="51">
        <v>2221</v>
      </c>
      <c r="B90" s="89" t="s">
        <v>106</v>
      </c>
      <c r="C90" s="90">
        <f t="shared" si="22"/>
        <v>6814</v>
      </c>
      <c r="D90" s="352">
        <v>6186</v>
      </c>
      <c r="E90" s="809">
        <v>-1070</v>
      </c>
      <c r="F90" s="350">
        <f>D90+E90</f>
        <v>5116</v>
      </c>
      <c r="G90" s="348"/>
      <c r="H90" s="349"/>
      <c r="I90" s="350">
        <f>G90+H90</f>
        <v>0</v>
      </c>
      <c r="J90" s="348">
        <v>1698</v>
      </c>
      <c r="K90" s="349"/>
      <c r="L90" s="350">
        <f>K90+J90</f>
        <v>1698</v>
      </c>
      <c r="M90" s="53"/>
      <c r="N90" s="54"/>
      <c r="O90" s="55">
        <f>N90+M90</f>
        <v>0</v>
      </c>
      <c r="P90" s="57" t="s">
        <v>866</v>
      </c>
    </row>
    <row r="91" spans="1:16" ht="15.75" customHeight="1" x14ac:dyDescent="0.25">
      <c r="A91" s="51">
        <v>2222</v>
      </c>
      <c r="B91" s="89" t="s">
        <v>107</v>
      </c>
      <c r="C91" s="90">
        <f t="shared" si="22"/>
        <v>1972</v>
      </c>
      <c r="D91" s="352">
        <v>1325</v>
      </c>
      <c r="E91" s="809">
        <v>70</v>
      </c>
      <c r="F91" s="350">
        <f>D91+E91</f>
        <v>1395</v>
      </c>
      <c r="G91" s="348">
        <v>0</v>
      </c>
      <c r="H91" s="349"/>
      <c r="I91" s="350">
        <f>G91+H91</f>
        <v>0</v>
      </c>
      <c r="J91" s="348">
        <v>577</v>
      </c>
      <c r="K91" s="349"/>
      <c r="L91" s="350">
        <f>K91+J91</f>
        <v>577</v>
      </c>
      <c r="M91" s="53"/>
      <c r="N91" s="54"/>
      <c r="O91" s="55">
        <f>N91+M91</f>
        <v>0</v>
      </c>
      <c r="P91" s="57" t="s">
        <v>867</v>
      </c>
    </row>
    <row r="92" spans="1:16" ht="24" customHeight="1" x14ac:dyDescent="0.25">
      <c r="A92" s="51">
        <v>2223</v>
      </c>
      <c r="B92" s="89" t="s">
        <v>108</v>
      </c>
      <c r="C92" s="90">
        <f t="shared" si="22"/>
        <v>13533</v>
      </c>
      <c r="D92" s="352">
        <v>12262</v>
      </c>
      <c r="E92" s="809">
        <v>-967</v>
      </c>
      <c r="F92" s="350">
        <f>D92+E92</f>
        <v>11295</v>
      </c>
      <c r="G92" s="348"/>
      <c r="H92" s="349"/>
      <c r="I92" s="350">
        <f>G92+H92</f>
        <v>0</v>
      </c>
      <c r="J92" s="348">
        <v>2238</v>
      </c>
      <c r="K92" s="349"/>
      <c r="L92" s="350">
        <f>K92+J92</f>
        <v>2238</v>
      </c>
      <c r="M92" s="53"/>
      <c r="N92" s="54"/>
      <c r="O92" s="55">
        <f>N92+M92</f>
        <v>0</v>
      </c>
      <c r="P92" s="57" t="s">
        <v>868</v>
      </c>
    </row>
    <row r="93" spans="1:16" ht="48" x14ac:dyDescent="0.25">
      <c r="A93" s="51">
        <v>2224</v>
      </c>
      <c r="B93" s="89" t="s">
        <v>109</v>
      </c>
      <c r="C93" s="90">
        <f t="shared" si="22"/>
        <v>502</v>
      </c>
      <c r="D93" s="352"/>
      <c r="E93" s="353"/>
      <c r="F93" s="350">
        <f>D93+E93</f>
        <v>0</v>
      </c>
      <c r="G93" s="348"/>
      <c r="H93" s="349"/>
      <c r="I93" s="350">
        <f>G93+H93</f>
        <v>0</v>
      </c>
      <c r="J93" s="348">
        <v>502</v>
      </c>
      <c r="K93" s="349"/>
      <c r="L93" s="350">
        <f>K93+J93</f>
        <v>502</v>
      </c>
      <c r="M93" s="53"/>
      <c r="N93" s="54"/>
      <c r="O93" s="55">
        <f>N93+M93</f>
        <v>0</v>
      </c>
      <c r="P93" s="57"/>
    </row>
    <row r="94" spans="1:16" ht="24" hidden="1" customHeight="1" x14ac:dyDescent="0.25">
      <c r="A94" s="51">
        <v>2229</v>
      </c>
      <c r="B94" s="89" t="s">
        <v>110</v>
      </c>
      <c r="C94" s="90">
        <f t="shared" si="22"/>
        <v>0</v>
      </c>
      <c r="D94" s="352"/>
      <c r="E94" s="353"/>
      <c r="F94" s="350">
        <f>D94+E94</f>
        <v>0</v>
      </c>
      <c r="G94" s="348"/>
      <c r="H94" s="349"/>
      <c r="I94" s="350">
        <f>G94+H94</f>
        <v>0</v>
      </c>
      <c r="J94" s="348"/>
      <c r="K94" s="349"/>
      <c r="L94" s="350">
        <f>K94+J94</f>
        <v>0</v>
      </c>
      <c r="M94" s="53"/>
      <c r="N94" s="54"/>
      <c r="O94" s="55">
        <f>N94+M94</f>
        <v>0</v>
      </c>
      <c r="P94" s="57"/>
    </row>
    <row r="95" spans="1:16" ht="36" x14ac:dyDescent="0.25">
      <c r="A95" s="189">
        <v>2230</v>
      </c>
      <c r="B95" s="89" t="s">
        <v>111</v>
      </c>
      <c r="C95" s="90">
        <f t="shared" si="22"/>
        <v>2278</v>
      </c>
      <c r="D95" s="806">
        <f t="shared" ref="D95:O95" si="25">SUM(D96:D102)</f>
        <v>1528</v>
      </c>
      <c r="E95" s="365">
        <f t="shared" si="25"/>
        <v>0</v>
      </c>
      <c r="F95" s="350">
        <f t="shared" si="25"/>
        <v>1528</v>
      </c>
      <c r="G95" s="806">
        <f t="shared" si="25"/>
        <v>0</v>
      </c>
      <c r="H95" s="365">
        <f t="shared" si="25"/>
        <v>0</v>
      </c>
      <c r="I95" s="350">
        <f t="shared" si="25"/>
        <v>0</v>
      </c>
      <c r="J95" s="806">
        <f t="shared" si="25"/>
        <v>750</v>
      </c>
      <c r="K95" s="365">
        <f t="shared" si="25"/>
        <v>0</v>
      </c>
      <c r="L95" s="350">
        <f t="shared" si="25"/>
        <v>750</v>
      </c>
      <c r="M95" s="190">
        <f t="shared" si="25"/>
        <v>0</v>
      </c>
      <c r="N95" s="191">
        <f t="shared" si="25"/>
        <v>0</v>
      </c>
      <c r="O95" s="55">
        <f t="shared" si="25"/>
        <v>0</v>
      </c>
      <c r="P95" s="57"/>
    </row>
    <row r="96" spans="1:16" ht="24" hidden="1" customHeight="1" x14ac:dyDescent="0.25">
      <c r="A96" s="51">
        <v>2231</v>
      </c>
      <c r="B96" s="89" t="s">
        <v>112</v>
      </c>
      <c r="C96" s="90">
        <f t="shared" si="22"/>
        <v>0</v>
      </c>
      <c r="D96" s="352"/>
      <c r="E96" s="353"/>
      <c r="F96" s="350">
        <f t="shared" ref="F96:F102" si="26">D96+E96</f>
        <v>0</v>
      </c>
      <c r="G96" s="348"/>
      <c r="H96" s="349"/>
      <c r="I96" s="350">
        <f t="shared" ref="I96:I102" si="27">G96+H96</f>
        <v>0</v>
      </c>
      <c r="J96" s="348"/>
      <c r="K96" s="349"/>
      <c r="L96" s="350">
        <f t="shared" ref="L96:L102" si="28">K96+J96</f>
        <v>0</v>
      </c>
      <c r="M96" s="53"/>
      <c r="N96" s="54"/>
      <c r="O96" s="55">
        <f t="shared" ref="O96:O102" si="29">N96+M96</f>
        <v>0</v>
      </c>
      <c r="P96" s="57" t="s">
        <v>580</v>
      </c>
    </row>
    <row r="97" spans="1:16" ht="24.75" hidden="1" customHeight="1" x14ac:dyDescent="0.25">
      <c r="A97" s="51">
        <v>2232</v>
      </c>
      <c r="B97" s="89" t="s">
        <v>113</v>
      </c>
      <c r="C97" s="90">
        <f t="shared" si="22"/>
        <v>0</v>
      </c>
      <c r="D97" s="352"/>
      <c r="E97" s="353"/>
      <c r="F97" s="350">
        <f t="shared" si="26"/>
        <v>0</v>
      </c>
      <c r="G97" s="348"/>
      <c r="H97" s="349"/>
      <c r="I97" s="350">
        <f t="shared" si="27"/>
        <v>0</v>
      </c>
      <c r="J97" s="348"/>
      <c r="K97" s="349"/>
      <c r="L97" s="350">
        <f t="shared" si="28"/>
        <v>0</v>
      </c>
      <c r="M97" s="53"/>
      <c r="N97" s="54"/>
      <c r="O97" s="55">
        <f t="shared" si="29"/>
        <v>0</v>
      </c>
      <c r="P97" s="57"/>
    </row>
    <row r="98" spans="1:16" ht="24" hidden="1" customHeight="1" x14ac:dyDescent="0.25">
      <c r="A98" s="44">
        <v>2233</v>
      </c>
      <c r="B98" s="82" t="s">
        <v>114</v>
      </c>
      <c r="C98" s="83">
        <f t="shared" si="22"/>
        <v>0</v>
      </c>
      <c r="D98" s="489"/>
      <c r="E98" s="490"/>
      <c r="F98" s="491">
        <f t="shared" si="26"/>
        <v>0</v>
      </c>
      <c r="G98" s="460"/>
      <c r="H98" s="461"/>
      <c r="I98" s="491">
        <f t="shared" si="27"/>
        <v>0</v>
      </c>
      <c r="J98" s="460"/>
      <c r="K98" s="461"/>
      <c r="L98" s="491">
        <f t="shared" si="28"/>
        <v>0</v>
      </c>
      <c r="M98" s="46"/>
      <c r="N98" s="47"/>
      <c r="O98" s="134">
        <f t="shared" si="29"/>
        <v>0</v>
      </c>
      <c r="P98" s="49"/>
    </row>
    <row r="99" spans="1:16" ht="36" hidden="1" customHeight="1" x14ac:dyDescent="0.25">
      <c r="A99" s="51">
        <v>2234</v>
      </c>
      <c r="B99" s="89" t="s">
        <v>115</v>
      </c>
      <c r="C99" s="90">
        <f t="shared" si="22"/>
        <v>0</v>
      </c>
      <c r="D99" s="352"/>
      <c r="E99" s="353"/>
      <c r="F99" s="350">
        <f t="shared" si="26"/>
        <v>0</v>
      </c>
      <c r="G99" s="348"/>
      <c r="H99" s="349"/>
      <c r="I99" s="350">
        <f t="shared" si="27"/>
        <v>0</v>
      </c>
      <c r="J99" s="348"/>
      <c r="K99" s="349"/>
      <c r="L99" s="350">
        <f t="shared" si="28"/>
        <v>0</v>
      </c>
      <c r="M99" s="53"/>
      <c r="N99" s="54"/>
      <c r="O99" s="55">
        <f t="shared" si="29"/>
        <v>0</v>
      </c>
      <c r="P99" s="57"/>
    </row>
    <row r="100" spans="1:16" ht="24" customHeight="1" x14ac:dyDescent="0.25">
      <c r="A100" s="51">
        <v>2235</v>
      </c>
      <c r="B100" s="89" t="s">
        <v>116</v>
      </c>
      <c r="C100" s="90">
        <f t="shared" si="22"/>
        <v>150</v>
      </c>
      <c r="D100" s="352"/>
      <c r="E100" s="353"/>
      <c r="F100" s="350">
        <f t="shared" si="26"/>
        <v>0</v>
      </c>
      <c r="G100" s="348"/>
      <c r="H100" s="349"/>
      <c r="I100" s="350">
        <f t="shared" si="27"/>
        <v>0</v>
      </c>
      <c r="J100" s="348">
        <v>150</v>
      </c>
      <c r="K100" s="349"/>
      <c r="L100" s="350">
        <f t="shared" si="28"/>
        <v>150</v>
      </c>
      <c r="M100" s="53"/>
      <c r="N100" s="54"/>
      <c r="O100" s="55">
        <f t="shared" si="29"/>
        <v>0</v>
      </c>
      <c r="P100" s="57"/>
    </row>
    <row r="101" spans="1:16" ht="12" hidden="1" customHeight="1" x14ac:dyDescent="0.25">
      <c r="A101" s="51">
        <v>2236</v>
      </c>
      <c r="B101" s="89" t="s">
        <v>117</v>
      </c>
      <c r="C101" s="90">
        <f t="shared" si="22"/>
        <v>0</v>
      </c>
      <c r="D101" s="352"/>
      <c r="E101" s="353"/>
      <c r="F101" s="350">
        <f t="shared" si="26"/>
        <v>0</v>
      </c>
      <c r="G101" s="348"/>
      <c r="H101" s="349"/>
      <c r="I101" s="350">
        <f t="shared" si="27"/>
        <v>0</v>
      </c>
      <c r="J101" s="348"/>
      <c r="K101" s="349"/>
      <c r="L101" s="350">
        <f t="shared" si="28"/>
        <v>0</v>
      </c>
      <c r="M101" s="53"/>
      <c r="N101" s="54"/>
      <c r="O101" s="55">
        <f t="shared" si="29"/>
        <v>0</v>
      </c>
      <c r="P101" s="57"/>
    </row>
    <row r="102" spans="1:16" ht="24" customHeight="1" x14ac:dyDescent="0.25">
      <c r="A102" s="51">
        <v>2239</v>
      </c>
      <c r="B102" s="89" t="s">
        <v>118</v>
      </c>
      <c r="C102" s="90">
        <f t="shared" si="22"/>
        <v>2128</v>
      </c>
      <c r="D102" s="352">
        <v>1528</v>
      </c>
      <c r="E102" s="353"/>
      <c r="F102" s="350">
        <f t="shared" si="26"/>
        <v>1528</v>
      </c>
      <c r="G102" s="348"/>
      <c r="H102" s="349"/>
      <c r="I102" s="350">
        <f t="shared" si="27"/>
        <v>0</v>
      </c>
      <c r="J102" s="348">
        <v>600</v>
      </c>
      <c r="K102" s="349"/>
      <c r="L102" s="350">
        <f t="shared" si="28"/>
        <v>600</v>
      </c>
      <c r="M102" s="53"/>
      <c r="N102" s="54"/>
      <c r="O102" s="55">
        <f t="shared" si="29"/>
        <v>0</v>
      </c>
      <c r="P102" s="57"/>
    </row>
    <row r="103" spans="1:16" ht="36" x14ac:dyDescent="0.25">
      <c r="A103" s="189">
        <v>2240</v>
      </c>
      <c r="B103" s="89" t="s">
        <v>119</v>
      </c>
      <c r="C103" s="90">
        <f t="shared" si="22"/>
        <v>5010</v>
      </c>
      <c r="D103" s="806">
        <f t="shared" ref="D103:O103" si="30">SUM(D104:D111)</f>
        <v>3788</v>
      </c>
      <c r="E103" s="365">
        <f t="shared" si="30"/>
        <v>-211</v>
      </c>
      <c r="F103" s="350">
        <f t="shared" si="30"/>
        <v>3577</v>
      </c>
      <c r="G103" s="806">
        <f t="shared" si="30"/>
        <v>0</v>
      </c>
      <c r="H103" s="365">
        <f t="shared" si="30"/>
        <v>0</v>
      </c>
      <c r="I103" s="350">
        <f t="shared" si="30"/>
        <v>0</v>
      </c>
      <c r="J103" s="806">
        <f t="shared" si="30"/>
        <v>1433</v>
      </c>
      <c r="K103" s="365">
        <f t="shared" si="30"/>
        <v>0</v>
      </c>
      <c r="L103" s="350">
        <f t="shared" si="30"/>
        <v>1433</v>
      </c>
      <c r="M103" s="190">
        <f t="shared" si="30"/>
        <v>0</v>
      </c>
      <c r="N103" s="191">
        <f t="shared" si="30"/>
        <v>0</v>
      </c>
      <c r="O103" s="55">
        <f t="shared" si="30"/>
        <v>0</v>
      </c>
      <c r="P103" s="57"/>
    </row>
    <row r="104" spans="1:16" ht="12" hidden="1" customHeight="1" x14ac:dyDescent="0.25">
      <c r="A104" s="51">
        <v>2241</v>
      </c>
      <c r="B104" s="89" t="s">
        <v>120</v>
      </c>
      <c r="C104" s="90">
        <f t="shared" si="22"/>
        <v>0</v>
      </c>
      <c r="D104" s="352"/>
      <c r="E104" s="353"/>
      <c r="F104" s="350">
        <f t="shared" ref="F104:F111" si="31">D104+E104</f>
        <v>0</v>
      </c>
      <c r="G104" s="348"/>
      <c r="H104" s="349"/>
      <c r="I104" s="350">
        <f t="shared" ref="I104:I111" si="32">G104+H104</f>
        <v>0</v>
      </c>
      <c r="J104" s="348"/>
      <c r="K104" s="349"/>
      <c r="L104" s="350">
        <f t="shared" ref="L104:L111" si="33">K104+J104</f>
        <v>0</v>
      </c>
      <c r="M104" s="53"/>
      <c r="N104" s="54"/>
      <c r="O104" s="55">
        <f t="shared" ref="O104:O111" si="34">N104+M104</f>
        <v>0</v>
      </c>
      <c r="P104" s="57"/>
    </row>
    <row r="105" spans="1:16" ht="24" hidden="1" customHeight="1" x14ac:dyDescent="0.25">
      <c r="A105" s="51">
        <v>2242</v>
      </c>
      <c r="B105" s="89" t="s">
        <v>121</v>
      </c>
      <c r="C105" s="90">
        <f t="shared" si="22"/>
        <v>0</v>
      </c>
      <c r="D105" s="352"/>
      <c r="E105" s="353"/>
      <c r="F105" s="350">
        <f t="shared" si="31"/>
        <v>0</v>
      </c>
      <c r="G105" s="348"/>
      <c r="H105" s="349"/>
      <c r="I105" s="350">
        <f t="shared" si="32"/>
        <v>0</v>
      </c>
      <c r="J105" s="348"/>
      <c r="K105" s="349"/>
      <c r="L105" s="350">
        <f t="shared" si="33"/>
        <v>0</v>
      </c>
      <c r="M105" s="53"/>
      <c r="N105" s="54"/>
      <c r="O105" s="55">
        <f t="shared" si="34"/>
        <v>0</v>
      </c>
      <c r="P105" s="57"/>
    </row>
    <row r="106" spans="1:16" ht="24" customHeight="1" x14ac:dyDescent="0.25">
      <c r="A106" s="51">
        <v>2243</v>
      </c>
      <c r="B106" s="89" t="s">
        <v>122</v>
      </c>
      <c r="C106" s="90">
        <f t="shared" si="22"/>
        <v>485</v>
      </c>
      <c r="D106" s="352">
        <v>200</v>
      </c>
      <c r="E106" s="353"/>
      <c r="F106" s="350">
        <f t="shared" si="31"/>
        <v>200</v>
      </c>
      <c r="G106" s="348"/>
      <c r="H106" s="349"/>
      <c r="I106" s="350">
        <f t="shared" si="32"/>
        <v>0</v>
      </c>
      <c r="J106" s="348">
        <v>285</v>
      </c>
      <c r="K106" s="349"/>
      <c r="L106" s="350">
        <f t="shared" si="33"/>
        <v>285</v>
      </c>
      <c r="M106" s="53"/>
      <c r="N106" s="54"/>
      <c r="O106" s="55">
        <f t="shared" si="34"/>
        <v>0</v>
      </c>
      <c r="P106" s="57"/>
    </row>
    <row r="107" spans="1:16" ht="18" customHeight="1" x14ac:dyDescent="0.25">
      <c r="A107" s="51">
        <v>2244</v>
      </c>
      <c r="B107" s="89" t="s">
        <v>123</v>
      </c>
      <c r="C107" s="90">
        <f t="shared" si="22"/>
        <v>4525</v>
      </c>
      <c r="D107" s="352">
        <v>3588</v>
      </c>
      <c r="E107" s="809">
        <v>-211</v>
      </c>
      <c r="F107" s="350">
        <f t="shared" si="31"/>
        <v>3377</v>
      </c>
      <c r="G107" s="348"/>
      <c r="H107" s="349"/>
      <c r="I107" s="350">
        <f t="shared" si="32"/>
        <v>0</v>
      </c>
      <c r="J107" s="348">
        <v>1148</v>
      </c>
      <c r="K107" s="349"/>
      <c r="L107" s="350">
        <f t="shared" si="33"/>
        <v>1148</v>
      </c>
      <c r="M107" s="53"/>
      <c r="N107" s="54"/>
      <c r="O107" s="55">
        <f t="shared" si="34"/>
        <v>0</v>
      </c>
      <c r="P107" s="57" t="s">
        <v>869</v>
      </c>
    </row>
    <row r="108" spans="1:16" ht="24" hidden="1" customHeight="1" x14ac:dyDescent="0.25">
      <c r="A108" s="51">
        <v>2246</v>
      </c>
      <c r="B108" s="89" t="s">
        <v>124</v>
      </c>
      <c r="C108" s="90">
        <f t="shared" si="22"/>
        <v>0</v>
      </c>
      <c r="D108" s="352"/>
      <c r="E108" s="353"/>
      <c r="F108" s="350">
        <f t="shared" si="31"/>
        <v>0</v>
      </c>
      <c r="G108" s="348"/>
      <c r="H108" s="349"/>
      <c r="I108" s="350">
        <f t="shared" si="32"/>
        <v>0</v>
      </c>
      <c r="J108" s="348"/>
      <c r="K108" s="349"/>
      <c r="L108" s="350">
        <f t="shared" si="33"/>
        <v>0</v>
      </c>
      <c r="M108" s="53"/>
      <c r="N108" s="54"/>
      <c r="O108" s="55">
        <f t="shared" si="34"/>
        <v>0</v>
      </c>
      <c r="P108" s="57"/>
    </row>
    <row r="109" spans="1:16" ht="12" hidden="1" customHeight="1" x14ac:dyDescent="0.25">
      <c r="A109" s="51">
        <v>2247</v>
      </c>
      <c r="B109" s="89" t="s">
        <v>125</v>
      </c>
      <c r="C109" s="90">
        <f t="shared" si="22"/>
        <v>0</v>
      </c>
      <c r="D109" s="352"/>
      <c r="E109" s="353"/>
      <c r="F109" s="350">
        <f t="shared" si="31"/>
        <v>0</v>
      </c>
      <c r="G109" s="348"/>
      <c r="H109" s="349"/>
      <c r="I109" s="350">
        <f t="shared" si="32"/>
        <v>0</v>
      </c>
      <c r="J109" s="348"/>
      <c r="K109" s="349"/>
      <c r="L109" s="350">
        <f t="shared" si="33"/>
        <v>0</v>
      </c>
      <c r="M109" s="53"/>
      <c r="N109" s="54"/>
      <c r="O109" s="55">
        <f t="shared" si="34"/>
        <v>0</v>
      </c>
      <c r="P109" s="57"/>
    </row>
    <row r="110" spans="1:16" ht="24" hidden="1" customHeight="1" x14ac:dyDescent="0.25">
      <c r="A110" s="51">
        <v>2248</v>
      </c>
      <c r="B110" s="89" t="s">
        <v>126</v>
      </c>
      <c r="C110" s="90">
        <f t="shared" si="22"/>
        <v>0</v>
      </c>
      <c r="D110" s="352"/>
      <c r="E110" s="353"/>
      <c r="F110" s="350">
        <f t="shared" si="31"/>
        <v>0</v>
      </c>
      <c r="G110" s="348"/>
      <c r="H110" s="349"/>
      <c r="I110" s="350">
        <f t="shared" si="32"/>
        <v>0</v>
      </c>
      <c r="J110" s="348"/>
      <c r="K110" s="349"/>
      <c r="L110" s="350">
        <f t="shared" si="33"/>
        <v>0</v>
      </c>
      <c r="M110" s="53"/>
      <c r="N110" s="54"/>
      <c r="O110" s="55">
        <f t="shared" si="34"/>
        <v>0</v>
      </c>
      <c r="P110" s="57"/>
    </row>
    <row r="111" spans="1:16" ht="24" hidden="1" customHeight="1" x14ac:dyDescent="0.25">
      <c r="A111" s="51">
        <v>2249</v>
      </c>
      <c r="B111" s="89" t="s">
        <v>127</v>
      </c>
      <c r="C111" s="90">
        <f t="shared" si="22"/>
        <v>0</v>
      </c>
      <c r="D111" s="352"/>
      <c r="E111" s="353"/>
      <c r="F111" s="350">
        <f t="shared" si="31"/>
        <v>0</v>
      </c>
      <c r="G111" s="348"/>
      <c r="H111" s="349"/>
      <c r="I111" s="350">
        <f t="shared" si="32"/>
        <v>0</v>
      </c>
      <c r="J111" s="348"/>
      <c r="K111" s="349"/>
      <c r="L111" s="350">
        <f t="shared" si="33"/>
        <v>0</v>
      </c>
      <c r="M111" s="53"/>
      <c r="N111" s="54"/>
      <c r="O111" s="55">
        <f t="shared" si="34"/>
        <v>0</v>
      </c>
      <c r="P111" s="57"/>
    </row>
    <row r="112" spans="1:16" x14ac:dyDescent="0.25">
      <c r="A112" s="189">
        <v>2250</v>
      </c>
      <c r="B112" s="89" t="s">
        <v>128</v>
      </c>
      <c r="C112" s="90">
        <f t="shared" si="22"/>
        <v>9835</v>
      </c>
      <c r="D112" s="806">
        <f t="shared" ref="D112:O112" si="35">SUM(D113:D115)</f>
        <v>7657</v>
      </c>
      <c r="E112" s="365">
        <f t="shared" si="35"/>
        <v>2178</v>
      </c>
      <c r="F112" s="350">
        <f t="shared" si="35"/>
        <v>9835</v>
      </c>
      <c r="G112" s="806">
        <f t="shared" si="35"/>
        <v>0</v>
      </c>
      <c r="H112" s="365">
        <f t="shared" si="35"/>
        <v>0</v>
      </c>
      <c r="I112" s="350">
        <f t="shared" si="35"/>
        <v>0</v>
      </c>
      <c r="J112" s="806">
        <f t="shared" si="35"/>
        <v>0</v>
      </c>
      <c r="K112" s="365">
        <f t="shared" si="35"/>
        <v>0</v>
      </c>
      <c r="L112" s="350">
        <f t="shared" si="35"/>
        <v>0</v>
      </c>
      <c r="M112" s="190">
        <f t="shared" si="35"/>
        <v>0</v>
      </c>
      <c r="N112" s="191">
        <f t="shared" si="35"/>
        <v>0</v>
      </c>
      <c r="O112" s="55">
        <f t="shared" si="35"/>
        <v>0</v>
      </c>
      <c r="P112" s="57"/>
    </row>
    <row r="113" spans="1:16" ht="12" hidden="1" customHeight="1" x14ac:dyDescent="0.25">
      <c r="A113" s="51">
        <v>2251</v>
      </c>
      <c r="B113" s="89" t="s">
        <v>129</v>
      </c>
      <c r="C113" s="90">
        <f t="shared" si="22"/>
        <v>0</v>
      </c>
      <c r="D113" s="352"/>
      <c r="E113" s="353"/>
      <c r="F113" s="350">
        <f>D113+E113</f>
        <v>0</v>
      </c>
      <c r="G113" s="348"/>
      <c r="H113" s="349"/>
      <c r="I113" s="350">
        <f>G113+H113</f>
        <v>0</v>
      </c>
      <c r="J113" s="348"/>
      <c r="K113" s="349"/>
      <c r="L113" s="350">
        <f>K113+J113</f>
        <v>0</v>
      </c>
      <c r="M113" s="53"/>
      <c r="N113" s="54"/>
      <c r="O113" s="55">
        <f>N113+M113</f>
        <v>0</v>
      </c>
      <c r="P113" s="57"/>
    </row>
    <row r="114" spans="1:16" ht="33.75" customHeight="1" x14ac:dyDescent="0.25">
      <c r="A114" s="51">
        <v>2252</v>
      </c>
      <c r="B114" s="89" t="s">
        <v>130</v>
      </c>
      <c r="C114" s="90">
        <f t="shared" si="22"/>
        <v>9726</v>
      </c>
      <c r="D114" s="352">
        <v>7221</v>
      </c>
      <c r="E114" s="809">
        <v>2505</v>
      </c>
      <c r="F114" s="350">
        <f>D114+E114</f>
        <v>9726</v>
      </c>
      <c r="G114" s="348"/>
      <c r="H114" s="349"/>
      <c r="I114" s="350">
        <f>G114+H114</f>
        <v>0</v>
      </c>
      <c r="J114" s="348"/>
      <c r="K114" s="349"/>
      <c r="L114" s="350">
        <f>K114+J114</f>
        <v>0</v>
      </c>
      <c r="M114" s="53"/>
      <c r="N114" s="54"/>
      <c r="O114" s="55">
        <f>N114+M114</f>
        <v>0</v>
      </c>
      <c r="P114" s="57" t="s">
        <v>870</v>
      </c>
    </row>
    <row r="115" spans="1:16" ht="27.75" customHeight="1" x14ac:dyDescent="0.25">
      <c r="A115" s="51">
        <v>2259</v>
      </c>
      <c r="B115" s="89" t="s">
        <v>131</v>
      </c>
      <c r="C115" s="90">
        <f t="shared" si="22"/>
        <v>109</v>
      </c>
      <c r="D115" s="352">
        <v>436</v>
      </c>
      <c r="E115" s="809">
        <v>-327</v>
      </c>
      <c r="F115" s="350">
        <f>D115+E115</f>
        <v>109</v>
      </c>
      <c r="G115" s="348"/>
      <c r="H115" s="349"/>
      <c r="I115" s="350">
        <f>G115+H115</f>
        <v>0</v>
      </c>
      <c r="J115" s="348"/>
      <c r="K115" s="349"/>
      <c r="L115" s="350">
        <f>K115+J115</f>
        <v>0</v>
      </c>
      <c r="M115" s="53"/>
      <c r="N115" s="54"/>
      <c r="O115" s="55">
        <f>N115+M115</f>
        <v>0</v>
      </c>
      <c r="P115" s="57" t="s">
        <v>871</v>
      </c>
    </row>
    <row r="116" spans="1:16" x14ac:dyDescent="0.25">
      <c r="A116" s="189">
        <v>2260</v>
      </c>
      <c r="B116" s="89" t="s">
        <v>132</v>
      </c>
      <c r="C116" s="90">
        <f t="shared" si="22"/>
        <v>649</v>
      </c>
      <c r="D116" s="806">
        <f t="shared" ref="D116:O116" si="36">SUM(D117:D121)</f>
        <v>26</v>
      </c>
      <c r="E116" s="365">
        <f t="shared" si="36"/>
        <v>0</v>
      </c>
      <c r="F116" s="350">
        <f t="shared" si="36"/>
        <v>26</v>
      </c>
      <c r="G116" s="806">
        <f t="shared" si="36"/>
        <v>0</v>
      </c>
      <c r="H116" s="365">
        <f t="shared" si="36"/>
        <v>0</v>
      </c>
      <c r="I116" s="350">
        <f t="shared" si="36"/>
        <v>0</v>
      </c>
      <c r="J116" s="806">
        <f t="shared" si="36"/>
        <v>623</v>
      </c>
      <c r="K116" s="365">
        <f t="shared" si="36"/>
        <v>0</v>
      </c>
      <c r="L116" s="350">
        <f t="shared" si="36"/>
        <v>623</v>
      </c>
      <c r="M116" s="190">
        <f t="shared" si="36"/>
        <v>0</v>
      </c>
      <c r="N116" s="191">
        <f t="shared" si="36"/>
        <v>0</v>
      </c>
      <c r="O116" s="55">
        <f t="shared" si="36"/>
        <v>0</v>
      </c>
      <c r="P116" s="57"/>
    </row>
    <row r="117" spans="1:16" ht="12" hidden="1" customHeight="1" x14ac:dyDescent="0.25">
      <c r="A117" s="51">
        <v>2261</v>
      </c>
      <c r="B117" s="89" t="s">
        <v>133</v>
      </c>
      <c r="C117" s="90">
        <f t="shared" si="22"/>
        <v>0</v>
      </c>
      <c r="D117" s="352"/>
      <c r="E117" s="353"/>
      <c r="F117" s="350">
        <f>D117+E117</f>
        <v>0</v>
      </c>
      <c r="G117" s="348"/>
      <c r="H117" s="349"/>
      <c r="I117" s="350">
        <f>G117+H117</f>
        <v>0</v>
      </c>
      <c r="J117" s="348"/>
      <c r="K117" s="349"/>
      <c r="L117" s="350">
        <f>K117+J117</f>
        <v>0</v>
      </c>
      <c r="M117" s="53"/>
      <c r="N117" s="54"/>
      <c r="O117" s="55">
        <f>N117+M117</f>
        <v>0</v>
      </c>
      <c r="P117" s="57"/>
    </row>
    <row r="118" spans="1:16" ht="18.75" customHeight="1" x14ac:dyDescent="0.25">
      <c r="A118" s="51">
        <v>2262</v>
      </c>
      <c r="B118" s="89" t="s">
        <v>134</v>
      </c>
      <c r="C118" s="90">
        <f t="shared" si="22"/>
        <v>623</v>
      </c>
      <c r="D118" s="352"/>
      <c r="E118" s="353"/>
      <c r="F118" s="350">
        <f>D118+E118</f>
        <v>0</v>
      </c>
      <c r="G118" s="348"/>
      <c r="H118" s="349"/>
      <c r="I118" s="350">
        <f>G118+H118</f>
        <v>0</v>
      </c>
      <c r="J118" s="348">
        <v>623</v>
      </c>
      <c r="K118" s="349"/>
      <c r="L118" s="350">
        <f>K118+J118</f>
        <v>623</v>
      </c>
      <c r="M118" s="53"/>
      <c r="N118" s="54"/>
      <c r="O118" s="55">
        <f>N118+M118</f>
        <v>0</v>
      </c>
      <c r="P118" s="454" t="s">
        <v>872</v>
      </c>
    </row>
    <row r="119" spans="1:16" ht="18.75" hidden="1" customHeight="1" x14ac:dyDescent="0.25">
      <c r="A119" s="51">
        <v>2263</v>
      </c>
      <c r="B119" s="89" t="s">
        <v>135</v>
      </c>
      <c r="C119" s="90">
        <f t="shared" si="22"/>
        <v>0</v>
      </c>
      <c r="D119" s="352"/>
      <c r="E119" s="353"/>
      <c r="F119" s="350">
        <f>D119+E119</f>
        <v>0</v>
      </c>
      <c r="G119" s="348"/>
      <c r="H119" s="349"/>
      <c r="I119" s="350">
        <f>G119+H119</f>
        <v>0</v>
      </c>
      <c r="J119" s="348"/>
      <c r="K119" s="349"/>
      <c r="L119" s="350">
        <f>K119+J119</f>
        <v>0</v>
      </c>
      <c r="M119" s="53"/>
      <c r="N119" s="54"/>
      <c r="O119" s="55">
        <f>N119+M119</f>
        <v>0</v>
      </c>
      <c r="P119" s="57"/>
    </row>
    <row r="120" spans="1:16" ht="24" hidden="1" customHeight="1" x14ac:dyDescent="0.25">
      <c r="A120" s="51">
        <v>2264</v>
      </c>
      <c r="B120" s="89" t="s">
        <v>136</v>
      </c>
      <c r="C120" s="90">
        <f t="shared" si="22"/>
        <v>0</v>
      </c>
      <c r="D120" s="352"/>
      <c r="E120" s="353"/>
      <c r="F120" s="350">
        <f>D120+E120</f>
        <v>0</v>
      </c>
      <c r="G120" s="348"/>
      <c r="H120" s="349"/>
      <c r="I120" s="350">
        <f>G120+H120</f>
        <v>0</v>
      </c>
      <c r="J120" s="348"/>
      <c r="K120" s="349"/>
      <c r="L120" s="350">
        <f>K120+J120</f>
        <v>0</v>
      </c>
      <c r="M120" s="53"/>
      <c r="N120" s="54"/>
      <c r="O120" s="55">
        <f>N120+M120</f>
        <v>0</v>
      </c>
      <c r="P120" s="57"/>
    </row>
    <row r="121" spans="1:16" ht="12" customHeight="1" x14ac:dyDescent="0.25">
      <c r="A121" s="51">
        <v>2269</v>
      </c>
      <c r="B121" s="89" t="s">
        <v>137</v>
      </c>
      <c r="C121" s="90">
        <f t="shared" si="22"/>
        <v>26</v>
      </c>
      <c r="D121" s="352">
        <v>26</v>
      </c>
      <c r="E121" s="353"/>
      <c r="F121" s="350">
        <f>D121+E121</f>
        <v>26</v>
      </c>
      <c r="G121" s="348"/>
      <c r="H121" s="349"/>
      <c r="I121" s="350">
        <f>G121+H121</f>
        <v>0</v>
      </c>
      <c r="J121" s="348"/>
      <c r="K121" s="349"/>
      <c r="L121" s="350">
        <f>K121+J121</f>
        <v>0</v>
      </c>
      <c r="M121" s="53"/>
      <c r="N121" s="54"/>
      <c r="O121" s="55">
        <f>N121+M121</f>
        <v>0</v>
      </c>
      <c r="P121" s="57"/>
    </row>
    <row r="122" spans="1:16" x14ac:dyDescent="0.25">
      <c r="A122" s="189">
        <v>2270</v>
      </c>
      <c r="B122" s="89" t="s">
        <v>138</v>
      </c>
      <c r="C122" s="90">
        <f t="shared" si="22"/>
        <v>527</v>
      </c>
      <c r="D122" s="806">
        <f t="shared" ref="D122:O122" si="37">SUM(D123:D127)</f>
        <v>177</v>
      </c>
      <c r="E122" s="365">
        <f t="shared" si="37"/>
        <v>0</v>
      </c>
      <c r="F122" s="350">
        <f t="shared" si="37"/>
        <v>177</v>
      </c>
      <c r="G122" s="806">
        <f t="shared" si="37"/>
        <v>0</v>
      </c>
      <c r="H122" s="365">
        <f t="shared" si="37"/>
        <v>0</v>
      </c>
      <c r="I122" s="350">
        <f t="shared" si="37"/>
        <v>0</v>
      </c>
      <c r="J122" s="806">
        <f t="shared" si="37"/>
        <v>350</v>
      </c>
      <c r="K122" s="365">
        <f t="shared" si="37"/>
        <v>0</v>
      </c>
      <c r="L122" s="350">
        <f t="shared" si="37"/>
        <v>350</v>
      </c>
      <c r="M122" s="190">
        <f t="shared" si="37"/>
        <v>0</v>
      </c>
      <c r="N122" s="191">
        <f t="shared" si="37"/>
        <v>0</v>
      </c>
      <c r="O122" s="55">
        <f t="shared" si="37"/>
        <v>0</v>
      </c>
      <c r="P122" s="454"/>
    </row>
    <row r="123" spans="1:16" ht="12" hidden="1" customHeight="1" x14ac:dyDescent="0.25">
      <c r="A123" s="51">
        <v>2272</v>
      </c>
      <c r="B123" s="201" t="s">
        <v>139</v>
      </c>
      <c r="C123" s="90">
        <f t="shared" si="22"/>
        <v>0</v>
      </c>
      <c r="D123" s="352"/>
      <c r="E123" s="353"/>
      <c r="F123" s="350">
        <f>D123+E123</f>
        <v>0</v>
      </c>
      <c r="G123" s="348"/>
      <c r="H123" s="349"/>
      <c r="I123" s="350">
        <f>G123+H123</f>
        <v>0</v>
      </c>
      <c r="J123" s="348"/>
      <c r="K123" s="349"/>
      <c r="L123" s="350">
        <f>K123+J123</f>
        <v>0</v>
      </c>
      <c r="M123" s="53"/>
      <c r="N123" s="54"/>
      <c r="O123" s="55">
        <f>N123+M123</f>
        <v>0</v>
      </c>
      <c r="P123" s="57"/>
    </row>
    <row r="124" spans="1:16" ht="24" hidden="1" customHeight="1" x14ac:dyDescent="0.25">
      <c r="A124" s="51">
        <v>2274</v>
      </c>
      <c r="B124" s="202" t="s">
        <v>140</v>
      </c>
      <c r="C124" s="90">
        <f t="shared" si="22"/>
        <v>0</v>
      </c>
      <c r="D124" s="352"/>
      <c r="E124" s="353"/>
      <c r="F124" s="350">
        <f>D124+E124</f>
        <v>0</v>
      </c>
      <c r="G124" s="348"/>
      <c r="H124" s="349"/>
      <c r="I124" s="350">
        <f>G124+H124</f>
        <v>0</v>
      </c>
      <c r="J124" s="348"/>
      <c r="K124" s="349"/>
      <c r="L124" s="350">
        <f>K124+J124</f>
        <v>0</v>
      </c>
      <c r="M124" s="53"/>
      <c r="N124" s="54"/>
      <c r="O124" s="55">
        <f>N124+M124</f>
        <v>0</v>
      </c>
      <c r="P124" s="57"/>
    </row>
    <row r="125" spans="1:16" ht="24" hidden="1" customHeight="1" x14ac:dyDescent="0.25">
      <c r="A125" s="51">
        <v>2275</v>
      </c>
      <c r="B125" s="89" t="s">
        <v>141</v>
      </c>
      <c r="C125" s="90">
        <f t="shared" si="22"/>
        <v>0</v>
      </c>
      <c r="D125" s="352"/>
      <c r="E125" s="353"/>
      <c r="F125" s="350">
        <f>D125+E125</f>
        <v>0</v>
      </c>
      <c r="G125" s="348"/>
      <c r="H125" s="349"/>
      <c r="I125" s="350">
        <f>G125+H125</f>
        <v>0</v>
      </c>
      <c r="J125" s="348"/>
      <c r="K125" s="349"/>
      <c r="L125" s="350">
        <f>K125+J125</f>
        <v>0</v>
      </c>
      <c r="M125" s="53"/>
      <c r="N125" s="54"/>
      <c r="O125" s="55">
        <f>N125+M125</f>
        <v>0</v>
      </c>
      <c r="P125" s="57"/>
    </row>
    <row r="126" spans="1:16" ht="36" hidden="1" customHeight="1" x14ac:dyDescent="0.25">
      <c r="A126" s="51">
        <v>2276</v>
      </c>
      <c r="B126" s="89" t="s">
        <v>142</v>
      </c>
      <c r="C126" s="90">
        <f t="shared" si="22"/>
        <v>0</v>
      </c>
      <c r="D126" s="352"/>
      <c r="E126" s="353"/>
      <c r="F126" s="350">
        <f>D126+E126</f>
        <v>0</v>
      </c>
      <c r="G126" s="348"/>
      <c r="H126" s="349"/>
      <c r="I126" s="350">
        <f>G126+H126</f>
        <v>0</v>
      </c>
      <c r="J126" s="348"/>
      <c r="K126" s="349"/>
      <c r="L126" s="350">
        <f>K126+J126</f>
        <v>0</v>
      </c>
      <c r="M126" s="53"/>
      <c r="N126" s="54"/>
      <c r="O126" s="55">
        <f>N126+M126</f>
        <v>0</v>
      </c>
      <c r="P126" s="57"/>
    </row>
    <row r="127" spans="1:16" ht="28.5" customHeight="1" x14ac:dyDescent="0.25">
      <c r="A127" s="51">
        <v>2279</v>
      </c>
      <c r="B127" s="89" t="s">
        <v>143</v>
      </c>
      <c r="C127" s="90">
        <f t="shared" si="22"/>
        <v>527</v>
      </c>
      <c r="D127" s="352">
        <v>177</v>
      </c>
      <c r="E127" s="353"/>
      <c r="F127" s="350">
        <f>D127+E127</f>
        <v>177</v>
      </c>
      <c r="G127" s="348"/>
      <c r="H127" s="349"/>
      <c r="I127" s="350">
        <f>G127+H127</f>
        <v>0</v>
      </c>
      <c r="J127" s="348">
        <v>350</v>
      </c>
      <c r="K127" s="349"/>
      <c r="L127" s="350">
        <f>K127+J127</f>
        <v>350</v>
      </c>
      <c r="M127" s="53"/>
      <c r="N127" s="54"/>
      <c r="O127" s="55">
        <f>N127+M127</f>
        <v>0</v>
      </c>
      <c r="P127" s="454"/>
    </row>
    <row r="128" spans="1:16" ht="48" hidden="1" x14ac:dyDescent="0.25">
      <c r="A128" s="606">
        <v>2280</v>
      </c>
      <c r="B128" s="82" t="s">
        <v>144</v>
      </c>
      <c r="C128" s="83">
        <f t="shared" si="22"/>
        <v>0</v>
      </c>
      <c r="D128" s="807">
        <f t="shared" ref="D128:O128" si="38">SUM(D129)</f>
        <v>0</v>
      </c>
      <c r="E128" s="808">
        <f t="shared" si="38"/>
        <v>0</v>
      </c>
      <c r="F128" s="491">
        <f t="shared" si="38"/>
        <v>0</v>
      </c>
      <c r="G128" s="807">
        <f t="shared" si="38"/>
        <v>0</v>
      </c>
      <c r="H128" s="808">
        <f t="shared" si="38"/>
        <v>0</v>
      </c>
      <c r="I128" s="491">
        <f t="shared" si="38"/>
        <v>0</v>
      </c>
      <c r="J128" s="807">
        <f t="shared" si="38"/>
        <v>0</v>
      </c>
      <c r="K128" s="808">
        <f t="shared" si="38"/>
        <v>0</v>
      </c>
      <c r="L128" s="491">
        <f t="shared" si="38"/>
        <v>0</v>
      </c>
      <c r="M128" s="194">
        <f t="shared" si="38"/>
        <v>0</v>
      </c>
      <c r="N128" s="195">
        <f t="shared" si="38"/>
        <v>0</v>
      </c>
      <c r="O128" s="134">
        <f t="shared" si="38"/>
        <v>0</v>
      </c>
      <c r="P128" s="49"/>
    </row>
    <row r="129" spans="1:16" ht="24" hidden="1" customHeight="1" x14ac:dyDescent="0.25">
      <c r="A129" s="51">
        <v>2283</v>
      </c>
      <c r="B129" s="89" t="s">
        <v>145</v>
      </c>
      <c r="C129" s="90">
        <f t="shared" si="22"/>
        <v>0</v>
      </c>
      <c r="D129" s="352"/>
      <c r="E129" s="353"/>
      <c r="F129" s="350">
        <f>D129+E129</f>
        <v>0</v>
      </c>
      <c r="G129" s="348"/>
      <c r="H129" s="349"/>
      <c r="I129" s="350">
        <f>G129+H129</f>
        <v>0</v>
      </c>
      <c r="J129" s="348"/>
      <c r="K129" s="349"/>
      <c r="L129" s="350">
        <f>K129+J129</f>
        <v>0</v>
      </c>
      <c r="M129" s="53"/>
      <c r="N129" s="54"/>
      <c r="O129" s="55">
        <f>N129+M129</f>
        <v>0</v>
      </c>
      <c r="P129" s="57"/>
    </row>
    <row r="130" spans="1:16" ht="38.25" customHeight="1" x14ac:dyDescent="0.25">
      <c r="A130" s="69">
        <v>2300</v>
      </c>
      <c r="B130" s="183" t="s">
        <v>146</v>
      </c>
      <c r="C130" s="70">
        <f t="shared" si="22"/>
        <v>16942</v>
      </c>
      <c r="D130" s="802">
        <f t="shared" ref="D130:O130" si="39">SUM(D131,D136,D140,D141,D144,D151,D159,D160,D163)</f>
        <v>7426</v>
      </c>
      <c r="E130" s="803">
        <f t="shared" si="39"/>
        <v>0</v>
      </c>
      <c r="F130" s="756">
        <f t="shared" si="39"/>
        <v>7426</v>
      </c>
      <c r="G130" s="802">
        <f t="shared" si="39"/>
        <v>698</v>
      </c>
      <c r="H130" s="803">
        <f t="shared" si="39"/>
        <v>0</v>
      </c>
      <c r="I130" s="756">
        <f t="shared" si="39"/>
        <v>698</v>
      </c>
      <c r="J130" s="802">
        <f t="shared" si="39"/>
        <v>8818</v>
      </c>
      <c r="K130" s="803">
        <f t="shared" si="39"/>
        <v>0</v>
      </c>
      <c r="L130" s="756">
        <f t="shared" si="39"/>
        <v>8818</v>
      </c>
      <c r="M130" s="184">
        <f t="shared" si="39"/>
        <v>0</v>
      </c>
      <c r="N130" s="185">
        <f t="shared" si="39"/>
        <v>0</v>
      </c>
      <c r="O130" s="73">
        <f t="shared" si="39"/>
        <v>0</v>
      </c>
      <c r="P130" s="77"/>
    </row>
    <row r="131" spans="1:16" ht="24" x14ac:dyDescent="0.25">
      <c r="A131" s="606">
        <v>2310</v>
      </c>
      <c r="B131" s="82" t="s">
        <v>147</v>
      </c>
      <c r="C131" s="83">
        <f t="shared" si="22"/>
        <v>2923</v>
      </c>
      <c r="D131" s="807">
        <f t="shared" ref="D131:O131" si="40">SUM(D132:D135)</f>
        <v>856</v>
      </c>
      <c r="E131" s="808">
        <f t="shared" si="40"/>
        <v>0</v>
      </c>
      <c r="F131" s="491">
        <f t="shared" si="40"/>
        <v>856</v>
      </c>
      <c r="G131" s="807">
        <f t="shared" si="40"/>
        <v>0</v>
      </c>
      <c r="H131" s="808">
        <f t="shared" si="40"/>
        <v>0</v>
      </c>
      <c r="I131" s="491">
        <f t="shared" si="40"/>
        <v>0</v>
      </c>
      <c r="J131" s="807">
        <f t="shared" si="40"/>
        <v>2067</v>
      </c>
      <c r="K131" s="808">
        <f t="shared" si="40"/>
        <v>0</v>
      </c>
      <c r="L131" s="491">
        <f t="shared" si="40"/>
        <v>2067</v>
      </c>
      <c r="M131" s="194">
        <f t="shared" si="40"/>
        <v>0</v>
      </c>
      <c r="N131" s="195">
        <f t="shared" si="40"/>
        <v>0</v>
      </c>
      <c r="O131" s="134">
        <f t="shared" si="40"/>
        <v>0</v>
      </c>
      <c r="P131" s="49"/>
    </row>
    <row r="132" spans="1:16" ht="13.5" customHeight="1" x14ac:dyDescent="0.25">
      <c r="A132" s="51">
        <v>2311</v>
      </c>
      <c r="B132" s="89" t="s">
        <v>148</v>
      </c>
      <c r="C132" s="90">
        <f t="shared" si="22"/>
        <v>1117</v>
      </c>
      <c r="D132" s="352">
        <v>680</v>
      </c>
      <c r="E132" s="353"/>
      <c r="F132" s="350">
        <f>D132+E132</f>
        <v>680</v>
      </c>
      <c r="G132" s="348"/>
      <c r="H132" s="349"/>
      <c r="I132" s="350">
        <f>G132+H132</f>
        <v>0</v>
      </c>
      <c r="J132" s="348">
        <v>437</v>
      </c>
      <c r="K132" s="349"/>
      <c r="L132" s="350">
        <f>K132+J132</f>
        <v>437</v>
      </c>
      <c r="M132" s="53"/>
      <c r="N132" s="54"/>
      <c r="O132" s="55">
        <f>N132+M132</f>
        <v>0</v>
      </c>
      <c r="P132" s="57"/>
    </row>
    <row r="133" spans="1:16" ht="16.5" customHeight="1" x14ac:dyDescent="0.25">
      <c r="A133" s="51">
        <v>2312</v>
      </c>
      <c r="B133" s="89" t="s">
        <v>149</v>
      </c>
      <c r="C133" s="90">
        <f t="shared" si="22"/>
        <v>1206</v>
      </c>
      <c r="D133" s="352">
        <v>176</v>
      </c>
      <c r="E133" s="353"/>
      <c r="F133" s="350">
        <f>D133+E133</f>
        <v>176</v>
      </c>
      <c r="G133" s="348"/>
      <c r="H133" s="349"/>
      <c r="I133" s="350">
        <f>G133+H133</f>
        <v>0</v>
      </c>
      <c r="J133" s="348">
        <v>1030</v>
      </c>
      <c r="K133" s="349"/>
      <c r="L133" s="350">
        <f>K133+J133</f>
        <v>1030</v>
      </c>
      <c r="M133" s="53"/>
      <c r="N133" s="54"/>
      <c r="O133" s="55">
        <f>N133+M133</f>
        <v>0</v>
      </c>
      <c r="P133" s="57"/>
    </row>
    <row r="134" spans="1:16" ht="12" customHeight="1" x14ac:dyDescent="0.25">
      <c r="A134" s="51">
        <v>2313</v>
      </c>
      <c r="B134" s="89" t="s">
        <v>150</v>
      </c>
      <c r="C134" s="90">
        <f t="shared" si="22"/>
        <v>100</v>
      </c>
      <c r="D134" s="352"/>
      <c r="E134" s="353"/>
      <c r="F134" s="350">
        <f>D134+E134</f>
        <v>0</v>
      </c>
      <c r="G134" s="348"/>
      <c r="H134" s="349"/>
      <c r="I134" s="350">
        <f>G134+H134</f>
        <v>0</v>
      </c>
      <c r="J134" s="348">
        <v>100</v>
      </c>
      <c r="K134" s="349"/>
      <c r="L134" s="350">
        <f>K134+J134</f>
        <v>100</v>
      </c>
      <c r="M134" s="53"/>
      <c r="N134" s="54"/>
      <c r="O134" s="55">
        <f>N134+M134</f>
        <v>0</v>
      </c>
      <c r="P134" s="57"/>
    </row>
    <row r="135" spans="1:16" ht="36" customHeight="1" x14ac:dyDescent="0.25">
      <c r="A135" s="51">
        <v>2314</v>
      </c>
      <c r="B135" s="89" t="s">
        <v>151</v>
      </c>
      <c r="C135" s="90">
        <f t="shared" si="22"/>
        <v>500</v>
      </c>
      <c r="D135" s="352"/>
      <c r="E135" s="353"/>
      <c r="F135" s="350">
        <f>D135+E135</f>
        <v>0</v>
      </c>
      <c r="G135" s="348"/>
      <c r="H135" s="349"/>
      <c r="I135" s="350">
        <f>G135+H135</f>
        <v>0</v>
      </c>
      <c r="J135" s="348">
        <v>500</v>
      </c>
      <c r="K135" s="349"/>
      <c r="L135" s="350">
        <f>K135+J135</f>
        <v>500</v>
      </c>
      <c r="M135" s="53"/>
      <c r="N135" s="54"/>
      <c r="O135" s="55">
        <f>N135+M135</f>
        <v>0</v>
      </c>
      <c r="P135" s="57"/>
    </row>
    <row r="136" spans="1:16" x14ac:dyDescent="0.25">
      <c r="A136" s="189">
        <v>2320</v>
      </c>
      <c r="B136" s="89" t="s">
        <v>152</v>
      </c>
      <c r="C136" s="90">
        <f t="shared" si="22"/>
        <v>800</v>
      </c>
      <c r="D136" s="806">
        <f t="shared" ref="D136:O136" si="41">SUM(D137:D139)</f>
        <v>0</v>
      </c>
      <c r="E136" s="365">
        <f t="shared" si="41"/>
        <v>0</v>
      </c>
      <c r="F136" s="350">
        <f t="shared" si="41"/>
        <v>0</v>
      </c>
      <c r="G136" s="806">
        <f t="shared" si="41"/>
        <v>0</v>
      </c>
      <c r="H136" s="365">
        <f t="shared" si="41"/>
        <v>0</v>
      </c>
      <c r="I136" s="350">
        <f t="shared" si="41"/>
        <v>0</v>
      </c>
      <c r="J136" s="806">
        <f t="shared" si="41"/>
        <v>800</v>
      </c>
      <c r="K136" s="365">
        <f t="shared" si="41"/>
        <v>0</v>
      </c>
      <c r="L136" s="350">
        <f t="shared" si="41"/>
        <v>800</v>
      </c>
      <c r="M136" s="190">
        <f t="shared" si="41"/>
        <v>0</v>
      </c>
      <c r="N136" s="191">
        <f t="shared" si="41"/>
        <v>0</v>
      </c>
      <c r="O136" s="55">
        <f t="shared" si="41"/>
        <v>0</v>
      </c>
      <c r="P136" s="57"/>
    </row>
    <row r="137" spans="1:16" ht="12" hidden="1" customHeight="1" x14ac:dyDescent="0.25">
      <c r="A137" s="51">
        <v>2321</v>
      </c>
      <c r="B137" s="89" t="s">
        <v>153</v>
      </c>
      <c r="C137" s="90">
        <f t="shared" si="22"/>
        <v>0</v>
      </c>
      <c r="D137" s="352"/>
      <c r="E137" s="353"/>
      <c r="F137" s="350">
        <f>D137+E137</f>
        <v>0</v>
      </c>
      <c r="G137" s="348"/>
      <c r="H137" s="349"/>
      <c r="I137" s="350">
        <f>G137+H137</f>
        <v>0</v>
      </c>
      <c r="J137" s="348"/>
      <c r="K137" s="349"/>
      <c r="L137" s="350">
        <f>K137+J137</f>
        <v>0</v>
      </c>
      <c r="M137" s="53"/>
      <c r="N137" s="54"/>
      <c r="O137" s="55">
        <f>N137+M137</f>
        <v>0</v>
      </c>
      <c r="P137" s="57"/>
    </row>
    <row r="138" spans="1:16" ht="12" customHeight="1" x14ac:dyDescent="0.25">
      <c r="A138" s="51">
        <v>2322</v>
      </c>
      <c r="B138" s="89" t="s">
        <v>154</v>
      </c>
      <c r="C138" s="90">
        <f t="shared" si="22"/>
        <v>800</v>
      </c>
      <c r="D138" s="352"/>
      <c r="E138" s="353"/>
      <c r="F138" s="350">
        <f>D138+E138</f>
        <v>0</v>
      </c>
      <c r="G138" s="348"/>
      <c r="H138" s="349"/>
      <c r="I138" s="350">
        <f>G138+H138</f>
        <v>0</v>
      </c>
      <c r="J138" s="348">
        <v>800</v>
      </c>
      <c r="K138" s="349"/>
      <c r="L138" s="350">
        <f>K138+J138</f>
        <v>800</v>
      </c>
      <c r="M138" s="53"/>
      <c r="N138" s="54"/>
      <c r="O138" s="55">
        <f>N138+M138</f>
        <v>0</v>
      </c>
      <c r="P138" s="57"/>
    </row>
    <row r="139" spans="1:16" ht="10.5" hidden="1" customHeight="1" x14ac:dyDescent="0.25">
      <c r="A139" s="51">
        <v>2329</v>
      </c>
      <c r="B139" s="89" t="s">
        <v>155</v>
      </c>
      <c r="C139" s="90">
        <f t="shared" si="22"/>
        <v>0</v>
      </c>
      <c r="D139" s="352"/>
      <c r="E139" s="353"/>
      <c r="F139" s="350">
        <f>D139+E139</f>
        <v>0</v>
      </c>
      <c r="G139" s="348"/>
      <c r="H139" s="349"/>
      <c r="I139" s="350">
        <f>G139+H139</f>
        <v>0</v>
      </c>
      <c r="J139" s="348"/>
      <c r="K139" s="349"/>
      <c r="L139" s="350">
        <f>K139+J139</f>
        <v>0</v>
      </c>
      <c r="M139" s="53"/>
      <c r="N139" s="54"/>
      <c r="O139" s="55">
        <f>N139+M139</f>
        <v>0</v>
      </c>
      <c r="P139" s="57"/>
    </row>
    <row r="140" spans="1:16" ht="12" hidden="1" customHeight="1" x14ac:dyDescent="0.25">
      <c r="A140" s="189">
        <v>2330</v>
      </c>
      <c r="B140" s="89" t="s">
        <v>156</v>
      </c>
      <c r="C140" s="90">
        <f t="shared" si="22"/>
        <v>0</v>
      </c>
      <c r="D140" s="352"/>
      <c r="E140" s="353"/>
      <c r="F140" s="350">
        <f>D140+E140</f>
        <v>0</v>
      </c>
      <c r="G140" s="348"/>
      <c r="H140" s="349"/>
      <c r="I140" s="350">
        <f>G140+H140</f>
        <v>0</v>
      </c>
      <c r="J140" s="348"/>
      <c r="K140" s="349"/>
      <c r="L140" s="350">
        <f>K140+J140</f>
        <v>0</v>
      </c>
      <c r="M140" s="53"/>
      <c r="N140" s="54"/>
      <c r="O140" s="55">
        <f>N140+M140</f>
        <v>0</v>
      </c>
      <c r="P140" s="57"/>
    </row>
    <row r="141" spans="1:16" ht="48" hidden="1" x14ac:dyDescent="0.25">
      <c r="A141" s="189">
        <v>2340</v>
      </c>
      <c r="B141" s="89" t="s">
        <v>157</v>
      </c>
      <c r="C141" s="90">
        <f t="shared" si="22"/>
        <v>0</v>
      </c>
      <c r="D141" s="806">
        <f t="shared" ref="D141:O141" si="42">SUM(D142:D143)</f>
        <v>0</v>
      </c>
      <c r="E141" s="365">
        <f t="shared" si="42"/>
        <v>0</v>
      </c>
      <c r="F141" s="350">
        <f t="shared" si="42"/>
        <v>0</v>
      </c>
      <c r="G141" s="806">
        <f t="shared" si="42"/>
        <v>0</v>
      </c>
      <c r="H141" s="365">
        <f t="shared" si="42"/>
        <v>0</v>
      </c>
      <c r="I141" s="350">
        <f t="shared" si="42"/>
        <v>0</v>
      </c>
      <c r="J141" s="806">
        <f t="shared" si="42"/>
        <v>0</v>
      </c>
      <c r="K141" s="365">
        <f t="shared" si="42"/>
        <v>0</v>
      </c>
      <c r="L141" s="350">
        <f t="shared" si="42"/>
        <v>0</v>
      </c>
      <c r="M141" s="190">
        <f t="shared" si="42"/>
        <v>0</v>
      </c>
      <c r="N141" s="191">
        <f t="shared" si="42"/>
        <v>0</v>
      </c>
      <c r="O141" s="55">
        <f t="shared" si="42"/>
        <v>0</v>
      </c>
      <c r="P141" s="57"/>
    </row>
    <row r="142" spans="1:16" ht="12" hidden="1" customHeight="1" x14ac:dyDescent="0.25">
      <c r="A142" s="51">
        <v>2341</v>
      </c>
      <c r="B142" s="89" t="s">
        <v>158</v>
      </c>
      <c r="C142" s="90">
        <f t="shared" si="22"/>
        <v>0</v>
      </c>
      <c r="D142" s="352"/>
      <c r="E142" s="353"/>
      <c r="F142" s="350">
        <f>D142+E142</f>
        <v>0</v>
      </c>
      <c r="G142" s="348"/>
      <c r="H142" s="349"/>
      <c r="I142" s="350">
        <f>G142+H142</f>
        <v>0</v>
      </c>
      <c r="J142" s="348"/>
      <c r="K142" s="349"/>
      <c r="L142" s="350">
        <f>K142+J142</f>
        <v>0</v>
      </c>
      <c r="M142" s="53"/>
      <c r="N142" s="54"/>
      <c r="O142" s="55">
        <f>N142+M142</f>
        <v>0</v>
      </c>
      <c r="P142" s="57"/>
    </row>
    <row r="143" spans="1:16" ht="24" hidden="1" customHeight="1" x14ac:dyDescent="0.25">
      <c r="A143" s="51">
        <v>2344</v>
      </c>
      <c r="B143" s="89" t="s">
        <v>159</v>
      </c>
      <c r="C143" s="90">
        <f t="shared" si="22"/>
        <v>0</v>
      </c>
      <c r="D143" s="352"/>
      <c r="E143" s="353"/>
      <c r="F143" s="350">
        <f>D143+E143</f>
        <v>0</v>
      </c>
      <c r="G143" s="348"/>
      <c r="H143" s="349"/>
      <c r="I143" s="350">
        <f>G143+H143</f>
        <v>0</v>
      </c>
      <c r="J143" s="348"/>
      <c r="K143" s="349"/>
      <c r="L143" s="350">
        <f>K143+J143</f>
        <v>0</v>
      </c>
      <c r="M143" s="53"/>
      <c r="N143" s="54"/>
      <c r="O143" s="55">
        <f>N143+M143</f>
        <v>0</v>
      </c>
      <c r="P143" s="57"/>
    </row>
    <row r="144" spans="1:16" ht="24" x14ac:dyDescent="0.25">
      <c r="A144" s="186">
        <v>2350</v>
      </c>
      <c r="B144" s="138" t="s">
        <v>160</v>
      </c>
      <c r="C144" s="143">
        <f t="shared" si="22"/>
        <v>3005</v>
      </c>
      <c r="D144" s="804">
        <f t="shared" ref="D144:O144" si="43">SUM(D145:D150)</f>
        <v>2105</v>
      </c>
      <c r="E144" s="805">
        <f t="shared" si="43"/>
        <v>0</v>
      </c>
      <c r="F144" s="781">
        <f t="shared" si="43"/>
        <v>2105</v>
      </c>
      <c r="G144" s="804">
        <f t="shared" si="43"/>
        <v>0</v>
      </c>
      <c r="H144" s="805">
        <f t="shared" si="43"/>
        <v>0</v>
      </c>
      <c r="I144" s="781">
        <f t="shared" si="43"/>
        <v>0</v>
      </c>
      <c r="J144" s="804">
        <f t="shared" si="43"/>
        <v>900</v>
      </c>
      <c r="K144" s="805">
        <f t="shared" si="43"/>
        <v>0</v>
      </c>
      <c r="L144" s="781">
        <f t="shared" si="43"/>
        <v>900</v>
      </c>
      <c r="M144" s="187">
        <f t="shared" si="43"/>
        <v>0</v>
      </c>
      <c r="N144" s="188">
        <f t="shared" si="43"/>
        <v>0</v>
      </c>
      <c r="O144" s="141">
        <f t="shared" si="43"/>
        <v>0</v>
      </c>
      <c r="P144" s="129"/>
    </row>
    <row r="145" spans="1:16" ht="12" customHeight="1" x14ac:dyDescent="0.25">
      <c r="A145" s="44">
        <v>2351</v>
      </c>
      <c r="B145" s="82" t="s">
        <v>161</v>
      </c>
      <c r="C145" s="83">
        <f t="shared" si="22"/>
        <v>50</v>
      </c>
      <c r="D145" s="489"/>
      <c r="E145" s="490"/>
      <c r="F145" s="491">
        <f t="shared" ref="F145:F150" si="44">D145+E145</f>
        <v>0</v>
      </c>
      <c r="G145" s="460"/>
      <c r="H145" s="461"/>
      <c r="I145" s="491">
        <f t="shared" ref="I145:I150" si="45">G145+H145</f>
        <v>0</v>
      </c>
      <c r="J145" s="460">
        <v>50</v>
      </c>
      <c r="K145" s="461"/>
      <c r="L145" s="491">
        <f t="shared" ref="L145:L150" si="46">K145+J145</f>
        <v>50</v>
      </c>
      <c r="M145" s="46"/>
      <c r="N145" s="47"/>
      <c r="O145" s="134">
        <f t="shared" ref="O145:O150" si="47">N145+M145</f>
        <v>0</v>
      </c>
      <c r="P145" s="49"/>
    </row>
    <row r="146" spans="1:16" ht="19.5" customHeight="1" x14ac:dyDescent="0.25">
      <c r="A146" s="51">
        <v>2352</v>
      </c>
      <c r="B146" s="89" t="s">
        <v>162</v>
      </c>
      <c r="C146" s="90">
        <f t="shared" si="22"/>
        <v>2905</v>
      </c>
      <c r="D146" s="352">
        <v>2105</v>
      </c>
      <c r="E146" s="353"/>
      <c r="F146" s="350">
        <f t="shared" si="44"/>
        <v>2105</v>
      </c>
      <c r="G146" s="348"/>
      <c r="H146" s="349"/>
      <c r="I146" s="350">
        <f t="shared" si="45"/>
        <v>0</v>
      </c>
      <c r="J146" s="348">
        <v>800</v>
      </c>
      <c r="K146" s="349"/>
      <c r="L146" s="350">
        <f t="shared" si="46"/>
        <v>800</v>
      </c>
      <c r="M146" s="53"/>
      <c r="N146" s="54"/>
      <c r="O146" s="55">
        <f t="shared" si="47"/>
        <v>0</v>
      </c>
      <c r="P146" s="57"/>
    </row>
    <row r="147" spans="1:16" ht="24" hidden="1" customHeight="1" x14ac:dyDescent="0.25">
      <c r="A147" s="51">
        <v>2353</v>
      </c>
      <c r="B147" s="89" t="s">
        <v>163</v>
      </c>
      <c r="C147" s="90">
        <f t="shared" si="22"/>
        <v>0</v>
      </c>
      <c r="D147" s="352"/>
      <c r="E147" s="353"/>
      <c r="F147" s="350">
        <f t="shared" si="44"/>
        <v>0</v>
      </c>
      <c r="G147" s="348"/>
      <c r="H147" s="349"/>
      <c r="I147" s="350">
        <f t="shared" si="45"/>
        <v>0</v>
      </c>
      <c r="J147" s="348"/>
      <c r="K147" s="349"/>
      <c r="L147" s="350">
        <f t="shared" si="46"/>
        <v>0</v>
      </c>
      <c r="M147" s="53"/>
      <c r="N147" s="54"/>
      <c r="O147" s="55">
        <f t="shared" si="47"/>
        <v>0</v>
      </c>
      <c r="P147" s="57"/>
    </row>
    <row r="148" spans="1:16" ht="24" hidden="1" customHeight="1" x14ac:dyDescent="0.25">
      <c r="A148" s="51">
        <v>2354</v>
      </c>
      <c r="B148" s="89" t="s">
        <v>164</v>
      </c>
      <c r="C148" s="90">
        <f t="shared" ref="C148:C211" si="48">F148+I148+L148+O148</f>
        <v>0</v>
      </c>
      <c r="D148" s="352"/>
      <c r="E148" s="353"/>
      <c r="F148" s="350">
        <f t="shared" si="44"/>
        <v>0</v>
      </c>
      <c r="G148" s="348"/>
      <c r="H148" s="349"/>
      <c r="I148" s="350">
        <f t="shared" si="45"/>
        <v>0</v>
      </c>
      <c r="J148" s="348"/>
      <c r="K148" s="349"/>
      <c r="L148" s="350">
        <f t="shared" si="46"/>
        <v>0</v>
      </c>
      <c r="M148" s="53"/>
      <c r="N148" s="54"/>
      <c r="O148" s="55">
        <f t="shared" si="47"/>
        <v>0</v>
      </c>
      <c r="P148" s="57"/>
    </row>
    <row r="149" spans="1:16" ht="24" customHeight="1" x14ac:dyDescent="0.25">
      <c r="A149" s="51">
        <v>2355</v>
      </c>
      <c r="B149" s="89" t="s">
        <v>165</v>
      </c>
      <c r="C149" s="90">
        <f t="shared" si="48"/>
        <v>50</v>
      </c>
      <c r="D149" s="352"/>
      <c r="E149" s="353"/>
      <c r="F149" s="350">
        <f t="shared" si="44"/>
        <v>0</v>
      </c>
      <c r="G149" s="348"/>
      <c r="H149" s="349"/>
      <c r="I149" s="350">
        <f t="shared" si="45"/>
        <v>0</v>
      </c>
      <c r="J149" s="348">
        <v>50</v>
      </c>
      <c r="K149" s="349"/>
      <c r="L149" s="350">
        <f t="shared" si="46"/>
        <v>50</v>
      </c>
      <c r="M149" s="53"/>
      <c r="N149" s="54"/>
      <c r="O149" s="55">
        <f t="shared" si="47"/>
        <v>0</v>
      </c>
      <c r="P149" s="57"/>
    </row>
    <row r="150" spans="1:16" ht="24" hidden="1" customHeight="1" x14ac:dyDescent="0.25">
      <c r="A150" s="51">
        <v>2359</v>
      </c>
      <c r="B150" s="89" t="s">
        <v>166</v>
      </c>
      <c r="C150" s="90">
        <f t="shared" si="48"/>
        <v>0</v>
      </c>
      <c r="D150" s="352"/>
      <c r="E150" s="353"/>
      <c r="F150" s="350">
        <f t="shared" si="44"/>
        <v>0</v>
      </c>
      <c r="G150" s="348"/>
      <c r="H150" s="349"/>
      <c r="I150" s="350">
        <f t="shared" si="45"/>
        <v>0</v>
      </c>
      <c r="J150" s="348"/>
      <c r="K150" s="349"/>
      <c r="L150" s="350">
        <f t="shared" si="46"/>
        <v>0</v>
      </c>
      <c r="M150" s="53"/>
      <c r="N150" s="54"/>
      <c r="O150" s="55">
        <f t="shared" si="47"/>
        <v>0</v>
      </c>
      <c r="P150" s="57"/>
    </row>
    <row r="151" spans="1:16" ht="24.75" customHeight="1" x14ac:dyDescent="0.25">
      <c r="A151" s="189">
        <v>2360</v>
      </c>
      <c r="B151" s="89" t="s">
        <v>167</v>
      </c>
      <c r="C151" s="90">
        <f t="shared" si="48"/>
        <v>1750</v>
      </c>
      <c r="D151" s="806">
        <f t="shared" ref="D151:O151" si="49">SUM(D152:D158)</f>
        <v>1750</v>
      </c>
      <c r="E151" s="365">
        <f t="shared" si="49"/>
        <v>0</v>
      </c>
      <c r="F151" s="350">
        <f t="shared" si="49"/>
        <v>1750</v>
      </c>
      <c r="G151" s="806">
        <f t="shared" si="49"/>
        <v>0</v>
      </c>
      <c r="H151" s="365">
        <f t="shared" si="49"/>
        <v>0</v>
      </c>
      <c r="I151" s="350">
        <f t="shared" si="49"/>
        <v>0</v>
      </c>
      <c r="J151" s="806">
        <f t="shared" si="49"/>
        <v>0</v>
      </c>
      <c r="K151" s="365">
        <f t="shared" si="49"/>
        <v>0</v>
      </c>
      <c r="L151" s="350">
        <f t="shared" si="49"/>
        <v>0</v>
      </c>
      <c r="M151" s="190">
        <f t="shared" si="49"/>
        <v>0</v>
      </c>
      <c r="N151" s="191">
        <f t="shared" si="49"/>
        <v>0</v>
      </c>
      <c r="O151" s="55">
        <f t="shared" si="49"/>
        <v>0</v>
      </c>
      <c r="P151" s="57"/>
    </row>
    <row r="152" spans="1:16" ht="12" hidden="1" customHeight="1" x14ac:dyDescent="0.25">
      <c r="A152" s="50">
        <v>2361</v>
      </c>
      <c r="B152" s="89" t="s">
        <v>168</v>
      </c>
      <c r="C152" s="90">
        <f t="shared" si="48"/>
        <v>0</v>
      </c>
      <c r="D152" s="352"/>
      <c r="E152" s="353"/>
      <c r="F152" s="350">
        <f t="shared" ref="F152:F159" si="50">D152+E152</f>
        <v>0</v>
      </c>
      <c r="G152" s="348"/>
      <c r="H152" s="349"/>
      <c r="I152" s="350">
        <f t="shared" ref="I152:I159" si="51">G152+H152</f>
        <v>0</v>
      </c>
      <c r="J152" s="348"/>
      <c r="K152" s="349"/>
      <c r="L152" s="350">
        <f t="shared" ref="L152:L159" si="52">K152+J152</f>
        <v>0</v>
      </c>
      <c r="M152" s="53"/>
      <c r="N152" s="54"/>
      <c r="O152" s="55">
        <f t="shared" ref="O152:O159" si="53">N152+M152</f>
        <v>0</v>
      </c>
      <c r="P152" s="57"/>
    </row>
    <row r="153" spans="1:16" ht="24" hidden="1" customHeight="1" x14ac:dyDescent="0.25">
      <c r="A153" s="50">
        <v>2362</v>
      </c>
      <c r="B153" s="89" t="s">
        <v>169</v>
      </c>
      <c r="C153" s="90">
        <f t="shared" si="48"/>
        <v>0</v>
      </c>
      <c r="D153" s="352"/>
      <c r="E153" s="353"/>
      <c r="F153" s="350">
        <f t="shared" si="50"/>
        <v>0</v>
      </c>
      <c r="G153" s="348"/>
      <c r="H153" s="349"/>
      <c r="I153" s="350">
        <f t="shared" si="51"/>
        <v>0</v>
      </c>
      <c r="J153" s="348"/>
      <c r="K153" s="349"/>
      <c r="L153" s="350">
        <f t="shared" si="52"/>
        <v>0</v>
      </c>
      <c r="M153" s="53"/>
      <c r="N153" s="54"/>
      <c r="O153" s="55">
        <f t="shared" si="53"/>
        <v>0</v>
      </c>
      <c r="P153" s="57"/>
    </row>
    <row r="154" spans="1:16" ht="12" customHeight="1" x14ac:dyDescent="0.25">
      <c r="A154" s="50">
        <v>2363</v>
      </c>
      <c r="B154" s="89" t="s">
        <v>170</v>
      </c>
      <c r="C154" s="90">
        <f t="shared" si="48"/>
        <v>1750</v>
      </c>
      <c r="D154" s="352">
        <v>1750</v>
      </c>
      <c r="E154" s="353"/>
      <c r="F154" s="350">
        <f t="shared" si="50"/>
        <v>1750</v>
      </c>
      <c r="G154" s="348"/>
      <c r="H154" s="349"/>
      <c r="I154" s="350">
        <f t="shared" si="51"/>
        <v>0</v>
      </c>
      <c r="J154" s="348"/>
      <c r="K154" s="349"/>
      <c r="L154" s="350">
        <f t="shared" si="52"/>
        <v>0</v>
      </c>
      <c r="M154" s="53"/>
      <c r="N154" s="54"/>
      <c r="O154" s="55">
        <f t="shared" si="53"/>
        <v>0</v>
      </c>
      <c r="P154" s="57"/>
    </row>
    <row r="155" spans="1:16" ht="12" hidden="1" customHeight="1" x14ac:dyDescent="0.25">
      <c r="A155" s="50">
        <v>2364</v>
      </c>
      <c r="B155" s="89" t="s">
        <v>171</v>
      </c>
      <c r="C155" s="90">
        <f t="shared" si="48"/>
        <v>0</v>
      </c>
      <c r="D155" s="352"/>
      <c r="E155" s="353"/>
      <c r="F155" s="350">
        <f t="shared" si="50"/>
        <v>0</v>
      </c>
      <c r="G155" s="348"/>
      <c r="H155" s="349"/>
      <c r="I155" s="350">
        <f t="shared" si="51"/>
        <v>0</v>
      </c>
      <c r="J155" s="348"/>
      <c r="K155" s="349"/>
      <c r="L155" s="350">
        <f t="shared" si="52"/>
        <v>0</v>
      </c>
      <c r="M155" s="53"/>
      <c r="N155" s="54"/>
      <c r="O155" s="55">
        <f t="shared" si="53"/>
        <v>0</v>
      </c>
      <c r="P155" s="57"/>
    </row>
    <row r="156" spans="1:16" ht="12.75" hidden="1" customHeight="1" x14ac:dyDescent="0.25">
      <c r="A156" s="50">
        <v>2365</v>
      </c>
      <c r="B156" s="89" t="s">
        <v>172</v>
      </c>
      <c r="C156" s="90">
        <f t="shared" si="48"/>
        <v>0</v>
      </c>
      <c r="D156" s="352"/>
      <c r="E156" s="353"/>
      <c r="F156" s="350">
        <f t="shared" si="50"/>
        <v>0</v>
      </c>
      <c r="G156" s="348"/>
      <c r="H156" s="349"/>
      <c r="I156" s="350">
        <f t="shared" si="51"/>
        <v>0</v>
      </c>
      <c r="J156" s="348"/>
      <c r="K156" s="349"/>
      <c r="L156" s="350">
        <f t="shared" si="52"/>
        <v>0</v>
      </c>
      <c r="M156" s="53"/>
      <c r="N156" s="54"/>
      <c r="O156" s="55">
        <f t="shared" si="53"/>
        <v>0</v>
      </c>
      <c r="P156" s="57"/>
    </row>
    <row r="157" spans="1:16" ht="36" hidden="1" customHeight="1" x14ac:dyDescent="0.25">
      <c r="A157" s="50">
        <v>2366</v>
      </c>
      <c r="B157" s="89" t="s">
        <v>173</v>
      </c>
      <c r="C157" s="90">
        <f t="shared" si="48"/>
        <v>0</v>
      </c>
      <c r="D157" s="352"/>
      <c r="E157" s="353"/>
      <c r="F157" s="350">
        <f t="shared" si="50"/>
        <v>0</v>
      </c>
      <c r="G157" s="348"/>
      <c r="H157" s="349"/>
      <c r="I157" s="350">
        <f t="shared" si="51"/>
        <v>0</v>
      </c>
      <c r="J157" s="348"/>
      <c r="K157" s="349"/>
      <c r="L157" s="350">
        <f t="shared" si="52"/>
        <v>0</v>
      </c>
      <c r="M157" s="53"/>
      <c r="N157" s="54"/>
      <c r="O157" s="55">
        <f t="shared" si="53"/>
        <v>0</v>
      </c>
      <c r="P157" s="57"/>
    </row>
    <row r="158" spans="1:16" ht="48" hidden="1" customHeight="1" x14ac:dyDescent="0.25">
      <c r="A158" s="50">
        <v>2369</v>
      </c>
      <c r="B158" s="89" t="s">
        <v>174</v>
      </c>
      <c r="C158" s="90">
        <f t="shared" si="48"/>
        <v>0</v>
      </c>
      <c r="D158" s="352"/>
      <c r="E158" s="353"/>
      <c r="F158" s="350">
        <f t="shared" si="50"/>
        <v>0</v>
      </c>
      <c r="G158" s="348"/>
      <c r="H158" s="349"/>
      <c r="I158" s="350">
        <f t="shared" si="51"/>
        <v>0</v>
      </c>
      <c r="J158" s="348"/>
      <c r="K158" s="349"/>
      <c r="L158" s="350">
        <f t="shared" si="52"/>
        <v>0</v>
      </c>
      <c r="M158" s="53"/>
      <c r="N158" s="54"/>
      <c r="O158" s="55">
        <f t="shared" si="53"/>
        <v>0</v>
      </c>
      <c r="P158" s="57"/>
    </row>
    <row r="159" spans="1:16" ht="12" customHeight="1" x14ac:dyDescent="0.25">
      <c r="A159" s="186">
        <v>2370</v>
      </c>
      <c r="B159" s="138" t="s">
        <v>175</v>
      </c>
      <c r="C159" s="143">
        <f t="shared" si="48"/>
        <v>8464</v>
      </c>
      <c r="D159" s="810">
        <v>2715</v>
      </c>
      <c r="E159" s="811"/>
      <c r="F159" s="781">
        <f t="shared" si="50"/>
        <v>2715</v>
      </c>
      <c r="G159" s="780">
        <v>698</v>
      </c>
      <c r="H159" s="727"/>
      <c r="I159" s="781">
        <f t="shared" si="51"/>
        <v>698</v>
      </c>
      <c r="J159" s="780">
        <v>5051</v>
      </c>
      <c r="K159" s="727"/>
      <c r="L159" s="781">
        <f t="shared" si="52"/>
        <v>5051</v>
      </c>
      <c r="M159" s="144"/>
      <c r="N159" s="145"/>
      <c r="O159" s="141">
        <f t="shared" si="53"/>
        <v>0</v>
      </c>
      <c r="P159" s="129"/>
    </row>
    <row r="160" spans="1:16" hidden="1" x14ac:dyDescent="0.25">
      <c r="A160" s="186">
        <v>2380</v>
      </c>
      <c r="B160" s="138" t="s">
        <v>176</v>
      </c>
      <c r="C160" s="143">
        <f t="shared" si="48"/>
        <v>0</v>
      </c>
      <c r="D160" s="804">
        <f t="shared" ref="D160:O160" si="54">SUM(D161:D162)</f>
        <v>0</v>
      </c>
      <c r="E160" s="805">
        <f t="shared" si="54"/>
        <v>0</v>
      </c>
      <c r="F160" s="781">
        <f t="shared" si="54"/>
        <v>0</v>
      </c>
      <c r="G160" s="804">
        <f t="shared" si="54"/>
        <v>0</v>
      </c>
      <c r="H160" s="805">
        <f t="shared" si="54"/>
        <v>0</v>
      </c>
      <c r="I160" s="781">
        <f t="shared" si="54"/>
        <v>0</v>
      </c>
      <c r="J160" s="804">
        <f t="shared" si="54"/>
        <v>0</v>
      </c>
      <c r="K160" s="805">
        <f t="shared" si="54"/>
        <v>0</v>
      </c>
      <c r="L160" s="781">
        <f t="shared" si="54"/>
        <v>0</v>
      </c>
      <c r="M160" s="187">
        <f t="shared" si="54"/>
        <v>0</v>
      </c>
      <c r="N160" s="188">
        <f t="shared" si="54"/>
        <v>0</v>
      </c>
      <c r="O160" s="141">
        <f t="shared" si="54"/>
        <v>0</v>
      </c>
      <c r="P160" s="129"/>
    </row>
    <row r="161" spans="1:16" ht="12" hidden="1" customHeight="1" x14ac:dyDescent="0.25">
      <c r="A161" s="43">
        <v>2381</v>
      </c>
      <c r="B161" s="82" t="s">
        <v>177</v>
      </c>
      <c r="C161" s="83">
        <f t="shared" si="48"/>
        <v>0</v>
      </c>
      <c r="D161" s="489"/>
      <c r="E161" s="490"/>
      <c r="F161" s="491">
        <f>D161+E161</f>
        <v>0</v>
      </c>
      <c r="G161" s="460"/>
      <c r="H161" s="461"/>
      <c r="I161" s="491">
        <f>G161+H161</f>
        <v>0</v>
      </c>
      <c r="J161" s="460"/>
      <c r="K161" s="461"/>
      <c r="L161" s="491">
        <f>K161+J161</f>
        <v>0</v>
      </c>
      <c r="M161" s="46"/>
      <c r="N161" s="47"/>
      <c r="O161" s="134">
        <f>N161+M161</f>
        <v>0</v>
      </c>
      <c r="P161" s="49"/>
    </row>
    <row r="162" spans="1:16" ht="24" hidden="1" customHeight="1" x14ac:dyDescent="0.25">
      <c r="A162" s="50">
        <v>2389</v>
      </c>
      <c r="B162" s="89" t="s">
        <v>178</v>
      </c>
      <c r="C162" s="90">
        <f t="shared" si="48"/>
        <v>0</v>
      </c>
      <c r="D162" s="352"/>
      <c r="E162" s="353"/>
      <c r="F162" s="350">
        <f>D162+E162</f>
        <v>0</v>
      </c>
      <c r="G162" s="348"/>
      <c r="H162" s="349"/>
      <c r="I162" s="350">
        <f>G162+H162</f>
        <v>0</v>
      </c>
      <c r="J162" s="348"/>
      <c r="K162" s="349"/>
      <c r="L162" s="350">
        <f>K162+J162</f>
        <v>0</v>
      </c>
      <c r="M162" s="53"/>
      <c r="N162" s="54"/>
      <c r="O162" s="55">
        <f>N162+M162</f>
        <v>0</v>
      </c>
      <c r="P162" s="57"/>
    </row>
    <row r="163" spans="1:16" ht="12" hidden="1" customHeight="1" x14ac:dyDescent="0.25">
      <c r="A163" s="186">
        <v>2390</v>
      </c>
      <c r="B163" s="138" t="s">
        <v>179</v>
      </c>
      <c r="C163" s="143">
        <f t="shared" si="48"/>
        <v>0</v>
      </c>
      <c r="D163" s="810"/>
      <c r="E163" s="811"/>
      <c r="F163" s="781">
        <f>D163+E163</f>
        <v>0</v>
      </c>
      <c r="G163" s="780"/>
      <c r="H163" s="727"/>
      <c r="I163" s="781">
        <f>G163+H163</f>
        <v>0</v>
      </c>
      <c r="J163" s="780"/>
      <c r="K163" s="727"/>
      <c r="L163" s="781">
        <f>K163+J163</f>
        <v>0</v>
      </c>
      <c r="M163" s="144"/>
      <c r="N163" s="145"/>
      <c r="O163" s="141">
        <f>N163+M163</f>
        <v>0</v>
      </c>
      <c r="P163" s="129"/>
    </row>
    <row r="164" spans="1:16" ht="12" hidden="1" customHeight="1" x14ac:dyDescent="0.25">
      <c r="A164" s="69">
        <v>2400</v>
      </c>
      <c r="B164" s="183" t="s">
        <v>180</v>
      </c>
      <c r="C164" s="70">
        <f t="shared" si="48"/>
        <v>0</v>
      </c>
      <c r="D164" s="812"/>
      <c r="E164" s="813"/>
      <c r="F164" s="756">
        <f>D164+E164</f>
        <v>0</v>
      </c>
      <c r="G164" s="754"/>
      <c r="H164" s="755"/>
      <c r="I164" s="756">
        <f>G164+H164</f>
        <v>0</v>
      </c>
      <c r="J164" s="754"/>
      <c r="K164" s="755"/>
      <c r="L164" s="756">
        <f>K164+J164</f>
        <v>0</v>
      </c>
      <c r="M164" s="71"/>
      <c r="N164" s="72"/>
      <c r="O164" s="73">
        <f>N164+M164</f>
        <v>0</v>
      </c>
      <c r="P164" s="77"/>
    </row>
    <row r="165" spans="1:16" ht="24" hidden="1" x14ac:dyDescent="0.25">
      <c r="A165" s="69">
        <v>2500</v>
      </c>
      <c r="B165" s="183" t="s">
        <v>181</v>
      </c>
      <c r="C165" s="70">
        <f t="shared" si="48"/>
        <v>0</v>
      </c>
      <c r="D165" s="802">
        <f>SUM(D166,D171)</f>
        <v>0</v>
      </c>
      <c r="E165" s="803">
        <f>SUM(E166,E171)</f>
        <v>0</v>
      </c>
      <c r="F165" s="756">
        <f>SUM(F166,F171)</f>
        <v>0</v>
      </c>
      <c r="G165" s="802">
        <f t="shared" ref="G165:M165" si="55">SUM(G166,G171)</f>
        <v>0</v>
      </c>
      <c r="H165" s="803">
        <f>SUM(H166,H171)</f>
        <v>0</v>
      </c>
      <c r="I165" s="756">
        <f>SUM(I166,I171)</f>
        <v>0</v>
      </c>
      <c r="J165" s="802">
        <f t="shared" si="55"/>
        <v>0</v>
      </c>
      <c r="K165" s="803">
        <f>SUM(K166,K171)</f>
        <v>0</v>
      </c>
      <c r="L165" s="756">
        <f>SUM(L166,L171)</f>
        <v>0</v>
      </c>
      <c r="M165" s="184">
        <f t="shared" si="55"/>
        <v>0</v>
      </c>
      <c r="N165" s="185">
        <f>SUM(N166,N171)</f>
        <v>0</v>
      </c>
      <c r="O165" s="73">
        <f>SUM(O166,O171)</f>
        <v>0</v>
      </c>
      <c r="P165" s="77"/>
    </row>
    <row r="166" spans="1:16" ht="16.5" hidden="1" customHeight="1" x14ac:dyDescent="0.25">
      <c r="A166" s="606">
        <v>2510</v>
      </c>
      <c r="B166" s="82" t="s">
        <v>182</v>
      </c>
      <c r="C166" s="83">
        <f t="shared" si="48"/>
        <v>0</v>
      </c>
      <c r="D166" s="807">
        <f>SUM(D167:D170)</f>
        <v>0</v>
      </c>
      <c r="E166" s="808">
        <f>SUM(E167:E170)</f>
        <v>0</v>
      </c>
      <c r="F166" s="491">
        <f>SUM(F167:F170)</f>
        <v>0</v>
      </c>
      <c r="G166" s="807">
        <f t="shared" ref="G166:M166" si="56">SUM(G167:G170)</f>
        <v>0</v>
      </c>
      <c r="H166" s="808">
        <f>SUM(H167:H170)</f>
        <v>0</v>
      </c>
      <c r="I166" s="491">
        <f>SUM(I167:I170)</f>
        <v>0</v>
      </c>
      <c r="J166" s="807">
        <f t="shared" si="56"/>
        <v>0</v>
      </c>
      <c r="K166" s="808">
        <f>SUM(K167:K170)</f>
        <v>0</v>
      </c>
      <c r="L166" s="491">
        <f>SUM(L167:L170)</f>
        <v>0</v>
      </c>
      <c r="M166" s="194">
        <f t="shared" si="56"/>
        <v>0</v>
      </c>
      <c r="N166" s="195">
        <f>SUM(N167:N170)</f>
        <v>0</v>
      </c>
      <c r="O166" s="134">
        <f>SUM(O167:O170)</f>
        <v>0</v>
      </c>
      <c r="P166" s="49"/>
    </row>
    <row r="167" spans="1:16" ht="24" hidden="1" customHeight="1" x14ac:dyDescent="0.25">
      <c r="A167" s="51">
        <v>2512</v>
      </c>
      <c r="B167" s="89" t="s">
        <v>183</v>
      </c>
      <c r="C167" s="90">
        <f t="shared" si="48"/>
        <v>0</v>
      </c>
      <c r="D167" s="352"/>
      <c r="E167" s="353"/>
      <c r="F167" s="350">
        <f t="shared" ref="F167:F172" si="57">D167+E167</f>
        <v>0</v>
      </c>
      <c r="G167" s="348"/>
      <c r="H167" s="349"/>
      <c r="I167" s="350">
        <f t="shared" ref="I167:I172" si="58">G167+H167</f>
        <v>0</v>
      </c>
      <c r="J167" s="348"/>
      <c r="K167" s="349"/>
      <c r="L167" s="350">
        <f t="shared" ref="L167:L172" si="59">K167+J167</f>
        <v>0</v>
      </c>
      <c r="M167" s="53"/>
      <c r="N167" s="54"/>
      <c r="O167" s="55">
        <f t="shared" ref="O167:O172" si="60">N167+M167</f>
        <v>0</v>
      </c>
      <c r="P167" s="57"/>
    </row>
    <row r="168" spans="1:16" ht="36" hidden="1" customHeight="1" x14ac:dyDescent="0.25">
      <c r="A168" s="51">
        <v>2513</v>
      </c>
      <c r="B168" s="89" t="s">
        <v>184</v>
      </c>
      <c r="C168" s="90">
        <f t="shared" si="48"/>
        <v>0</v>
      </c>
      <c r="D168" s="352"/>
      <c r="E168" s="353"/>
      <c r="F168" s="350">
        <f t="shared" si="57"/>
        <v>0</v>
      </c>
      <c r="G168" s="348"/>
      <c r="H168" s="349"/>
      <c r="I168" s="350">
        <f t="shared" si="58"/>
        <v>0</v>
      </c>
      <c r="J168" s="348"/>
      <c r="K168" s="349"/>
      <c r="L168" s="350">
        <f t="shared" si="59"/>
        <v>0</v>
      </c>
      <c r="M168" s="53"/>
      <c r="N168" s="54"/>
      <c r="O168" s="55">
        <f t="shared" si="60"/>
        <v>0</v>
      </c>
      <c r="P168" s="57"/>
    </row>
    <row r="169" spans="1:16" ht="24" hidden="1" customHeight="1" x14ac:dyDescent="0.25">
      <c r="A169" s="51">
        <v>2515</v>
      </c>
      <c r="B169" s="89" t="s">
        <v>185</v>
      </c>
      <c r="C169" s="90">
        <f t="shared" si="48"/>
        <v>0</v>
      </c>
      <c r="D169" s="352"/>
      <c r="E169" s="353"/>
      <c r="F169" s="350">
        <f t="shared" si="57"/>
        <v>0</v>
      </c>
      <c r="G169" s="348"/>
      <c r="H169" s="349"/>
      <c r="I169" s="350">
        <f t="shared" si="58"/>
        <v>0</v>
      </c>
      <c r="J169" s="348"/>
      <c r="K169" s="349"/>
      <c r="L169" s="350">
        <f t="shared" si="59"/>
        <v>0</v>
      </c>
      <c r="M169" s="53"/>
      <c r="N169" s="54"/>
      <c r="O169" s="55">
        <f t="shared" si="60"/>
        <v>0</v>
      </c>
      <c r="P169" s="57"/>
    </row>
    <row r="170" spans="1:16" ht="24" hidden="1" customHeight="1" x14ac:dyDescent="0.25">
      <c r="A170" s="51">
        <v>2519</v>
      </c>
      <c r="B170" s="89" t="s">
        <v>186</v>
      </c>
      <c r="C170" s="90">
        <f t="shared" si="48"/>
        <v>0</v>
      </c>
      <c r="D170" s="352"/>
      <c r="E170" s="353"/>
      <c r="F170" s="350">
        <f t="shared" si="57"/>
        <v>0</v>
      </c>
      <c r="G170" s="348"/>
      <c r="H170" s="349"/>
      <c r="I170" s="350">
        <f t="shared" si="58"/>
        <v>0</v>
      </c>
      <c r="J170" s="348"/>
      <c r="K170" s="349"/>
      <c r="L170" s="350">
        <f t="shared" si="59"/>
        <v>0</v>
      </c>
      <c r="M170" s="53"/>
      <c r="N170" s="54"/>
      <c r="O170" s="55">
        <f t="shared" si="60"/>
        <v>0</v>
      </c>
      <c r="P170" s="57"/>
    </row>
    <row r="171" spans="1:16" ht="24" hidden="1" customHeight="1" x14ac:dyDescent="0.25">
      <c r="A171" s="189">
        <v>2520</v>
      </c>
      <c r="B171" s="89" t="s">
        <v>187</v>
      </c>
      <c r="C171" s="90">
        <f t="shared" si="48"/>
        <v>0</v>
      </c>
      <c r="D171" s="352"/>
      <c r="E171" s="353"/>
      <c r="F171" s="350">
        <f t="shared" si="57"/>
        <v>0</v>
      </c>
      <c r="G171" s="348"/>
      <c r="H171" s="349"/>
      <c r="I171" s="350">
        <f t="shared" si="58"/>
        <v>0</v>
      </c>
      <c r="J171" s="348"/>
      <c r="K171" s="349"/>
      <c r="L171" s="350">
        <f t="shared" si="59"/>
        <v>0</v>
      </c>
      <c r="M171" s="53"/>
      <c r="N171" s="54"/>
      <c r="O171" s="55">
        <f t="shared" si="60"/>
        <v>0</v>
      </c>
      <c r="P171" s="57"/>
    </row>
    <row r="172" spans="1:16" s="207" customFormat="1" ht="36" hidden="1" customHeight="1" x14ac:dyDescent="0.25">
      <c r="A172" s="23">
        <v>2800</v>
      </c>
      <c r="B172" s="82" t="s">
        <v>188</v>
      </c>
      <c r="C172" s="83">
        <f t="shared" si="48"/>
        <v>0</v>
      </c>
      <c r="D172" s="460"/>
      <c r="E172" s="461"/>
      <c r="F172" s="491">
        <f t="shared" si="57"/>
        <v>0</v>
      </c>
      <c r="G172" s="460"/>
      <c r="H172" s="461"/>
      <c r="I172" s="491">
        <f t="shared" si="58"/>
        <v>0</v>
      </c>
      <c r="J172" s="460"/>
      <c r="K172" s="461"/>
      <c r="L172" s="491">
        <f t="shared" si="59"/>
        <v>0</v>
      </c>
      <c r="M172" s="46"/>
      <c r="N172" s="47"/>
      <c r="O172" s="134">
        <f t="shared" si="60"/>
        <v>0</v>
      </c>
      <c r="P172" s="49"/>
    </row>
    <row r="173" spans="1:16" hidden="1" x14ac:dyDescent="0.25">
      <c r="A173" s="796">
        <v>3000</v>
      </c>
      <c r="B173" s="796" t="s">
        <v>189</v>
      </c>
      <c r="C173" s="797">
        <f t="shared" si="48"/>
        <v>0</v>
      </c>
      <c r="D173" s="798">
        <f t="shared" ref="D173:O173" si="61">SUM(D174,D184)</f>
        <v>0</v>
      </c>
      <c r="E173" s="799">
        <f t="shared" si="61"/>
        <v>0</v>
      </c>
      <c r="F173" s="800">
        <f t="shared" si="61"/>
        <v>0</v>
      </c>
      <c r="G173" s="798">
        <f t="shared" si="61"/>
        <v>0</v>
      </c>
      <c r="H173" s="799">
        <f t="shared" si="61"/>
        <v>0</v>
      </c>
      <c r="I173" s="800">
        <f t="shared" si="61"/>
        <v>0</v>
      </c>
      <c r="J173" s="798">
        <f t="shared" si="61"/>
        <v>0</v>
      </c>
      <c r="K173" s="799">
        <f t="shared" si="61"/>
        <v>0</v>
      </c>
      <c r="L173" s="800">
        <f t="shared" si="61"/>
        <v>0</v>
      </c>
      <c r="M173" s="798">
        <f t="shared" si="61"/>
        <v>0</v>
      </c>
      <c r="N173" s="799">
        <f t="shared" si="61"/>
        <v>0</v>
      </c>
      <c r="O173" s="800">
        <f t="shared" si="61"/>
        <v>0</v>
      </c>
      <c r="P173" s="801"/>
    </row>
    <row r="174" spans="1:16" ht="24" hidden="1" x14ac:dyDescent="0.25">
      <c r="A174" s="69">
        <v>3200</v>
      </c>
      <c r="B174" s="208" t="s">
        <v>190</v>
      </c>
      <c r="C174" s="70">
        <f t="shared" si="48"/>
        <v>0</v>
      </c>
      <c r="D174" s="802">
        <f>SUM(D175,D179)</f>
        <v>0</v>
      </c>
      <c r="E174" s="803">
        <f>SUM(E175,E179)</f>
        <v>0</v>
      </c>
      <c r="F174" s="756">
        <f>SUM(F175,F179)</f>
        <v>0</v>
      </c>
      <c r="G174" s="802">
        <f t="shared" ref="G174:M174" si="62">SUM(G175,G179)</f>
        <v>0</v>
      </c>
      <c r="H174" s="803">
        <f>SUM(H175,H179)</f>
        <v>0</v>
      </c>
      <c r="I174" s="756">
        <f>SUM(I175,I179)</f>
        <v>0</v>
      </c>
      <c r="J174" s="802">
        <f t="shared" si="62"/>
        <v>0</v>
      </c>
      <c r="K174" s="803">
        <f>SUM(K175,K179)</f>
        <v>0</v>
      </c>
      <c r="L174" s="756">
        <f>SUM(L175,L179)</f>
        <v>0</v>
      </c>
      <c r="M174" s="184">
        <f t="shared" si="62"/>
        <v>0</v>
      </c>
      <c r="N174" s="185">
        <f>SUM(N175,N179)</f>
        <v>0</v>
      </c>
      <c r="O174" s="73">
        <f>SUM(O175,O179)</f>
        <v>0</v>
      </c>
      <c r="P174" s="77"/>
    </row>
    <row r="175" spans="1:16" ht="36" hidden="1" x14ac:dyDescent="0.25">
      <c r="A175" s="606">
        <v>3260</v>
      </c>
      <c r="B175" s="82" t="s">
        <v>191</v>
      </c>
      <c r="C175" s="83">
        <f t="shared" si="48"/>
        <v>0</v>
      </c>
      <c r="D175" s="807">
        <f t="shared" ref="D175:O175" si="63">SUM(D176:D178)</f>
        <v>0</v>
      </c>
      <c r="E175" s="808">
        <f t="shared" si="63"/>
        <v>0</v>
      </c>
      <c r="F175" s="491">
        <f t="shared" si="63"/>
        <v>0</v>
      </c>
      <c r="G175" s="807">
        <f t="shared" si="63"/>
        <v>0</v>
      </c>
      <c r="H175" s="808">
        <f t="shared" si="63"/>
        <v>0</v>
      </c>
      <c r="I175" s="491">
        <f t="shared" si="63"/>
        <v>0</v>
      </c>
      <c r="J175" s="807">
        <f t="shared" si="63"/>
        <v>0</v>
      </c>
      <c r="K175" s="808">
        <f t="shared" si="63"/>
        <v>0</v>
      </c>
      <c r="L175" s="491">
        <f t="shared" si="63"/>
        <v>0</v>
      </c>
      <c r="M175" s="194">
        <f t="shared" si="63"/>
        <v>0</v>
      </c>
      <c r="N175" s="195">
        <f t="shared" si="63"/>
        <v>0</v>
      </c>
      <c r="O175" s="134">
        <f t="shared" si="63"/>
        <v>0</v>
      </c>
      <c r="P175" s="49"/>
    </row>
    <row r="176" spans="1:16" ht="24" hidden="1" customHeight="1" x14ac:dyDescent="0.25">
      <c r="A176" s="51">
        <v>3261</v>
      </c>
      <c r="B176" s="89" t="s">
        <v>192</v>
      </c>
      <c r="C176" s="90">
        <f t="shared" si="48"/>
        <v>0</v>
      </c>
      <c r="D176" s="352"/>
      <c r="E176" s="353"/>
      <c r="F176" s="350">
        <f>D176+E176</f>
        <v>0</v>
      </c>
      <c r="G176" s="348"/>
      <c r="H176" s="349"/>
      <c r="I176" s="350">
        <f>G176+H176</f>
        <v>0</v>
      </c>
      <c r="J176" s="348"/>
      <c r="K176" s="349"/>
      <c r="L176" s="350">
        <f>K176+J176</f>
        <v>0</v>
      </c>
      <c r="M176" s="53"/>
      <c r="N176" s="54"/>
      <c r="O176" s="55">
        <f>N176+M176</f>
        <v>0</v>
      </c>
      <c r="P176" s="57"/>
    </row>
    <row r="177" spans="1:16" ht="36" hidden="1" customHeight="1" x14ac:dyDescent="0.25">
      <c r="A177" s="51">
        <v>3262</v>
      </c>
      <c r="B177" s="89" t="s">
        <v>193</v>
      </c>
      <c r="C177" s="90">
        <f t="shared" si="48"/>
        <v>0</v>
      </c>
      <c r="D177" s="352"/>
      <c r="E177" s="353"/>
      <c r="F177" s="350">
        <f>D177+E177</f>
        <v>0</v>
      </c>
      <c r="G177" s="348"/>
      <c r="H177" s="349"/>
      <c r="I177" s="350">
        <f>G177+H177</f>
        <v>0</v>
      </c>
      <c r="J177" s="348"/>
      <c r="K177" s="349"/>
      <c r="L177" s="350">
        <f>K177+J177</f>
        <v>0</v>
      </c>
      <c r="M177" s="53"/>
      <c r="N177" s="54"/>
      <c r="O177" s="55">
        <f>N177+M177</f>
        <v>0</v>
      </c>
      <c r="P177" s="57"/>
    </row>
    <row r="178" spans="1:16" ht="24" hidden="1" customHeight="1" x14ac:dyDescent="0.25">
      <c r="A178" s="51">
        <v>3263</v>
      </c>
      <c r="B178" s="89" t="s">
        <v>194</v>
      </c>
      <c r="C178" s="90">
        <f t="shared" si="48"/>
        <v>0</v>
      </c>
      <c r="D178" s="352"/>
      <c r="E178" s="353"/>
      <c r="F178" s="350">
        <f>D178+E178</f>
        <v>0</v>
      </c>
      <c r="G178" s="348"/>
      <c r="H178" s="349"/>
      <c r="I178" s="350">
        <f>G178+H178</f>
        <v>0</v>
      </c>
      <c r="J178" s="348"/>
      <c r="K178" s="349"/>
      <c r="L178" s="350">
        <f>K178+J178</f>
        <v>0</v>
      </c>
      <c r="M178" s="53"/>
      <c r="N178" s="54"/>
      <c r="O178" s="55">
        <f>N178+M178</f>
        <v>0</v>
      </c>
      <c r="P178" s="57"/>
    </row>
    <row r="179" spans="1:16" ht="84" hidden="1" x14ac:dyDescent="0.25">
      <c r="A179" s="606">
        <v>3290</v>
      </c>
      <c r="B179" s="82" t="s">
        <v>195</v>
      </c>
      <c r="C179" s="209">
        <f t="shared" si="48"/>
        <v>0</v>
      </c>
      <c r="D179" s="807">
        <f>SUM(D180:D183)</f>
        <v>0</v>
      </c>
      <c r="E179" s="808">
        <f>SUM(E180:E183)</f>
        <v>0</v>
      </c>
      <c r="F179" s="491">
        <f>SUM(F180:F183)</f>
        <v>0</v>
      </c>
      <c r="G179" s="807">
        <f t="shared" ref="G179:M179" si="64">SUM(G180:G183)</f>
        <v>0</v>
      </c>
      <c r="H179" s="808">
        <f>SUM(H180:H183)</f>
        <v>0</v>
      </c>
      <c r="I179" s="491">
        <f>SUM(I180:I183)</f>
        <v>0</v>
      </c>
      <c r="J179" s="807">
        <f t="shared" si="64"/>
        <v>0</v>
      </c>
      <c r="K179" s="808">
        <f>SUM(K180:K183)</f>
        <v>0</v>
      </c>
      <c r="L179" s="491">
        <f>SUM(L180:L183)</f>
        <v>0</v>
      </c>
      <c r="M179" s="194">
        <f t="shared" si="64"/>
        <v>0</v>
      </c>
      <c r="N179" s="195">
        <f>SUM(N180:N183)</f>
        <v>0</v>
      </c>
      <c r="O179" s="134">
        <f>SUM(O180:O183)</f>
        <v>0</v>
      </c>
      <c r="P179" s="49"/>
    </row>
    <row r="180" spans="1:16" ht="72" hidden="1" customHeight="1" x14ac:dyDescent="0.25">
      <c r="A180" s="51">
        <v>3291</v>
      </c>
      <c r="B180" s="89" t="s">
        <v>196</v>
      </c>
      <c r="C180" s="90">
        <f t="shared" si="48"/>
        <v>0</v>
      </c>
      <c r="D180" s="352"/>
      <c r="E180" s="353"/>
      <c r="F180" s="350">
        <f>D180+E180</f>
        <v>0</v>
      </c>
      <c r="G180" s="348"/>
      <c r="H180" s="349"/>
      <c r="I180" s="350">
        <f>G180+H180</f>
        <v>0</v>
      </c>
      <c r="J180" s="348"/>
      <c r="K180" s="349"/>
      <c r="L180" s="350">
        <f>K180+J180</f>
        <v>0</v>
      </c>
      <c r="M180" s="53"/>
      <c r="N180" s="54"/>
      <c r="O180" s="55">
        <f>N180+M180</f>
        <v>0</v>
      </c>
      <c r="P180" s="57"/>
    </row>
    <row r="181" spans="1:16" ht="72" hidden="1" customHeight="1" x14ac:dyDescent="0.25">
      <c r="A181" s="51">
        <v>3292</v>
      </c>
      <c r="B181" s="89" t="s">
        <v>197</v>
      </c>
      <c r="C181" s="90">
        <f t="shared" si="48"/>
        <v>0</v>
      </c>
      <c r="D181" s="352"/>
      <c r="E181" s="353"/>
      <c r="F181" s="350">
        <f>D181+E181</f>
        <v>0</v>
      </c>
      <c r="G181" s="348"/>
      <c r="H181" s="349"/>
      <c r="I181" s="350">
        <f>G181+H181</f>
        <v>0</v>
      </c>
      <c r="J181" s="348"/>
      <c r="K181" s="349"/>
      <c r="L181" s="350">
        <f>K181+J181</f>
        <v>0</v>
      </c>
      <c r="M181" s="53"/>
      <c r="N181" s="54"/>
      <c r="O181" s="55">
        <f>N181+M181</f>
        <v>0</v>
      </c>
      <c r="P181" s="57"/>
    </row>
    <row r="182" spans="1:16" ht="72" hidden="1" customHeight="1" x14ac:dyDescent="0.25">
      <c r="A182" s="51">
        <v>3293</v>
      </c>
      <c r="B182" s="89" t="s">
        <v>198</v>
      </c>
      <c r="C182" s="90">
        <f t="shared" si="48"/>
        <v>0</v>
      </c>
      <c r="D182" s="352"/>
      <c r="E182" s="353"/>
      <c r="F182" s="350">
        <f>D182+E182</f>
        <v>0</v>
      </c>
      <c r="G182" s="348"/>
      <c r="H182" s="349"/>
      <c r="I182" s="350">
        <f>G182+H182</f>
        <v>0</v>
      </c>
      <c r="J182" s="348"/>
      <c r="K182" s="349"/>
      <c r="L182" s="350">
        <f>K182+J182</f>
        <v>0</v>
      </c>
      <c r="M182" s="53"/>
      <c r="N182" s="54"/>
      <c r="O182" s="55">
        <f>N182+M182</f>
        <v>0</v>
      </c>
      <c r="P182" s="57"/>
    </row>
    <row r="183" spans="1:16" ht="60" hidden="1" customHeight="1" x14ac:dyDescent="0.25">
      <c r="A183" s="210">
        <v>3294</v>
      </c>
      <c r="B183" s="89" t="s">
        <v>199</v>
      </c>
      <c r="C183" s="209">
        <f t="shared" si="48"/>
        <v>0</v>
      </c>
      <c r="D183" s="814"/>
      <c r="E183" s="815"/>
      <c r="F183" s="816">
        <f>D183+E183</f>
        <v>0</v>
      </c>
      <c r="G183" s="817"/>
      <c r="H183" s="818"/>
      <c r="I183" s="816">
        <f>G183+H183</f>
        <v>0</v>
      </c>
      <c r="J183" s="817"/>
      <c r="K183" s="818"/>
      <c r="L183" s="816">
        <f>K183+J183</f>
        <v>0</v>
      </c>
      <c r="M183" s="214"/>
      <c r="N183" s="215"/>
      <c r="O183" s="213">
        <f>N183+M183</f>
        <v>0</v>
      </c>
      <c r="P183" s="216"/>
    </row>
    <row r="184" spans="1:16" ht="48" hidden="1" x14ac:dyDescent="0.25">
      <c r="A184" s="217">
        <v>3300</v>
      </c>
      <c r="B184" s="208" t="s">
        <v>200</v>
      </c>
      <c r="C184" s="218">
        <f t="shared" si="48"/>
        <v>0</v>
      </c>
      <c r="D184" s="819">
        <f>SUM(D185:D186)</f>
        <v>0</v>
      </c>
      <c r="E184" s="820">
        <f>SUM(E185:E186)</f>
        <v>0</v>
      </c>
      <c r="F184" s="821">
        <f>SUM(F185:F186)</f>
        <v>0</v>
      </c>
      <c r="G184" s="819">
        <f t="shared" ref="G184:M184" si="65">SUM(G185:G186)</f>
        <v>0</v>
      </c>
      <c r="H184" s="820">
        <f>SUM(H185:H186)</f>
        <v>0</v>
      </c>
      <c r="I184" s="821">
        <f>SUM(I185:I186)</f>
        <v>0</v>
      </c>
      <c r="J184" s="819">
        <f t="shared" si="65"/>
        <v>0</v>
      </c>
      <c r="K184" s="820">
        <f>SUM(K185:K186)</f>
        <v>0</v>
      </c>
      <c r="L184" s="821">
        <f>SUM(L185:L186)</f>
        <v>0</v>
      </c>
      <c r="M184" s="219">
        <f t="shared" si="65"/>
        <v>0</v>
      </c>
      <c r="N184" s="220">
        <f>SUM(N185:N186)</f>
        <v>0</v>
      </c>
      <c r="O184" s="221">
        <f>SUM(O185:O186)</f>
        <v>0</v>
      </c>
      <c r="P184" s="222"/>
    </row>
    <row r="185" spans="1:16" ht="48" hidden="1" customHeight="1" x14ac:dyDescent="0.25">
      <c r="A185" s="137">
        <v>3310</v>
      </c>
      <c r="B185" s="138" t="s">
        <v>201</v>
      </c>
      <c r="C185" s="143">
        <f t="shared" si="48"/>
        <v>0</v>
      </c>
      <c r="D185" s="810"/>
      <c r="E185" s="811"/>
      <c r="F185" s="781">
        <f>D185+E185</f>
        <v>0</v>
      </c>
      <c r="G185" s="780"/>
      <c r="H185" s="727"/>
      <c r="I185" s="781">
        <f>G185+H185</f>
        <v>0</v>
      </c>
      <c r="J185" s="780"/>
      <c r="K185" s="727"/>
      <c r="L185" s="781">
        <f>K185+J185</f>
        <v>0</v>
      </c>
      <c r="M185" s="144"/>
      <c r="N185" s="145"/>
      <c r="O185" s="141">
        <f>N185+M185</f>
        <v>0</v>
      </c>
      <c r="P185" s="129"/>
    </row>
    <row r="186" spans="1:16" ht="48.75" hidden="1" customHeight="1" x14ac:dyDescent="0.25">
      <c r="A186" s="44">
        <v>3320</v>
      </c>
      <c r="B186" s="82" t="s">
        <v>202</v>
      </c>
      <c r="C186" s="83">
        <f t="shared" si="48"/>
        <v>0</v>
      </c>
      <c r="D186" s="489"/>
      <c r="E186" s="490"/>
      <c r="F186" s="491">
        <f>D186+E186</f>
        <v>0</v>
      </c>
      <c r="G186" s="460"/>
      <c r="H186" s="461"/>
      <c r="I186" s="491">
        <f>G186+H186</f>
        <v>0</v>
      </c>
      <c r="J186" s="460"/>
      <c r="K186" s="461"/>
      <c r="L186" s="491">
        <f>K186+J186</f>
        <v>0</v>
      </c>
      <c r="M186" s="46"/>
      <c r="N186" s="47"/>
      <c r="O186" s="134">
        <f>N186+M186</f>
        <v>0</v>
      </c>
      <c r="P186" s="49"/>
    </row>
    <row r="187" spans="1:16" hidden="1" x14ac:dyDescent="0.25">
      <c r="A187" s="822">
        <v>4000</v>
      </c>
      <c r="B187" s="796" t="s">
        <v>203</v>
      </c>
      <c r="C187" s="797">
        <f t="shared" si="48"/>
        <v>0</v>
      </c>
      <c r="D187" s="798">
        <f t="shared" ref="D187:O187" si="66">SUM(D188,D191)</f>
        <v>0</v>
      </c>
      <c r="E187" s="799">
        <f t="shared" si="66"/>
        <v>0</v>
      </c>
      <c r="F187" s="800">
        <f t="shared" si="66"/>
        <v>0</v>
      </c>
      <c r="G187" s="798">
        <f t="shared" si="66"/>
        <v>0</v>
      </c>
      <c r="H187" s="799">
        <f t="shared" si="66"/>
        <v>0</v>
      </c>
      <c r="I187" s="800">
        <f t="shared" si="66"/>
        <v>0</v>
      </c>
      <c r="J187" s="798">
        <f t="shared" si="66"/>
        <v>0</v>
      </c>
      <c r="K187" s="799">
        <f t="shared" si="66"/>
        <v>0</v>
      </c>
      <c r="L187" s="800">
        <f t="shared" si="66"/>
        <v>0</v>
      </c>
      <c r="M187" s="798">
        <f t="shared" si="66"/>
        <v>0</v>
      </c>
      <c r="N187" s="180">
        <f t="shared" si="66"/>
        <v>0</v>
      </c>
      <c r="O187" s="181">
        <f t="shared" si="66"/>
        <v>0</v>
      </c>
      <c r="P187" s="182"/>
    </row>
    <row r="188" spans="1:16" ht="24" hidden="1" x14ac:dyDescent="0.25">
      <c r="A188" s="224">
        <v>4200</v>
      </c>
      <c r="B188" s="183" t="s">
        <v>204</v>
      </c>
      <c r="C188" s="70">
        <f t="shared" si="48"/>
        <v>0</v>
      </c>
      <c r="D188" s="802">
        <f t="shared" ref="D188:O188" si="67">SUM(D189,D190)</f>
        <v>0</v>
      </c>
      <c r="E188" s="803">
        <f t="shared" si="67"/>
        <v>0</v>
      </c>
      <c r="F188" s="756">
        <f t="shared" si="67"/>
        <v>0</v>
      </c>
      <c r="G188" s="802">
        <f t="shared" si="67"/>
        <v>0</v>
      </c>
      <c r="H188" s="803">
        <f t="shared" si="67"/>
        <v>0</v>
      </c>
      <c r="I188" s="756">
        <f t="shared" si="67"/>
        <v>0</v>
      </c>
      <c r="J188" s="802">
        <f t="shared" si="67"/>
        <v>0</v>
      </c>
      <c r="K188" s="803">
        <f t="shared" si="67"/>
        <v>0</v>
      </c>
      <c r="L188" s="756">
        <f t="shared" si="67"/>
        <v>0</v>
      </c>
      <c r="M188" s="184">
        <f t="shared" si="67"/>
        <v>0</v>
      </c>
      <c r="N188" s="185">
        <f t="shared" si="67"/>
        <v>0</v>
      </c>
      <c r="O188" s="73">
        <f t="shared" si="67"/>
        <v>0</v>
      </c>
      <c r="P188" s="77"/>
    </row>
    <row r="189" spans="1:16" ht="36" hidden="1" customHeight="1" x14ac:dyDescent="0.25">
      <c r="A189" s="606">
        <v>4240</v>
      </c>
      <c r="B189" s="82" t="s">
        <v>205</v>
      </c>
      <c r="C189" s="83">
        <f t="shared" si="48"/>
        <v>0</v>
      </c>
      <c r="D189" s="489"/>
      <c r="E189" s="490"/>
      <c r="F189" s="491">
        <f>D189+E189</f>
        <v>0</v>
      </c>
      <c r="G189" s="460"/>
      <c r="H189" s="461"/>
      <c r="I189" s="491">
        <f>G189+H189</f>
        <v>0</v>
      </c>
      <c r="J189" s="460"/>
      <c r="K189" s="461"/>
      <c r="L189" s="491">
        <f>K189+J189</f>
        <v>0</v>
      </c>
      <c r="M189" s="46"/>
      <c r="N189" s="47"/>
      <c r="O189" s="134">
        <f>N189+M189</f>
        <v>0</v>
      </c>
      <c r="P189" s="49"/>
    </row>
    <row r="190" spans="1:16" ht="24" hidden="1" customHeight="1" x14ac:dyDescent="0.25">
      <c r="A190" s="189">
        <v>4250</v>
      </c>
      <c r="B190" s="89" t="s">
        <v>206</v>
      </c>
      <c r="C190" s="90">
        <f t="shared" si="48"/>
        <v>0</v>
      </c>
      <c r="D190" s="352"/>
      <c r="E190" s="353"/>
      <c r="F190" s="350">
        <f>D190+E190</f>
        <v>0</v>
      </c>
      <c r="G190" s="348"/>
      <c r="H190" s="349"/>
      <c r="I190" s="350">
        <f>G190+H190</f>
        <v>0</v>
      </c>
      <c r="J190" s="348"/>
      <c r="K190" s="349"/>
      <c r="L190" s="350">
        <f>K190+J190</f>
        <v>0</v>
      </c>
      <c r="M190" s="53"/>
      <c r="N190" s="54"/>
      <c r="O190" s="55">
        <f>N190+M190</f>
        <v>0</v>
      </c>
      <c r="P190" s="57"/>
    </row>
    <row r="191" spans="1:16" hidden="1" x14ac:dyDescent="0.25">
      <c r="A191" s="69">
        <v>4300</v>
      </c>
      <c r="B191" s="183" t="s">
        <v>207</v>
      </c>
      <c r="C191" s="70">
        <f t="shared" si="48"/>
        <v>0</v>
      </c>
      <c r="D191" s="802">
        <f t="shared" ref="D191:O191" si="68">SUM(D192)</f>
        <v>0</v>
      </c>
      <c r="E191" s="803">
        <f t="shared" si="68"/>
        <v>0</v>
      </c>
      <c r="F191" s="756">
        <f t="shared" si="68"/>
        <v>0</v>
      </c>
      <c r="G191" s="802">
        <f t="shared" si="68"/>
        <v>0</v>
      </c>
      <c r="H191" s="803">
        <f t="shared" si="68"/>
        <v>0</v>
      </c>
      <c r="I191" s="756">
        <f t="shared" si="68"/>
        <v>0</v>
      </c>
      <c r="J191" s="802">
        <f t="shared" si="68"/>
        <v>0</v>
      </c>
      <c r="K191" s="803">
        <f t="shared" si="68"/>
        <v>0</v>
      </c>
      <c r="L191" s="756">
        <f t="shared" si="68"/>
        <v>0</v>
      </c>
      <c r="M191" s="184">
        <f t="shared" si="68"/>
        <v>0</v>
      </c>
      <c r="N191" s="185">
        <f t="shared" si="68"/>
        <v>0</v>
      </c>
      <c r="O191" s="73">
        <f t="shared" si="68"/>
        <v>0</v>
      </c>
      <c r="P191" s="77"/>
    </row>
    <row r="192" spans="1:16" ht="24" hidden="1" x14ac:dyDescent="0.25">
      <c r="A192" s="606">
        <v>4310</v>
      </c>
      <c r="B192" s="82" t="s">
        <v>208</v>
      </c>
      <c r="C192" s="83">
        <f t="shared" si="48"/>
        <v>0</v>
      </c>
      <c r="D192" s="807">
        <f t="shared" ref="D192:O192" si="69">SUM(D193:D193)</f>
        <v>0</v>
      </c>
      <c r="E192" s="808">
        <f t="shared" si="69"/>
        <v>0</v>
      </c>
      <c r="F192" s="491">
        <f t="shared" si="69"/>
        <v>0</v>
      </c>
      <c r="G192" s="807">
        <f t="shared" si="69"/>
        <v>0</v>
      </c>
      <c r="H192" s="808">
        <f t="shared" si="69"/>
        <v>0</v>
      </c>
      <c r="I192" s="491">
        <f t="shared" si="69"/>
        <v>0</v>
      </c>
      <c r="J192" s="807">
        <f t="shared" si="69"/>
        <v>0</v>
      </c>
      <c r="K192" s="808">
        <f t="shared" si="69"/>
        <v>0</v>
      </c>
      <c r="L192" s="491">
        <f t="shared" si="69"/>
        <v>0</v>
      </c>
      <c r="M192" s="194">
        <f t="shared" si="69"/>
        <v>0</v>
      </c>
      <c r="N192" s="195">
        <f t="shared" si="69"/>
        <v>0</v>
      </c>
      <c r="O192" s="134">
        <f t="shared" si="69"/>
        <v>0</v>
      </c>
      <c r="P192" s="49"/>
    </row>
    <row r="193" spans="1:16" ht="36" hidden="1" customHeight="1" x14ac:dyDescent="0.25">
      <c r="A193" s="51">
        <v>4311</v>
      </c>
      <c r="B193" s="89" t="s">
        <v>209</v>
      </c>
      <c r="C193" s="90">
        <f t="shared" si="48"/>
        <v>0</v>
      </c>
      <c r="D193" s="352"/>
      <c r="E193" s="353"/>
      <c r="F193" s="350">
        <f>D193+E193</f>
        <v>0</v>
      </c>
      <c r="G193" s="348"/>
      <c r="H193" s="349"/>
      <c r="I193" s="350">
        <f>G193+H193</f>
        <v>0</v>
      </c>
      <c r="J193" s="348"/>
      <c r="K193" s="349"/>
      <c r="L193" s="350">
        <f>K193+J193</f>
        <v>0</v>
      </c>
      <c r="M193" s="53"/>
      <c r="N193" s="54"/>
      <c r="O193" s="55">
        <f>N193+M193</f>
        <v>0</v>
      </c>
      <c r="P193" s="57"/>
    </row>
    <row r="194" spans="1:16" s="28" customFormat="1" ht="24" x14ac:dyDescent="0.25">
      <c r="A194" s="225"/>
      <c r="B194" s="23" t="s">
        <v>210</v>
      </c>
      <c r="C194" s="172">
        <f t="shared" si="48"/>
        <v>4050</v>
      </c>
      <c r="D194" s="794">
        <f t="shared" ref="D194:O194" si="70">SUM(D195,D230,D269,D283)</f>
        <v>3600</v>
      </c>
      <c r="E194" s="795">
        <f t="shared" si="70"/>
        <v>0</v>
      </c>
      <c r="F194" s="784">
        <f t="shared" si="70"/>
        <v>3600</v>
      </c>
      <c r="G194" s="794">
        <f t="shared" si="70"/>
        <v>150</v>
      </c>
      <c r="H194" s="795">
        <f t="shared" si="70"/>
        <v>0</v>
      </c>
      <c r="I194" s="784">
        <f t="shared" si="70"/>
        <v>150</v>
      </c>
      <c r="J194" s="794">
        <f t="shared" si="70"/>
        <v>300</v>
      </c>
      <c r="K194" s="795">
        <f t="shared" si="70"/>
        <v>0</v>
      </c>
      <c r="L194" s="784">
        <f t="shared" si="70"/>
        <v>300</v>
      </c>
      <c r="M194" s="173">
        <f t="shared" si="70"/>
        <v>0</v>
      </c>
      <c r="N194" s="174">
        <f t="shared" si="70"/>
        <v>0</v>
      </c>
      <c r="O194" s="175">
        <f t="shared" si="70"/>
        <v>0</v>
      </c>
      <c r="P194" s="176"/>
    </row>
    <row r="195" spans="1:16" x14ac:dyDescent="0.25">
      <c r="A195" s="796">
        <v>5000</v>
      </c>
      <c r="B195" s="796" t="s">
        <v>211</v>
      </c>
      <c r="C195" s="797">
        <f t="shared" si="48"/>
        <v>4050</v>
      </c>
      <c r="D195" s="798">
        <f t="shared" ref="D195:O195" si="71">D196+D204</f>
        <v>3600</v>
      </c>
      <c r="E195" s="799">
        <f t="shared" si="71"/>
        <v>0</v>
      </c>
      <c r="F195" s="800">
        <f t="shared" si="71"/>
        <v>3600</v>
      </c>
      <c r="G195" s="798">
        <f t="shared" si="71"/>
        <v>150</v>
      </c>
      <c r="H195" s="799">
        <f t="shared" si="71"/>
        <v>0</v>
      </c>
      <c r="I195" s="800">
        <f t="shared" si="71"/>
        <v>150</v>
      </c>
      <c r="J195" s="798">
        <f t="shared" si="71"/>
        <v>300</v>
      </c>
      <c r="K195" s="799">
        <f t="shared" si="71"/>
        <v>0</v>
      </c>
      <c r="L195" s="800">
        <f t="shared" si="71"/>
        <v>300</v>
      </c>
      <c r="M195" s="798">
        <f t="shared" si="71"/>
        <v>0</v>
      </c>
      <c r="N195" s="799">
        <f t="shared" si="71"/>
        <v>0</v>
      </c>
      <c r="O195" s="181">
        <f t="shared" si="71"/>
        <v>0</v>
      </c>
      <c r="P195" s="182"/>
    </row>
    <row r="196" spans="1:16" hidden="1" x14ac:dyDescent="0.25">
      <c r="A196" s="69">
        <v>5100</v>
      </c>
      <c r="B196" s="183" t="s">
        <v>212</v>
      </c>
      <c r="C196" s="70">
        <f t="shared" si="48"/>
        <v>0</v>
      </c>
      <c r="D196" s="802">
        <f t="shared" ref="D196:O196" si="72">D197+D198+D201+D202+D203</f>
        <v>0</v>
      </c>
      <c r="E196" s="803">
        <f t="shared" si="72"/>
        <v>0</v>
      </c>
      <c r="F196" s="756">
        <f t="shared" si="72"/>
        <v>0</v>
      </c>
      <c r="G196" s="802">
        <f t="shared" si="72"/>
        <v>0</v>
      </c>
      <c r="H196" s="803">
        <f t="shared" si="72"/>
        <v>0</v>
      </c>
      <c r="I196" s="756">
        <f t="shared" si="72"/>
        <v>0</v>
      </c>
      <c r="J196" s="802">
        <f t="shared" si="72"/>
        <v>0</v>
      </c>
      <c r="K196" s="803">
        <f t="shared" si="72"/>
        <v>0</v>
      </c>
      <c r="L196" s="756">
        <f t="shared" si="72"/>
        <v>0</v>
      </c>
      <c r="M196" s="184">
        <f t="shared" si="72"/>
        <v>0</v>
      </c>
      <c r="N196" s="185">
        <f t="shared" si="72"/>
        <v>0</v>
      </c>
      <c r="O196" s="73">
        <f t="shared" si="72"/>
        <v>0</v>
      </c>
      <c r="P196" s="77"/>
    </row>
    <row r="197" spans="1:16" ht="12" hidden="1" customHeight="1" x14ac:dyDescent="0.25">
      <c r="A197" s="606">
        <v>5110</v>
      </c>
      <c r="B197" s="82" t="s">
        <v>213</v>
      </c>
      <c r="C197" s="83">
        <f t="shared" si="48"/>
        <v>0</v>
      </c>
      <c r="D197" s="489"/>
      <c r="E197" s="490"/>
      <c r="F197" s="491">
        <f>D197+E197</f>
        <v>0</v>
      </c>
      <c r="G197" s="460"/>
      <c r="H197" s="461"/>
      <c r="I197" s="491">
        <f>G197+H197</f>
        <v>0</v>
      </c>
      <c r="J197" s="460"/>
      <c r="K197" s="461"/>
      <c r="L197" s="491">
        <f>K197+J197</f>
        <v>0</v>
      </c>
      <c r="M197" s="46"/>
      <c r="N197" s="47"/>
      <c r="O197" s="134">
        <f>N197+M197</f>
        <v>0</v>
      </c>
      <c r="P197" s="49"/>
    </row>
    <row r="198" spans="1:16" ht="24" hidden="1" x14ac:dyDescent="0.25">
      <c r="A198" s="189">
        <v>5120</v>
      </c>
      <c r="B198" s="89" t="s">
        <v>214</v>
      </c>
      <c r="C198" s="90">
        <f t="shared" si="48"/>
        <v>0</v>
      </c>
      <c r="D198" s="806">
        <f t="shared" ref="D198:O198" si="73">D199+D200</f>
        <v>0</v>
      </c>
      <c r="E198" s="365">
        <f t="shared" si="73"/>
        <v>0</v>
      </c>
      <c r="F198" s="350">
        <f t="shared" si="73"/>
        <v>0</v>
      </c>
      <c r="G198" s="806">
        <f t="shared" si="73"/>
        <v>0</v>
      </c>
      <c r="H198" s="365">
        <f t="shared" si="73"/>
        <v>0</v>
      </c>
      <c r="I198" s="350">
        <f t="shared" si="73"/>
        <v>0</v>
      </c>
      <c r="J198" s="806">
        <f t="shared" si="73"/>
        <v>0</v>
      </c>
      <c r="K198" s="365">
        <f t="shared" si="73"/>
        <v>0</v>
      </c>
      <c r="L198" s="350">
        <f t="shared" si="73"/>
        <v>0</v>
      </c>
      <c r="M198" s="190">
        <f t="shared" si="73"/>
        <v>0</v>
      </c>
      <c r="N198" s="191">
        <f t="shared" si="73"/>
        <v>0</v>
      </c>
      <c r="O198" s="55">
        <f t="shared" si="73"/>
        <v>0</v>
      </c>
      <c r="P198" s="57"/>
    </row>
    <row r="199" spans="1:16" ht="12" hidden="1" customHeight="1" x14ac:dyDescent="0.25">
      <c r="A199" s="51">
        <v>5121</v>
      </c>
      <c r="B199" s="89" t="s">
        <v>215</v>
      </c>
      <c r="C199" s="90">
        <f t="shared" si="48"/>
        <v>0</v>
      </c>
      <c r="D199" s="352"/>
      <c r="E199" s="353"/>
      <c r="F199" s="350">
        <f>D199+E199</f>
        <v>0</v>
      </c>
      <c r="G199" s="348"/>
      <c r="H199" s="349"/>
      <c r="I199" s="350">
        <f>G199+H199</f>
        <v>0</v>
      </c>
      <c r="J199" s="348"/>
      <c r="K199" s="349"/>
      <c r="L199" s="350">
        <f>K199+J199</f>
        <v>0</v>
      </c>
      <c r="M199" s="53"/>
      <c r="N199" s="54"/>
      <c r="O199" s="55">
        <f>N199+M199</f>
        <v>0</v>
      </c>
      <c r="P199" s="57"/>
    </row>
    <row r="200" spans="1:16" ht="24" hidden="1" customHeight="1" x14ac:dyDescent="0.25">
      <c r="A200" s="51">
        <v>5129</v>
      </c>
      <c r="B200" s="89" t="s">
        <v>216</v>
      </c>
      <c r="C200" s="90">
        <f t="shared" si="48"/>
        <v>0</v>
      </c>
      <c r="D200" s="352"/>
      <c r="E200" s="353"/>
      <c r="F200" s="350">
        <f>D200+E200</f>
        <v>0</v>
      </c>
      <c r="G200" s="348"/>
      <c r="H200" s="349"/>
      <c r="I200" s="350">
        <f>G200+H200</f>
        <v>0</v>
      </c>
      <c r="J200" s="348"/>
      <c r="K200" s="349"/>
      <c r="L200" s="350">
        <f>K200+J200</f>
        <v>0</v>
      </c>
      <c r="M200" s="53"/>
      <c r="N200" s="54"/>
      <c r="O200" s="55">
        <f>N200+M200</f>
        <v>0</v>
      </c>
      <c r="P200" s="57"/>
    </row>
    <row r="201" spans="1:16" ht="12" hidden="1" customHeight="1" x14ac:dyDescent="0.25">
      <c r="A201" s="189">
        <v>5130</v>
      </c>
      <c r="B201" s="89" t="s">
        <v>217</v>
      </c>
      <c r="C201" s="90">
        <f t="shared" si="48"/>
        <v>0</v>
      </c>
      <c r="D201" s="352"/>
      <c r="E201" s="353"/>
      <c r="F201" s="350">
        <f>D201+E201</f>
        <v>0</v>
      </c>
      <c r="G201" s="348"/>
      <c r="H201" s="349"/>
      <c r="I201" s="350">
        <f>G201+H201</f>
        <v>0</v>
      </c>
      <c r="J201" s="348"/>
      <c r="K201" s="349"/>
      <c r="L201" s="350">
        <f>K201+J201</f>
        <v>0</v>
      </c>
      <c r="M201" s="53"/>
      <c r="N201" s="54"/>
      <c r="O201" s="55">
        <f>N201+M201</f>
        <v>0</v>
      </c>
      <c r="P201" s="57"/>
    </row>
    <row r="202" spans="1:16" ht="12" hidden="1" customHeight="1" x14ac:dyDescent="0.25">
      <c r="A202" s="189">
        <v>5140</v>
      </c>
      <c r="B202" s="89" t="s">
        <v>218</v>
      </c>
      <c r="C202" s="90">
        <f t="shared" si="48"/>
        <v>0</v>
      </c>
      <c r="D202" s="352"/>
      <c r="E202" s="353"/>
      <c r="F202" s="350">
        <f>D202+E202</f>
        <v>0</v>
      </c>
      <c r="G202" s="348"/>
      <c r="H202" s="349"/>
      <c r="I202" s="350">
        <f>G202+H202</f>
        <v>0</v>
      </c>
      <c r="J202" s="348"/>
      <c r="K202" s="349"/>
      <c r="L202" s="350">
        <f>K202+J202</f>
        <v>0</v>
      </c>
      <c r="M202" s="53"/>
      <c r="N202" s="54"/>
      <c r="O202" s="55">
        <f>N202+M202</f>
        <v>0</v>
      </c>
      <c r="P202" s="57"/>
    </row>
    <row r="203" spans="1:16" ht="24" hidden="1" customHeight="1" x14ac:dyDescent="0.25">
      <c r="A203" s="189">
        <v>5170</v>
      </c>
      <c r="B203" s="89" t="s">
        <v>219</v>
      </c>
      <c r="C203" s="90">
        <f t="shared" si="48"/>
        <v>0</v>
      </c>
      <c r="D203" s="352"/>
      <c r="E203" s="353"/>
      <c r="F203" s="350">
        <f>D203+E203</f>
        <v>0</v>
      </c>
      <c r="G203" s="348"/>
      <c r="H203" s="349"/>
      <c r="I203" s="350">
        <f>G203+H203</f>
        <v>0</v>
      </c>
      <c r="J203" s="348"/>
      <c r="K203" s="349"/>
      <c r="L203" s="350">
        <f>K203+J203</f>
        <v>0</v>
      </c>
      <c r="M203" s="53"/>
      <c r="N203" s="54"/>
      <c r="O203" s="55">
        <f>N203+M203</f>
        <v>0</v>
      </c>
      <c r="P203" s="57"/>
    </row>
    <row r="204" spans="1:16" x14ac:dyDescent="0.25">
      <c r="A204" s="69">
        <v>5200</v>
      </c>
      <c r="B204" s="183" t="s">
        <v>220</v>
      </c>
      <c r="C204" s="70">
        <f t="shared" si="48"/>
        <v>4050</v>
      </c>
      <c r="D204" s="802">
        <f t="shared" ref="D204:O204" si="74">D205+D215+D216+D225+D226+D227+D229</f>
        <v>3600</v>
      </c>
      <c r="E204" s="803">
        <f t="shared" si="74"/>
        <v>0</v>
      </c>
      <c r="F204" s="756">
        <f t="shared" si="74"/>
        <v>3600</v>
      </c>
      <c r="G204" s="802">
        <f t="shared" si="74"/>
        <v>150</v>
      </c>
      <c r="H204" s="803">
        <f t="shared" si="74"/>
        <v>0</v>
      </c>
      <c r="I204" s="756">
        <f t="shared" si="74"/>
        <v>150</v>
      </c>
      <c r="J204" s="802">
        <f t="shared" si="74"/>
        <v>300</v>
      </c>
      <c r="K204" s="803">
        <f t="shared" si="74"/>
        <v>0</v>
      </c>
      <c r="L204" s="756">
        <f t="shared" si="74"/>
        <v>300</v>
      </c>
      <c r="M204" s="184">
        <f t="shared" si="74"/>
        <v>0</v>
      </c>
      <c r="N204" s="185">
        <f t="shared" si="74"/>
        <v>0</v>
      </c>
      <c r="O204" s="73">
        <f t="shared" si="74"/>
        <v>0</v>
      </c>
      <c r="P204" s="77"/>
    </row>
    <row r="205" spans="1:16" hidden="1" x14ac:dyDescent="0.25">
      <c r="A205" s="186">
        <v>5210</v>
      </c>
      <c r="B205" s="138" t="s">
        <v>221</v>
      </c>
      <c r="C205" s="143">
        <f t="shared" si="48"/>
        <v>0</v>
      </c>
      <c r="D205" s="804">
        <f t="shared" ref="D205:O205" si="75">SUM(D206:D214)</f>
        <v>0</v>
      </c>
      <c r="E205" s="805">
        <f t="shared" si="75"/>
        <v>0</v>
      </c>
      <c r="F205" s="781">
        <f t="shared" si="75"/>
        <v>0</v>
      </c>
      <c r="G205" s="804">
        <f t="shared" si="75"/>
        <v>0</v>
      </c>
      <c r="H205" s="805">
        <f t="shared" si="75"/>
        <v>0</v>
      </c>
      <c r="I205" s="781">
        <f t="shared" si="75"/>
        <v>0</v>
      </c>
      <c r="J205" s="804">
        <f t="shared" si="75"/>
        <v>0</v>
      </c>
      <c r="K205" s="805">
        <f t="shared" si="75"/>
        <v>0</v>
      </c>
      <c r="L205" s="781">
        <f t="shared" si="75"/>
        <v>0</v>
      </c>
      <c r="M205" s="187">
        <f t="shared" si="75"/>
        <v>0</v>
      </c>
      <c r="N205" s="188">
        <f t="shared" si="75"/>
        <v>0</v>
      </c>
      <c r="O205" s="141">
        <f t="shared" si="75"/>
        <v>0</v>
      </c>
      <c r="P205" s="129"/>
    </row>
    <row r="206" spans="1:16" ht="12" hidden="1" customHeight="1" x14ac:dyDescent="0.25">
      <c r="A206" s="44">
        <v>5211</v>
      </c>
      <c r="B206" s="82" t="s">
        <v>222</v>
      </c>
      <c r="C206" s="83">
        <f t="shared" si="48"/>
        <v>0</v>
      </c>
      <c r="D206" s="489"/>
      <c r="E206" s="490"/>
      <c r="F206" s="491">
        <f t="shared" ref="F206:F215" si="76">D206+E206</f>
        <v>0</v>
      </c>
      <c r="G206" s="460"/>
      <c r="H206" s="461"/>
      <c r="I206" s="491">
        <f t="shared" ref="I206:I215" si="77">G206+H206</f>
        <v>0</v>
      </c>
      <c r="J206" s="460"/>
      <c r="K206" s="461"/>
      <c r="L206" s="491">
        <f t="shared" ref="L206:L215" si="78">K206+J206</f>
        <v>0</v>
      </c>
      <c r="M206" s="46"/>
      <c r="N206" s="47"/>
      <c r="O206" s="134">
        <f t="shared" ref="O206:O215" si="79">N206+M206</f>
        <v>0</v>
      </c>
      <c r="P206" s="49"/>
    </row>
    <row r="207" spans="1:16" ht="12" hidden="1" customHeight="1" x14ac:dyDescent="0.25">
      <c r="A207" s="51">
        <v>5212</v>
      </c>
      <c r="B207" s="89" t="s">
        <v>223</v>
      </c>
      <c r="C207" s="90">
        <f t="shared" si="48"/>
        <v>0</v>
      </c>
      <c r="D207" s="352"/>
      <c r="E207" s="353"/>
      <c r="F207" s="350">
        <f t="shared" si="76"/>
        <v>0</v>
      </c>
      <c r="G207" s="348"/>
      <c r="H207" s="349"/>
      <c r="I207" s="350">
        <f t="shared" si="77"/>
        <v>0</v>
      </c>
      <c r="J207" s="348"/>
      <c r="K207" s="349"/>
      <c r="L207" s="350">
        <f t="shared" si="78"/>
        <v>0</v>
      </c>
      <c r="M207" s="53"/>
      <c r="N207" s="54"/>
      <c r="O207" s="55">
        <f t="shared" si="79"/>
        <v>0</v>
      </c>
      <c r="P207" s="57"/>
    </row>
    <row r="208" spans="1:16" ht="12" hidden="1" customHeight="1" x14ac:dyDescent="0.25">
      <c r="A208" s="51">
        <v>5213</v>
      </c>
      <c r="B208" s="89" t="s">
        <v>224</v>
      </c>
      <c r="C208" s="90">
        <f t="shared" si="48"/>
        <v>0</v>
      </c>
      <c r="D208" s="352"/>
      <c r="E208" s="353"/>
      <c r="F208" s="350">
        <f t="shared" si="76"/>
        <v>0</v>
      </c>
      <c r="G208" s="348"/>
      <c r="H208" s="349"/>
      <c r="I208" s="350">
        <f t="shared" si="77"/>
        <v>0</v>
      </c>
      <c r="J208" s="348"/>
      <c r="K208" s="349"/>
      <c r="L208" s="350">
        <f t="shared" si="78"/>
        <v>0</v>
      </c>
      <c r="M208" s="53"/>
      <c r="N208" s="54"/>
      <c r="O208" s="55">
        <f t="shared" si="79"/>
        <v>0</v>
      </c>
      <c r="P208" s="57"/>
    </row>
    <row r="209" spans="1:16" ht="12" hidden="1" customHeight="1" x14ac:dyDescent="0.25">
      <c r="A209" s="51">
        <v>5214</v>
      </c>
      <c r="B209" s="89" t="s">
        <v>225</v>
      </c>
      <c r="C209" s="90">
        <f t="shared" si="48"/>
        <v>0</v>
      </c>
      <c r="D209" s="352"/>
      <c r="E209" s="353"/>
      <c r="F209" s="350">
        <f t="shared" si="76"/>
        <v>0</v>
      </c>
      <c r="G209" s="348"/>
      <c r="H209" s="349"/>
      <c r="I209" s="350">
        <f t="shared" si="77"/>
        <v>0</v>
      </c>
      <c r="J209" s="348"/>
      <c r="K209" s="349"/>
      <c r="L209" s="350">
        <f t="shared" si="78"/>
        <v>0</v>
      </c>
      <c r="M209" s="53"/>
      <c r="N209" s="54"/>
      <c r="O209" s="55">
        <f t="shared" si="79"/>
        <v>0</v>
      </c>
      <c r="P209" s="57"/>
    </row>
    <row r="210" spans="1:16" ht="12" hidden="1" customHeight="1" x14ac:dyDescent="0.25">
      <c r="A210" s="51">
        <v>5215</v>
      </c>
      <c r="B210" s="89" t="s">
        <v>226</v>
      </c>
      <c r="C210" s="90">
        <f t="shared" si="48"/>
        <v>0</v>
      </c>
      <c r="D210" s="352"/>
      <c r="E210" s="353"/>
      <c r="F210" s="350">
        <f t="shared" si="76"/>
        <v>0</v>
      </c>
      <c r="G210" s="348"/>
      <c r="H210" s="349"/>
      <c r="I210" s="350">
        <f t="shared" si="77"/>
        <v>0</v>
      </c>
      <c r="J210" s="348"/>
      <c r="K210" s="349"/>
      <c r="L210" s="350">
        <f t="shared" si="78"/>
        <v>0</v>
      </c>
      <c r="M210" s="53"/>
      <c r="N210" s="54"/>
      <c r="O210" s="55">
        <f t="shared" si="79"/>
        <v>0</v>
      </c>
      <c r="P210" s="57"/>
    </row>
    <row r="211" spans="1:16" ht="14.25" hidden="1" customHeight="1" x14ac:dyDescent="0.25">
      <c r="A211" s="51">
        <v>5216</v>
      </c>
      <c r="B211" s="89" t="s">
        <v>227</v>
      </c>
      <c r="C211" s="90">
        <f t="shared" si="48"/>
        <v>0</v>
      </c>
      <c r="D211" s="352"/>
      <c r="E211" s="353"/>
      <c r="F211" s="350">
        <f t="shared" si="76"/>
        <v>0</v>
      </c>
      <c r="G211" s="348"/>
      <c r="H211" s="349"/>
      <c r="I211" s="350">
        <f t="shared" si="77"/>
        <v>0</v>
      </c>
      <c r="J211" s="348"/>
      <c r="K211" s="349"/>
      <c r="L211" s="350">
        <f t="shared" si="78"/>
        <v>0</v>
      </c>
      <c r="M211" s="53"/>
      <c r="N211" s="54"/>
      <c r="O211" s="55">
        <f t="shared" si="79"/>
        <v>0</v>
      </c>
      <c r="P211" s="57"/>
    </row>
    <row r="212" spans="1:16" ht="12" hidden="1" customHeight="1" x14ac:dyDescent="0.25">
      <c r="A212" s="51">
        <v>5217</v>
      </c>
      <c r="B212" s="89" t="s">
        <v>228</v>
      </c>
      <c r="C212" s="90">
        <f t="shared" ref="C212:C275" si="80">F212+I212+L212+O212</f>
        <v>0</v>
      </c>
      <c r="D212" s="352"/>
      <c r="E212" s="353"/>
      <c r="F212" s="350">
        <f t="shared" si="76"/>
        <v>0</v>
      </c>
      <c r="G212" s="348"/>
      <c r="H212" s="349"/>
      <c r="I212" s="350">
        <f t="shared" si="77"/>
        <v>0</v>
      </c>
      <c r="J212" s="348"/>
      <c r="K212" s="349"/>
      <c r="L212" s="350">
        <f t="shared" si="78"/>
        <v>0</v>
      </c>
      <c r="M212" s="53"/>
      <c r="N212" s="54"/>
      <c r="O212" s="55">
        <f t="shared" si="79"/>
        <v>0</v>
      </c>
      <c r="P212" s="57"/>
    </row>
    <row r="213" spans="1:16" ht="12" hidden="1" customHeight="1" x14ac:dyDescent="0.25">
      <c r="A213" s="51">
        <v>5218</v>
      </c>
      <c r="B213" s="89" t="s">
        <v>229</v>
      </c>
      <c r="C213" s="90">
        <f t="shared" si="80"/>
        <v>0</v>
      </c>
      <c r="D213" s="352"/>
      <c r="E213" s="353"/>
      <c r="F213" s="350">
        <f t="shared" si="76"/>
        <v>0</v>
      </c>
      <c r="G213" s="348"/>
      <c r="H213" s="349"/>
      <c r="I213" s="350">
        <f t="shared" si="77"/>
        <v>0</v>
      </c>
      <c r="J213" s="348"/>
      <c r="K213" s="349"/>
      <c r="L213" s="350">
        <f t="shared" si="78"/>
        <v>0</v>
      </c>
      <c r="M213" s="53"/>
      <c r="N213" s="54"/>
      <c r="O213" s="55">
        <f t="shared" si="79"/>
        <v>0</v>
      </c>
      <c r="P213" s="57"/>
    </row>
    <row r="214" spans="1:16" ht="12" hidden="1" customHeight="1" x14ac:dyDescent="0.25">
      <c r="A214" s="51">
        <v>5219</v>
      </c>
      <c r="B214" s="89" t="s">
        <v>230</v>
      </c>
      <c r="C214" s="90">
        <f t="shared" si="80"/>
        <v>0</v>
      </c>
      <c r="D214" s="352"/>
      <c r="E214" s="353"/>
      <c r="F214" s="350">
        <f t="shared" si="76"/>
        <v>0</v>
      </c>
      <c r="G214" s="348"/>
      <c r="H214" s="349"/>
      <c r="I214" s="350">
        <f t="shared" si="77"/>
        <v>0</v>
      </c>
      <c r="J214" s="348"/>
      <c r="K214" s="349"/>
      <c r="L214" s="350">
        <f t="shared" si="78"/>
        <v>0</v>
      </c>
      <c r="M214" s="53"/>
      <c r="N214" s="54"/>
      <c r="O214" s="55">
        <f t="shared" si="79"/>
        <v>0</v>
      </c>
      <c r="P214" s="57"/>
    </row>
    <row r="215" spans="1:16" ht="13.5" hidden="1" customHeight="1" x14ac:dyDescent="0.25">
      <c r="A215" s="189">
        <v>5220</v>
      </c>
      <c r="B215" s="89" t="s">
        <v>231</v>
      </c>
      <c r="C215" s="90">
        <f t="shared" si="80"/>
        <v>0</v>
      </c>
      <c r="D215" s="352"/>
      <c r="E215" s="353"/>
      <c r="F215" s="350">
        <f t="shared" si="76"/>
        <v>0</v>
      </c>
      <c r="G215" s="348"/>
      <c r="H215" s="349"/>
      <c r="I215" s="350">
        <f t="shared" si="77"/>
        <v>0</v>
      </c>
      <c r="J215" s="348"/>
      <c r="K215" s="349"/>
      <c r="L215" s="350">
        <f t="shared" si="78"/>
        <v>0</v>
      </c>
      <c r="M215" s="53"/>
      <c r="N215" s="54"/>
      <c r="O215" s="55">
        <f t="shared" si="79"/>
        <v>0</v>
      </c>
      <c r="P215" s="57"/>
    </row>
    <row r="216" spans="1:16" x14ac:dyDescent="0.25">
      <c r="A216" s="189">
        <v>5230</v>
      </c>
      <c r="B216" s="89" t="s">
        <v>232</v>
      </c>
      <c r="C216" s="90">
        <f t="shared" si="80"/>
        <v>4050</v>
      </c>
      <c r="D216" s="806">
        <f t="shared" ref="D216:O216" si="81">SUM(D217:D224)</f>
        <v>3600</v>
      </c>
      <c r="E216" s="365">
        <f t="shared" si="81"/>
        <v>0</v>
      </c>
      <c r="F216" s="350">
        <f t="shared" si="81"/>
        <v>3600</v>
      </c>
      <c r="G216" s="806">
        <f t="shared" si="81"/>
        <v>150</v>
      </c>
      <c r="H216" s="365">
        <f t="shared" si="81"/>
        <v>0</v>
      </c>
      <c r="I216" s="350">
        <f t="shared" si="81"/>
        <v>150</v>
      </c>
      <c r="J216" s="806">
        <f t="shared" si="81"/>
        <v>300</v>
      </c>
      <c r="K216" s="365">
        <f t="shared" si="81"/>
        <v>0</v>
      </c>
      <c r="L216" s="350">
        <f t="shared" si="81"/>
        <v>300</v>
      </c>
      <c r="M216" s="190">
        <f t="shared" si="81"/>
        <v>0</v>
      </c>
      <c r="N216" s="191">
        <f t="shared" si="81"/>
        <v>0</v>
      </c>
      <c r="O216" s="55">
        <f t="shared" si="81"/>
        <v>0</v>
      </c>
      <c r="P216" s="57"/>
    </row>
    <row r="217" spans="1:16" ht="12" hidden="1" customHeight="1" x14ac:dyDescent="0.25">
      <c r="A217" s="51">
        <v>5231</v>
      </c>
      <c r="B217" s="89" t="s">
        <v>233</v>
      </c>
      <c r="C217" s="90">
        <f t="shared" si="80"/>
        <v>0</v>
      </c>
      <c r="D217" s="352"/>
      <c r="E217" s="353"/>
      <c r="F217" s="350">
        <f t="shared" ref="F217:F226" si="82">D217+E217</f>
        <v>0</v>
      </c>
      <c r="G217" s="348"/>
      <c r="H217" s="349"/>
      <c r="I217" s="350">
        <f t="shared" ref="I217:I226" si="83">G217+H217</f>
        <v>0</v>
      </c>
      <c r="J217" s="348"/>
      <c r="K217" s="349"/>
      <c r="L217" s="350">
        <f t="shared" ref="L217:L226" si="84">K217+J217</f>
        <v>0</v>
      </c>
      <c r="M217" s="53"/>
      <c r="N217" s="54"/>
      <c r="O217" s="55">
        <f t="shared" ref="O217:O226" si="85">N217+M217</f>
        <v>0</v>
      </c>
      <c r="P217" s="57"/>
    </row>
    <row r="218" spans="1:16" ht="15" hidden="1" customHeight="1" x14ac:dyDescent="0.25">
      <c r="A218" s="51">
        <v>5232</v>
      </c>
      <c r="B218" s="89" t="s">
        <v>234</v>
      </c>
      <c r="C218" s="90">
        <f t="shared" si="80"/>
        <v>0</v>
      </c>
      <c r="D218" s="352"/>
      <c r="E218" s="353"/>
      <c r="F218" s="350">
        <f t="shared" si="82"/>
        <v>0</v>
      </c>
      <c r="G218" s="348"/>
      <c r="H218" s="349"/>
      <c r="I218" s="350">
        <f t="shared" si="83"/>
        <v>0</v>
      </c>
      <c r="J218" s="348">
        <v>0</v>
      </c>
      <c r="K218" s="349"/>
      <c r="L218" s="350">
        <f t="shared" si="84"/>
        <v>0</v>
      </c>
      <c r="M218" s="53"/>
      <c r="N218" s="54"/>
      <c r="O218" s="55">
        <f t="shared" si="85"/>
        <v>0</v>
      </c>
      <c r="P218" s="57"/>
    </row>
    <row r="219" spans="1:16" ht="12" customHeight="1" x14ac:dyDescent="0.25">
      <c r="A219" s="51">
        <v>5233</v>
      </c>
      <c r="B219" s="89" t="s">
        <v>235</v>
      </c>
      <c r="C219" s="90">
        <f t="shared" si="80"/>
        <v>450</v>
      </c>
      <c r="D219" s="352"/>
      <c r="E219" s="353"/>
      <c r="F219" s="350">
        <f t="shared" si="82"/>
        <v>0</v>
      </c>
      <c r="G219" s="348">
        <v>150</v>
      </c>
      <c r="H219" s="349"/>
      <c r="I219" s="350">
        <f t="shared" si="83"/>
        <v>150</v>
      </c>
      <c r="J219" s="348">
        <v>300</v>
      </c>
      <c r="K219" s="349"/>
      <c r="L219" s="350">
        <f t="shared" si="84"/>
        <v>300</v>
      </c>
      <c r="M219" s="53"/>
      <c r="N219" s="54"/>
      <c r="O219" s="55">
        <f t="shared" si="85"/>
        <v>0</v>
      </c>
      <c r="P219" s="57"/>
    </row>
    <row r="220" spans="1:16" ht="24" hidden="1" customHeight="1" x14ac:dyDescent="0.25">
      <c r="A220" s="51">
        <v>5234</v>
      </c>
      <c r="B220" s="89" t="s">
        <v>236</v>
      </c>
      <c r="C220" s="90">
        <f t="shared" si="80"/>
        <v>0</v>
      </c>
      <c r="D220" s="352"/>
      <c r="E220" s="353"/>
      <c r="F220" s="350">
        <f t="shared" si="82"/>
        <v>0</v>
      </c>
      <c r="G220" s="348"/>
      <c r="H220" s="349"/>
      <c r="I220" s="350">
        <f t="shared" si="83"/>
        <v>0</v>
      </c>
      <c r="J220" s="348"/>
      <c r="K220" s="349"/>
      <c r="L220" s="350">
        <f t="shared" si="84"/>
        <v>0</v>
      </c>
      <c r="M220" s="53"/>
      <c r="N220" s="54"/>
      <c r="O220" s="55">
        <f t="shared" si="85"/>
        <v>0</v>
      </c>
      <c r="P220" s="57"/>
    </row>
    <row r="221" spans="1:16" ht="14.25" hidden="1" customHeight="1" x14ac:dyDescent="0.25">
      <c r="A221" s="51">
        <v>5236</v>
      </c>
      <c r="B221" s="89" t="s">
        <v>237</v>
      </c>
      <c r="C221" s="90">
        <f t="shared" si="80"/>
        <v>0</v>
      </c>
      <c r="D221" s="352"/>
      <c r="E221" s="353"/>
      <c r="F221" s="350">
        <f t="shared" si="82"/>
        <v>0</v>
      </c>
      <c r="G221" s="348"/>
      <c r="H221" s="349"/>
      <c r="I221" s="350">
        <f t="shared" si="83"/>
        <v>0</v>
      </c>
      <c r="J221" s="348"/>
      <c r="K221" s="349"/>
      <c r="L221" s="350">
        <f t="shared" si="84"/>
        <v>0</v>
      </c>
      <c r="M221" s="53"/>
      <c r="N221" s="54"/>
      <c r="O221" s="55">
        <f t="shared" si="85"/>
        <v>0</v>
      </c>
      <c r="P221" s="57"/>
    </row>
    <row r="222" spans="1:16" ht="14.25" hidden="1" customHeight="1" x14ac:dyDescent="0.25">
      <c r="A222" s="51">
        <v>5237</v>
      </c>
      <c r="B222" s="89" t="s">
        <v>238</v>
      </c>
      <c r="C222" s="90">
        <f t="shared" si="80"/>
        <v>0</v>
      </c>
      <c r="D222" s="352"/>
      <c r="E222" s="353"/>
      <c r="F222" s="350">
        <f t="shared" si="82"/>
        <v>0</v>
      </c>
      <c r="G222" s="348"/>
      <c r="H222" s="349"/>
      <c r="I222" s="350">
        <f t="shared" si="83"/>
        <v>0</v>
      </c>
      <c r="J222" s="348"/>
      <c r="K222" s="349"/>
      <c r="L222" s="350">
        <f t="shared" si="84"/>
        <v>0</v>
      </c>
      <c r="M222" s="53"/>
      <c r="N222" s="54"/>
      <c r="O222" s="55">
        <f t="shared" si="85"/>
        <v>0</v>
      </c>
      <c r="P222" s="57"/>
    </row>
    <row r="223" spans="1:16" ht="24" customHeight="1" x14ac:dyDescent="0.25">
      <c r="A223" s="51">
        <v>5238</v>
      </c>
      <c r="B223" s="89" t="s">
        <v>239</v>
      </c>
      <c r="C223" s="90">
        <f t="shared" si="80"/>
        <v>3600</v>
      </c>
      <c r="D223" s="352">
        <v>3600</v>
      </c>
      <c r="E223" s="353"/>
      <c r="F223" s="350">
        <f t="shared" si="82"/>
        <v>3600</v>
      </c>
      <c r="G223" s="348"/>
      <c r="H223" s="349"/>
      <c r="I223" s="350">
        <f t="shared" si="83"/>
        <v>0</v>
      </c>
      <c r="J223" s="348"/>
      <c r="K223" s="349"/>
      <c r="L223" s="350">
        <f t="shared" si="84"/>
        <v>0</v>
      </c>
      <c r="M223" s="53"/>
      <c r="N223" s="54"/>
      <c r="O223" s="55">
        <f t="shared" si="85"/>
        <v>0</v>
      </c>
      <c r="P223" s="57"/>
    </row>
    <row r="224" spans="1:16" ht="24" hidden="1" customHeight="1" x14ac:dyDescent="0.25">
      <c r="A224" s="51">
        <v>5239</v>
      </c>
      <c r="B224" s="89" t="s">
        <v>240</v>
      </c>
      <c r="C224" s="90">
        <f t="shared" si="80"/>
        <v>0</v>
      </c>
      <c r="D224" s="352"/>
      <c r="E224" s="353"/>
      <c r="F224" s="350">
        <f t="shared" si="82"/>
        <v>0</v>
      </c>
      <c r="G224" s="348"/>
      <c r="H224" s="349"/>
      <c r="I224" s="350">
        <f t="shared" si="83"/>
        <v>0</v>
      </c>
      <c r="J224" s="348"/>
      <c r="K224" s="349"/>
      <c r="L224" s="350">
        <f t="shared" si="84"/>
        <v>0</v>
      </c>
      <c r="M224" s="53"/>
      <c r="N224" s="54"/>
      <c r="O224" s="55">
        <f t="shared" si="85"/>
        <v>0</v>
      </c>
      <c r="P224" s="57"/>
    </row>
    <row r="225" spans="1:16" ht="24" hidden="1" customHeight="1" x14ac:dyDescent="0.25">
      <c r="A225" s="189">
        <v>5240</v>
      </c>
      <c r="B225" s="89" t="s">
        <v>241</v>
      </c>
      <c r="C225" s="90">
        <f t="shared" si="80"/>
        <v>0</v>
      </c>
      <c r="D225" s="352"/>
      <c r="E225" s="353"/>
      <c r="F225" s="350">
        <f t="shared" si="82"/>
        <v>0</v>
      </c>
      <c r="G225" s="348"/>
      <c r="H225" s="349"/>
      <c r="I225" s="350">
        <f t="shared" si="83"/>
        <v>0</v>
      </c>
      <c r="J225" s="348"/>
      <c r="K225" s="349"/>
      <c r="L225" s="350">
        <f t="shared" si="84"/>
        <v>0</v>
      </c>
      <c r="M225" s="53"/>
      <c r="N225" s="54"/>
      <c r="O225" s="55">
        <f t="shared" si="85"/>
        <v>0</v>
      </c>
      <c r="P225" s="57"/>
    </row>
    <row r="226" spans="1:16" ht="12" hidden="1" customHeight="1" x14ac:dyDescent="0.25">
      <c r="A226" s="189">
        <v>5250</v>
      </c>
      <c r="B226" s="89" t="s">
        <v>242</v>
      </c>
      <c r="C226" s="90">
        <f t="shared" si="80"/>
        <v>0</v>
      </c>
      <c r="D226" s="352"/>
      <c r="E226" s="353"/>
      <c r="F226" s="350">
        <f t="shared" si="82"/>
        <v>0</v>
      </c>
      <c r="G226" s="348"/>
      <c r="H226" s="349"/>
      <c r="I226" s="350">
        <f t="shared" si="83"/>
        <v>0</v>
      </c>
      <c r="J226" s="348"/>
      <c r="K226" s="349"/>
      <c r="L226" s="350">
        <f t="shared" si="84"/>
        <v>0</v>
      </c>
      <c r="M226" s="53"/>
      <c r="N226" s="54"/>
      <c r="O226" s="55">
        <f t="shared" si="85"/>
        <v>0</v>
      </c>
      <c r="P226" s="57"/>
    </row>
    <row r="227" spans="1:16" hidden="1" x14ac:dyDescent="0.25">
      <c r="A227" s="189">
        <v>5260</v>
      </c>
      <c r="B227" s="89" t="s">
        <v>243</v>
      </c>
      <c r="C227" s="90">
        <f t="shared" si="80"/>
        <v>0</v>
      </c>
      <c r="D227" s="806">
        <f t="shared" ref="D227:O227" si="86">SUM(D228)</f>
        <v>0</v>
      </c>
      <c r="E227" s="365">
        <f t="shared" si="86"/>
        <v>0</v>
      </c>
      <c r="F227" s="350">
        <f t="shared" si="86"/>
        <v>0</v>
      </c>
      <c r="G227" s="806">
        <f t="shared" si="86"/>
        <v>0</v>
      </c>
      <c r="H227" s="365">
        <f t="shared" si="86"/>
        <v>0</v>
      </c>
      <c r="I227" s="350">
        <f t="shared" si="86"/>
        <v>0</v>
      </c>
      <c r="J227" s="806">
        <f t="shared" si="86"/>
        <v>0</v>
      </c>
      <c r="K227" s="365">
        <f t="shared" si="86"/>
        <v>0</v>
      </c>
      <c r="L227" s="350">
        <f t="shared" si="86"/>
        <v>0</v>
      </c>
      <c r="M227" s="190">
        <f t="shared" si="86"/>
        <v>0</v>
      </c>
      <c r="N227" s="191">
        <f t="shared" si="86"/>
        <v>0</v>
      </c>
      <c r="O227" s="55">
        <f t="shared" si="86"/>
        <v>0</v>
      </c>
      <c r="P227" s="57"/>
    </row>
    <row r="228" spans="1:16" ht="24" hidden="1" customHeight="1" x14ac:dyDescent="0.25">
      <c r="A228" s="51">
        <v>5269</v>
      </c>
      <c r="B228" s="89" t="s">
        <v>244</v>
      </c>
      <c r="C228" s="90">
        <f t="shared" si="80"/>
        <v>0</v>
      </c>
      <c r="D228" s="352"/>
      <c r="E228" s="353"/>
      <c r="F228" s="350">
        <f>D228+E228</f>
        <v>0</v>
      </c>
      <c r="G228" s="348"/>
      <c r="H228" s="349"/>
      <c r="I228" s="350">
        <f>G228+H228</f>
        <v>0</v>
      </c>
      <c r="J228" s="348"/>
      <c r="K228" s="349"/>
      <c r="L228" s="350">
        <f>K228+J228</f>
        <v>0</v>
      </c>
      <c r="M228" s="53"/>
      <c r="N228" s="54"/>
      <c r="O228" s="55">
        <f>N228+M228</f>
        <v>0</v>
      </c>
      <c r="P228" s="57"/>
    </row>
    <row r="229" spans="1:16" ht="24" hidden="1" customHeight="1" x14ac:dyDescent="0.25">
      <c r="A229" s="186">
        <v>5270</v>
      </c>
      <c r="B229" s="138" t="s">
        <v>245</v>
      </c>
      <c r="C229" s="143">
        <f t="shared" si="80"/>
        <v>0</v>
      </c>
      <c r="D229" s="810"/>
      <c r="E229" s="811"/>
      <c r="F229" s="781">
        <f>D229+E229</f>
        <v>0</v>
      </c>
      <c r="G229" s="780"/>
      <c r="H229" s="727"/>
      <c r="I229" s="781">
        <f>G229+H229</f>
        <v>0</v>
      </c>
      <c r="J229" s="780"/>
      <c r="K229" s="727"/>
      <c r="L229" s="781">
        <f>K229+J229</f>
        <v>0</v>
      </c>
      <c r="M229" s="144"/>
      <c r="N229" s="145"/>
      <c r="O229" s="141">
        <f>N229+M229</f>
        <v>0</v>
      </c>
      <c r="P229" s="129"/>
    </row>
    <row r="230" spans="1:16" hidden="1" x14ac:dyDescent="0.25">
      <c r="A230" s="796">
        <v>6000</v>
      </c>
      <c r="B230" s="796" t="s">
        <v>246</v>
      </c>
      <c r="C230" s="797">
        <f t="shared" si="80"/>
        <v>0</v>
      </c>
      <c r="D230" s="798">
        <f t="shared" ref="D230:O230" si="87">D231+D251+D259</f>
        <v>0</v>
      </c>
      <c r="E230" s="799">
        <f t="shared" si="87"/>
        <v>0</v>
      </c>
      <c r="F230" s="800">
        <f t="shared" si="87"/>
        <v>0</v>
      </c>
      <c r="G230" s="798">
        <f t="shared" si="87"/>
        <v>0</v>
      </c>
      <c r="H230" s="799">
        <f t="shared" si="87"/>
        <v>0</v>
      </c>
      <c r="I230" s="800">
        <f t="shared" si="87"/>
        <v>0</v>
      </c>
      <c r="J230" s="798">
        <f t="shared" si="87"/>
        <v>0</v>
      </c>
      <c r="K230" s="799">
        <f t="shared" si="87"/>
        <v>0</v>
      </c>
      <c r="L230" s="800">
        <f t="shared" si="87"/>
        <v>0</v>
      </c>
      <c r="M230" s="798">
        <f t="shared" si="87"/>
        <v>0</v>
      </c>
      <c r="N230" s="799">
        <f t="shared" si="87"/>
        <v>0</v>
      </c>
      <c r="O230" s="800">
        <f t="shared" si="87"/>
        <v>0</v>
      </c>
      <c r="P230" s="801"/>
    </row>
    <row r="231" spans="1:16" ht="14.25" hidden="1" customHeight="1" x14ac:dyDescent="0.25">
      <c r="A231" s="217">
        <v>6200</v>
      </c>
      <c r="B231" s="208" t="s">
        <v>247</v>
      </c>
      <c r="C231" s="218">
        <f t="shared" si="80"/>
        <v>0</v>
      </c>
      <c r="D231" s="819">
        <f t="shared" ref="D231:O231" si="88">SUM(D232,D233,D235,D238,D244,D245,D246)</f>
        <v>0</v>
      </c>
      <c r="E231" s="820">
        <f t="shared" si="88"/>
        <v>0</v>
      </c>
      <c r="F231" s="821">
        <f t="shared" si="88"/>
        <v>0</v>
      </c>
      <c r="G231" s="819">
        <f t="shared" si="88"/>
        <v>0</v>
      </c>
      <c r="H231" s="820">
        <f t="shared" si="88"/>
        <v>0</v>
      </c>
      <c r="I231" s="821">
        <f t="shared" si="88"/>
        <v>0</v>
      </c>
      <c r="J231" s="819">
        <f t="shared" si="88"/>
        <v>0</v>
      </c>
      <c r="K231" s="820">
        <f t="shared" si="88"/>
        <v>0</v>
      </c>
      <c r="L231" s="821">
        <f t="shared" si="88"/>
        <v>0</v>
      </c>
      <c r="M231" s="219">
        <f t="shared" si="88"/>
        <v>0</v>
      </c>
      <c r="N231" s="220">
        <f t="shared" si="88"/>
        <v>0</v>
      </c>
      <c r="O231" s="221">
        <f t="shared" si="88"/>
        <v>0</v>
      </c>
      <c r="P231" s="222"/>
    </row>
    <row r="232" spans="1:16" ht="24" hidden="1" customHeight="1" x14ac:dyDescent="0.25">
      <c r="A232" s="606">
        <v>6220</v>
      </c>
      <c r="B232" s="82" t="s">
        <v>248</v>
      </c>
      <c r="C232" s="83">
        <f t="shared" si="80"/>
        <v>0</v>
      </c>
      <c r="D232" s="489"/>
      <c r="E232" s="490"/>
      <c r="F232" s="491">
        <f>D232+E232</f>
        <v>0</v>
      </c>
      <c r="G232" s="460"/>
      <c r="H232" s="461"/>
      <c r="I232" s="491">
        <f>G232+H232</f>
        <v>0</v>
      </c>
      <c r="J232" s="460"/>
      <c r="K232" s="461"/>
      <c r="L232" s="491">
        <f>K232+J232</f>
        <v>0</v>
      </c>
      <c r="M232" s="46"/>
      <c r="N232" s="47"/>
      <c r="O232" s="134">
        <f>N232+M232</f>
        <v>0</v>
      </c>
      <c r="P232" s="49"/>
    </row>
    <row r="233" spans="1:16" hidden="1" x14ac:dyDescent="0.25">
      <c r="A233" s="189">
        <v>6230</v>
      </c>
      <c r="B233" s="89" t="s">
        <v>249</v>
      </c>
      <c r="C233" s="90">
        <f t="shared" si="80"/>
        <v>0</v>
      </c>
      <c r="D233" s="806">
        <f t="shared" ref="D233:O233" si="89">SUM(D234)</f>
        <v>0</v>
      </c>
      <c r="E233" s="365">
        <f t="shared" si="89"/>
        <v>0</v>
      </c>
      <c r="F233" s="350">
        <f t="shared" si="89"/>
        <v>0</v>
      </c>
      <c r="G233" s="806">
        <f t="shared" si="89"/>
        <v>0</v>
      </c>
      <c r="H233" s="365">
        <f t="shared" si="89"/>
        <v>0</v>
      </c>
      <c r="I233" s="350">
        <f t="shared" si="89"/>
        <v>0</v>
      </c>
      <c r="J233" s="806">
        <f t="shared" si="89"/>
        <v>0</v>
      </c>
      <c r="K233" s="365">
        <f t="shared" si="89"/>
        <v>0</v>
      </c>
      <c r="L233" s="350">
        <f t="shared" si="89"/>
        <v>0</v>
      </c>
      <c r="M233" s="190">
        <f t="shared" si="89"/>
        <v>0</v>
      </c>
      <c r="N233" s="191">
        <f t="shared" si="89"/>
        <v>0</v>
      </c>
      <c r="O233" s="55">
        <f t="shared" si="89"/>
        <v>0</v>
      </c>
      <c r="P233" s="57"/>
    </row>
    <row r="234" spans="1:16" ht="24" hidden="1" customHeight="1" x14ac:dyDescent="0.25">
      <c r="A234" s="51">
        <v>6239</v>
      </c>
      <c r="B234" s="82" t="s">
        <v>250</v>
      </c>
      <c r="C234" s="90">
        <f t="shared" si="80"/>
        <v>0</v>
      </c>
      <c r="D234" s="489"/>
      <c r="E234" s="490"/>
      <c r="F234" s="491">
        <f>D234+E234</f>
        <v>0</v>
      </c>
      <c r="G234" s="460"/>
      <c r="H234" s="461"/>
      <c r="I234" s="491">
        <f>G234+H234</f>
        <v>0</v>
      </c>
      <c r="J234" s="460"/>
      <c r="K234" s="461"/>
      <c r="L234" s="491">
        <f>K234+J234</f>
        <v>0</v>
      </c>
      <c r="M234" s="46"/>
      <c r="N234" s="47"/>
      <c r="O234" s="134">
        <f>N234+M234</f>
        <v>0</v>
      </c>
      <c r="P234" s="49"/>
    </row>
    <row r="235" spans="1:16" ht="24" hidden="1" x14ac:dyDescent="0.25">
      <c r="A235" s="189">
        <v>6240</v>
      </c>
      <c r="B235" s="89" t="s">
        <v>251</v>
      </c>
      <c r="C235" s="90">
        <f t="shared" si="80"/>
        <v>0</v>
      </c>
      <c r="D235" s="806">
        <f t="shared" ref="D235:O235" si="90">SUM(D236:D237)</f>
        <v>0</v>
      </c>
      <c r="E235" s="365">
        <f t="shared" si="90"/>
        <v>0</v>
      </c>
      <c r="F235" s="350">
        <f t="shared" si="90"/>
        <v>0</v>
      </c>
      <c r="G235" s="806">
        <f t="shared" si="90"/>
        <v>0</v>
      </c>
      <c r="H235" s="365">
        <f t="shared" si="90"/>
        <v>0</v>
      </c>
      <c r="I235" s="350">
        <f t="shared" si="90"/>
        <v>0</v>
      </c>
      <c r="J235" s="806">
        <f t="shared" si="90"/>
        <v>0</v>
      </c>
      <c r="K235" s="365">
        <f t="shared" si="90"/>
        <v>0</v>
      </c>
      <c r="L235" s="350">
        <f t="shared" si="90"/>
        <v>0</v>
      </c>
      <c r="M235" s="190">
        <f t="shared" si="90"/>
        <v>0</v>
      </c>
      <c r="N235" s="191">
        <f t="shared" si="90"/>
        <v>0</v>
      </c>
      <c r="O235" s="55">
        <f t="shared" si="90"/>
        <v>0</v>
      </c>
      <c r="P235" s="57"/>
    </row>
    <row r="236" spans="1:16" ht="12" hidden="1" customHeight="1" x14ac:dyDescent="0.25">
      <c r="A236" s="51">
        <v>6241</v>
      </c>
      <c r="B236" s="89" t="s">
        <v>252</v>
      </c>
      <c r="C236" s="90">
        <f t="shared" si="80"/>
        <v>0</v>
      </c>
      <c r="D236" s="352"/>
      <c r="E236" s="353"/>
      <c r="F236" s="350">
        <f>D236+E236</f>
        <v>0</v>
      </c>
      <c r="G236" s="348"/>
      <c r="H236" s="349"/>
      <c r="I236" s="350">
        <f>G236+H236</f>
        <v>0</v>
      </c>
      <c r="J236" s="348"/>
      <c r="K236" s="349"/>
      <c r="L236" s="350">
        <f>K236+J236</f>
        <v>0</v>
      </c>
      <c r="M236" s="53"/>
      <c r="N236" s="54"/>
      <c r="O236" s="55">
        <f>N236+M236</f>
        <v>0</v>
      </c>
      <c r="P236" s="57"/>
    </row>
    <row r="237" spans="1:16" ht="12" hidden="1" customHeight="1" x14ac:dyDescent="0.25">
      <c r="A237" s="51">
        <v>6242</v>
      </c>
      <c r="B237" s="89" t="s">
        <v>253</v>
      </c>
      <c r="C237" s="90">
        <f t="shared" si="80"/>
        <v>0</v>
      </c>
      <c r="D237" s="352"/>
      <c r="E237" s="353"/>
      <c r="F237" s="350">
        <f>D237+E237</f>
        <v>0</v>
      </c>
      <c r="G237" s="348"/>
      <c r="H237" s="349"/>
      <c r="I237" s="350">
        <f>G237+H237</f>
        <v>0</v>
      </c>
      <c r="J237" s="348"/>
      <c r="K237" s="349"/>
      <c r="L237" s="350">
        <f>K237+J237</f>
        <v>0</v>
      </c>
      <c r="M237" s="53"/>
      <c r="N237" s="54"/>
      <c r="O237" s="55">
        <f>N237+M237</f>
        <v>0</v>
      </c>
      <c r="P237" s="57"/>
    </row>
    <row r="238" spans="1:16" ht="25.5" hidden="1" customHeight="1" x14ac:dyDescent="0.25">
      <c r="A238" s="189">
        <v>6250</v>
      </c>
      <c r="B238" s="89" t="s">
        <v>254</v>
      </c>
      <c r="C238" s="90">
        <f t="shared" si="80"/>
        <v>0</v>
      </c>
      <c r="D238" s="806">
        <f t="shared" ref="D238:O238" si="91">SUM(D239:D243)</f>
        <v>0</v>
      </c>
      <c r="E238" s="365">
        <f t="shared" si="91"/>
        <v>0</v>
      </c>
      <c r="F238" s="350">
        <f t="shared" si="91"/>
        <v>0</v>
      </c>
      <c r="G238" s="806">
        <f t="shared" si="91"/>
        <v>0</v>
      </c>
      <c r="H238" s="365">
        <f t="shared" si="91"/>
        <v>0</v>
      </c>
      <c r="I238" s="350">
        <f t="shared" si="91"/>
        <v>0</v>
      </c>
      <c r="J238" s="806">
        <f t="shared" si="91"/>
        <v>0</v>
      </c>
      <c r="K238" s="365">
        <f t="shared" si="91"/>
        <v>0</v>
      </c>
      <c r="L238" s="350">
        <f t="shared" si="91"/>
        <v>0</v>
      </c>
      <c r="M238" s="190">
        <f t="shared" si="91"/>
        <v>0</v>
      </c>
      <c r="N238" s="191">
        <f t="shared" si="91"/>
        <v>0</v>
      </c>
      <c r="O238" s="55">
        <f t="shared" si="91"/>
        <v>0</v>
      </c>
      <c r="P238" s="57"/>
    </row>
    <row r="239" spans="1:16" ht="14.25" hidden="1" customHeight="1" x14ac:dyDescent="0.25">
      <c r="A239" s="51">
        <v>6252</v>
      </c>
      <c r="B239" s="89" t="s">
        <v>255</v>
      </c>
      <c r="C239" s="90">
        <f t="shared" si="80"/>
        <v>0</v>
      </c>
      <c r="D239" s="352"/>
      <c r="E239" s="353"/>
      <c r="F239" s="350">
        <f t="shared" ref="F239:F245" si="92">D239+E239</f>
        <v>0</v>
      </c>
      <c r="G239" s="348"/>
      <c r="H239" s="349"/>
      <c r="I239" s="350">
        <f t="shared" ref="I239:I245" si="93">G239+H239</f>
        <v>0</v>
      </c>
      <c r="J239" s="348"/>
      <c r="K239" s="349"/>
      <c r="L239" s="350">
        <f t="shared" ref="L239:L245" si="94">K239+J239</f>
        <v>0</v>
      </c>
      <c r="M239" s="53"/>
      <c r="N239" s="54"/>
      <c r="O239" s="55">
        <f t="shared" ref="O239:O245" si="95">N239+M239</f>
        <v>0</v>
      </c>
      <c r="P239" s="57"/>
    </row>
    <row r="240" spans="1:16" ht="14.25" hidden="1" customHeight="1" x14ac:dyDescent="0.25">
      <c r="A240" s="51">
        <v>6253</v>
      </c>
      <c r="B240" s="89" t="s">
        <v>256</v>
      </c>
      <c r="C240" s="90">
        <f t="shared" si="80"/>
        <v>0</v>
      </c>
      <c r="D240" s="352"/>
      <c r="E240" s="353"/>
      <c r="F240" s="350">
        <f t="shared" si="92"/>
        <v>0</v>
      </c>
      <c r="G240" s="348"/>
      <c r="H240" s="349"/>
      <c r="I240" s="350">
        <f t="shared" si="93"/>
        <v>0</v>
      </c>
      <c r="J240" s="348"/>
      <c r="K240" s="349"/>
      <c r="L240" s="350">
        <f t="shared" si="94"/>
        <v>0</v>
      </c>
      <c r="M240" s="53"/>
      <c r="N240" s="54"/>
      <c r="O240" s="55">
        <f t="shared" si="95"/>
        <v>0</v>
      </c>
      <c r="P240" s="57"/>
    </row>
    <row r="241" spans="1:16" ht="24" hidden="1" customHeight="1" x14ac:dyDescent="0.25">
      <c r="A241" s="51">
        <v>6254</v>
      </c>
      <c r="B241" s="89" t="s">
        <v>257</v>
      </c>
      <c r="C241" s="90">
        <f t="shared" si="80"/>
        <v>0</v>
      </c>
      <c r="D241" s="352"/>
      <c r="E241" s="353"/>
      <c r="F241" s="350">
        <f t="shared" si="92"/>
        <v>0</v>
      </c>
      <c r="G241" s="348"/>
      <c r="H241" s="349"/>
      <c r="I241" s="350">
        <f t="shared" si="93"/>
        <v>0</v>
      </c>
      <c r="J241" s="348"/>
      <c r="K241" s="349"/>
      <c r="L241" s="350">
        <f t="shared" si="94"/>
        <v>0</v>
      </c>
      <c r="M241" s="53"/>
      <c r="N241" s="54"/>
      <c r="O241" s="55">
        <f t="shared" si="95"/>
        <v>0</v>
      </c>
      <c r="P241" s="57"/>
    </row>
    <row r="242" spans="1:16" ht="24" hidden="1" customHeight="1" x14ac:dyDescent="0.25">
      <c r="A242" s="51">
        <v>6255</v>
      </c>
      <c r="B242" s="89" t="s">
        <v>258</v>
      </c>
      <c r="C242" s="90">
        <f t="shared" si="80"/>
        <v>0</v>
      </c>
      <c r="D242" s="352"/>
      <c r="E242" s="353"/>
      <c r="F242" s="350">
        <f t="shared" si="92"/>
        <v>0</v>
      </c>
      <c r="G242" s="348"/>
      <c r="H242" s="349"/>
      <c r="I242" s="350">
        <f t="shared" si="93"/>
        <v>0</v>
      </c>
      <c r="J242" s="348"/>
      <c r="K242" s="349"/>
      <c r="L242" s="350">
        <f t="shared" si="94"/>
        <v>0</v>
      </c>
      <c r="M242" s="53"/>
      <c r="N242" s="54"/>
      <c r="O242" s="55">
        <f t="shared" si="95"/>
        <v>0</v>
      </c>
      <c r="P242" s="57"/>
    </row>
    <row r="243" spans="1:16" ht="12" hidden="1" customHeight="1" x14ac:dyDescent="0.25">
      <c r="A243" s="51">
        <v>6259</v>
      </c>
      <c r="B243" s="89" t="s">
        <v>259</v>
      </c>
      <c r="C243" s="90">
        <f t="shared" si="80"/>
        <v>0</v>
      </c>
      <c r="D243" s="352"/>
      <c r="E243" s="353"/>
      <c r="F243" s="350">
        <f t="shared" si="92"/>
        <v>0</v>
      </c>
      <c r="G243" s="348"/>
      <c r="H243" s="349"/>
      <c r="I243" s="350">
        <f t="shared" si="93"/>
        <v>0</v>
      </c>
      <c r="J243" s="348"/>
      <c r="K243" s="349"/>
      <c r="L243" s="350">
        <f t="shared" si="94"/>
        <v>0</v>
      </c>
      <c r="M243" s="53"/>
      <c r="N243" s="54"/>
      <c r="O243" s="55">
        <f t="shared" si="95"/>
        <v>0</v>
      </c>
      <c r="P243" s="57"/>
    </row>
    <row r="244" spans="1:16" ht="24" hidden="1" customHeight="1" x14ac:dyDescent="0.25">
      <c r="A244" s="189">
        <v>6260</v>
      </c>
      <c r="B244" s="89" t="s">
        <v>260</v>
      </c>
      <c r="C244" s="90">
        <f t="shared" si="80"/>
        <v>0</v>
      </c>
      <c r="D244" s="352"/>
      <c r="E244" s="353"/>
      <c r="F244" s="350">
        <f t="shared" si="92"/>
        <v>0</v>
      </c>
      <c r="G244" s="348"/>
      <c r="H244" s="349"/>
      <c r="I244" s="350">
        <f t="shared" si="93"/>
        <v>0</v>
      </c>
      <c r="J244" s="348"/>
      <c r="K244" s="349"/>
      <c r="L244" s="350">
        <f t="shared" si="94"/>
        <v>0</v>
      </c>
      <c r="M244" s="53"/>
      <c r="N244" s="54"/>
      <c r="O244" s="55">
        <f t="shared" si="95"/>
        <v>0</v>
      </c>
      <c r="P244" s="57"/>
    </row>
    <row r="245" spans="1:16" ht="12" hidden="1" customHeight="1" x14ac:dyDescent="0.25">
      <c r="A245" s="189">
        <v>6270</v>
      </c>
      <c r="B245" s="89" t="s">
        <v>261</v>
      </c>
      <c r="C245" s="90">
        <f t="shared" si="80"/>
        <v>0</v>
      </c>
      <c r="D245" s="352"/>
      <c r="E245" s="353"/>
      <c r="F245" s="350">
        <f t="shared" si="92"/>
        <v>0</v>
      </c>
      <c r="G245" s="348"/>
      <c r="H245" s="349"/>
      <c r="I245" s="350">
        <f t="shared" si="93"/>
        <v>0</v>
      </c>
      <c r="J245" s="348"/>
      <c r="K245" s="349"/>
      <c r="L245" s="350">
        <f t="shared" si="94"/>
        <v>0</v>
      </c>
      <c r="M245" s="53"/>
      <c r="N245" s="54"/>
      <c r="O245" s="55">
        <f t="shared" si="95"/>
        <v>0</v>
      </c>
      <c r="P245" s="57"/>
    </row>
    <row r="246" spans="1:16" ht="24" hidden="1" x14ac:dyDescent="0.25">
      <c r="A246" s="606">
        <v>6290</v>
      </c>
      <c r="B246" s="82" t="s">
        <v>262</v>
      </c>
      <c r="C246" s="209">
        <f t="shared" si="80"/>
        <v>0</v>
      </c>
      <c r="D246" s="807">
        <f>SUM(D247:D250)</f>
        <v>0</v>
      </c>
      <c r="E246" s="808">
        <f>SUM(E247:E250)</f>
        <v>0</v>
      </c>
      <c r="F246" s="491">
        <f>SUM(F247:F250)</f>
        <v>0</v>
      </c>
      <c r="G246" s="807">
        <f t="shared" ref="G246:M246" si="96">SUM(G247:G250)</f>
        <v>0</v>
      </c>
      <c r="H246" s="808">
        <f>SUM(H247:H250)</f>
        <v>0</v>
      </c>
      <c r="I246" s="491">
        <f>SUM(I247:I250)</f>
        <v>0</v>
      </c>
      <c r="J246" s="807">
        <f t="shared" si="96"/>
        <v>0</v>
      </c>
      <c r="K246" s="808">
        <f>SUM(K247:K250)</f>
        <v>0</v>
      </c>
      <c r="L246" s="491">
        <f>SUM(L247:L250)</f>
        <v>0</v>
      </c>
      <c r="M246" s="194">
        <f t="shared" si="96"/>
        <v>0</v>
      </c>
      <c r="N246" s="195">
        <f>SUM(N247:N250)</f>
        <v>0</v>
      </c>
      <c r="O246" s="134">
        <f>SUM(O247:O250)</f>
        <v>0</v>
      </c>
      <c r="P246" s="49"/>
    </row>
    <row r="247" spans="1:16" ht="12" hidden="1" customHeight="1" x14ac:dyDescent="0.25">
      <c r="A247" s="51">
        <v>6291</v>
      </c>
      <c r="B247" s="89" t="s">
        <v>263</v>
      </c>
      <c r="C247" s="90">
        <f t="shared" si="80"/>
        <v>0</v>
      </c>
      <c r="D247" s="352"/>
      <c r="E247" s="353"/>
      <c r="F247" s="350">
        <f>D247+E247</f>
        <v>0</v>
      </c>
      <c r="G247" s="348"/>
      <c r="H247" s="349"/>
      <c r="I247" s="350">
        <f>G247+H247</f>
        <v>0</v>
      </c>
      <c r="J247" s="348"/>
      <c r="K247" s="349"/>
      <c r="L247" s="350">
        <f>K247+J247</f>
        <v>0</v>
      </c>
      <c r="M247" s="53"/>
      <c r="N247" s="54"/>
      <c r="O247" s="55">
        <f>N247+M247</f>
        <v>0</v>
      </c>
      <c r="P247" s="57"/>
    </row>
    <row r="248" spans="1:16" ht="12" hidden="1" customHeight="1" x14ac:dyDescent="0.25">
      <c r="A248" s="51">
        <v>6292</v>
      </c>
      <c r="B248" s="89" t="s">
        <v>264</v>
      </c>
      <c r="C248" s="90">
        <f t="shared" si="80"/>
        <v>0</v>
      </c>
      <c r="D248" s="352"/>
      <c r="E248" s="353"/>
      <c r="F248" s="350">
        <f>D248+E248</f>
        <v>0</v>
      </c>
      <c r="G248" s="348"/>
      <c r="H248" s="349"/>
      <c r="I248" s="350">
        <f>G248+H248</f>
        <v>0</v>
      </c>
      <c r="J248" s="348"/>
      <c r="K248" s="349"/>
      <c r="L248" s="350">
        <f>K248+J248</f>
        <v>0</v>
      </c>
      <c r="M248" s="53"/>
      <c r="N248" s="54"/>
      <c r="O248" s="55">
        <f>N248+M248</f>
        <v>0</v>
      </c>
      <c r="P248" s="57"/>
    </row>
    <row r="249" spans="1:16" ht="72" hidden="1" customHeight="1" x14ac:dyDescent="0.25">
      <c r="A249" s="51">
        <v>6296</v>
      </c>
      <c r="B249" s="89" t="s">
        <v>265</v>
      </c>
      <c r="C249" s="90">
        <f t="shared" si="80"/>
        <v>0</v>
      </c>
      <c r="D249" s="352"/>
      <c r="E249" s="353"/>
      <c r="F249" s="350">
        <f>D249+E249</f>
        <v>0</v>
      </c>
      <c r="G249" s="348"/>
      <c r="H249" s="349"/>
      <c r="I249" s="350">
        <f>G249+H249</f>
        <v>0</v>
      </c>
      <c r="J249" s="348"/>
      <c r="K249" s="349"/>
      <c r="L249" s="350">
        <f>K249+J249</f>
        <v>0</v>
      </c>
      <c r="M249" s="53"/>
      <c r="N249" s="54"/>
      <c r="O249" s="55">
        <f>N249+M249</f>
        <v>0</v>
      </c>
      <c r="P249" s="57"/>
    </row>
    <row r="250" spans="1:16" ht="39.75" hidden="1" customHeight="1" x14ac:dyDescent="0.25">
      <c r="A250" s="51">
        <v>6299</v>
      </c>
      <c r="B250" s="89" t="s">
        <v>266</v>
      </c>
      <c r="C250" s="90">
        <f t="shared" si="80"/>
        <v>0</v>
      </c>
      <c r="D250" s="352"/>
      <c r="E250" s="353"/>
      <c r="F250" s="350">
        <f>D250+E250</f>
        <v>0</v>
      </c>
      <c r="G250" s="348"/>
      <c r="H250" s="349"/>
      <c r="I250" s="350">
        <f>G250+H250</f>
        <v>0</v>
      </c>
      <c r="J250" s="348"/>
      <c r="K250" s="349"/>
      <c r="L250" s="350">
        <f>K250+J250</f>
        <v>0</v>
      </c>
      <c r="M250" s="53"/>
      <c r="N250" s="54"/>
      <c r="O250" s="55">
        <f>N250+M250</f>
        <v>0</v>
      </c>
      <c r="P250" s="57"/>
    </row>
    <row r="251" spans="1:16" hidden="1" x14ac:dyDescent="0.25">
      <c r="A251" s="69">
        <v>6300</v>
      </c>
      <c r="B251" s="183" t="s">
        <v>267</v>
      </c>
      <c r="C251" s="70">
        <f t="shared" si="80"/>
        <v>0</v>
      </c>
      <c r="D251" s="802">
        <f>SUM(D252,D257,D258)</f>
        <v>0</v>
      </c>
      <c r="E251" s="803">
        <f>SUM(E252,E257,E258)</f>
        <v>0</v>
      </c>
      <c r="F251" s="756">
        <f>SUM(F252,F257,F258)</f>
        <v>0</v>
      </c>
      <c r="G251" s="802">
        <f t="shared" ref="G251:M251" si="97">SUM(G252,G257,G258)</f>
        <v>0</v>
      </c>
      <c r="H251" s="803">
        <f>SUM(H252,H257,H258)</f>
        <v>0</v>
      </c>
      <c r="I251" s="756">
        <f>SUM(I252,I257,I258)</f>
        <v>0</v>
      </c>
      <c r="J251" s="802">
        <f t="shared" si="97"/>
        <v>0</v>
      </c>
      <c r="K251" s="803">
        <f>SUM(K252,K257,K258)</f>
        <v>0</v>
      </c>
      <c r="L251" s="756">
        <f>SUM(L252,L257,L258)</f>
        <v>0</v>
      </c>
      <c r="M251" s="184">
        <f t="shared" si="97"/>
        <v>0</v>
      </c>
      <c r="N251" s="185">
        <f>SUM(N252,N257,N258)</f>
        <v>0</v>
      </c>
      <c r="O251" s="73">
        <f>SUM(O252,O257,O258)</f>
        <v>0</v>
      </c>
      <c r="P251" s="77"/>
    </row>
    <row r="252" spans="1:16" ht="24" hidden="1" x14ac:dyDescent="0.25">
      <c r="A252" s="606">
        <v>6320</v>
      </c>
      <c r="B252" s="82" t="s">
        <v>268</v>
      </c>
      <c r="C252" s="209">
        <f t="shared" si="80"/>
        <v>0</v>
      </c>
      <c r="D252" s="807">
        <f>SUM(D253:D256)</f>
        <v>0</v>
      </c>
      <c r="E252" s="808">
        <f>SUM(E253:E256)</f>
        <v>0</v>
      </c>
      <c r="F252" s="491">
        <f>SUM(F253:F256)</f>
        <v>0</v>
      </c>
      <c r="G252" s="807">
        <f t="shared" ref="G252:M252" si="98">SUM(G253:G256)</f>
        <v>0</v>
      </c>
      <c r="H252" s="808">
        <f>SUM(H253:H256)</f>
        <v>0</v>
      </c>
      <c r="I252" s="491">
        <f>SUM(I253:I256)</f>
        <v>0</v>
      </c>
      <c r="J252" s="807">
        <f t="shared" si="98"/>
        <v>0</v>
      </c>
      <c r="K252" s="808">
        <f>SUM(K253:K256)</f>
        <v>0</v>
      </c>
      <c r="L252" s="491">
        <f>SUM(L253:L256)</f>
        <v>0</v>
      </c>
      <c r="M252" s="194">
        <f t="shared" si="98"/>
        <v>0</v>
      </c>
      <c r="N252" s="195">
        <f>SUM(N253:N256)</f>
        <v>0</v>
      </c>
      <c r="O252" s="134">
        <f>SUM(O253:O256)</f>
        <v>0</v>
      </c>
      <c r="P252" s="49"/>
    </row>
    <row r="253" spans="1:16" ht="12" hidden="1" customHeight="1" x14ac:dyDescent="0.25">
      <c r="A253" s="51">
        <v>6322</v>
      </c>
      <c r="B253" s="89" t="s">
        <v>269</v>
      </c>
      <c r="C253" s="90">
        <f t="shared" si="80"/>
        <v>0</v>
      </c>
      <c r="D253" s="352"/>
      <c r="E253" s="353"/>
      <c r="F253" s="350">
        <f t="shared" ref="F253:F258" si="99">D253+E253</f>
        <v>0</v>
      </c>
      <c r="G253" s="348"/>
      <c r="H253" s="349"/>
      <c r="I253" s="350">
        <f t="shared" ref="I253:I258" si="100">G253+H253</f>
        <v>0</v>
      </c>
      <c r="J253" s="348"/>
      <c r="K253" s="349"/>
      <c r="L253" s="350">
        <f t="shared" ref="L253:L258" si="101">K253+J253</f>
        <v>0</v>
      </c>
      <c r="M253" s="53"/>
      <c r="N253" s="54"/>
      <c r="O253" s="55">
        <f t="shared" ref="O253:O258" si="102">N253+M253</f>
        <v>0</v>
      </c>
      <c r="P253" s="57"/>
    </row>
    <row r="254" spans="1:16" ht="24" hidden="1" customHeight="1" x14ac:dyDescent="0.25">
      <c r="A254" s="51">
        <v>6323</v>
      </c>
      <c r="B254" s="89" t="s">
        <v>270</v>
      </c>
      <c r="C254" s="90">
        <f t="shared" si="80"/>
        <v>0</v>
      </c>
      <c r="D254" s="352"/>
      <c r="E254" s="353"/>
      <c r="F254" s="350">
        <f t="shared" si="99"/>
        <v>0</v>
      </c>
      <c r="G254" s="348"/>
      <c r="H254" s="349"/>
      <c r="I254" s="350">
        <f t="shared" si="100"/>
        <v>0</v>
      </c>
      <c r="J254" s="348"/>
      <c r="K254" s="349"/>
      <c r="L254" s="350">
        <f t="shared" si="101"/>
        <v>0</v>
      </c>
      <c r="M254" s="53"/>
      <c r="N254" s="54"/>
      <c r="O254" s="55">
        <f t="shared" si="102"/>
        <v>0</v>
      </c>
      <c r="P254" s="57"/>
    </row>
    <row r="255" spans="1:16" ht="24" hidden="1" customHeight="1" x14ac:dyDescent="0.25">
      <c r="A255" s="51">
        <v>6324</v>
      </c>
      <c r="B255" s="89" t="s">
        <v>271</v>
      </c>
      <c r="C255" s="90">
        <f t="shared" si="80"/>
        <v>0</v>
      </c>
      <c r="D255" s="352"/>
      <c r="E255" s="353"/>
      <c r="F255" s="350">
        <f t="shared" si="99"/>
        <v>0</v>
      </c>
      <c r="G255" s="348"/>
      <c r="H255" s="349"/>
      <c r="I255" s="350">
        <f t="shared" si="100"/>
        <v>0</v>
      </c>
      <c r="J255" s="348"/>
      <c r="K255" s="349"/>
      <c r="L255" s="350">
        <f t="shared" si="101"/>
        <v>0</v>
      </c>
      <c r="M255" s="53"/>
      <c r="N255" s="54"/>
      <c r="O255" s="55">
        <f t="shared" si="102"/>
        <v>0</v>
      </c>
      <c r="P255" s="57"/>
    </row>
    <row r="256" spans="1:16" ht="12" hidden="1" customHeight="1" x14ac:dyDescent="0.25">
      <c r="A256" s="44">
        <v>6329</v>
      </c>
      <c r="B256" s="82" t="s">
        <v>272</v>
      </c>
      <c r="C256" s="83">
        <f t="shared" si="80"/>
        <v>0</v>
      </c>
      <c r="D256" s="489"/>
      <c r="E256" s="490"/>
      <c r="F256" s="491">
        <f t="shared" si="99"/>
        <v>0</v>
      </c>
      <c r="G256" s="460"/>
      <c r="H256" s="461"/>
      <c r="I256" s="491">
        <f t="shared" si="100"/>
        <v>0</v>
      </c>
      <c r="J256" s="460"/>
      <c r="K256" s="461"/>
      <c r="L256" s="491">
        <f t="shared" si="101"/>
        <v>0</v>
      </c>
      <c r="M256" s="46"/>
      <c r="N256" s="47"/>
      <c r="O256" s="134">
        <f t="shared" si="102"/>
        <v>0</v>
      </c>
      <c r="P256" s="49"/>
    </row>
    <row r="257" spans="1:16" ht="24" hidden="1" customHeight="1" x14ac:dyDescent="0.25">
      <c r="A257" s="226">
        <v>6330</v>
      </c>
      <c r="B257" s="227" t="s">
        <v>273</v>
      </c>
      <c r="C257" s="209">
        <f t="shared" si="80"/>
        <v>0</v>
      </c>
      <c r="D257" s="814"/>
      <c r="E257" s="815"/>
      <c r="F257" s="816">
        <f t="shared" si="99"/>
        <v>0</v>
      </c>
      <c r="G257" s="817"/>
      <c r="H257" s="818"/>
      <c r="I257" s="816">
        <f t="shared" si="100"/>
        <v>0</v>
      </c>
      <c r="J257" s="817"/>
      <c r="K257" s="818"/>
      <c r="L257" s="816">
        <f t="shared" si="101"/>
        <v>0</v>
      </c>
      <c r="M257" s="214"/>
      <c r="N257" s="215"/>
      <c r="O257" s="213">
        <f t="shared" si="102"/>
        <v>0</v>
      </c>
      <c r="P257" s="216"/>
    </row>
    <row r="258" spans="1:16" ht="12" hidden="1" customHeight="1" x14ac:dyDescent="0.25">
      <c r="A258" s="189">
        <v>6360</v>
      </c>
      <c r="B258" s="89" t="s">
        <v>274</v>
      </c>
      <c r="C258" s="90">
        <f t="shared" si="80"/>
        <v>0</v>
      </c>
      <c r="D258" s="352"/>
      <c r="E258" s="353"/>
      <c r="F258" s="350">
        <f t="shared" si="99"/>
        <v>0</v>
      </c>
      <c r="G258" s="348"/>
      <c r="H258" s="349"/>
      <c r="I258" s="350">
        <f t="shared" si="100"/>
        <v>0</v>
      </c>
      <c r="J258" s="348"/>
      <c r="K258" s="349"/>
      <c r="L258" s="350">
        <f t="shared" si="101"/>
        <v>0</v>
      </c>
      <c r="M258" s="53"/>
      <c r="N258" s="54"/>
      <c r="O258" s="55">
        <f t="shared" si="102"/>
        <v>0</v>
      </c>
      <c r="P258" s="57"/>
    </row>
    <row r="259" spans="1:16" ht="36" hidden="1" x14ac:dyDescent="0.25">
      <c r="A259" s="69">
        <v>6400</v>
      </c>
      <c r="B259" s="183" t="s">
        <v>275</v>
      </c>
      <c r="C259" s="70">
        <f t="shared" si="80"/>
        <v>0</v>
      </c>
      <c r="D259" s="802">
        <f>SUM(D260,D264)</f>
        <v>0</v>
      </c>
      <c r="E259" s="803">
        <f>SUM(E260,E264)</f>
        <v>0</v>
      </c>
      <c r="F259" s="756">
        <f>SUM(F260,F264)</f>
        <v>0</v>
      </c>
      <c r="G259" s="802">
        <f t="shared" ref="G259:M259" si="103">SUM(G260,G264)</f>
        <v>0</v>
      </c>
      <c r="H259" s="803">
        <f>SUM(H260,H264)</f>
        <v>0</v>
      </c>
      <c r="I259" s="756">
        <f>SUM(I260,I264)</f>
        <v>0</v>
      </c>
      <c r="J259" s="802">
        <f t="shared" si="103"/>
        <v>0</v>
      </c>
      <c r="K259" s="803">
        <f>SUM(K260,K264)</f>
        <v>0</v>
      </c>
      <c r="L259" s="756">
        <f>SUM(L260,L264)</f>
        <v>0</v>
      </c>
      <c r="M259" s="184">
        <f t="shared" si="103"/>
        <v>0</v>
      </c>
      <c r="N259" s="185">
        <f>SUM(N260,N264)</f>
        <v>0</v>
      </c>
      <c r="O259" s="73">
        <f>SUM(O260,O264)</f>
        <v>0</v>
      </c>
      <c r="P259" s="77"/>
    </row>
    <row r="260" spans="1:16" ht="24" hidden="1" x14ac:dyDescent="0.25">
      <c r="A260" s="606">
        <v>6410</v>
      </c>
      <c r="B260" s="82" t="s">
        <v>276</v>
      </c>
      <c r="C260" s="83">
        <f t="shared" si="80"/>
        <v>0</v>
      </c>
      <c r="D260" s="807">
        <f>SUM(D261:D263)</f>
        <v>0</v>
      </c>
      <c r="E260" s="808">
        <f>SUM(E261:E263)</f>
        <v>0</v>
      </c>
      <c r="F260" s="491">
        <f>SUM(F261:F263)</f>
        <v>0</v>
      </c>
      <c r="G260" s="807">
        <f t="shared" ref="G260:M260" si="104">SUM(G261:G263)</f>
        <v>0</v>
      </c>
      <c r="H260" s="808">
        <f>SUM(H261:H263)</f>
        <v>0</v>
      </c>
      <c r="I260" s="491">
        <f>SUM(I261:I263)</f>
        <v>0</v>
      </c>
      <c r="J260" s="807">
        <f t="shared" si="104"/>
        <v>0</v>
      </c>
      <c r="K260" s="808">
        <f>SUM(K261:K263)</f>
        <v>0</v>
      </c>
      <c r="L260" s="491">
        <f>SUM(L261:L263)</f>
        <v>0</v>
      </c>
      <c r="M260" s="194">
        <f t="shared" si="104"/>
        <v>0</v>
      </c>
      <c r="N260" s="195">
        <f>SUM(N261:N263)</f>
        <v>0</v>
      </c>
      <c r="O260" s="134">
        <f>SUM(O261:O263)</f>
        <v>0</v>
      </c>
      <c r="P260" s="49"/>
    </row>
    <row r="261" spans="1:16" ht="12" hidden="1" customHeight="1" x14ac:dyDescent="0.25">
      <c r="A261" s="51">
        <v>6411</v>
      </c>
      <c r="B261" s="201" t="s">
        <v>277</v>
      </c>
      <c r="C261" s="90">
        <f t="shared" si="80"/>
        <v>0</v>
      </c>
      <c r="D261" s="352"/>
      <c r="E261" s="353"/>
      <c r="F261" s="350">
        <f>D261+E261</f>
        <v>0</v>
      </c>
      <c r="G261" s="348"/>
      <c r="H261" s="349"/>
      <c r="I261" s="350">
        <f>G261+H261</f>
        <v>0</v>
      </c>
      <c r="J261" s="348"/>
      <c r="K261" s="349"/>
      <c r="L261" s="350">
        <f>K261+J261</f>
        <v>0</v>
      </c>
      <c r="M261" s="53"/>
      <c r="N261" s="54"/>
      <c r="O261" s="55">
        <f>N261+M261</f>
        <v>0</v>
      </c>
      <c r="P261" s="57"/>
    </row>
    <row r="262" spans="1:16" ht="36" hidden="1" customHeight="1" x14ac:dyDescent="0.25">
      <c r="A262" s="51">
        <v>6412</v>
      </c>
      <c r="B262" s="89" t="s">
        <v>278</v>
      </c>
      <c r="C262" s="90">
        <f t="shared" si="80"/>
        <v>0</v>
      </c>
      <c r="D262" s="352"/>
      <c r="E262" s="353"/>
      <c r="F262" s="350">
        <f>D262+E262</f>
        <v>0</v>
      </c>
      <c r="G262" s="348"/>
      <c r="H262" s="349"/>
      <c r="I262" s="350">
        <f>G262+H262</f>
        <v>0</v>
      </c>
      <c r="J262" s="348"/>
      <c r="K262" s="349"/>
      <c r="L262" s="350">
        <f>K262+J262</f>
        <v>0</v>
      </c>
      <c r="M262" s="53"/>
      <c r="N262" s="54"/>
      <c r="O262" s="55">
        <f>N262+M262</f>
        <v>0</v>
      </c>
      <c r="P262" s="57"/>
    </row>
    <row r="263" spans="1:16" ht="36" hidden="1" customHeight="1" x14ac:dyDescent="0.25">
      <c r="A263" s="51">
        <v>6419</v>
      </c>
      <c r="B263" s="89" t="s">
        <v>279</v>
      </c>
      <c r="C263" s="90">
        <f t="shared" si="80"/>
        <v>0</v>
      </c>
      <c r="D263" s="352"/>
      <c r="E263" s="353"/>
      <c r="F263" s="350">
        <f>D263+E263</f>
        <v>0</v>
      </c>
      <c r="G263" s="348"/>
      <c r="H263" s="349"/>
      <c r="I263" s="350">
        <f>G263+H263</f>
        <v>0</v>
      </c>
      <c r="J263" s="348"/>
      <c r="K263" s="349"/>
      <c r="L263" s="350">
        <f>K263+J263</f>
        <v>0</v>
      </c>
      <c r="M263" s="53"/>
      <c r="N263" s="54"/>
      <c r="O263" s="55">
        <f>N263+M263</f>
        <v>0</v>
      </c>
      <c r="P263" s="57"/>
    </row>
    <row r="264" spans="1:16" ht="48" hidden="1" x14ac:dyDescent="0.25">
      <c r="A264" s="189">
        <v>6420</v>
      </c>
      <c r="B264" s="89" t="s">
        <v>280</v>
      </c>
      <c r="C264" s="90">
        <f t="shared" si="80"/>
        <v>0</v>
      </c>
      <c r="D264" s="806">
        <f t="shared" ref="D264:O264" si="105">SUM(D265:D268)</f>
        <v>0</v>
      </c>
      <c r="E264" s="365">
        <f t="shared" si="105"/>
        <v>0</v>
      </c>
      <c r="F264" s="350">
        <f t="shared" si="105"/>
        <v>0</v>
      </c>
      <c r="G264" s="806">
        <f t="shared" si="105"/>
        <v>0</v>
      </c>
      <c r="H264" s="365">
        <f t="shared" si="105"/>
        <v>0</v>
      </c>
      <c r="I264" s="350">
        <f t="shared" si="105"/>
        <v>0</v>
      </c>
      <c r="J264" s="806">
        <f t="shared" si="105"/>
        <v>0</v>
      </c>
      <c r="K264" s="365">
        <f t="shared" si="105"/>
        <v>0</v>
      </c>
      <c r="L264" s="350">
        <f t="shared" si="105"/>
        <v>0</v>
      </c>
      <c r="M264" s="190">
        <f t="shared" si="105"/>
        <v>0</v>
      </c>
      <c r="N264" s="191">
        <f t="shared" si="105"/>
        <v>0</v>
      </c>
      <c r="O264" s="55">
        <f t="shared" si="105"/>
        <v>0</v>
      </c>
      <c r="P264" s="57"/>
    </row>
    <row r="265" spans="1:16" ht="36" hidden="1" customHeight="1" x14ac:dyDescent="0.25">
      <c r="A265" s="51">
        <v>6421</v>
      </c>
      <c r="B265" s="89" t="s">
        <v>281</v>
      </c>
      <c r="C265" s="90">
        <f t="shared" si="80"/>
        <v>0</v>
      </c>
      <c r="D265" s="352"/>
      <c r="E265" s="353"/>
      <c r="F265" s="350">
        <f>D265+E265</f>
        <v>0</v>
      </c>
      <c r="G265" s="348"/>
      <c r="H265" s="349"/>
      <c r="I265" s="350">
        <f>G265+H265</f>
        <v>0</v>
      </c>
      <c r="J265" s="348"/>
      <c r="K265" s="349"/>
      <c r="L265" s="350">
        <f>K265+J265</f>
        <v>0</v>
      </c>
      <c r="M265" s="53"/>
      <c r="N265" s="54"/>
      <c r="O265" s="55">
        <f>N265+M265</f>
        <v>0</v>
      </c>
      <c r="P265" s="57"/>
    </row>
    <row r="266" spans="1:16" ht="12" hidden="1" customHeight="1" x14ac:dyDescent="0.25">
      <c r="A266" s="51">
        <v>6422</v>
      </c>
      <c r="B266" s="89" t="s">
        <v>282</v>
      </c>
      <c r="C266" s="90">
        <f t="shared" si="80"/>
        <v>0</v>
      </c>
      <c r="D266" s="352"/>
      <c r="E266" s="353"/>
      <c r="F266" s="350">
        <f>D266+E266</f>
        <v>0</v>
      </c>
      <c r="G266" s="348"/>
      <c r="H266" s="349"/>
      <c r="I266" s="350">
        <f>G266+H266</f>
        <v>0</v>
      </c>
      <c r="J266" s="348"/>
      <c r="K266" s="349"/>
      <c r="L266" s="350">
        <f>K266+J266</f>
        <v>0</v>
      </c>
      <c r="M266" s="53"/>
      <c r="N266" s="54"/>
      <c r="O266" s="55">
        <f>N266+M266</f>
        <v>0</v>
      </c>
      <c r="P266" s="57"/>
    </row>
    <row r="267" spans="1:16" ht="13.5" hidden="1" customHeight="1" x14ac:dyDescent="0.25">
      <c r="A267" s="51">
        <v>6423</v>
      </c>
      <c r="B267" s="89" t="s">
        <v>283</v>
      </c>
      <c r="C267" s="90">
        <f t="shared" si="80"/>
        <v>0</v>
      </c>
      <c r="D267" s="352"/>
      <c r="E267" s="353"/>
      <c r="F267" s="350">
        <f>D267+E267</f>
        <v>0</v>
      </c>
      <c r="G267" s="348"/>
      <c r="H267" s="349"/>
      <c r="I267" s="350">
        <f>G267+H267</f>
        <v>0</v>
      </c>
      <c r="J267" s="348"/>
      <c r="K267" s="349"/>
      <c r="L267" s="350">
        <f>K267+J267</f>
        <v>0</v>
      </c>
      <c r="M267" s="53"/>
      <c r="N267" s="54"/>
      <c r="O267" s="55">
        <f>N267+M267</f>
        <v>0</v>
      </c>
      <c r="P267" s="57"/>
    </row>
    <row r="268" spans="1:16" ht="36" hidden="1" customHeight="1" x14ac:dyDescent="0.25">
      <c r="A268" s="51">
        <v>6424</v>
      </c>
      <c r="B268" s="89" t="s">
        <v>284</v>
      </c>
      <c r="C268" s="90">
        <f t="shared" si="80"/>
        <v>0</v>
      </c>
      <c r="D268" s="352"/>
      <c r="E268" s="353"/>
      <c r="F268" s="350">
        <f>D268+E268</f>
        <v>0</v>
      </c>
      <c r="G268" s="348"/>
      <c r="H268" s="349"/>
      <c r="I268" s="350">
        <f>G268+H268</f>
        <v>0</v>
      </c>
      <c r="J268" s="348"/>
      <c r="K268" s="349"/>
      <c r="L268" s="350">
        <f>K268+J268</f>
        <v>0</v>
      </c>
      <c r="M268" s="53"/>
      <c r="N268" s="54"/>
      <c r="O268" s="55">
        <f>N268+M268</f>
        <v>0</v>
      </c>
      <c r="P268" s="57"/>
    </row>
    <row r="269" spans="1:16" ht="48" hidden="1" x14ac:dyDescent="0.25">
      <c r="A269" s="823">
        <v>7000</v>
      </c>
      <c r="B269" s="823" t="s">
        <v>285</v>
      </c>
      <c r="C269" s="824">
        <f t="shared" si="80"/>
        <v>0</v>
      </c>
      <c r="D269" s="825">
        <f t="shared" ref="D269:O269" si="106">SUM(D270,D281)</f>
        <v>0</v>
      </c>
      <c r="E269" s="826">
        <f t="shared" si="106"/>
        <v>0</v>
      </c>
      <c r="F269" s="827">
        <f t="shared" si="106"/>
        <v>0</v>
      </c>
      <c r="G269" s="825">
        <f t="shared" si="106"/>
        <v>0</v>
      </c>
      <c r="H269" s="826">
        <f t="shared" si="106"/>
        <v>0</v>
      </c>
      <c r="I269" s="827">
        <f t="shared" si="106"/>
        <v>0</v>
      </c>
      <c r="J269" s="825">
        <f t="shared" si="106"/>
        <v>0</v>
      </c>
      <c r="K269" s="826">
        <f t="shared" si="106"/>
        <v>0</v>
      </c>
      <c r="L269" s="827">
        <f t="shared" si="106"/>
        <v>0</v>
      </c>
      <c r="M269" s="825">
        <f t="shared" si="106"/>
        <v>0</v>
      </c>
      <c r="N269" s="826">
        <f t="shared" si="106"/>
        <v>0</v>
      </c>
      <c r="O269" s="827">
        <f t="shared" si="106"/>
        <v>0</v>
      </c>
      <c r="P269" s="828"/>
    </row>
    <row r="270" spans="1:16" ht="24" hidden="1" x14ac:dyDescent="0.25">
      <c r="A270" s="69">
        <v>7200</v>
      </c>
      <c r="B270" s="183" t="s">
        <v>286</v>
      </c>
      <c r="C270" s="70">
        <f t="shared" si="80"/>
        <v>0</v>
      </c>
      <c r="D270" s="802">
        <f t="shared" ref="D270:O270" si="107">SUM(D271,D272,D275,D276,D280)</f>
        <v>0</v>
      </c>
      <c r="E270" s="803">
        <f t="shared" si="107"/>
        <v>0</v>
      </c>
      <c r="F270" s="756">
        <f t="shared" si="107"/>
        <v>0</v>
      </c>
      <c r="G270" s="802">
        <f t="shared" si="107"/>
        <v>0</v>
      </c>
      <c r="H270" s="803">
        <f t="shared" si="107"/>
        <v>0</v>
      </c>
      <c r="I270" s="756">
        <f t="shared" si="107"/>
        <v>0</v>
      </c>
      <c r="J270" s="802">
        <f t="shared" si="107"/>
        <v>0</v>
      </c>
      <c r="K270" s="803">
        <f t="shared" si="107"/>
        <v>0</v>
      </c>
      <c r="L270" s="756">
        <f t="shared" si="107"/>
        <v>0</v>
      </c>
      <c r="M270" s="184">
        <f t="shared" si="107"/>
        <v>0</v>
      </c>
      <c r="N270" s="185">
        <f t="shared" si="107"/>
        <v>0</v>
      </c>
      <c r="O270" s="73">
        <f t="shared" si="107"/>
        <v>0</v>
      </c>
      <c r="P270" s="77"/>
    </row>
    <row r="271" spans="1:16" ht="24" hidden="1" customHeight="1" x14ac:dyDescent="0.25">
      <c r="A271" s="606">
        <v>7210</v>
      </c>
      <c r="B271" s="82" t="s">
        <v>287</v>
      </c>
      <c r="C271" s="83">
        <f t="shared" si="80"/>
        <v>0</v>
      </c>
      <c r="D271" s="489"/>
      <c r="E271" s="490"/>
      <c r="F271" s="491">
        <f>D271+E271</f>
        <v>0</v>
      </c>
      <c r="G271" s="460"/>
      <c r="H271" s="461"/>
      <c r="I271" s="491">
        <f>G271+H271</f>
        <v>0</v>
      </c>
      <c r="J271" s="460"/>
      <c r="K271" s="461"/>
      <c r="L271" s="491">
        <f>K271+J271</f>
        <v>0</v>
      </c>
      <c r="M271" s="46"/>
      <c r="N271" s="47"/>
      <c r="O271" s="134">
        <f>N271+M271</f>
        <v>0</v>
      </c>
      <c r="P271" s="49"/>
    </row>
    <row r="272" spans="1:16" s="234" customFormat="1" ht="24" hidden="1" x14ac:dyDescent="0.25">
      <c r="A272" s="189">
        <v>7220</v>
      </c>
      <c r="B272" s="89" t="s">
        <v>288</v>
      </c>
      <c r="C272" s="90">
        <f t="shared" si="80"/>
        <v>0</v>
      </c>
      <c r="D272" s="806">
        <f t="shared" ref="D272:O272" si="108">SUM(D273:D274)</f>
        <v>0</v>
      </c>
      <c r="E272" s="365">
        <f t="shared" si="108"/>
        <v>0</v>
      </c>
      <c r="F272" s="350">
        <f t="shared" si="108"/>
        <v>0</v>
      </c>
      <c r="G272" s="806">
        <f t="shared" si="108"/>
        <v>0</v>
      </c>
      <c r="H272" s="365">
        <f t="shared" si="108"/>
        <v>0</v>
      </c>
      <c r="I272" s="350">
        <f t="shared" si="108"/>
        <v>0</v>
      </c>
      <c r="J272" s="806">
        <f t="shared" si="108"/>
        <v>0</v>
      </c>
      <c r="K272" s="365">
        <f t="shared" si="108"/>
        <v>0</v>
      </c>
      <c r="L272" s="350">
        <f t="shared" si="108"/>
        <v>0</v>
      </c>
      <c r="M272" s="190">
        <f t="shared" si="108"/>
        <v>0</v>
      </c>
      <c r="N272" s="191">
        <f t="shared" si="108"/>
        <v>0</v>
      </c>
      <c r="O272" s="55">
        <f t="shared" si="108"/>
        <v>0</v>
      </c>
      <c r="P272" s="57"/>
    </row>
    <row r="273" spans="1:16" s="234" customFormat="1" ht="36" hidden="1" customHeight="1" x14ac:dyDescent="0.25">
      <c r="A273" s="51">
        <v>7221</v>
      </c>
      <c r="B273" s="89" t="s">
        <v>289</v>
      </c>
      <c r="C273" s="90">
        <f t="shared" si="80"/>
        <v>0</v>
      </c>
      <c r="D273" s="352"/>
      <c r="E273" s="353"/>
      <c r="F273" s="350">
        <f>D273+E273</f>
        <v>0</v>
      </c>
      <c r="G273" s="348"/>
      <c r="H273" s="349"/>
      <c r="I273" s="350">
        <f>G273+H273</f>
        <v>0</v>
      </c>
      <c r="J273" s="348"/>
      <c r="K273" s="349"/>
      <c r="L273" s="350">
        <f>K273+J273</f>
        <v>0</v>
      </c>
      <c r="M273" s="53"/>
      <c r="N273" s="54"/>
      <c r="O273" s="55">
        <f>N273+M273</f>
        <v>0</v>
      </c>
      <c r="P273" s="57"/>
    </row>
    <row r="274" spans="1:16" s="234" customFormat="1" ht="36" hidden="1" customHeight="1" x14ac:dyDescent="0.25">
      <c r="A274" s="51">
        <v>7222</v>
      </c>
      <c r="B274" s="89" t="s">
        <v>290</v>
      </c>
      <c r="C274" s="90">
        <f t="shared" si="80"/>
        <v>0</v>
      </c>
      <c r="D274" s="352"/>
      <c r="E274" s="353"/>
      <c r="F274" s="350">
        <f>D274+E274</f>
        <v>0</v>
      </c>
      <c r="G274" s="348"/>
      <c r="H274" s="349"/>
      <c r="I274" s="350">
        <f>G274+H274</f>
        <v>0</v>
      </c>
      <c r="J274" s="348"/>
      <c r="K274" s="349"/>
      <c r="L274" s="350">
        <f>K274+J274</f>
        <v>0</v>
      </c>
      <c r="M274" s="53"/>
      <c r="N274" s="54"/>
      <c r="O274" s="55">
        <f>N274+M274</f>
        <v>0</v>
      </c>
      <c r="P274" s="57"/>
    </row>
    <row r="275" spans="1:16" ht="24" hidden="1" customHeight="1" x14ac:dyDescent="0.25">
      <c r="A275" s="189">
        <v>7230</v>
      </c>
      <c r="B275" s="89" t="s">
        <v>291</v>
      </c>
      <c r="C275" s="90">
        <f t="shared" si="80"/>
        <v>0</v>
      </c>
      <c r="D275" s="352"/>
      <c r="E275" s="353"/>
      <c r="F275" s="350">
        <f>D275+E275</f>
        <v>0</v>
      </c>
      <c r="G275" s="348"/>
      <c r="H275" s="349"/>
      <c r="I275" s="350">
        <f>G275+H275</f>
        <v>0</v>
      </c>
      <c r="J275" s="348"/>
      <c r="K275" s="349"/>
      <c r="L275" s="350">
        <f>K275+J275</f>
        <v>0</v>
      </c>
      <c r="M275" s="53"/>
      <c r="N275" s="54"/>
      <c r="O275" s="55">
        <f>N275+M275</f>
        <v>0</v>
      </c>
      <c r="P275" s="57"/>
    </row>
    <row r="276" spans="1:16" ht="24" hidden="1" x14ac:dyDescent="0.25">
      <c r="A276" s="189">
        <v>7240</v>
      </c>
      <c r="B276" s="89" t="s">
        <v>292</v>
      </c>
      <c r="C276" s="90">
        <f t="shared" ref="C276:C301" si="109">F276+I276+L276+O276</f>
        <v>0</v>
      </c>
      <c r="D276" s="806">
        <f t="shared" ref="D276:O276" si="110">SUM(D277:D279)</f>
        <v>0</v>
      </c>
      <c r="E276" s="365">
        <f t="shared" si="110"/>
        <v>0</v>
      </c>
      <c r="F276" s="350">
        <f t="shared" si="110"/>
        <v>0</v>
      </c>
      <c r="G276" s="806">
        <f t="shared" si="110"/>
        <v>0</v>
      </c>
      <c r="H276" s="365">
        <f t="shared" si="110"/>
        <v>0</v>
      </c>
      <c r="I276" s="350">
        <f t="shared" si="110"/>
        <v>0</v>
      </c>
      <c r="J276" s="806">
        <f t="shared" si="110"/>
        <v>0</v>
      </c>
      <c r="K276" s="365">
        <f t="shared" si="110"/>
        <v>0</v>
      </c>
      <c r="L276" s="350">
        <f t="shared" si="110"/>
        <v>0</v>
      </c>
      <c r="M276" s="190">
        <f t="shared" si="110"/>
        <v>0</v>
      </c>
      <c r="N276" s="191">
        <f t="shared" si="110"/>
        <v>0</v>
      </c>
      <c r="O276" s="55">
        <f t="shared" si="110"/>
        <v>0</v>
      </c>
      <c r="P276" s="57"/>
    </row>
    <row r="277" spans="1:16" ht="48" hidden="1" customHeight="1" x14ac:dyDescent="0.25">
      <c r="A277" s="51">
        <v>7245</v>
      </c>
      <c r="B277" s="89" t="s">
        <v>293</v>
      </c>
      <c r="C277" s="90">
        <f t="shared" si="109"/>
        <v>0</v>
      </c>
      <c r="D277" s="352"/>
      <c r="E277" s="353"/>
      <c r="F277" s="350">
        <f>D277+E277</f>
        <v>0</v>
      </c>
      <c r="G277" s="348"/>
      <c r="H277" s="349"/>
      <c r="I277" s="350">
        <f>G277+H277</f>
        <v>0</v>
      </c>
      <c r="J277" s="348"/>
      <c r="K277" s="349"/>
      <c r="L277" s="350">
        <f>K277+J277</f>
        <v>0</v>
      </c>
      <c r="M277" s="53"/>
      <c r="N277" s="54"/>
      <c r="O277" s="55">
        <f>N277+M277</f>
        <v>0</v>
      </c>
      <c r="P277" s="57"/>
    </row>
    <row r="278" spans="1:16" ht="84.75" hidden="1" customHeight="1" x14ac:dyDescent="0.25">
      <c r="A278" s="51">
        <v>7246</v>
      </c>
      <c r="B278" s="89" t="s">
        <v>294</v>
      </c>
      <c r="C278" s="90">
        <f t="shared" si="109"/>
        <v>0</v>
      </c>
      <c r="D278" s="352"/>
      <c r="E278" s="353"/>
      <c r="F278" s="350">
        <f>D278+E278</f>
        <v>0</v>
      </c>
      <c r="G278" s="348"/>
      <c r="H278" s="349"/>
      <c r="I278" s="350">
        <f>G278+H278</f>
        <v>0</v>
      </c>
      <c r="J278" s="348"/>
      <c r="K278" s="349"/>
      <c r="L278" s="350">
        <f>K278+J278</f>
        <v>0</v>
      </c>
      <c r="M278" s="53"/>
      <c r="N278" s="54"/>
      <c r="O278" s="55">
        <f>N278+M278</f>
        <v>0</v>
      </c>
      <c r="P278" s="57"/>
    </row>
    <row r="279" spans="1:16" ht="36" hidden="1" customHeight="1" x14ac:dyDescent="0.25">
      <c r="A279" s="51">
        <v>7247</v>
      </c>
      <c r="B279" s="89" t="s">
        <v>295</v>
      </c>
      <c r="C279" s="90">
        <f t="shared" si="109"/>
        <v>0</v>
      </c>
      <c r="D279" s="352"/>
      <c r="E279" s="353"/>
      <c r="F279" s="350">
        <f>D279+E279</f>
        <v>0</v>
      </c>
      <c r="G279" s="348"/>
      <c r="H279" s="349"/>
      <c r="I279" s="350">
        <f>G279+H279</f>
        <v>0</v>
      </c>
      <c r="J279" s="348"/>
      <c r="K279" s="349"/>
      <c r="L279" s="350">
        <f>K279+J279</f>
        <v>0</v>
      </c>
      <c r="M279" s="53"/>
      <c r="N279" s="54"/>
      <c r="O279" s="55">
        <f>N279+M279</f>
        <v>0</v>
      </c>
      <c r="P279" s="57"/>
    </row>
    <row r="280" spans="1:16" ht="24" hidden="1" customHeight="1" x14ac:dyDescent="0.25">
      <c r="A280" s="606">
        <v>7260</v>
      </c>
      <c r="B280" s="82" t="s">
        <v>296</v>
      </c>
      <c r="C280" s="83">
        <f t="shared" si="109"/>
        <v>0</v>
      </c>
      <c r="D280" s="489"/>
      <c r="E280" s="490"/>
      <c r="F280" s="491">
        <f>D280+E280</f>
        <v>0</v>
      </c>
      <c r="G280" s="460"/>
      <c r="H280" s="461"/>
      <c r="I280" s="491">
        <f>G280+H280</f>
        <v>0</v>
      </c>
      <c r="J280" s="460"/>
      <c r="K280" s="461"/>
      <c r="L280" s="491">
        <f>K280+J280</f>
        <v>0</v>
      </c>
      <c r="M280" s="46"/>
      <c r="N280" s="47"/>
      <c r="O280" s="134">
        <f>N280+M280</f>
        <v>0</v>
      </c>
      <c r="P280" s="49"/>
    </row>
    <row r="281" spans="1:16" hidden="1" x14ac:dyDescent="0.25">
      <c r="A281" s="136">
        <v>7700</v>
      </c>
      <c r="B281" s="109" t="s">
        <v>297</v>
      </c>
      <c r="C281" s="110">
        <f t="shared" si="109"/>
        <v>0</v>
      </c>
      <c r="D281" s="829">
        <f t="shared" ref="D281:O281" si="111">D282</f>
        <v>0</v>
      </c>
      <c r="E281" s="830">
        <f t="shared" si="111"/>
        <v>0</v>
      </c>
      <c r="F281" s="779">
        <f t="shared" si="111"/>
        <v>0</v>
      </c>
      <c r="G281" s="829">
        <f t="shared" si="111"/>
        <v>0</v>
      </c>
      <c r="H281" s="830">
        <f t="shared" si="111"/>
        <v>0</v>
      </c>
      <c r="I281" s="779">
        <f t="shared" si="111"/>
        <v>0</v>
      </c>
      <c r="J281" s="829">
        <f t="shared" si="111"/>
        <v>0</v>
      </c>
      <c r="K281" s="830">
        <f t="shared" si="111"/>
        <v>0</v>
      </c>
      <c r="L281" s="779">
        <f t="shared" si="111"/>
        <v>0</v>
      </c>
      <c r="M281" s="235">
        <f t="shared" si="111"/>
        <v>0</v>
      </c>
      <c r="N281" s="236">
        <f t="shared" si="111"/>
        <v>0</v>
      </c>
      <c r="O281" s="131">
        <f t="shared" si="111"/>
        <v>0</v>
      </c>
      <c r="P281" s="119"/>
    </row>
    <row r="282" spans="1:16" ht="12" hidden="1" customHeight="1" x14ac:dyDescent="0.25">
      <c r="A282" s="186">
        <v>7720</v>
      </c>
      <c r="B282" s="82" t="s">
        <v>298</v>
      </c>
      <c r="C282" s="98">
        <f t="shared" si="109"/>
        <v>0</v>
      </c>
      <c r="D282" s="831"/>
      <c r="E282" s="832"/>
      <c r="F282" s="833">
        <f>D282+E282</f>
        <v>0</v>
      </c>
      <c r="G282" s="769"/>
      <c r="H282" s="770"/>
      <c r="I282" s="833">
        <f>G282+H282</f>
        <v>0</v>
      </c>
      <c r="J282" s="769"/>
      <c r="K282" s="770"/>
      <c r="L282" s="833">
        <f>K282+J282</f>
        <v>0</v>
      </c>
      <c r="M282" s="102"/>
      <c r="N282" s="103"/>
      <c r="O282" s="239">
        <f>N282+M282</f>
        <v>0</v>
      </c>
      <c r="P282" s="107"/>
    </row>
    <row r="283" spans="1:16" hidden="1" x14ac:dyDescent="0.25">
      <c r="A283" s="834">
        <v>9000</v>
      </c>
      <c r="B283" s="835" t="s">
        <v>299</v>
      </c>
      <c r="C283" s="836">
        <f t="shared" si="109"/>
        <v>0</v>
      </c>
      <c r="D283" s="837">
        <f t="shared" ref="D283:O284" si="112">D284</f>
        <v>0</v>
      </c>
      <c r="E283" s="838">
        <f t="shared" si="112"/>
        <v>0</v>
      </c>
      <c r="F283" s="839">
        <f t="shared" si="112"/>
        <v>0</v>
      </c>
      <c r="G283" s="837">
        <f>G284</f>
        <v>0</v>
      </c>
      <c r="H283" s="838">
        <f>H284</f>
        <v>0</v>
      </c>
      <c r="I283" s="839">
        <f>I284</f>
        <v>0</v>
      </c>
      <c r="J283" s="837">
        <f t="shared" si="112"/>
        <v>0</v>
      </c>
      <c r="K283" s="838">
        <f t="shared" si="112"/>
        <v>0</v>
      </c>
      <c r="L283" s="839">
        <f t="shared" si="112"/>
        <v>0</v>
      </c>
      <c r="M283" s="837">
        <f t="shared" si="112"/>
        <v>0</v>
      </c>
      <c r="N283" s="838">
        <f t="shared" si="112"/>
        <v>0</v>
      </c>
      <c r="O283" s="839">
        <f t="shared" si="112"/>
        <v>0</v>
      </c>
      <c r="P283" s="840"/>
    </row>
    <row r="284" spans="1:16" ht="24" hidden="1" x14ac:dyDescent="0.25">
      <c r="A284" s="247">
        <v>9200</v>
      </c>
      <c r="B284" s="89" t="s">
        <v>300</v>
      </c>
      <c r="C284" s="143">
        <f t="shared" si="109"/>
        <v>0</v>
      </c>
      <c r="D284" s="804">
        <f t="shared" si="112"/>
        <v>0</v>
      </c>
      <c r="E284" s="805">
        <f t="shared" si="112"/>
        <v>0</v>
      </c>
      <c r="F284" s="781">
        <f t="shared" si="112"/>
        <v>0</v>
      </c>
      <c r="G284" s="804">
        <f t="shared" si="112"/>
        <v>0</v>
      </c>
      <c r="H284" s="805">
        <f t="shared" si="112"/>
        <v>0</v>
      </c>
      <c r="I284" s="781">
        <f t="shared" si="112"/>
        <v>0</v>
      </c>
      <c r="J284" s="804">
        <f t="shared" si="112"/>
        <v>0</v>
      </c>
      <c r="K284" s="805">
        <f t="shared" si="112"/>
        <v>0</v>
      </c>
      <c r="L284" s="781">
        <f t="shared" si="112"/>
        <v>0</v>
      </c>
      <c r="M284" s="187">
        <f t="shared" si="112"/>
        <v>0</v>
      </c>
      <c r="N284" s="188">
        <f t="shared" si="112"/>
        <v>0</v>
      </c>
      <c r="O284" s="141">
        <f t="shared" si="112"/>
        <v>0</v>
      </c>
      <c r="P284" s="129"/>
    </row>
    <row r="285" spans="1:16" ht="24" hidden="1" customHeight="1" x14ac:dyDescent="0.25">
      <c r="A285" s="248">
        <v>9230</v>
      </c>
      <c r="B285" s="89" t="s">
        <v>301</v>
      </c>
      <c r="C285" s="143">
        <f t="shared" si="109"/>
        <v>0</v>
      </c>
      <c r="D285" s="810"/>
      <c r="E285" s="811"/>
      <c r="F285" s="781">
        <f>D285+E285</f>
        <v>0</v>
      </c>
      <c r="G285" s="780"/>
      <c r="H285" s="727"/>
      <c r="I285" s="781">
        <f>G285+H285</f>
        <v>0</v>
      </c>
      <c r="J285" s="780"/>
      <c r="K285" s="727"/>
      <c r="L285" s="781">
        <f>K285+J285</f>
        <v>0</v>
      </c>
      <c r="M285" s="144"/>
      <c r="N285" s="145"/>
      <c r="O285" s="141">
        <f>N285+M285</f>
        <v>0</v>
      </c>
      <c r="P285" s="129"/>
    </row>
    <row r="286" spans="1:16" hidden="1" x14ac:dyDescent="0.25">
      <c r="A286" s="201"/>
      <c r="B286" s="89" t="s">
        <v>302</v>
      </c>
      <c r="C286" s="90">
        <f t="shared" si="109"/>
        <v>0</v>
      </c>
      <c r="D286" s="806">
        <f t="shared" ref="D286:O286" si="113">SUM(D287:D288)</f>
        <v>0</v>
      </c>
      <c r="E286" s="365">
        <f t="shared" si="113"/>
        <v>0</v>
      </c>
      <c r="F286" s="350">
        <f t="shared" si="113"/>
        <v>0</v>
      </c>
      <c r="G286" s="806">
        <f t="shared" si="113"/>
        <v>0</v>
      </c>
      <c r="H286" s="365">
        <f t="shared" si="113"/>
        <v>0</v>
      </c>
      <c r="I286" s="350">
        <f t="shared" si="113"/>
        <v>0</v>
      </c>
      <c r="J286" s="806">
        <f t="shared" si="113"/>
        <v>0</v>
      </c>
      <c r="K286" s="365">
        <f t="shared" si="113"/>
        <v>0</v>
      </c>
      <c r="L286" s="350">
        <f t="shared" si="113"/>
        <v>0</v>
      </c>
      <c r="M286" s="190">
        <f t="shared" si="113"/>
        <v>0</v>
      </c>
      <c r="N286" s="191">
        <f t="shared" si="113"/>
        <v>0</v>
      </c>
      <c r="O286" s="55">
        <f t="shared" si="113"/>
        <v>0</v>
      </c>
      <c r="P286" s="57"/>
    </row>
    <row r="287" spans="1:16" ht="12" hidden="1" customHeight="1" x14ac:dyDescent="0.25">
      <c r="A287" s="201" t="s">
        <v>303</v>
      </c>
      <c r="B287" s="51" t="s">
        <v>304</v>
      </c>
      <c r="C287" s="90">
        <f t="shared" si="109"/>
        <v>0</v>
      </c>
      <c r="D287" s="352"/>
      <c r="E287" s="353"/>
      <c r="F287" s="350">
        <f>D287+E287</f>
        <v>0</v>
      </c>
      <c r="G287" s="348"/>
      <c r="H287" s="349"/>
      <c r="I287" s="350">
        <f>G287+H287</f>
        <v>0</v>
      </c>
      <c r="J287" s="348"/>
      <c r="K287" s="349"/>
      <c r="L287" s="350">
        <f>K287+J287</f>
        <v>0</v>
      </c>
      <c r="M287" s="53"/>
      <c r="N287" s="54"/>
      <c r="O287" s="55">
        <f>N287+M287</f>
        <v>0</v>
      </c>
      <c r="P287" s="57"/>
    </row>
    <row r="288" spans="1:16" ht="24" hidden="1" customHeight="1" x14ac:dyDescent="0.25">
      <c r="A288" s="201" t="s">
        <v>305</v>
      </c>
      <c r="B288" s="249" t="s">
        <v>306</v>
      </c>
      <c r="C288" s="83">
        <f t="shared" si="109"/>
        <v>0</v>
      </c>
      <c r="D288" s="489"/>
      <c r="E288" s="490"/>
      <c r="F288" s="491">
        <f>D288+E288</f>
        <v>0</v>
      </c>
      <c r="G288" s="460"/>
      <c r="H288" s="461"/>
      <c r="I288" s="491">
        <f>G288+H288</f>
        <v>0</v>
      </c>
      <c r="J288" s="460"/>
      <c r="K288" s="461"/>
      <c r="L288" s="491">
        <f>K288+J288</f>
        <v>0</v>
      </c>
      <c r="M288" s="46"/>
      <c r="N288" s="47"/>
      <c r="O288" s="134">
        <f>N288+M288</f>
        <v>0</v>
      </c>
      <c r="P288" s="49"/>
    </row>
    <row r="289" spans="1:17" ht="15.75" thickBot="1" x14ac:dyDescent="0.3">
      <c r="A289" s="250"/>
      <c r="B289" s="250" t="s">
        <v>307</v>
      </c>
      <c r="C289" s="251">
        <f t="shared" si="109"/>
        <v>580480</v>
      </c>
      <c r="D289" s="841">
        <f t="shared" ref="D289:O289" si="114">SUM(D286,D269,D230,D195,D187,D173,D75,D53,D283)</f>
        <v>322431</v>
      </c>
      <c r="E289" s="842">
        <f t="shared" si="114"/>
        <v>0</v>
      </c>
      <c r="F289" s="843">
        <f t="shared" si="114"/>
        <v>322431</v>
      </c>
      <c r="G289" s="841">
        <f t="shared" si="114"/>
        <v>187236</v>
      </c>
      <c r="H289" s="842">
        <f t="shared" si="114"/>
        <v>2874</v>
      </c>
      <c r="I289" s="843">
        <f t="shared" si="114"/>
        <v>190110</v>
      </c>
      <c r="J289" s="841">
        <f t="shared" si="114"/>
        <v>67939</v>
      </c>
      <c r="K289" s="842">
        <f t="shared" si="114"/>
        <v>0</v>
      </c>
      <c r="L289" s="843">
        <f t="shared" si="114"/>
        <v>67939</v>
      </c>
      <c r="M289" s="252">
        <f t="shared" si="114"/>
        <v>0</v>
      </c>
      <c r="N289" s="253">
        <f t="shared" si="114"/>
        <v>0</v>
      </c>
      <c r="O289" s="254">
        <f t="shared" si="114"/>
        <v>0</v>
      </c>
      <c r="P289" s="255"/>
    </row>
    <row r="290" spans="1:17" s="28" customFormat="1" ht="13.5" thickTop="1" thickBot="1" x14ac:dyDescent="0.3">
      <c r="A290" s="1544" t="s">
        <v>308</v>
      </c>
      <c r="B290" s="1545"/>
      <c r="C290" s="256">
        <f t="shared" si="109"/>
        <v>-243</v>
      </c>
      <c r="D290" s="844">
        <f t="shared" ref="D290:I290" si="115">SUM(D24,D25,D41)-D51</f>
        <v>0</v>
      </c>
      <c r="E290" s="845">
        <f t="shared" si="115"/>
        <v>0</v>
      </c>
      <c r="F290" s="846">
        <f t="shared" si="115"/>
        <v>0</v>
      </c>
      <c r="G290" s="844">
        <f t="shared" si="115"/>
        <v>0</v>
      </c>
      <c r="H290" s="845">
        <f t="shared" si="115"/>
        <v>0</v>
      </c>
      <c r="I290" s="846">
        <f t="shared" si="115"/>
        <v>0</v>
      </c>
      <c r="J290" s="844">
        <f>(J26+J43)-J51</f>
        <v>-243</v>
      </c>
      <c r="K290" s="845">
        <f>(K26+K43)-K51</f>
        <v>0</v>
      </c>
      <c r="L290" s="846">
        <f>(L26+L43)-L51</f>
        <v>-243</v>
      </c>
      <c r="M290" s="257">
        <f>M45-M51</f>
        <v>0</v>
      </c>
      <c r="N290" s="258">
        <f>N45-N51</f>
        <v>0</v>
      </c>
      <c r="O290" s="259">
        <f>O45-O51</f>
        <v>0</v>
      </c>
      <c r="P290" s="260"/>
    </row>
    <row r="291" spans="1:17" s="28" customFormat="1" ht="12.75" thickTop="1" x14ac:dyDescent="0.25">
      <c r="A291" s="1546" t="s">
        <v>309</v>
      </c>
      <c r="B291" s="1547"/>
      <c r="C291" s="261">
        <f t="shared" si="109"/>
        <v>243</v>
      </c>
      <c r="D291" s="847">
        <f t="shared" ref="D291:O291" si="116">SUM(D292,D293)-D300+D301</f>
        <v>0</v>
      </c>
      <c r="E291" s="848">
        <f t="shared" si="116"/>
        <v>0</v>
      </c>
      <c r="F291" s="849">
        <f t="shared" si="116"/>
        <v>0</v>
      </c>
      <c r="G291" s="847">
        <f t="shared" si="116"/>
        <v>0</v>
      </c>
      <c r="H291" s="848">
        <f t="shared" si="116"/>
        <v>0</v>
      </c>
      <c r="I291" s="849">
        <f t="shared" si="116"/>
        <v>0</v>
      </c>
      <c r="J291" s="847">
        <f t="shared" si="116"/>
        <v>243</v>
      </c>
      <c r="K291" s="848">
        <f t="shared" si="116"/>
        <v>0</v>
      </c>
      <c r="L291" s="849">
        <f t="shared" si="116"/>
        <v>243</v>
      </c>
      <c r="M291" s="262">
        <f t="shared" si="116"/>
        <v>0</v>
      </c>
      <c r="N291" s="263">
        <f t="shared" si="116"/>
        <v>0</v>
      </c>
      <c r="O291" s="264">
        <f t="shared" si="116"/>
        <v>0</v>
      </c>
      <c r="P291" s="265"/>
    </row>
    <row r="292" spans="1:17" s="28" customFormat="1" ht="12.75" thickBot="1" x14ac:dyDescent="0.3">
      <c r="A292" s="157" t="s">
        <v>310</v>
      </c>
      <c r="B292" s="157" t="s">
        <v>311</v>
      </c>
      <c r="C292" s="158">
        <f t="shared" si="109"/>
        <v>243</v>
      </c>
      <c r="D292" s="785">
        <f t="shared" ref="D292:O292" si="117">D21-D286</f>
        <v>0</v>
      </c>
      <c r="E292" s="786">
        <f t="shared" si="117"/>
        <v>0</v>
      </c>
      <c r="F292" s="787">
        <f t="shared" si="117"/>
        <v>0</v>
      </c>
      <c r="G292" s="785">
        <f t="shared" si="117"/>
        <v>0</v>
      </c>
      <c r="H292" s="786">
        <f t="shared" si="117"/>
        <v>0</v>
      </c>
      <c r="I292" s="787">
        <f t="shared" si="117"/>
        <v>0</v>
      </c>
      <c r="J292" s="785">
        <f t="shared" si="117"/>
        <v>243</v>
      </c>
      <c r="K292" s="786">
        <f t="shared" si="117"/>
        <v>0</v>
      </c>
      <c r="L292" s="787">
        <f t="shared" si="117"/>
        <v>243</v>
      </c>
      <c r="M292" s="159">
        <f t="shared" si="117"/>
        <v>0</v>
      </c>
      <c r="N292" s="160">
        <f t="shared" si="117"/>
        <v>0</v>
      </c>
      <c r="O292" s="161">
        <f t="shared" si="117"/>
        <v>0</v>
      </c>
      <c r="P292" s="35"/>
    </row>
    <row r="293" spans="1:17" s="28" customFormat="1" ht="12.75" hidden="1" thickTop="1" x14ac:dyDescent="0.25">
      <c r="A293" s="266" t="s">
        <v>312</v>
      </c>
      <c r="B293" s="266" t="s">
        <v>313</v>
      </c>
      <c r="C293" s="261">
        <f t="shared" si="109"/>
        <v>0</v>
      </c>
      <c r="D293" s="847">
        <f t="shared" ref="D293:O293" si="118">SUM(D294,D296,D298)-SUM(D295,D297,D299)</f>
        <v>0</v>
      </c>
      <c r="E293" s="848">
        <f t="shared" si="118"/>
        <v>0</v>
      </c>
      <c r="F293" s="849">
        <f t="shared" si="118"/>
        <v>0</v>
      </c>
      <c r="G293" s="847">
        <f t="shared" si="118"/>
        <v>0</v>
      </c>
      <c r="H293" s="848">
        <f t="shared" si="118"/>
        <v>0</v>
      </c>
      <c r="I293" s="849">
        <f t="shared" si="118"/>
        <v>0</v>
      </c>
      <c r="J293" s="847">
        <f t="shared" si="118"/>
        <v>0</v>
      </c>
      <c r="K293" s="848">
        <f t="shared" si="118"/>
        <v>0</v>
      </c>
      <c r="L293" s="849">
        <f t="shared" si="118"/>
        <v>0</v>
      </c>
      <c r="M293" s="262">
        <f t="shared" si="118"/>
        <v>0</v>
      </c>
      <c r="N293" s="263">
        <f t="shared" si="118"/>
        <v>0</v>
      </c>
      <c r="O293" s="264">
        <f t="shared" si="118"/>
        <v>0</v>
      </c>
      <c r="P293" s="265"/>
    </row>
    <row r="294" spans="1:17" ht="12" hidden="1" customHeight="1" x14ac:dyDescent="0.25">
      <c r="A294" s="267" t="s">
        <v>314</v>
      </c>
      <c r="B294" s="142" t="s">
        <v>315</v>
      </c>
      <c r="C294" s="98">
        <f t="shared" si="109"/>
        <v>0</v>
      </c>
      <c r="D294" s="831"/>
      <c r="E294" s="832"/>
      <c r="F294" s="833">
        <f t="shared" ref="F294:F301" si="119">D294+E294</f>
        <v>0</v>
      </c>
      <c r="G294" s="769"/>
      <c r="H294" s="770"/>
      <c r="I294" s="833">
        <f t="shared" ref="I294:I301" si="120">G294+H294</f>
        <v>0</v>
      </c>
      <c r="J294" s="769"/>
      <c r="K294" s="770"/>
      <c r="L294" s="833">
        <f t="shared" ref="L294:L301" si="121">K294+J294</f>
        <v>0</v>
      </c>
      <c r="M294" s="102"/>
      <c r="N294" s="103"/>
      <c r="O294" s="239">
        <f t="shared" ref="O294:O301" si="122">N294+M294</f>
        <v>0</v>
      </c>
      <c r="P294" s="107"/>
    </row>
    <row r="295" spans="1:17" ht="24" hidden="1" customHeight="1" x14ac:dyDescent="0.25">
      <c r="A295" s="201" t="s">
        <v>316</v>
      </c>
      <c r="B295" s="50" t="s">
        <v>317</v>
      </c>
      <c r="C295" s="90">
        <f t="shared" si="109"/>
        <v>0</v>
      </c>
      <c r="D295" s="352"/>
      <c r="E295" s="353"/>
      <c r="F295" s="350">
        <f t="shared" si="119"/>
        <v>0</v>
      </c>
      <c r="G295" s="348"/>
      <c r="H295" s="349"/>
      <c r="I295" s="350">
        <f t="shared" si="120"/>
        <v>0</v>
      </c>
      <c r="J295" s="348"/>
      <c r="K295" s="349"/>
      <c r="L295" s="350">
        <f t="shared" si="121"/>
        <v>0</v>
      </c>
      <c r="M295" s="53"/>
      <c r="N295" s="54"/>
      <c r="O295" s="55">
        <f t="shared" si="122"/>
        <v>0</v>
      </c>
      <c r="P295" s="57"/>
    </row>
    <row r="296" spans="1:17" ht="12" hidden="1" customHeight="1" x14ac:dyDescent="0.25">
      <c r="A296" s="201" t="s">
        <v>318</v>
      </c>
      <c r="B296" s="50" t="s">
        <v>319</v>
      </c>
      <c r="C296" s="90">
        <f t="shared" si="109"/>
        <v>0</v>
      </c>
      <c r="D296" s="352"/>
      <c r="E296" s="353"/>
      <c r="F296" s="350">
        <f t="shared" si="119"/>
        <v>0</v>
      </c>
      <c r="G296" s="348"/>
      <c r="H296" s="349"/>
      <c r="I296" s="350">
        <f t="shared" si="120"/>
        <v>0</v>
      </c>
      <c r="J296" s="348"/>
      <c r="K296" s="349"/>
      <c r="L296" s="350">
        <f t="shared" si="121"/>
        <v>0</v>
      </c>
      <c r="M296" s="53"/>
      <c r="N296" s="54"/>
      <c r="O296" s="55">
        <f t="shared" si="122"/>
        <v>0</v>
      </c>
      <c r="P296" s="57"/>
    </row>
    <row r="297" spans="1:17" ht="24" hidden="1" customHeight="1" x14ac:dyDescent="0.25">
      <c r="A297" s="201" t="s">
        <v>320</v>
      </c>
      <c r="B297" s="50" t="s">
        <v>321</v>
      </c>
      <c r="C297" s="90">
        <f t="shared" si="109"/>
        <v>0</v>
      </c>
      <c r="D297" s="352"/>
      <c r="E297" s="353"/>
      <c r="F297" s="350">
        <f t="shared" si="119"/>
        <v>0</v>
      </c>
      <c r="G297" s="348"/>
      <c r="H297" s="349"/>
      <c r="I297" s="350">
        <f t="shared" si="120"/>
        <v>0</v>
      </c>
      <c r="J297" s="348"/>
      <c r="K297" s="349"/>
      <c r="L297" s="350">
        <f t="shared" si="121"/>
        <v>0</v>
      </c>
      <c r="M297" s="53"/>
      <c r="N297" s="54"/>
      <c r="O297" s="55">
        <f t="shared" si="122"/>
        <v>0</v>
      </c>
      <c r="P297" s="57"/>
    </row>
    <row r="298" spans="1:17" ht="12" hidden="1" customHeight="1" x14ac:dyDescent="0.25">
      <c r="A298" s="201" t="s">
        <v>322</v>
      </c>
      <c r="B298" s="50" t="s">
        <v>323</v>
      </c>
      <c r="C298" s="90">
        <f t="shared" si="109"/>
        <v>0</v>
      </c>
      <c r="D298" s="352"/>
      <c r="E298" s="353"/>
      <c r="F298" s="350">
        <f t="shared" si="119"/>
        <v>0</v>
      </c>
      <c r="G298" s="348"/>
      <c r="H298" s="349"/>
      <c r="I298" s="350">
        <f t="shared" si="120"/>
        <v>0</v>
      </c>
      <c r="J298" s="348"/>
      <c r="K298" s="349"/>
      <c r="L298" s="350">
        <f t="shared" si="121"/>
        <v>0</v>
      </c>
      <c r="M298" s="53"/>
      <c r="N298" s="54"/>
      <c r="O298" s="55">
        <f t="shared" si="122"/>
        <v>0</v>
      </c>
      <c r="P298" s="57"/>
    </row>
    <row r="299" spans="1:17" ht="24.75" hidden="1" customHeight="1" thickBot="1" x14ac:dyDescent="0.3">
      <c r="A299" s="268" t="s">
        <v>324</v>
      </c>
      <c r="B299" s="269" t="s">
        <v>325</v>
      </c>
      <c r="C299" s="209">
        <f t="shared" si="109"/>
        <v>0</v>
      </c>
      <c r="D299" s="814"/>
      <c r="E299" s="815"/>
      <c r="F299" s="816">
        <f t="shared" si="119"/>
        <v>0</v>
      </c>
      <c r="G299" s="817"/>
      <c r="H299" s="818"/>
      <c r="I299" s="816">
        <f t="shared" si="120"/>
        <v>0</v>
      </c>
      <c r="J299" s="817"/>
      <c r="K299" s="818"/>
      <c r="L299" s="816">
        <f t="shared" si="121"/>
        <v>0</v>
      </c>
      <c r="M299" s="214"/>
      <c r="N299" s="215"/>
      <c r="O299" s="213">
        <f t="shared" si="122"/>
        <v>0</v>
      </c>
      <c r="P299" s="216"/>
    </row>
    <row r="300" spans="1:17" s="28" customFormat="1" ht="13.5" hidden="1" customHeight="1" thickTop="1" thickBot="1" x14ac:dyDescent="0.3">
      <c r="A300" s="270" t="s">
        <v>326</v>
      </c>
      <c r="B300" s="270" t="s">
        <v>327</v>
      </c>
      <c r="C300" s="256">
        <f t="shared" si="109"/>
        <v>0</v>
      </c>
      <c r="D300" s="850"/>
      <c r="E300" s="851"/>
      <c r="F300" s="846">
        <f t="shared" si="119"/>
        <v>0</v>
      </c>
      <c r="G300" s="850"/>
      <c r="H300" s="851"/>
      <c r="I300" s="852">
        <f t="shared" si="120"/>
        <v>0</v>
      </c>
      <c r="J300" s="850"/>
      <c r="K300" s="851"/>
      <c r="L300" s="852">
        <f t="shared" si="121"/>
        <v>0</v>
      </c>
      <c r="M300" s="271"/>
      <c r="N300" s="272"/>
      <c r="O300" s="273">
        <f t="shared" si="122"/>
        <v>0</v>
      </c>
      <c r="P300" s="274"/>
    </row>
    <row r="301" spans="1:17" s="28" customFormat="1" ht="48.75" hidden="1" customHeight="1" thickTop="1" x14ac:dyDescent="0.25">
      <c r="A301" s="266" t="s">
        <v>328</v>
      </c>
      <c r="B301" s="275" t="s">
        <v>329</v>
      </c>
      <c r="C301" s="261">
        <f t="shared" si="109"/>
        <v>0</v>
      </c>
      <c r="D301" s="812"/>
      <c r="E301" s="813"/>
      <c r="F301" s="756">
        <f t="shared" si="119"/>
        <v>0</v>
      </c>
      <c r="G301" s="812"/>
      <c r="H301" s="813"/>
      <c r="I301" s="756">
        <f t="shared" si="120"/>
        <v>0</v>
      </c>
      <c r="J301" s="812"/>
      <c r="K301" s="813"/>
      <c r="L301" s="756">
        <f t="shared" si="121"/>
        <v>0</v>
      </c>
      <c r="M301" s="205"/>
      <c r="N301" s="206"/>
      <c r="O301" s="73">
        <f t="shared" si="122"/>
        <v>0</v>
      </c>
      <c r="P301" s="77"/>
    </row>
    <row r="302" spans="1:17" s="4" customFormat="1" ht="15.75" thickTop="1" x14ac:dyDescent="0.25">
      <c r="A302" s="276"/>
      <c r="B302" s="276"/>
      <c r="C302" s="276"/>
      <c r="D302" s="730"/>
      <c r="E302" s="730"/>
      <c r="F302" s="730"/>
      <c r="G302" s="730"/>
      <c r="H302" s="730"/>
      <c r="I302" s="730"/>
      <c r="J302" s="730"/>
      <c r="K302" s="730"/>
      <c r="L302" s="730"/>
      <c r="M302" s="276"/>
      <c r="N302"/>
      <c r="O302"/>
      <c r="P302"/>
      <c r="Q302"/>
    </row>
  </sheetData>
  <sheetProtection algorithmName="SHA-512" hashValue="iRdAR893k+EG6QRbZXkX+6sC6Ogivc/e7aaKhhKEcxJm8G1EC99exZoM3e2oZn5gkK7GkSEONF1Osh9myTQMJg==" saltValue="kSUSJQ2TpgQxwEKIsVAFIA==" spinCount="100000" sheet="1" objects="1" scenarios="1" formatCells="0" formatColumns="0" formatRows="0" deleteColumns="0"/>
  <autoFilter ref="A18:P301">
    <filterColumn colId="2">
      <filters>
        <filter val="1 029"/>
        <filter val="1 117"/>
        <filter val="1 204"/>
        <filter val="1 206"/>
        <filter val="1 282"/>
        <filter val="1 408"/>
        <filter val="1 748"/>
        <filter val="1 750"/>
        <filter val="1 972"/>
        <filter val="100"/>
        <filter val="109"/>
        <filter val="12 103"/>
        <filter val="120"/>
        <filter val="122"/>
        <filter val="123 907"/>
        <filter val="13 515"/>
        <filter val="13 533"/>
        <filter val="15 778"/>
        <filter val="150"/>
        <filter val="16 942"/>
        <filter val="18 596"/>
        <filter val="189"/>
        <filter val="2 128"/>
        <filter val="2 278"/>
        <filter val="2 905"/>
        <filter val="2 923"/>
        <filter val="20"/>
        <filter val="22 821"/>
        <filter val="243"/>
        <filter val="-243"/>
        <filter val="25 520"/>
        <filter val="26"/>
        <filter val="3 005"/>
        <filter val="3 600"/>
        <filter val="3 717"/>
        <filter val="352 985"/>
        <filter val="37 308"/>
        <filter val="394 010"/>
        <filter val="4 050"/>
        <filter val="4 172"/>
        <filter val="4 525"/>
        <filter val="40"/>
        <filter val="41 551"/>
        <filter val="431"/>
        <filter val="450"/>
        <filter val="485"/>
        <filter val="5 010"/>
        <filter val="50"/>
        <filter val="500"/>
        <filter val="502"/>
        <filter val="51 111"/>
        <filter val="512 541"/>
        <filter val="517 917"/>
        <filter val="527"/>
        <filter val="576 430"/>
        <filter val="58 513"/>
        <filter val="580 480"/>
        <filter val="6 814"/>
        <filter val="623"/>
        <filter val="64 626"/>
        <filter val="649"/>
        <filter val="67 656"/>
        <filter val="8 464"/>
        <filter val="8 538"/>
        <filter val="800"/>
        <filter val="9 726"/>
        <filter val="9 835"/>
        <filter val="98 38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2019.gada 31.oktobra saistošajiem noteikumiem Nr.46
(protokols Nr.14, 28.punkts)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7" sqref="U7"/>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874</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896</v>
      </c>
      <c r="D3" s="1517"/>
      <c r="E3" s="1517"/>
      <c r="F3" s="1517"/>
      <c r="G3" s="1517"/>
      <c r="H3" s="1517"/>
      <c r="I3" s="1517"/>
      <c r="J3" s="1517"/>
      <c r="K3" s="1517"/>
      <c r="L3" s="1517"/>
      <c r="M3" s="1517"/>
      <c r="N3" s="1517"/>
      <c r="O3" s="1517"/>
      <c r="P3" s="1518"/>
      <c r="Q3" s="277"/>
    </row>
    <row r="4" spans="1:17" ht="12.75" customHeight="1" x14ac:dyDescent="0.25">
      <c r="A4" s="5" t="s">
        <v>4</v>
      </c>
      <c r="B4" s="6"/>
      <c r="C4" s="1517" t="s">
        <v>875</v>
      </c>
      <c r="D4" s="1517"/>
      <c r="E4" s="1517"/>
      <c r="F4" s="1517"/>
      <c r="G4" s="1517"/>
      <c r="H4" s="1517"/>
      <c r="I4" s="1517"/>
      <c r="J4" s="1517"/>
      <c r="K4" s="1517"/>
      <c r="L4" s="1517"/>
      <c r="M4" s="1517"/>
      <c r="N4" s="1517"/>
      <c r="O4" s="1517"/>
      <c r="P4" s="1518"/>
      <c r="Q4" s="277"/>
    </row>
    <row r="5" spans="1:17" ht="12.75" customHeight="1" x14ac:dyDescent="0.25">
      <c r="A5" s="7" t="s">
        <v>6</v>
      </c>
      <c r="B5" s="8"/>
      <c r="C5" s="1512" t="s">
        <v>876</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877</v>
      </c>
      <c r="D9" s="1512"/>
      <c r="E9" s="1512"/>
      <c r="F9" s="1512"/>
      <c r="G9" s="1512"/>
      <c r="H9" s="1512"/>
      <c r="I9" s="1512"/>
      <c r="J9" s="1512"/>
      <c r="K9" s="1512"/>
      <c r="L9" s="1512"/>
      <c r="M9" s="1512"/>
      <c r="N9" s="1512"/>
      <c r="O9" s="1512"/>
      <c r="P9" s="1513"/>
      <c r="Q9" s="277"/>
    </row>
    <row r="10" spans="1:17" ht="12.75" customHeight="1" x14ac:dyDescent="0.25">
      <c r="A10" s="7"/>
      <c r="B10" s="8" t="s">
        <v>15</v>
      </c>
      <c r="C10" s="1512" t="s">
        <v>878</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879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1183680</v>
      </c>
      <c r="D20" s="32">
        <f>SUM(D21,D24,D25,D41,D43)</f>
        <v>551375</v>
      </c>
      <c r="E20" s="33">
        <f t="shared" ref="E20:F20" si="1">SUM(E21,E24,E25,E41,E43)</f>
        <v>-2000</v>
      </c>
      <c r="F20" s="34">
        <f t="shared" si="1"/>
        <v>549375</v>
      </c>
      <c r="G20" s="32">
        <f>SUM(G21,G24,G43)</f>
        <v>593920</v>
      </c>
      <c r="H20" s="33">
        <f t="shared" ref="H20:I20" si="2">SUM(H21,H24,H43)</f>
        <v>15958</v>
      </c>
      <c r="I20" s="34">
        <f t="shared" si="2"/>
        <v>609878</v>
      </c>
      <c r="J20" s="32">
        <f>SUM(J21,J26,J43)</f>
        <v>22427</v>
      </c>
      <c r="K20" s="33">
        <f t="shared" ref="K20:L20" si="3">SUM(K21,K26,K43)</f>
        <v>2000</v>
      </c>
      <c r="L20" s="34">
        <f t="shared" si="3"/>
        <v>24427</v>
      </c>
      <c r="M20" s="32">
        <f>SUM(M21,M45)</f>
        <v>0</v>
      </c>
      <c r="N20" s="33">
        <f t="shared" ref="N20:O20" si="4">SUM(N21,N45)</f>
        <v>0</v>
      </c>
      <c r="O20" s="34">
        <f t="shared" si="4"/>
        <v>0</v>
      </c>
      <c r="P20" s="35"/>
    </row>
    <row r="21" spans="1:16" ht="12.75" thickTop="1" x14ac:dyDescent="0.25">
      <c r="A21" s="36"/>
      <c r="B21" s="37" t="s">
        <v>39</v>
      </c>
      <c r="C21" s="38">
        <f t="shared" si="0"/>
        <v>5401</v>
      </c>
      <c r="D21" s="39">
        <f>SUM(D22:D23)</f>
        <v>0</v>
      </c>
      <c r="E21" s="40">
        <f t="shared" ref="E21:F21" si="5">SUM(E22:E23)</f>
        <v>0</v>
      </c>
      <c r="F21" s="41">
        <f t="shared" si="5"/>
        <v>0</v>
      </c>
      <c r="G21" s="39">
        <f>SUM(G22:G23)</f>
        <v>0</v>
      </c>
      <c r="H21" s="40">
        <f t="shared" ref="H21:I21" si="6">SUM(H22:H23)</f>
        <v>0</v>
      </c>
      <c r="I21" s="41">
        <f t="shared" si="6"/>
        <v>0</v>
      </c>
      <c r="J21" s="39">
        <f>SUM(J22:J23)</f>
        <v>5401</v>
      </c>
      <c r="K21" s="40">
        <f t="shared" ref="K21:L21" si="7">SUM(K22:K23)</f>
        <v>0</v>
      </c>
      <c r="L21" s="41">
        <f t="shared" si="7"/>
        <v>5401</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5401</v>
      </c>
      <c r="D23" s="53"/>
      <c r="E23" s="54"/>
      <c r="F23" s="55">
        <f t="shared" ref="F23:F25" si="9">D23+E23</f>
        <v>0</v>
      </c>
      <c r="G23" s="53"/>
      <c r="H23" s="54"/>
      <c r="I23" s="55">
        <f t="shared" ref="I23:I24" si="10">G23+H23</f>
        <v>0</v>
      </c>
      <c r="J23" s="53">
        <v>5401</v>
      </c>
      <c r="K23" s="54"/>
      <c r="L23" s="56">
        <f>K23+J23</f>
        <v>5401</v>
      </c>
      <c r="M23" s="53"/>
      <c r="N23" s="54"/>
      <c r="O23" s="55">
        <f>N23+M23</f>
        <v>0</v>
      </c>
      <c r="P23" s="57"/>
    </row>
    <row r="24" spans="1:16" s="28" customFormat="1" ht="39.75" customHeight="1" thickBot="1" x14ac:dyDescent="0.3">
      <c r="A24" s="58">
        <v>19300</v>
      </c>
      <c r="B24" s="58" t="s">
        <v>42</v>
      </c>
      <c r="C24" s="59">
        <f>F24+I24</f>
        <v>1159253</v>
      </c>
      <c r="D24" s="60">
        <v>551375</v>
      </c>
      <c r="E24" s="63">
        <v>-2000</v>
      </c>
      <c r="F24" s="62">
        <f t="shared" si="9"/>
        <v>549375</v>
      </c>
      <c r="G24" s="60">
        <v>593920</v>
      </c>
      <c r="H24" s="63">
        <v>15958</v>
      </c>
      <c r="I24" s="62">
        <f t="shared" si="10"/>
        <v>609878</v>
      </c>
      <c r="J24" s="64" t="s">
        <v>43</v>
      </c>
      <c r="K24" s="65" t="s">
        <v>43</v>
      </c>
      <c r="L24" s="66" t="s">
        <v>43</v>
      </c>
      <c r="M24" s="64" t="s">
        <v>43</v>
      </c>
      <c r="N24" s="65" t="s">
        <v>43</v>
      </c>
      <c r="O24" s="66" t="s">
        <v>43</v>
      </c>
      <c r="P24" s="67" t="s">
        <v>880</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19026</v>
      </c>
      <c r="D26" s="74" t="s">
        <v>43</v>
      </c>
      <c r="E26" s="75" t="s">
        <v>43</v>
      </c>
      <c r="F26" s="76" t="s">
        <v>43</v>
      </c>
      <c r="G26" s="74" t="s">
        <v>43</v>
      </c>
      <c r="H26" s="75" t="s">
        <v>43</v>
      </c>
      <c r="I26" s="76" t="s">
        <v>43</v>
      </c>
      <c r="J26" s="78">
        <f>SUM(J27,J31,J33,J36)</f>
        <v>17026</v>
      </c>
      <c r="K26" s="79">
        <f t="shared" ref="K26:L26" si="11">SUM(K27,K31,K33,K36)</f>
        <v>2000</v>
      </c>
      <c r="L26" s="80">
        <f t="shared" si="11"/>
        <v>19026</v>
      </c>
      <c r="M26" s="78" t="s">
        <v>43</v>
      </c>
      <c r="N26" s="79" t="s">
        <v>43</v>
      </c>
      <c r="O26" s="80" t="s">
        <v>43</v>
      </c>
      <c r="P26" s="49" t="s">
        <v>881</v>
      </c>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14826</v>
      </c>
      <c r="D33" s="74" t="s">
        <v>43</v>
      </c>
      <c r="E33" s="75" t="s">
        <v>43</v>
      </c>
      <c r="F33" s="76" t="s">
        <v>43</v>
      </c>
      <c r="G33" s="74" t="s">
        <v>43</v>
      </c>
      <c r="H33" s="75" t="s">
        <v>43</v>
      </c>
      <c r="I33" s="76" t="s">
        <v>43</v>
      </c>
      <c r="J33" s="78">
        <f>SUM(J34:J35)</f>
        <v>12826</v>
      </c>
      <c r="K33" s="79">
        <f t="shared" ref="K33:L33" si="17">SUM(K34:K35)</f>
        <v>2000</v>
      </c>
      <c r="L33" s="80">
        <f t="shared" si="17"/>
        <v>14826</v>
      </c>
      <c r="M33" s="78" t="s">
        <v>43</v>
      </c>
      <c r="N33" s="79" t="s">
        <v>43</v>
      </c>
      <c r="O33" s="80" t="s">
        <v>43</v>
      </c>
      <c r="P33" s="77"/>
    </row>
    <row r="34" spans="1:16" ht="29.25" customHeight="1" x14ac:dyDescent="0.25">
      <c r="A34" s="44">
        <v>21381</v>
      </c>
      <c r="B34" s="82" t="s">
        <v>53</v>
      </c>
      <c r="C34" s="83">
        <f t="shared" si="16"/>
        <v>14826</v>
      </c>
      <c r="D34" s="84" t="s">
        <v>43</v>
      </c>
      <c r="E34" s="85" t="s">
        <v>43</v>
      </c>
      <c r="F34" s="86" t="s">
        <v>43</v>
      </c>
      <c r="G34" s="84" t="s">
        <v>43</v>
      </c>
      <c r="H34" s="85" t="s">
        <v>43</v>
      </c>
      <c r="I34" s="86" t="s">
        <v>43</v>
      </c>
      <c r="J34" s="46">
        <v>12826</v>
      </c>
      <c r="K34" s="47">
        <v>2000</v>
      </c>
      <c r="L34" s="48">
        <f t="shared" ref="L34:L35" si="18">K34+J34</f>
        <v>14826</v>
      </c>
      <c r="M34" s="87" t="s">
        <v>43</v>
      </c>
      <c r="N34" s="88" t="s">
        <v>43</v>
      </c>
      <c r="O34" s="48" t="s">
        <v>43</v>
      </c>
      <c r="P34" s="49" t="s">
        <v>882</v>
      </c>
    </row>
    <row r="35" spans="1:16" ht="24" hidden="1" customHeight="1" x14ac:dyDescent="0.25">
      <c r="A35" s="210">
        <v>21383</v>
      </c>
      <c r="B35" s="227" t="s">
        <v>54</v>
      </c>
      <c r="C35" s="209">
        <f t="shared" si="16"/>
        <v>0</v>
      </c>
      <c r="D35" s="1015" t="s">
        <v>43</v>
      </c>
      <c r="E35" s="1016" t="s">
        <v>43</v>
      </c>
      <c r="F35" s="1017" t="s">
        <v>43</v>
      </c>
      <c r="G35" s="1015" t="s">
        <v>43</v>
      </c>
      <c r="H35" s="1016" t="s">
        <v>43</v>
      </c>
      <c r="I35" s="1017" t="s">
        <v>43</v>
      </c>
      <c r="J35" s="214"/>
      <c r="K35" s="215"/>
      <c r="L35" s="1003">
        <f t="shared" si="18"/>
        <v>0</v>
      </c>
      <c r="M35" s="1001" t="s">
        <v>43</v>
      </c>
      <c r="N35" s="1002" t="s">
        <v>43</v>
      </c>
      <c r="O35" s="1003" t="s">
        <v>43</v>
      </c>
      <c r="P35" s="216"/>
    </row>
    <row r="36" spans="1:16" s="28" customFormat="1" ht="25.5" customHeight="1" x14ac:dyDescent="0.25">
      <c r="A36" s="1004">
        <v>21390</v>
      </c>
      <c r="B36" s="217" t="s">
        <v>55</v>
      </c>
      <c r="C36" s="218">
        <f t="shared" si="16"/>
        <v>4200</v>
      </c>
      <c r="D36" s="1018" t="s">
        <v>43</v>
      </c>
      <c r="E36" s="1019" t="s">
        <v>43</v>
      </c>
      <c r="F36" s="1020" t="s">
        <v>43</v>
      </c>
      <c r="G36" s="1018" t="s">
        <v>43</v>
      </c>
      <c r="H36" s="1019" t="s">
        <v>43</v>
      </c>
      <c r="I36" s="1020" t="s">
        <v>43</v>
      </c>
      <c r="J36" s="1011">
        <f>SUM(J37:J40)</f>
        <v>4200</v>
      </c>
      <c r="K36" s="1012">
        <f t="shared" ref="K36:L36" si="19">SUM(K37:K40)</f>
        <v>0</v>
      </c>
      <c r="L36" s="1013">
        <f t="shared" si="19"/>
        <v>4200</v>
      </c>
      <c r="M36" s="1011" t="s">
        <v>43</v>
      </c>
      <c r="N36" s="1012" t="s">
        <v>43</v>
      </c>
      <c r="O36" s="1013" t="s">
        <v>43</v>
      </c>
      <c r="P36" s="222"/>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4200</v>
      </c>
      <c r="D40" s="111" t="s">
        <v>43</v>
      </c>
      <c r="E40" s="112" t="s">
        <v>43</v>
      </c>
      <c r="F40" s="113" t="s">
        <v>43</v>
      </c>
      <c r="G40" s="111" t="s">
        <v>43</v>
      </c>
      <c r="H40" s="112" t="s">
        <v>43</v>
      </c>
      <c r="I40" s="113" t="s">
        <v>43</v>
      </c>
      <c r="J40" s="114">
        <v>4200</v>
      </c>
      <c r="K40" s="115"/>
      <c r="L40" s="116">
        <f t="shared" si="20"/>
        <v>4200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1183680</v>
      </c>
      <c r="D50" s="159">
        <f>SUM(D51,D286)</f>
        <v>551375</v>
      </c>
      <c r="E50" s="160">
        <f t="shared" ref="E50:F50" si="26">SUM(E51,E286)</f>
        <v>-2000</v>
      </c>
      <c r="F50" s="161">
        <f t="shared" si="26"/>
        <v>549375</v>
      </c>
      <c r="G50" s="159">
        <f>SUM(G51,G286)</f>
        <v>593920</v>
      </c>
      <c r="H50" s="160">
        <f>SUM(H51,H286)</f>
        <v>15958</v>
      </c>
      <c r="I50" s="161">
        <f t="shared" ref="I50" si="27">SUM(I51,I286)</f>
        <v>609878</v>
      </c>
      <c r="J50" s="32">
        <f>SUM(J51,J286)</f>
        <v>22427</v>
      </c>
      <c r="K50" s="33">
        <f t="shared" ref="K50:L50" si="28">SUM(K51,K286)</f>
        <v>2000</v>
      </c>
      <c r="L50" s="34">
        <f t="shared" si="28"/>
        <v>24427</v>
      </c>
      <c r="M50" s="32">
        <f>SUM(M51,M286)</f>
        <v>0</v>
      </c>
      <c r="N50" s="33">
        <f t="shared" ref="N50:O50" si="29">SUM(N51,N286)</f>
        <v>0</v>
      </c>
      <c r="O50" s="34">
        <f t="shared" si="29"/>
        <v>0</v>
      </c>
      <c r="P50" s="35"/>
    </row>
    <row r="51" spans="1:16" s="28" customFormat="1" ht="36.75" thickTop="1" x14ac:dyDescent="0.25">
      <c r="A51" s="162"/>
      <c r="B51" s="163" t="s">
        <v>69</v>
      </c>
      <c r="C51" s="164">
        <f t="shared" si="0"/>
        <v>1183680</v>
      </c>
      <c r="D51" s="165">
        <f>SUM(D52,D194)</f>
        <v>551375</v>
      </c>
      <c r="E51" s="166">
        <f t="shared" ref="E51:F51" si="30">SUM(E52,E194)</f>
        <v>-2000</v>
      </c>
      <c r="F51" s="167">
        <f t="shared" si="30"/>
        <v>549375</v>
      </c>
      <c r="G51" s="165">
        <f>SUM(G52,G194)</f>
        <v>593920</v>
      </c>
      <c r="H51" s="166">
        <f t="shared" ref="H51:I51" si="31">SUM(H52,H194)</f>
        <v>15958</v>
      </c>
      <c r="I51" s="167">
        <f t="shared" si="31"/>
        <v>609878</v>
      </c>
      <c r="J51" s="168">
        <f>SUM(J52,J194)</f>
        <v>22427</v>
      </c>
      <c r="K51" s="169">
        <f t="shared" ref="K51:L51" si="32">SUM(K52,K194)</f>
        <v>2000</v>
      </c>
      <c r="L51" s="170">
        <f t="shared" si="32"/>
        <v>24427</v>
      </c>
      <c r="M51" s="168">
        <f>SUM(M52,M194)</f>
        <v>0</v>
      </c>
      <c r="N51" s="169">
        <f t="shared" ref="N51:O51" si="33">SUM(N52,N194)</f>
        <v>0</v>
      </c>
      <c r="O51" s="170">
        <f t="shared" si="33"/>
        <v>0</v>
      </c>
      <c r="P51" s="171"/>
    </row>
    <row r="52" spans="1:16" s="28" customFormat="1" ht="24" x14ac:dyDescent="0.25">
      <c r="A52" s="24"/>
      <c r="B52" s="22" t="s">
        <v>70</v>
      </c>
      <c r="C52" s="172">
        <f t="shared" si="0"/>
        <v>1160293</v>
      </c>
      <c r="D52" s="173">
        <f>SUM(D53,D75,D173,D187)</f>
        <v>531488</v>
      </c>
      <c r="E52" s="174">
        <f t="shared" ref="E52:F52" si="34">SUM(E53,E75,E173,E187)</f>
        <v>-2000</v>
      </c>
      <c r="F52" s="175">
        <f t="shared" si="34"/>
        <v>529488</v>
      </c>
      <c r="G52" s="173">
        <f>SUM(G53,G75,G173,G187)</f>
        <v>590420</v>
      </c>
      <c r="H52" s="174">
        <f t="shared" ref="H52:I52" si="35">SUM(H53,H75,H173,H187)</f>
        <v>15958</v>
      </c>
      <c r="I52" s="175">
        <f t="shared" si="35"/>
        <v>606378</v>
      </c>
      <c r="J52" s="173">
        <f>SUM(J53,J75,J173,J187)</f>
        <v>22427</v>
      </c>
      <c r="K52" s="174">
        <f t="shared" ref="K52:L52" si="36">SUM(K53,K75,K173,K187)</f>
        <v>2000</v>
      </c>
      <c r="L52" s="175">
        <f t="shared" si="36"/>
        <v>24427</v>
      </c>
      <c r="M52" s="173">
        <f>SUM(M53,M75,M173,M187)</f>
        <v>0</v>
      </c>
      <c r="N52" s="174">
        <f t="shared" ref="N52:O52" si="37">SUM(N53,N75,N173,N187)</f>
        <v>0</v>
      </c>
      <c r="O52" s="175">
        <f t="shared" si="37"/>
        <v>0</v>
      </c>
      <c r="P52" s="176"/>
    </row>
    <row r="53" spans="1:16" s="28" customFormat="1" x14ac:dyDescent="0.25">
      <c r="A53" s="177">
        <v>1000</v>
      </c>
      <c r="B53" s="177" t="s">
        <v>71</v>
      </c>
      <c r="C53" s="178">
        <f t="shared" si="0"/>
        <v>1025763</v>
      </c>
      <c r="D53" s="179">
        <f>SUM(D54,D67)</f>
        <v>431567</v>
      </c>
      <c r="E53" s="180">
        <f t="shared" ref="E53:F53" si="38">SUM(E54,E67)</f>
        <v>0</v>
      </c>
      <c r="F53" s="181">
        <f t="shared" si="38"/>
        <v>431567</v>
      </c>
      <c r="G53" s="179">
        <f>SUM(G54,G67)</f>
        <v>581451</v>
      </c>
      <c r="H53" s="180">
        <f t="shared" ref="H53:I53" si="39">SUM(H54,H67)</f>
        <v>12745</v>
      </c>
      <c r="I53" s="181">
        <f t="shared" si="39"/>
        <v>594196</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769231</v>
      </c>
      <c r="D54" s="184">
        <f>SUM(D55,D58,D66)</f>
        <v>296998</v>
      </c>
      <c r="E54" s="185">
        <f t="shared" ref="E54:F54" si="42">SUM(E55,E58,E66)</f>
        <v>1197</v>
      </c>
      <c r="F54" s="73">
        <f t="shared" si="42"/>
        <v>298195</v>
      </c>
      <c r="G54" s="184">
        <f>SUM(G55,G58,G66)</f>
        <v>460552</v>
      </c>
      <c r="H54" s="185">
        <f t="shared" ref="H54:I54" si="43">SUM(H55,H58,H66)</f>
        <v>10484</v>
      </c>
      <c r="I54" s="73">
        <f t="shared" si="43"/>
        <v>471036</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718271</v>
      </c>
      <c r="D55" s="187">
        <f>SUM(D56:D57)</f>
        <v>250013</v>
      </c>
      <c r="E55" s="188">
        <f t="shared" ref="E55:F55" si="46">SUM(E56:E57)</f>
        <v>0</v>
      </c>
      <c r="F55" s="141">
        <f t="shared" si="46"/>
        <v>250013</v>
      </c>
      <c r="G55" s="187">
        <f>SUM(G56:G57)</f>
        <v>456276</v>
      </c>
      <c r="H55" s="188">
        <f t="shared" ref="H55:I55" si="47">SUM(H56:H57)</f>
        <v>11982</v>
      </c>
      <c r="I55" s="141">
        <f t="shared" si="47"/>
        <v>468258</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5.5" customHeight="1" x14ac:dyDescent="0.25">
      <c r="A57" s="51">
        <v>1119</v>
      </c>
      <c r="B57" s="89" t="s">
        <v>75</v>
      </c>
      <c r="C57" s="90">
        <f t="shared" si="0"/>
        <v>718271</v>
      </c>
      <c r="D57" s="53">
        <v>250013</v>
      </c>
      <c r="E57" s="54"/>
      <c r="F57" s="55">
        <f t="shared" si="50"/>
        <v>250013</v>
      </c>
      <c r="G57" s="53">
        <v>456276</v>
      </c>
      <c r="H57" s="54">
        <v>11982</v>
      </c>
      <c r="I57" s="55">
        <f t="shared" si="51"/>
        <v>468258</v>
      </c>
      <c r="J57" s="53"/>
      <c r="K57" s="54"/>
      <c r="L57" s="55">
        <f t="shared" si="52"/>
        <v>0</v>
      </c>
      <c r="M57" s="53"/>
      <c r="N57" s="54"/>
      <c r="O57" s="55">
        <f t="shared" si="53"/>
        <v>0</v>
      </c>
      <c r="P57" s="57" t="s">
        <v>883</v>
      </c>
    </row>
    <row r="58" spans="1:16" x14ac:dyDescent="0.25">
      <c r="A58" s="189">
        <v>1140</v>
      </c>
      <c r="B58" s="89" t="s">
        <v>76</v>
      </c>
      <c r="C58" s="90">
        <f t="shared" si="0"/>
        <v>48523</v>
      </c>
      <c r="D58" s="190">
        <f>SUM(D59:D65)</f>
        <v>44548</v>
      </c>
      <c r="E58" s="191">
        <f>SUM(E59:E65)</f>
        <v>1197</v>
      </c>
      <c r="F58" s="55">
        <f t="shared" ref="F58" si="54">SUM(F59:F65)</f>
        <v>45745</v>
      </c>
      <c r="G58" s="190">
        <f>SUM(G59:G65)</f>
        <v>4276</v>
      </c>
      <c r="H58" s="191">
        <f t="shared" ref="H58:I58" si="55">SUM(H59:H65)</f>
        <v>-1498</v>
      </c>
      <c r="I58" s="55">
        <f t="shared" si="55"/>
        <v>2778</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30.75" customHeight="1" x14ac:dyDescent="0.25">
      <c r="A60" s="51">
        <v>1142</v>
      </c>
      <c r="B60" s="89" t="s">
        <v>78</v>
      </c>
      <c r="C60" s="90">
        <f t="shared" si="0"/>
        <v>1041</v>
      </c>
      <c r="D60" s="53">
        <v>1029</v>
      </c>
      <c r="E60" s="54">
        <v>12</v>
      </c>
      <c r="F60" s="55">
        <f t="shared" si="58"/>
        <v>1041</v>
      </c>
      <c r="G60" s="53"/>
      <c r="H60" s="54"/>
      <c r="I60" s="55">
        <f t="shared" si="59"/>
        <v>0</v>
      </c>
      <c r="J60" s="53"/>
      <c r="K60" s="54"/>
      <c r="L60" s="55">
        <f t="shared" si="60"/>
        <v>0</v>
      </c>
      <c r="M60" s="53"/>
      <c r="N60" s="54"/>
      <c r="O60" s="55">
        <f t="shared" si="61"/>
        <v>0</v>
      </c>
      <c r="P60" s="57" t="s">
        <v>884</v>
      </c>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4424</v>
      </c>
      <c r="D63" s="53">
        <v>4424</v>
      </c>
      <c r="E63" s="54"/>
      <c r="F63" s="55">
        <f t="shared" si="58"/>
        <v>4424</v>
      </c>
      <c r="G63" s="53"/>
      <c r="H63" s="54"/>
      <c r="I63" s="55">
        <f t="shared" si="59"/>
        <v>0</v>
      </c>
      <c r="J63" s="53"/>
      <c r="K63" s="54"/>
      <c r="L63" s="55">
        <f t="shared" si="60"/>
        <v>0</v>
      </c>
      <c r="M63" s="53"/>
      <c r="N63" s="54"/>
      <c r="O63" s="55">
        <f t="shared" si="61"/>
        <v>0</v>
      </c>
      <c r="P63" s="57"/>
    </row>
    <row r="64" spans="1:16" ht="23.25" customHeight="1" x14ac:dyDescent="0.25">
      <c r="A64" s="51">
        <v>1148</v>
      </c>
      <c r="B64" s="89" t="s">
        <v>82</v>
      </c>
      <c r="C64" s="90">
        <f t="shared" si="0"/>
        <v>35748</v>
      </c>
      <c r="D64" s="53">
        <v>34563</v>
      </c>
      <c r="E64" s="54">
        <v>1185</v>
      </c>
      <c r="F64" s="55">
        <f t="shared" si="58"/>
        <v>35748</v>
      </c>
      <c r="G64" s="53"/>
      <c r="H64" s="54"/>
      <c r="I64" s="55">
        <f t="shared" si="59"/>
        <v>0</v>
      </c>
      <c r="J64" s="53"/>
      <c r="K64" s="54"/>
      <c r="L64" s="55">
        <f t="shared" si="60"/>
        <v>0</v>
      </c>
      <c r="M64" s="53"/>
      <c r="N64" s="54"/>
      <c r="O64" s="55">
        <f t="shared" si="61"/>
        <v>0</v>
      </c>
      <c r="P64" s="57" t="s">
        <v>885</v>
      </c>
    </row>
    <row r="65" spans="1:16" ht="29.25" customHeight="1" x14ac:dyDescent="0.25">
      <c r="A65" s="51">
        <v>1149</v>
      </c>
      <c r="B65" s="89" t="s">
        <v>83</v>
      </c>
      <c r="C65" s="90">
        <f t="shared" si="0"/>
        <v>3138</v>
      </c>
      <c r="D65" s="53">
        <v>360</v>
      </c>
      <c r="E65" s="54"/>
      <c r="F65" s="55">
        <f t="shared" si="58"/>
        <v>360</v>
      </c>
      <c r="G65" s="53">
        <v>4276</v>
      </c>
      <c r="H65" s="54">
        <v>-1498</v>
      </c>
      <c r="I65" s="55">
        <f t="shared" si="59"/>
        <v>2778</v>
      </c>
      <c r="J65" s="53"/>
      <c r="K65" s="54"/>
      <c r="L65" s="55">
        <f t="shared" si="60"/>
        <v>0</v>
      </c>
      <c r="M65" s="53"/>
      <c r="N65" s="54"/>
      <c r="O65" s="55">
        <f t="shared" si="61"/>
        <v>0</v>
      </c>
      <c r="P65" s="57" t="s">
        <v>886</v>
      </c>
    </row>
    <row r="66" spans="1:16" ht="36" customHeight="1" x14ac:dyDescent="0.25">
      <c r="A66" s="186">
        <v>1150</v>
      </c>
      <c r="B66" s="138" t="s">
        <v>84</v>
      </c>
      <c r="C66" s="143">
        <f t="shared" si="0"/>
        <v>2437</v>
      </c>
      <c r="D66" s="144">
        <v>2437</v>
      </c>
      <c r="E66" s="145"/>
      <c r="F66" s="141">
        <f t="shared" si="58"/>
        <v>2437</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256532</v>
      </c>
      <c r="D67" s="184">
        <f>SUM(D68:D69)</f>
        <v>134569</v>
      </c>
      <c r="E67" s="185">
        <f t="shared" ref="E67:F67" si="62">SUM(E68:E69)</f>
        <v>-1197</v>
      </c>
      <c r="F67" s="73">
        <f t="shared" si="62"/>
        <v>133372</v>
      </c>
      <c r="G67" s="184">
        <f>SUM(G68:G69)</f>
        <v>120899</v>
      </c>
      <c r="H67" s="185">
        <f t="shared" ref="H67:I67" si="63">SUM(H68:H69)</f>
        <v>2261</v>
      </c>
      <c r="I67" s="73">
        <f t="shared" si="63"/>
        <v>123160</v>
      </c>
      <c r="J67" s="184">
        <f>SUM(J68:J69)</f>
        <v>0</v>
      </c>
      <c r="K67" s="185">
        <f t="shared" ref="K67:L67" si="64">SUM(K68:K69)</f>
        <v>0</v>
      </c>
      <c r="L67" s="73">
        <f t="shared" si="64"/>
        <v>0</v>
      </c>
      <c r="M67" s="184">
        <f>SUM(M68:M69)</f>
        <v>0</v>
      </c>
      <c r="N67" s="185">
        <f t="shared" ref="N67:O67" si="65">SUM(N68:N69)</f>
        <v>0</v>
      </c>
      <c r="O67" s="73">
        <f t="shared" si="65"/>
        <v>0</v>
      </c>
      <c r="P67" s="77"/>
    </row>
    <row r="68" spans="1:16" ht="29.25" customHeight="1" x14ac:dyDescent="0.25">
      <c r="A68" s="606">
        <v>1210</v>
      </c>
      <c r="B68" s="82" t="s">
        <v>86</v>
      </c>
      <c r="C68" s="83">
        <f t="shared" si="0"/>
        <v>195635</v>
      </c>
      <c r="D68" s="46">
        <v>80495</v>
      </c>
      <c r="E68" s="47"/>
      <c r="F68" s="134">
        <f>D68+E68</f>
        <v>80495</v>
      </c>
      <c r="G68" s="46">
        <v>112879</v>
      </c>
      <c r="H68" s="47">
        <v>2261</v>
      </c>
      <c r="I68" s="134">
        <f>G68+H68</f>
        <v>115140</v>
      </c>
      <c r="J68" s="46"/>
      <c r="K68" s="47"/>
      <c r="L68" s="134">
        <f>K68+J68</f>
        <v>0</v>
      </c>
      <c r="M68" s="46"/>
      <c r="N68" s="47"/>
      <c r="O68" s="134">
        <f>N68+M68</f>
        <v>0</v>
      </c>
      <c r="P68" s="49" t="s">
        <v>887</v>
      </c>
    </row>
    <row r="69" spans="1:16" ht="22.5" customHeight="1" x14ac:dyDescent="0.25">
      <c r="A69" s="189">
        <v>1220</v>
      </c>
      <c r="B69" s="89" t="s">
        <v>87</v>
      </c>
      <c r="C69" s="90">
        <f t="shared" si="0"/>
        <v>60897</v>
      </c>
      <c r="D69" s="854">
        <f>SUM(D70:D74)</f>
        <v>54074</v>
      </c>
      <c r="E69" s="191">
        <f t="shared" ref="E69:F69" si="66">SUM(E70:E74)</f>
        <v>-1197</v>
      </c>
      <c r="F69" s="55">
        <f t="shared" si="66"/>
        <v>52877</v>
      </c>
      <c r="G69" s="190">
        <f>SUM(G70:G74)</f>
        <v>8020</v>
      </c>
      <c r="H69" s="191">
        <f t="shared" ref="H69:I69" si="67">SUM(H70:H74)</f>
        <v>0</v>
      </c>
      <c r="I69" s="55">
        <f t="shared" si="67"/>
        <v>8020</v>
      </c>
      <c r="J69" s="190">
        <f>SUM(J70:J74)</f>
        <v>0</v>
      </c>
      <c r="K69" s="191">
        <f t="shared" ref="K69:L69" si="68">SUM(K70:K74)</f>
        <v>0</v>
      </c>
      <c r="L69" s="55">
        <f t="shared" si="68"/>
        <v>0</v>
      </c>
      <c r="M69" s="190">
        <f>SUM(M70:M74)</f>
        <v>0</v>
      </c>
      <c r="N69" s="191">
        <f t="shared" ref="N69:O69" si="69">SUM(N70:N74)</f>
        <v>0</v>
      </c>
      <c r="O69" s="55">
        <f t="shared" si="69"/>
        <v>0</v>
      </c>
      <c r="P69" s="57"/>
    </row>
    <row r="70" spans="1:16" ht="54" customHeight="1" x14ac:dyDescent="0.25">
      <c r="A70" s="51">
        <v>1221</v>
      </c>
      <c r="B70" s="89" t="s">
        <v>88</v>
      </c>
      <c r="C70" s="90">
        <f t="shared" si="0"/>
        <v>43468</v>
      </c>
      <c r="D70" s="53">
        <v>37145</v>
      </c>
      <c r="E70" s="54">
        <v>-1697</v>
      </c>
      <c r="F70" s="55">
        <f t="shared" ref="F70:F74" si="70">D70+E70</f>
        <v>35448</v>
      </c>
      <c r="G70" s="53">
        <v>8020</v>
      </c>
      <c r="H70" s="54"/>
      <c r="I70" s="55">
        <f t="shared" ref="I70:I74" si="71">G70+H70</f>
        <v>8020</v>
      </c>
      <c r="J70" s="53"/>
      <c r="K70" s="54"/>
      <c r="L70" s="55">
        <f t="shared" ref="L70:L74" si="72">K70+J70</f>
        <v>0</v>
      </c>
      <c r="M70" s="53"/>
      <c r="N70" s="54"/>
      <c r="O70" s="55">
        <f t="shared" ref="O70:O74" si="73">N70+M70</f>
        <v>0</v>
      </c>
      <c r="P70" s="57" t="s">
        <v>888</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16429</v>
      </c>
      <c r="D73" s="53">
        <v>16429</v>
      </c>
      <c r="E73" s="54"/>
      <c r="F73" s="55">
        <f t="shared" si="70"/>
        <v>16429</v>
      </c>
      <c r="G73" s="53"/>
      <c r="H73" s="54"/>
      <c r="I73" s="55">
        <f t="shared" si="71"/>
        <v>0</v>
      </c>
      <c r="J73" s="53"/>
      <c r="K73" s="54"/>
      <c r="L73" s="55">
        <f t="shared" si="72"/>
        <v>0</v>
      </c>
      <c r="M73" s="53"/>
      <c r="N73" s="54"/>
      <c r="O73" s="55">
        <f t="shared" si="73"/>
        <v>0</v>
      </c>
      <c r="P73" s="57"/>
    </row>
    <row r="74" spans="1:16" ht="48" x14ac:dyDescent="0.25">
      <c r="A74" s="51">
        <v>1228</v>
      </c>
      <c r="B74" s="89" t="s">
        <v>92</v>
      </c>
      <c r="C74" s="90">
        <f t="shared" si="0"/>
        <v>1000</v>
      </c>
      <c r="D74" s="53">
        <v>500</v>
      </c>
      <c r="E74" s="54">
        <v>500</v>
      </c>
      <c r="F74" s="55">
        <f t="shared" si="70"/>
        <v>1000</v>
      </c>
      <c r="G74" s="53"/>
      <c r="H74" s="54"/>
      <c r="I74" s="55">
        <f t="shared" si="71"/>
        <v>0</v>
      </c>
      <c r="J74" s="53"/>
      <c r="K74" s="54"/>
      <c r="L74" s="55">
        <f t="shared" si="72"/>
        <v>0</v>
      </c>
      <c r="M74" s="53"/>
      <c r="N74" s="54"/>
      <c r="O74" s="55">
        <f t="shared" si="73"/>
        <v>0</v>
      </c>
      <c r="P74" s="57" t="s">
        <v>889</v>
      </c>
    </row>
    <row r="75" spans="1:16" x14ac:dyDescent="0.25">
      <c r="A75" s="177">
        <v>2000</v>
      </c>
      <c r="B75" s="177" t="s">
        <v>93</v>
      </c>
      <c r="C75" s="178">
        <f t="shared" si="0"/>
        <v>134530</v>
      </c>
      <c r="D75" s="179">
        <f>SUM(D76,D83,D130,D164,D165,D172)</f>
        <v>99921</v>
      </c>
      <c r="E75" s="180">
        <f t="shared" ref="E75:F75" si="74">SUM(E76,E83,E130,E164,E165,E172)</f>
        <v>-2000</v>
      </c>
      <c r="F75" s="181">
        <f t="shared" si="74"/>
        <v>97921</v>
      </c>
      <c r="G75" s="179">
        <f>SUM(G76,G83,G130,G164,G165,G172)</f>
        <v>8969</v>
      </c>
      <c r="H75" s="180">
        <f t="shared" ref="H75:I75" si="75">SUM(H76,H83,H130,H164,H165,H172)</f>
        <v>3213</v>
      </c>
      <c r="I75" s="181">
        <f t="shared" si="75"/>
        <v>12182</v>
      </c>
      <c r="J75" s="179">
        <f>SUM(J76,J83,J130,J164,J165,J172)</f>
        <v>22427</v>
      </c>
      <c r="K75" s="180">
        <f t="shared" ref="K75:L75" si="76">SUM(K76,K83,K130,K164,K165,K172)</f>
        <v>2000</v>
      </c>
      <c r="L75" s="181">
        <f t="shared" si="76"/>
        <v>24427</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0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97628</v>
      </c>
      <c r="D83" s="184">
        <f>SUM(D84,D89,D95,D103,D112,D116,D122,D128)</f>
        <v>69628</v>
      </c>
      <c r="E83" s="185">
        <f t="shared" ref="E83:F83" si="98">SUM(E84,E89,E95,E103,E112,E116,E122,E128)</f>
        <v>-2043</v>
      </c>
      <c r="F83" s="73">
        <f t="shared" si="98"/>
        <v>67585</v>
      </c>
      <c r="G83" s="184">
        <f>SUM(G84,G89,G95,G103,G112,G116,G122,G128)</f>
        <v>3213</v>
      </c>
      <c r="H83" s="185">
        <f t="shared" ref="H83:I83" si="99">SUM(H84,H89,H95,H103,H112,H116,H122,H128)</f>
        <v>3213</v>
      </c>
      <c r="I83" s="73">
        <f t="shared" si="99"/>
        <v>6426</v>
      </c>
      <c r="J83" s="184">
        <f>SUM(J84,J89,J95,J103,J112,J116,J122,J128)</f>
        <v>21617</v>
      </c>
      <c r="K83" s="185">
        <f t="shared" ref="K83:L83" si="100">SUM(K84,K89,K95,K103,K112,K116,K122,K128)</f>
        <v>2000</v>
      </c>
      <c r="L83" s="73">
        <f t="shared" si="100"/>
        <v>23617</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1509</v>
      </c>
      <c r="D84" s="187">
        <f>SUM(D85:D88)</f>
        <v>1509</v>
      </c>
      <c r="E84" s="188">
        <f t="shared" ref="E84:F84" si="103">SUM(E85:E88)</f>
        <v>0</v>
      </c>
      <c r="F84" s="141">
        <f t="shared" si="103"/>
        <v>1509</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1204</v>
      </c>
      <c r="D86" s="196">
        <v>1204</v>
      </c>
      <c r="E86" s="197"/>
      <c r="F86" s="55">
        <f t="shared" si="107"/>
        <v>1204</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255</v>
      </c>
      <c r="D87" s="196">
        <v>255</v>
      </c>
      <c r="E87" s="197"/>
      <c r="F87" s="55">
        <f t="shared" si="107"/>
        <v>255</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50</v>
      </c>
      <c r="D88" s="196">
        <v>50</v>
      </c>
      <c r="E88" s="197"/>
      <c r="F88" s="55">
        <f t="shared" si="107"/>
        <v>50</v>
      </c>
      <c r="G88" s="53"/>
      <c r="H88" s="54"/>
      <c r="I88" s="55">
        <f t="shared" si="108"/>
        <v>0</v>
      </c>
      <c r="J88" s="53"/>
      <c r="K88" s="54"/>
      <c r="L88" s="55">
        <f t="shared" si="109"/>
        <v>0</v>
      </c>
      <c r="M88" s="53"/>
      <c r="N88" s="54"/>
      <c r="O88" s="55">
        <f t="shared" si="110"/>
        <v>0</v>
      </c>
      <c r="P88" s="57"/>
    </row>
    <row r="89" spans="1:16" ht="33.75" customHeight="1" x14ac:dyDescent="0.25">
      <c r="A89" s="189">
        <v>2220</v>
      </c>
      <c r="B89" s="89" t="s">
        <v>105</v>
      </c>
      <c r="C89" s="90">
        <f t="shared" si="102"/>
        <v>75642</v>
      </c>
      <c r="D89" s="190">
        <f>SUM(D90:D94)</f>
        <v>54402</v>
      </c>
      <c r="E89" s="191">
        <f t="shared" ref="E89:F89" si="111">SUM(E90:E94)</f>
        <v>-2000</v>
      </c>
      <c r="F89" s="55">
        <f t="shared" si="111"/>
        <v>52402</v>
      </c>
      <c r="G89" s="190">
        <f>SUM(G90:G94)</f>
        <v>0</v>
      </c>
      <c r="H89" s="191">
        <f t="shared" ref="H89:I89" si="112">SUM(H90:H94)</f>
        <v>0</v>
      </c>
      <c r="I89" s="55">
        <f t="shared" si="112"/>
        <v>0</v>
      </c>
      <c r="J89" s="190">
        <f>SUM(J90:J94)</f>
        <v>21240</v>
      </c>
      <c r="K89" s="191">
        <f t="shared" ref="K89:L89" si="113">SUM(K90:K94)</f>
        <v>2000</v>
      </c>
      <c r="L89" s="55">
        <f t="shared" si="113"/>
        <v>23240</v>
      </c>
      <c r="M89" s="190">
        <f>SUM(M90:M94)</f>
        <v>0</v>
      </c>
      <c r="N89" s="191">
        <f t="shared" ref="N89:O89" si="114">SUM(N90:N94)</f>
        <v>0</v>
      </c>
      <c r="O89" s="55">
        <f t="shared" si="114"/>
        <v>0</v>
      </c>
      <c r="P89" s="57" t="s">
        <v>890</v>
      </c>
    </row>
    <row r="90" spans="1:16" ht="27.75" customHeight="1" x14ac:dyDescent="0.25">
      <c r="A90" s="51">
        <v>2221</v>
      </c>
      <c r="B90" s="89" t="s">
        <v>106</v>
      </c>
      <c r="C90" s="90">
        <f t="shared" si="102"/>
        <v>47797</v>
      </c>
      <c r="D90" s="196">
        <v>36490</v>
      </c>
      <c r="E90" s="197"/>
      <c r="F90" s="55">
        <f t="shared" ref="F90:F94" si="115">D90+E90</f>
        <v>36490</v>
      </c>
      <c r="G90" s="53"/>
      <c r="H90" s="54"/>
      <c r="I90" s="55">
        <f t="shared" ref="I90:I94" si="116">G90+H90</f>
        <v>0</v>
      </c>
      <c r="J90" s="53">
        <v>11307</v>
      </c>
      <c r="K90" s="54"/>
      <c r="L90" s="55">
        <f t="shared" ref="L90:L94" si="117">K90+J90</f>
        <v>11307</v>
      </c>
      <c r="M90" s="53"/>
      <c r="N90" s="54"/>
      <c r="O90" s="55">
        <f t="shared" ref="O90:O94" si="118">N90+M90</f>
        <v>0</v>
      </c>
      <c r="P90" s="57"/>
    </row>
    <row r="91" spans="1:16" ht="26.25" customHeight="1" x14ac:dyDescent="0.25">
      <c r="A91" s="51">
        <v>2222</v>
      </c>
      <c r="B91" s="89" t="s">
        <v>107</v>
      </c>
      <c r="C91" s="90">
        <f t="shared" si="102"/>
        <v>6268</v>
      </c>
      <c r="D91" s="196">
        <v>2648</v>
      </c>
      <c r="E91" s="197"/>
      <c r="F91" s="55">
        <f t="shared" si="115"/>
        <v>2648</v>
      </c>
      <c r="G91" s="53"/>
      <c r="H91" s="54"/>
      <c r="I91" s="55">
        <f t="shared" si="116"/>
        <v>0</v>
      </c>
      <c r="J91" s="53">
        <v>3620</v>
      </c>
      <c r="K91" s="54"/>
      <c r="L91" s="55">
        <f t="shared" si="117"/>
        <v>3620</v>
      </c>
      <c r="M91" s="53"/>
      <c r="N91" s="54"/>
      <c r="O91" s="55">
        <f t="shared" si="118"/>
        <v>0</v>
      </c>
      <c r="P91" s="57"/>
    </row>
    <row r="92" spans="1:16" ht="21.75" customHeight="1" x14ac:dyDescent="0.25">
      <c r="A92" s="51">
        <v>2223</v>
      </c>
      <c r="B92" s="89" t="s">
        <v>108</v>
      </c>
      <c r="C92" s="90">
        <f t="shared" si="102"/>
        <v>20420</v>
      </c>
      <c r="D92" s="196">
        <v>14357</v>
      </c>
      <c r="E92" s="197">
        <v>-2000</v>
      </c>
      <c r="F92" s="55">
        <f t="shared" si="115"/>
        <v>12357</v>
      </c>
      <c r="G92" s="53"/>
      <c r="H92" s="54"/>
      <c r="I92" s="55">
        <f t="shared" si="116"/>
        <v>0</v>
      </c>
      <c r="J92" s="53">
        <v>6063</v>
      </c>
      <c r="K92" s="54">
        <v>2000</v>
      </c>
      <c r="L92" s="55">
        <f t="shared" si="117"/>
        <v>8063</v>
      </c>
      <c r="M92" s="53"/>
      <c r="N92" s="54"/>
      <c r="O92" s="55">
        <f t="shared" si="118"/>
        <v>0</v>
      </c>
      <c r="P92" s="57" t="s">
        <v>891</v>
      </c>
    </row>
    <row r="93" spans="1:16" ht="48" customHeight="1" x14ac:dyDescent="0.25">
      <c r="A93" s="51">
        <v>2224</v>
      </c>
      <c r="B93" s="89" t="s">
        <v>109</v>
      </c>
      <c r="C93" s="90">
        <f t="shared" si="102"/>
        <v>1157</v>
      </c>
      <c r="D93" s="196">
        <v>907</v>
      </c>
      <c r="E93" s="197"/>
      <c r="F93" s="55">
        <f t="shared" si="115"/>
        <v>907</v>
      </c>
      <c r="G93" s="53"/>
      <c r="H93" s="54"/>
      <c r="I93" s="55">
        <f t="shared" si="116"/>
        <v>0</v>
      </c>
      <c r="J93" s="53">
        <v>250</v>
      </c>
      <c r="K93" s="54"/>
      <c r="L93" s="55">
        <f t="shared" si="117"/>
        <v>250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2301</v>
      </c>
      <c r="D95" s="190">
        <f>SUM(D96:D102)</f>
        <v>2344</v>
      </c>
      <c r="E95" s="191">
        <f t="shared" ref="E95:F95" si="119">SUM(E96:E102)</f>
        <v>-43</v>
      </c>
      <c r="F95" s="55">
        <f t="shared" si="119"/>
        <v>2301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30.75" customHeight="1" x14ac:dyDescent="0.25">
      <c r="A102" s="51">
        <v>2239</v>
      </c>
      <c r="B102" s="89" t="s">
        <v>118</v>
      </c>
      <c r="C102" s="90">
        <f t="shared" si="102"/>
        <v>2301</v>
      </c>
      <c r="D102" s="196">
        <v>2344</v>
      </c>
      <c r="E102" s="197">
        <v>-43</v>
      </c>
      <c r="F102" s="55">
        <f t="shared" si="123"/>
        <v>2301</v>
      </c>
      <c r="G102" s="53"/>
      <c r="H102" s="54"/>
      <c r="I102" s="55">
        <f t="shared" si="124"/>
        <v>0</v>
      </c>
      <c r="J102" s="53"/>
      <c r="K102" s="54"/>
      <c r="L102" s="55">
        <f t="shared" si="125"/>
        <v>0</v>
      </c>
      <c r="M102" s="53"/>
      <c r="N102" s="54"/>
      <c r="O102" s="55">
        <f t="shared" si="126"/>
        <v>0</v>
      </c>
      <c r="P102" s="57" t="s">
        <v>892</v>
      </c>
    </row>
    <row r="103" spans="1:16" ht="36" x14ac:dyDescent="0.25">
      <c r="A103" s="189">
        <v>2240</v>
      </c>
      <c r="B103" s="89" t="s">
        <v>119</v>
      </c>
      <c r="C103" s="90">
        <f t="shared" si="102"/>
        <v>7995</v>
      </c>
      <c r="D103" s="190">
        <f>SUM(D104:D111)</f>
        <v>7668</v>
      </c>
      <c r="E103" s="191">
        <f t="shared" ref="E103:F103" si="127">SUM(E104:E111)</f>
        <v>0</v>
      </c>
      <c r="F103" s="55">
        <f t="shared" si="127"/>
        <v>7668</v>
      </c>
      <c r="G103" s="190">
        <f>SUM(G104:G111)</f>
        <v>0</v>
      </c>
      <c r="H103" s="191">
        <f t="shared" ref="H103:I103" si="128">SUM(H104:H111)</f>
        <v>0</v>
      </c>
      <c r="I103" s="55">
        <f t="shared" si="128"/>
        <v>0</v>
      </c>
      <c r="J103" s="190">
        <f>SUM(J104:J111)</f>
        <v>327</v>
      </c>
      <c r="K103" s="191">
        <f t="shared" ref="K103:L103" si="129">SUM(K104:K111)</f>
        <v>0</v>
      </c>
      <c r="L103" s="55">
        <f t="shared" si="129"/>
        <v>327</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461</v>
      </c>
      <c r="D105" s="196">
        <v>134</v>
      </c>
      <c r="E105" s="197"/>
      <c r="F105" s="55">
        <f t="shared" si="131"/>
        <v>134</v>
      </c>
      <c r="G105" s="53"/>
      <c r="H105" s="54"/>
      <c r="I105" s="55">
        <f t="shared" si="132"/>
        <v>0</v>
      </c>
      <c r="J105" s="53">
        <v>327</v>
      </c>
      <c r="K105" s="54"/>
      <c r="L105" s="55">
        <f t="shared" si="133"/>
        <v>327</v>
      </c>
      <c r="M105" s="53"/>
      <c r="N105" s="54"/>
      <c r="O105" s="55">
        <f t="shared" si="134"/>
        <v>0</v>
      </c>
      <c r="P105" s="57"/>
    </row>
    <row r="106" spans="1:16" ht="24" customHeight="1" x14ac:dyDescent="0.25">
      <c r="A106" s="51">
        <v>2243</v>
      </c>
      <c r="B106" s="89" t="s">
        <v>122</v>
      </c>
      <c r="C106" s="90">
        <f t="shared" si="102"/>
        <v>528</v>
      </c>
      <c r="D106" s="196">
        <v>528</v>
      </c>
      <c r="E106" s="197"/>
      <c r="F106" s="55">
        <f t="shared" si="131"/>
        <v>528</v>
      </c>
      <c r="G106" s="53"/>
      <c r="H106" s="54"/>
      <c r="I106" s="55">
        <f t="shared" si="132"/>
        <v>0</v>
      </c>
      <c r="J106" s="53"/>
      <c r="K106" s="54"/>
      <c r="L106" s="55">
        <f t="shared" si="133"/>
        <v>0</v>
      </c>
      <c r="M106" s="53"/>
      <c r="N106" s="54"/>
      <c r="O106" s="55">
        <f t="shared" si="134"/>
        <v>0</v>
      </c>
      <c r="P106" s="57"/>
    </row>
    <row r="107" spans="1:16" ht="19.5" customHeight="1" x14ac:dyDescent="0.25">
      <c r="A107" s="51">
        <v>2244</v>
      </c>
      <c r="B107" s="89" t="s">
        <v>123</v>
      </c>
      <c r="C107" s="90">
        <f t="shared" si="102"/>
        <v>5854</v>
      </c>
      <c r="D107" s="196">
        <v>5854</v>
      </c>
      <c r="E107" s="197"/>
      <c r="F107" s="55">
        <f t="shared" si="131"/>
        <v>5854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1152</v>
      </c>
      <c r="D111" s="196">
        <v>1152</v>
      </c>
      <c r="E111" s="197"/>
      <c r="F111" s="55">
        <f t="shared" si="131"/>
        <v>1152</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3321</v>
      </c>
      <c r="D112" s="190">
        <f>SUM(D113:D115)</f>
        <v>3321</v>
      </c>
      <c r="E112" s="191">
        <f t="shared" ref="E112:F112" si="135">SUM(E113:E115)</f>
        <v>0</v>
      </c>
      <c r="F112" s="55">
        <f t="shared" si="135"/>
        <v>3321</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2750</v>
      </c>
      <c r="D114" s="196">
        <v>2750</v>
      </c>
      <c r="E114" s="197"/>
      <c r="F114" s="55">
        <f t="shared" si="139"/>
        <v>2750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571</v>
      </c>
      <c r="D115" s="196">
        <v>571</v>
      </c>
      <c r="E115" s="197"/>
      <c r="F115" s="55">
        <f t="shared" si="139"/>
        <v>571</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3482</v>
      </c>
      <c r="D116" s="190">
        <f>SUM(D117:D121)</f>
        <v>272</v>
      </c>
      <c r="E116" s="191">
        <f t="shared" ref="E116:F116" si="143">SUM(E117:E121)</f>
        <v>0</v>
      </c>
      <c r="F116" s="55">
        <f t="shared" si="143"/>
        <v>272</v>
      </c>
      <c r="G116" s="190">
        <f>SUM(G117:G121)</f>
        <v>1550</v>
      </c>
      <c r="H116" s="191">
        <f t="shared" ref="H116:I116" si="144">SUM(H117:H121)</f>
        <v>1610</v>
      </c>
      <c r="I116" s="55">
        <f t="shared" si="144"/>
        <v>3160</v>
      </c>
      <c r="J116" s="190">
        <f>SUM(J117:J121)</f>
        <v>50</v>
      </c>
      <c r="K116" s="191">
        <f t="shared" ref="K116:L116" si="145">SUM(K117:K121)</f>
        <v>0</v>
      </c>
      <c r="L116" s="55">
        <f t="shared" si="145"/>
        <v>50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6.5" customHeight="1" x14ac:dyDescent="0.25">
      <c r="A118" s="51">
        <v>2262</v>
      </c>
      <c r="B118" s="89" t="s">
        <v>134</v>
      </c>
      <c r="C118" s="90">
        <f t="shared" si="102"/>
        <v>3380</v>
      </c>
      <c r="D118" s="196">
        <v>220</v>
      </c>
      <c r="E118" s="197"/>
      <c r="F118" s="55">
        <f t="shared" si="147"/>
        <v>220</v>
      </c>
      <c r="G118" s="53">
        <v>1550</v>
      </c>
      <c r="H118" s="54">
        <v>1610</v>
      </c>
      <c r="I118" s="55">
        <f t="shared" si="148"/>
        <v>3160</v>
      </c>
      <c r="J118" s="53"/>
      <c r="K118" s="54"/>
      <c r="L118" s="55">
        <f t="shared" si="149"/>
        <v>0</v>
      </c>
      <c r="M118" s="53"/>
      <c r="N118" s="54"/>
      <c r="O118" s="55">
        <f t="shared" si="150"/>
        <v>0</v>
      </c>
      <c r="P118" s="57" t="s">
        <v>893</v>
      </c>
    </row>
    <row r="119" spans="1:16" ht="24"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50</v>
      </c>
      <c r="D120" s="196"/>
      <c r="E120" s="197"/>
      <c r="F120" s="55">
        <f t="shared" si="147"/>
        <v>0</v>
      </c>
      <c r="G120" s="53"/>
      <c r="H120" s="54"/>
      <c r="I120" s="55">
        <f t="shared" si="148"/>
        <v>0</v>
      </c>
      <c r="J120" s="53">
        <v>50</v>
      </c>
      <c r="K120" s="54"/>
      <c r="L120" s="55">
        <f t="shared" si="149"/>
        <v>50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3378</v>
      </c>
      <c r="D122" s="190">
        <f>SUM(D123:D127)</f>
        <v>112</v>
      </c>
      <c r="E122" s="191">
        <f t="shared" ref="E122:F122" si="151">SUM(E123:E127)</f>
        <v>0</v>
      </c>
      <c r="F122" s="55">
        <f t="shared" si="151"/>
        <v>112</v>
      </c>
      <c r="G122" s="190">
        <f>SUM(G123:G127)</f>
        <v>1663</v>
      </c>
      <c r="H122" s="191">
        <f t="shared" ref="H122:I122" si="152">SUM(H123:H127)</f>
        <v>1603</v>
      </c>
      <c r="I122" s="55">
        <f t="shared" si="152"/>
        <v>3266</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0" customHeight="1" x14ac:dyDescent="0.25">
      <c r="A127" s="51">
        <v>2279</v>
      </c>
      <c r="B127" s="89" t="s">
        <v>143</v>
      </c>
      <c r="C127" s="90">
        <f t="shared" si="102"/>
        <v>3378</v>
      </c>
      <c r="D127" s="196">
        <v>112</v>
      </c>
      <c r="E127" s="197"/>
      <c r="F127" s="55">
        <f t="shared" si="155"/>
        <v>112</v>
      </c>
      <c r="G127" s="53">
        <v>1663</v>
      </c>
      <c r="H127" s="54">
        <v>1603</v>
      </c>
      <c r="I127" s="55">
        <f t="shared" si="156"/>
        <v>3266</v>
      </c>
      <c r="J127" s="53"/>
      <c r="K127" s="54"/>
      <c r="L127" s="55">
        <f t="shared" si="157"/>
        <v>0</v>
      </c>
      <c r="M127" s="53"/>
      <c r="N127" s="54"/>
      <c r="O127" s="55">
        <f t="shared" si="158"/>
        <v>0</v>
      </c>
      <c r="P127" s="57" t="s">
        <v>894</v>
      </c>
    </row>
    <row r="128" spans="1:16" ht="48" hidden="1" x14ac:dyDescent="0.25">
      <c r="A128" s="60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36758</v>
      </c>
      <c r="D130" s="184">
        <f>SUM(D131,D136,D140,D141,D144,D151,D159,D160,D163)</f>
        <v>30192</v>
      </c>
      <c r="E130" s="185">
        <f t="shared" ref="E130:F130" si="160">SUM(E131,E136,E140,E141,E144,E151,E159,E160,E163)</f>
        <v>0</v>
      </c>
      <c r="F130" s="73">
        <f t="shared" si="160"/>
        <v>30192</v>
      </c>
      <c r="G130" s="184">
        <f>SUM(G131,G136,G140,G141,G144,G151,G159,G160,G163)</f>
        <v>5756</v>
      </c>
      <c r="H130" s="185">
        <f t="shared" ref="H130:I130" si="161">SUM(H131,H136,H140,H141,H144,H151,H159,H160,H163)</f>
        <v>0</v>
      </c>
      <c r="I130" s="73">
        <f t="shared" si="161"/>
        <v>5756</v>
      </c>
      <c r="J130" s="184">
        <f>SUM(J131,J136,J140,J141,J144,J151,J159,J160,J163)</f>
        <v>810</v>
      </c>
      <c r="K130" s="185">
        <f t="shared" ref="K130:L130" si="162">SUM(K131,K136,K140,K141,K144,K151,K159,K160,K163)</f>
        <v>0</v>
      </c>
      <c r="L130" s="73">
        <f t="shared" si="162"/>
        <v>810</v>
      </c>
      <c r="M130" s="184">
        <f>SUM(M131,M136,M140,M141,M144,M151,M159,M160,M163)</f>
        <v>0</v>
      </c>
      <c r="N130" s="185">
        <f t="shared" ref="N130:O130" si="163">SUM(N131,N136,N140,N141,N144,N151,N159,N160,N163)</f>
        <v>0</v>
      </c>
      <c r="O130" s="73">
        <f t="shared" si="163"/>
        <v>0</v>
      </c>
      <c r="P130" s="77"/>
    </row>
    <row r="131" spans="1:16" ht="24" x14ac:dyDescent="0.25">
      <c r="A131" s="606">
        <v>2310</v>
      </c>
      <c r="B131" s="82" t="s">
        <v>147</v>
      </c>
      <c r="C131" s="83">
        <f t="shared" si="102"/>
        <v>15855</v>
      </c>
      <c r="D131" s="194">
        <f t="shared" ref="D131:O131" si="164">SUM(D132:D135)</f>
        <v>15855</v>
      </c>
      <c r="E131" s="195">
        <f t="shared" si="164"/>
        <v>0</v>
      </c>
      <c r="F131" s="134">
        <f t="shared" si="164"/>
        <v>15855</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5" customHeight="1" x14ac:dyDescent="0.25">
      <c r="A132" s="51">
        <v>2311</v>
      </c>
      <c r="B132" s="89" t="s">
        <v>148</v>
      </c>
      <c r="C132" s="90">
        <f t="shared" si="102"/>
        <v>1958</v>
      </c>
      <c r="D132" s="196">
        <v>1958</v>
      </c>
      <c r="E132" s="197"/>
      <c r="F132" s="55">
        <f t="shared" ref="F132:F135" si="165">D132+E132</f>
        <v>1958</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13647</v>
      </c>
      <c r="D133" s="196">
        <v>13647</v>
      </c>
      <c r="E133" s="197"/>
      <c r="F133" s="55">
        <f t="shared" si="165"/>
        <v>13647</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250</v>
      </c>
      <c r="D135" s="196">
        <v>250</v>
      </c>
      <c r="E135" s="197"/>
      <c r="F135" s="55">
        <f t="shared" si="165"/>
        <v>250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610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610</v>
      </c>
      <c r="K136" s="191">
        <f t="shared" ref="K136:L136" si="171">SUM(K137:K139)</f>
        <v>0</v>
      </c>
      <c r="L136" s="55">
        <f t="shared" si="171"/>
        <v>610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610</v>
      </c>
      <c r="D138" s="196"/>
      <c r="E138" s="197"/>
      <c r="F138" s="55">
        <f t="shared" si="173"/>
        <v>0</v>
      </c>
      <c r="G138" s="53"/>
      <c r="H138" s="54"/>
      <c r="I138" s="55">
        <f t="shared" si="174"/>
        <v>0</v>
      </c>
      <c r="J138" s="53">
        <v>610</v>
      </c>
      <c r="K138" s="54"/>
      <c r="L138" s="55">
        <f t="shared" si="175"/>
        <v>610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200</v>
      </c>
      <c r="D141" s="190">
        <f>SUM(D142:D143)</f>
        <v>200</v>
      </c>
      <c r="E141" s="191">
        <f t="shared" ref="E141:F141" si="177">SUM(E142:E143)</f>
        <v>0</v>
      </c>
      <c r="F141" s="55">
        <f t="shared" si="177"/>
        <v>200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200</v>
      </c>
      <c r="D142" s="196">
        <v>200</v>
      </c>
      <c r="E142" s="197"/>
      <c r="F142" s="55">
        <f t="shared" ref="F142:F143" si="181">D142+E142</f>
        <v>200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4910</v>
      </c>
      <c r="D144" s="187">
        <f>SUM(D145:D150)</f>
        <v>4710</v>
      </c>
      <c r="E144" s="188">
        <f t="shared" ref="E144:F144" si="185">SUM(E145:E150)</f>
        <v>0</v>
      </c>
      <c r="F144" s="141">
        <f t="shared" si="185"/>
        <v>4710</v>
      </c>
      <c r="G144" s="187">
        <f>SUM(G145:G150)</f>
        <v>0</v>
      </c>
      <c r="H144" s="188">
        <f t="shared" ref="H144:I144" si="186">SUM(H145:H150)</f>
        <v>0</v>
      </c>
      <c r="I144" s="141">
        <f t="shared" si="186"/>
        <v>0</v>
      </c>
      <c r="J144" s="187">
        <f>SUM(J145:J150)</f>
        <v>200</v>
      </c>
      <c r="K144" s="188">
        <f t="shared" ref="K144:L144" si="187">SUM(K145:K150)</f>
        <v>0</v>
      </c>
      <c r="L144" s="141">
        <f t="shared" si="187"/>
        <v>200</v>
      </c>
      <c r="M144" s="187">
        <f>SUM(M145:M150)</f>
        <v>0</v>
      </c>
      <c r="N144" s="188">
        <f t="shared" ref="N144:O144" si="188">SUM(N145:N150)</f>
        <v>0</v>
      </c>
      <c r="O144" s="141">
        <f t="shared" si="188"/>
        <v>0</v>
      </c>
      <c r="P144" s="129"/>
    </row>
    <row r="145" spans="1:16" ht="12" customHeight="1" x14ac:dyDescent="0.25">
      <c r="A145" s="44">
        <v>2351</v>
      </c>
      <c r="B145" s="82" t="s">
        <v>161</v>
      </c>
      <c r="C145" s="83">
        <f t="shared" si="102"/>
        <v>1810</v>
      </c>
      <c r="D145" s="199">
        <v>1810</v>
      </c>
      <c r="E145" s="200"/>
      <c r="F145" s="134">
        <f t="shared" ref="F145:F150" si="189">D145+E145</f>
        <v>1810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2600</v>
      </c>
      <c r="D146" s="196">
        <v>2600</v>
      </c>
      <c r="E146" s="197"/>
      <c r="F146" s="55">
        <f t="shared" si="189"/>
        <v>2600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200</v>
      </c>
      <c r="D148" s="196"/>
      <c r="E148" s="197"/>
      <c r="F148" s="55">
        <f t="shared" si="189"/>
        <v>0</v>
      </c>
      <c r="G148" s="53"/>
      <c r="H148" s="54"/>
      <c r="I148" s="55">
        <f t="shared" si="190"/>
        <v>0</v>
      </c>
      <c r="J148" s="53">
        <v>200</v>
      </c>
      <c r="K148" s="54"/>
      <c r="L148" s="55">
        <f t="shared" si="191"/>
        <v>200</v>
      </c>
      <c r="M148" s="53"/>
      <c r="N148" s="54"/>
      <c r="O148" s="55">
        <f t="shared" si="192"/>
        <v>0</v>
      </c>
      <c r="P148" s="57"/>
    </row>
    <row r="149" spans="1:16" ht="24" customHeight="1" x14ac:dyDescent="0.25">
      <c r="A149" s="51">
        <v>2355</v>
      </c>
      <c r="B149" s="89" t="s">
        <v>165</v>
      </c>
      <c r="C149" s="90">
        <f t="shared" si="193"/>
        <v>300</v>
      </c>
      <c r="D149" s="196">
        <v>300</v>
      </c>
      <c r="E149" s="197"/>
      <c r="F149" s="55">
        <f t="shared" si="189"/>
        <v>300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1050</v>
      </c>
      <c r="D151" s="190">
        <f>SUM(D152:D158)</f>
        <v>1050</v>
      </c>
      <c r="E151" s="191">
        <f t="shared" ref="E151:F151" si="194">SUM(E152:E158)</f>
        <v>0</v>
      </c>
      <c r="F151" s="55">
        <f t="shared" si="194"/>
        <v>1050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8.75" customHeight="1" x14ac:dyDescent="0.25">
      <c r="A154" s="50">
        <v>2363</v>
      </c>
      <c r="B154" s="89" t="s">
        <v>170</v>
      </c>
      <c r="C154" s="90">
        <f t="shared" si="193"/>
        <v>1050</v>
      </c>
      <c r="D154" s="196">
        <v>1050</v>
      </c>
      <c r="E154" s="197"/>
      <c r="F154" s="55">
        <f t="shared" si="198"/>
        <v>1050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14133</v>
      </c>
      <c r="D159" s="203">
        <v>8377</v>
      </c>
      <c r="E159" s="204"/>
      <c r="F159" s="141">
        <f t="shared" si="198"/>
        <v>8377</v>
      </c>
      <c r="G159" s="144">
        <v>5756</v>
      </c>
      <c r="H159" s="145"/>
      <c r="I159" s="141">
        <f t="shared" si="199"/>
        <v>5756</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144</v>
      </c>
      <c r="D165" s="184">
        <f>SUM(D166,D171)</f>
        <v>101</v>
      </c>
      <c r="E165" s="185">
        <f t="shared" ref="E165:O165" si="210">SUM(E166,E171)</f>
        <v>43</v>
      </c>
      <c r="F165" s="73">
        <f t="shared" si="210"/>
        <v>144</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606">
        <v>2510</v>
      </c>
      <c r="B166" s="82" t="s">
        <v>182</v>
      </c>
      <c r="C166" s="83">
        <f t="shared" si="193"/>
        <v>144</v>
      </c>
      <c r="D166" s="194">
        <f>SUM(D167:D170)</f>
        <v>101</v>
      </c>
      <c r="E166" s="195">
        <f t="shared" ref="E166:O166" si="211">SUM(E167:E170)</f>
        <v>43</v>
      </c>
      <c r="F166" s="134">
        <f t="shared" si="211"/>
        <v>144</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186</v>
      </c>
      <c r="C170" s="90">
        <f t="shared" si="193"/>
        <v>144</v>
      </c>
      <c r="D170" s="196">
        <v>101</v>
      </c>
      <c r="E170" s="197">
        <v>43</v>
      </c>
      <c r="F170" s="55">
        <f t="shared" si="212"/>
        <v>144</v>
      </c>
      <c r="G170" s="53"/>
      <c r="H170" s="54"/>
      <c r="I170" s="55">
        <f t="shared" si="213"/>
        <v>0</v>
      </c>
      <c r="J170" s="53"/>
      <c r="K170" s="54"/>
      <c r="L170" s="55">
        <f t="shared" si="214"/>
        <v>0</v>
      </c>
      <c r="M170" s="53"/>
      <c r="N170" s="54"/>
      <c r="O170" s="55">
        <f t="shared" si="215"/>
        <v>0</v>
      </c>
      <c r="P170" s="57" t="s">
        <v>895</v>
      </c>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0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0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0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0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23387</v>
      </c>
      <c r="D194" s="173">
        <f t="shared" ref="D194:O194" si="259">SUM(D195,D230,D269,D283)</f>
        <v>19887</v>
      </c>
      <c r="E194" s="174">
        <f t="shared" si="259"/>
        <v>0</v>
      </c>
      <c r="F194" s="175">
        <f t="shared" si="259"/>
        <v>19887</v>
      </c>
      <c r="G194" s="173">
        <f t="shared" si="259"/>
        <v>3500</v>
      </c>
      <c r="H194" s="174">
        <f t="shared" si="259"/>
        <v>0</v>
      </c>
      <c r="I194" s="175">
        <f t="shared" si="259"/>
        <v>3500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23387</v>
      </c>
      <c r="D195" s="179">
        <f>D196+D204</f>
        <v>19887</v>
      </c>
      <c r="E195" s="180">
        <f t="shared" ref="E195:F195" si="260">E196+E204</f>
        <v>0</v>
      </c>
      <c r="F195" s="181">
        <f t="shared" si="260"/>
        <v>19887</v>
      </c>
      <c r="G195" s="179">
        <f>G196+G204</f>
        <v>3500</v>
      </c>
      <c r="H195" s="180">
        <f t="shared" ref="H195:I195" si="261">H196+H204</f>
        <v>0</v>
      </c>
      <c r="I195" s="181">
        <f t="shared" si="261"/>
        <v>3500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0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23387</v>
      </c>
      <c r="D204" s="184">
        <f>D205+D215+D216+D225+D226+D227+D229</f>
        <v>19887</v>
      </c>
      <c r="E204" s="185">
        <f t="shared" ref="E204:F204" si="276">E205+E215+E216+E225+E226+E227+E229</f>
        <v>0</v>
      </c>
      <c r="F204" s="73">
        <f t="shared" si="276"/>
        <v>19887</v>
      </c>
      <c r="G204" s="184">
        <f>G205+G215+G216+G225+G226+G227+G229</f>
        <v>3500</v>
      </c>
      <c r="H204" s="185">
        <f t="shared" ref="H204:I204" si="277">H205+H215+H216+H225+H226+H227+H229</f>
        <v>0</v>
      </c>
      <c r="I204" s="73">
        <f t="shared" si="277"/>
        <v>3500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23387</v>
      </c>
      <c r="D216" s="190">
        <f>SUM(D217:D224)</f>
        <v>19887</v>
      </c>
      <c r="E216" s="191">
        <f t="shared" ref="E216:F216" si="289">SUM(E217:E224)</f>
        <v>0</v>
      </c>
      <c r="F216" s="55">
        <f t="shared" si="289"/>
        <v>19887</v>
      </c>
      <c r="G216" s="190">
        <f>SUM(G217:G224)</f>
        <v>3500</v>
      </c>
      <c r="H216" s="191">
        <f t="shared" ref="H216:I216" si="290">SUM(H217:H224)</f>
        <v>0</v>
      </c>
      <c r="I216" s="55">
        <f t="shared" si="290"/>
        <v>3500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8214</v>
      </c>
      <c r="D219" s="196">
        <v>4714</v>
      </c>
      <c r="E219" s="197"/>
      <c r="F219" s="55">
        <f t="shared" si="293"/>
        <v>4714</v>
      </c>
      <c r="G219" s="53">
        <v>3500</v>
      </c>
      <c r="H219" s="54"/>
      <c r="I219" s="55">
        <f t="shared" si="294"/>
        <v>3500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13400</v>
      </c>
      <c r="D223" s="196">
        <v>13400</v>
      </c>
      <c r="E223" s="197"/>
      <c r="F223" s="55">
        <f t="shared" si="293"/>
        <v>13400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1773</v>
      </c>
      <c r="D224" s="196">
        <v>1773</v>
      </c>
      <c r="E224" s="197"/>
      <c r="F224" s="55">
        <f t="shared" si="293"/>
        <v>1773</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60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0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0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0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60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0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1183680</v>
      </c>
      <c r="D289" s="252">
        <f t="shared" ref="D289:O289" si="389">SUM(D286,D269,D230,D195,D187,D173,D75,D53,D283)</f>
        <v>551375</v>
      </c>
      <c r="E289" s="253">
        <f t="shared" si="389"/>
        <v>-2000</v>
      </c>
      <c r="F289" s="254">
        <f t="shared" si="389"/>
        <v>549375</v>
      </c>
      <c r="G289" s="252">
        <f t="shared" si="389"/>
        <v>593920</v>
      </c>
      <c r="H289" s="253">
        <f t="shared" si="389"/>
        <v>15958</v>
      </c>
      <c r="I289" s="254">
        <f t="shared" si="389"/>
        <v>609878</v>
      </c>
      <c r="J289" s="252">
        <f t="shared" si="389"/>
        <v>22427</v>
      </c>
      <c r="K289" s="253">
        <f t="shared" si="389"/>
        <v>2000</v>
      </c>
      <c r="L289" s="254">
        <f t="shared" si="389"/>
        <v>24427</v>
      </c>
      <c r="M289" s="252">
        <f t="shared" si="389"/>
        <v>0</v>
      </c>
      <c r="N289" s="253">
        <f t="shared" si="389"/>
        <v>0</v>
      </c>
      <c r="O289" s="254">
        <f t="shared" si="389"/>
        <v>0</v>
      </c>
      <c r="P289" s="255"/>
    </row>
    <row r="290" spans="1:16" s="28" customFormat="1" ht="13.5" thickTop="1" thickBot="1" x14ac:dyDescent="0.3">
      <c r="A290" s="1544" t="s">
        <v>308</v>
      </c>
      <c r="B290" s="1545"/>
      <c r="C290" s="256">
        <f t="shared" si="371"/>
        <v>-5401</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-5401</v>
      </c>
      <c r="K290" s="258">
        <f t="shared" ref="K290:L290" si="392">(K26+K43)-K51</f>
        <v>0</v>
      </c>
      <c r="L290" s="259">
        <f t="shared" si="392"/>
        <v>-5401</v>
      </c>
      <c r="M290" s="257">
        <f>M45-M51</f>
        <v>0</v>
      </c>
      <c r="N290" s="258">
        <f t="shared" ref="N290:O290" si="393">N45-N51</f>
        <v>0</v>
      </c>
      <c r="O290" s="259">
        <f t="shared" si="393"/>
        <v>0</v>
      </c>
      <c r="P290" s="260"/>
    </row>
    <row r="291" spans="1:16" s="28" customFormat="1" ht="12.75" thickTop="1" x14ac:dyDescent="0.25">
      <c r="A291" s="1546" t="s">
        <v>309</v>
      </c>
      <c r="B291" s="1547"/>
      <c r="C291" s="261">
        <f t="shared" si="371"/>
        <v>5401</v>
      </c>
      <c r="D291" s="262">
        <f t="shared" ref="D291:O291" si="394">SUM(D292,D293)-D300+D301</f>
        <v>0</v>
      </c>
      <c r="E291" s="263">
        <f t="shared" si="394"/>
        <v>0</v>
      </c>
      <c r="F291" s="264">
        <f t="shared" si="394"/>
        <v>0</v>
      </c>
      <c r="G291" s="262">
        <f t="shared" si="394"/>
        <v>0</v>
      </c>
      <c r="H291" s="263">
        <f t="shared" si="394"/>
        <v>0</v>
      </c>
      <c r="I291" s="264">
        <f t="shared" si="394"/>
        <v>0</v>
      </c>
      <c r="J291" s="262">
        <f t="shared" si="394"/>
        <v>5401</v>
      </c>
      <c r="K291" s="263">
        <f t="shared" si="394"/>
        <v>0</v>
      </c>
      <c r="L291" s="264">
        <f t="shared" si="394"/>
        <v>5401</v>
      </c>
      <c r="M291" s="262">
        <f t="shared" si="394"/>
        <v>0</v>
      </c>
      <c r="N291" s="263">
        <f t="shared" si="394"/>
        <v>0</v>
      </c>
      <c r="O291" s="264">
        <f t="shared" si="394"/>
        <v>0</v>
      </c>
      <c r="P291" s="265"/>
    </row>
    <row r="292" spans="1:16" s="28" customFormat="1" ht="12.75" thickBot="1" x14ac:dyDescent="0.3">
      <c r="A292" s="157" t="s">
        <v>310</v>
      </c>
      <c r="B292" s="157" t="s">
        <v>311</v>
      </c>
      <c r="C292" s="158">
        <f t="shared" si="371"/>
        <v>5401</v>
      </c>
      <c r="D292" s="159">
        <f t="shared" ref="D292:O292" si="395">D21-D286</f>
        <v>0</v>
      </c>
      <c r="E292" s="160">
        <f t="shared" si="395"/>
        <v>0</v>
      </c>
      <c r="F292" s="161">
        <f t="shared" si="395"/>
        <v>0</v>
      </c>
      <c r="G292" s="159">
        <f t="shared" si="395"/>
        <v>0</v>
      </c>
      <c r="H292" s="160">
        <f t="shared" si="395"/>
        <v>0</v>
      </c>
      <c r="I292" s="161">
        <f t="shared" si="395"/>
        <v>0</v>
      </c>
      <c r="J292" s="159">
        <f t="shared" si="395"/>
        <v>5401</v>
      </c>
      <c r="K292" s="160">
        <f t="shared" si="395"/>
        <v>0</v>
      </c>
      <c r="L292" s="161">
        <f t="shared" si="395"/>
        <v>5401</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pH4/UHsGwgtjtsBbNaFjxwgR7E4RSQ7hg/rVUfz/Xg202+PlkYCgUNjT4G//tiSPt2n0Y7UX1UjMliBLxobZ5g==" saltValue="iL2Jsgb/hhJKjFFJal+7ww==" spinCount="100000" sheet="1" objects="1" scenarios="1" formatCells="0" formatColumns="0" formatRows="0" deleteColumns="0"/>
  <autoFilter ref="A18:P301">
    <filterColumn colId="2">
      <filters>
        <filter val="1 000"/>
        <filter val="1 025 763"/>
        <filter val="1 041"/>
        <filter val="1 050"/>
        <filter val="1 152"/>
        <filter val="1 157"/>
        <filter val="1 159 253"/>
        <filter val="1 160 293"/>
        <filter val="1 183 680"/>
        <filter val="1 204"/>
        <filter val="1 509"/>
        <filter val="1 773"/>
        <filter val="1 810"/>
        <filter val="1 958"/>
        <filter val="13 400"/>
        <filter val="13 647"/>
        <filter val="134 530"/>
        <filter val="14 133"/>
        <filter val="14 826"/>
        <filter val="144"/>
        <filter val="15 855"/>
        <filter val="16 429"/>
        <filter val="19 026"/>
        <filter val="195 635"/>
        <filter val="2 301"/>
        <filter val="2 437"/>
        <filter val="2 600"/>
        <filter val="2 750"/>
        <filter val="20 420"/>
        <filter val="200"/>
        <filter val="23 387"/>
        <filter val="250"/>
        <filter val="255"/>
        <filter val="256 532"/>
        <filter val="3 138"/>
        <filter val="3 321"/>
        <filter val="3 378"/>
        <filter val="3 380"/>
        <filter val="3 482"/>
        <filter val="300"/>
        <filter val="35 748"/>
        <filter val="36 758"/>
        <filter val="4 172"/>
        <filter val="4 200"/>
        <filter val="4 424"/>
        <filter val="4 910"/>
        <filter val="43 468"/>
        <filter val="461"/>
        <filter val="47 797"/>
        <filter val="48 523"/>
        <filter val="5 401"/>
        <filter val="-5 401"/>
        <filter val="5 854"/>
        <filter val="50"/>
        <filter val="52"/>
        <filter val="528"/>
        <filter val="571"/>
        <filter val="6 268"/>
        <filter val="60 897"/>
        <filter val="610"/>
        <filter val="7 995"/>
        <filter val="718 271"/>
        <filter val="75 642"/>
        <filter val="769 231"/>
        <filter val="8 214"/>
        <filter val="97 62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2019.gada 31.oktobra saistošajiem noteikumiem Nr.46
(protokols Nr.14, 28.punkts)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showGridLines="0" view="pageLayout" zoomScaleNormal="100" workbookViewId="0">
      <selection activeCell="T5" sqref="T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833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834</v>
      </c>
      <c r="D3" s="1517"/>
      <c r="E3" s="1517"/>
      <c r="F3" s="1517"/>
      <c r="G3" s="1517"/>
      <c r="H3" s="1517"/>
      <c r="I3" s="1517"/>
      <c r="J3" s="1517"/>
      <c r="K3" s="1517"/>
      <c r="L3" s="1517"/>
      <c r="M3" s="1517"/>
      <c r="N3" s="1517"/>
      <c r="O3" s="1517"/>
      <c r="P3" s="1518"/>
      <c r="Q3" s="277"/>
    </row>
    <row r="4" spans="1:17" ht="12.75" customHeight="1" x14ac:dyDescent="0.25">
      <c r="A4" s="5" t="s">
        <v>4</v>
      </c>
      <c r="B4" s="6"/>
      <c r="C4" s="1517" t="s">
        <v>835</v>
      </c>
      <c r="D4" s="1517"/>
      <c r="E4" s="1517"/>
      <c r="F4" s="1517"/>
      <c r="G4" s="1517"/>
      <c r="H4" s="1517"/>
      <c r="I4" s="1517"/>
      <c r="J4" s="1517"/>
      <c r="K4" s="1517"/>
      <c r="L4" s="1517"/>
      <c r="M4" s="1517"/>
      <c r="N4" s="1517"/>
      <c r="O4" s="1517"/>
      <c r="P4" s="1518"/>
      <c r="Q4" s="277"/>
    </row>
    <row r="5" spans="1:17" ht="12.75" customHeight="1" x14ac:dyDescent="0.25">
      <c r="A5" s="7" t="s">
        <v>6</v>
      </c>
      <c r="B5" s="8"/>
      <c r="C5" s="1512" t="s">
        <v>836</v>
      </c>
      <c r="D5" s="1512"/>
      <c r="E5" s="1512"/>
      <c r="F5" s="1512"/>
      <c r="G5" s="1512"/>
      <c r="H5" s="1512"/>
      <c r="I5" s="1512"/>
      <c r="J5" s="1512"/>
      <c r="K5" s="1512"/>
      <c r="L5" s="1512"/>
      <c r="M5" s="1512"/>
      <c r="N5" s="1512"/>
      <c r="O5" s="1512"/>
      <c r="P5" s="1513"/>
      <c r="Q5" s="277"/>
    </row>
    <row r="6" spans="1:17" ht="12.75" customHeight="1" x14ac:dyDescent="0.25">
      <c r="A6" s="7" t="s">
        <v>8</v>
      </c>
      <c r="B6" s="8"/>
      <c r="C6" s="1512" t="s">
        <v>595</v>
      </c>
      <c r="D6" s="1512"/>
      <c r="E6" s="1512"/>
      <c r="F6" s="1512"/>
      <c r="G6" s="1512"/>
      <c r="H6" s="1512"/>
      <c r="I6" s="1512"/>
      <c r="J6" s="1512"/>
      <c r="K6" s="1512"/>
      <c r="L6" s="1512"/>
      <c r="M6" s="1512"/>
      <c r="N6" s="1512"/>
      <c r="O6" s="1512"/>
      <c r="P6" s="1513"/>
      <c r="Q6" s="277"/>
    </row>
    <row r="7" spans="1:17" ht="24" customHeight="1" x14ac:dyDescent="0.25">
      <c r="A7" s="7" t="s">
        <v>10</v>
      </c>
      <c r="B7" s="8"/>
      <c r="C7" s="1517" t="s">
        <v>852</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837</v>
      </c>
      <c r="D9" s="1512" t="s">
        <v>837</v>
      </c>
      <c r="E9" s="1512" t="s">
        <v>837</v>
      </c>
      <c r="F9" s="1512" t="s">
        <v>837</v>
      </c>
      <c r="G9" s="1512" t="s">
        <v>837</v>
      </c>
      <c r="H9" s="1512" t="s">
        <v>837</v>
      </c>
      <c r="I9" s="1512" t="s">
        <v>837</v>
      </c>
      <c r="J9" s="1512" t="s">
        <v>837</v>
      </c>
      <c r="K9" s="1512" t="s">
        <v>837</v>
      </c>
      <c r="L9" s="1512" t="s">
        <v>837</v>
      </c>
      <c r="M9" s="1512" t="s">
        <v>837</v>
      </c>
      <c r="N9" s="1512" t="s">
        <v>837</v>
      </c>
      <c r="O9" s="1512" t="s">
        <v>837</v>
      </c>
      <c r="P9" s="1513" t="s">
        <v>837</v>
      </c>
      <c r="Q9" s="277"/>
    </row>
    <row r="10" spans="1:17" ht="12.75" customHeight="1" x14ac:dyDescent="0.25">
      <c r="A10" s="7"/>
      <c r="B10" s="8" t="s">
        <v>15</v>
      </c>
      <c r="C10" s="1512" t="s">
        <v>838</v>
      </c>
      <c r="D10" s="1512" t="s">
        <v>838</v>
      </c>
      <c r="E10" s="1512" t="s">
        <v>838</v>
      </c>
      <c r="F10" s="1512" t="s">
        <v>838</v>
      </c>
      <c r="G10" s="1512" t="s">
        <v>838</v>
      </c>
      <c r="H10" s="1512" t="s">
        <v>838</v>
      </c>
      <c r="I10" s="1512" t="s">
        <v>838</v>
      </c>
      <c r="J10" s="1512" t="s">
        <v>838</v>
      </c>
      <c r="K10" s="1512" t="s">
        <v>838</v>
      </c>
      <c r="L10" s="1512" t="s">
        <v>838</v>
      </c>
      <c r="M10" s="1512" t="s">
        <v>838</v>
      </c>
      <c r="N10" s="1512" t="s">
        <v>838</v>
      </c>
      <c r="O10" s="1512" t="s">
        <v>838</v>
      </c>
      <c r="P10" s="1513" t="s">
        <v>838</v>
      </c>
      <c r="Q10" s="277"/>
    </row>
    <row r="11" spans="1:17" ht="12.75" customHeight="1" x14ac:dyDescent="0.25">
      <c r="A11" s="7"/>
      <c r="B11" s="8" t="s">
        <v>16</v>
      </c>
      <c r="C11" s="1512"/>
      <c r="D11" s="1512"/>
      <c r="E11" s="1512"/>
      <c r="F11" s="1512"/>
      <c r="G11" s="1512"/>
      <c r="H11" s="1512"/>
      <c r="I11" s="1512"/>
      <c r="J11" s="1512"/>
      <c r="K11" s="1512"/>
      <c r="L11" s="1512"/>
      <c r="M11" s="1512"/>
      <c r="N11" s="1512"/>
      <c r="O11" s="1512"/>
      <c r="P11" s="1513"/>
      <c r="Q11" s="277"/>
    </row>
    <row r="12" spans="1:17" ht="12.75" customHeight="1" x14ac:dyDescent="0.25">
      <c r="A12" s="7"/>
      <c r="B12" s="8" t="s">
        <v>17</v>
      </c>
      <c r="C12" s="1512" t="s">
        <v>839</v>
      </c>
      <c r="D12" s="1512" t="s">
        <v>839</v>
      </c>
      <c r="E12" s="1512" t="s">
        <v>839</v>
      </c>
      <c r="F12" s="1512" t="s">
        <v>839</v>
      </c>
      <c r="G12" s="1512" t="s">
        <v>839</v>
      </c>
      <c r="H12" s="1512" t="s">
        <v>839</v>
      </c>
      <c r="I12" s="1512" t="s">
        <v>839</v>
      </c>
      <c r="J12" s="1512" t="s">
        <v>839</v>
      </c>
      <c r="K12" s="1512" t="s">
        <v>839</v>
      </c>
      <c r="L12" s="1512" t="s">
        <v>839</v>
      </c>
      <c r="M12" s="1512" t="s">
        <v>839</v>
      </c>
      <c r="N12" s="1512" t="s">
        <v>839</v>
      </c>
      <c r="O12" s="1512" t="s">
        <v>839</v>
      </c>
      <c r="P12" s="1513" t="s">
        <v>839</v>
      </c>
      <c r="Q12" s="277"/>
    </row>
    <row r="13" spans="1:17" ht="12.75" customHeight="1" x14ac:dyDescent="0.25">
      <c r="A13" s="7"/>
      <c r="B13" s="8" t="s">
        <v>18</v>
      </c>
      <c r="C13" s="1512" t="s">
        <v>840</v>
      </c>
      <c r="D13" s="1512" t="s">
        <v>840</v>
      </c>
      <c r="E13" s="1512" t="s">
        <v>840</v>
      </c>
      <c r="F13" s="1512" t="s">
        <v>840</v>
      </c>
      <c r="G13" s="1512" t="s">
        <v>840</v>
      </c>
      <c r="H13" s="1512" t="s">
        <v>840</v>
      </c>
      <c r="I13" s="1512" t="s">
        <v>840</v>
      </c>
      <c r="J13" s="1512" t="s">
        <v>840</v>
      </c>
      <c r="K13" s="1512" t="s">
        <v>840</v>
      </c>
      <c r="L13" s="1512" t="s">
        <v>840</v>
      </c>
      <c r="M13" s="1512" t="s">
        <v>840</v>
      </c>
      <c r="N13" s="1512" t="s">
        <v>840</v>
      </c>
      <c r="O13" s="1512" t="s">
        <v>840</v>
      </c>
      <c r="P13" s="1513" t="s">
        <v>840</v>
      </c>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1224328</v>
      </c>
      <c r="D20" s="32">
        <f>SUM(D21,D24,D25,D41,D43)</f>
        <v>600951</v>
      </c>
      <c r="E20" s="33">
        <f>SUM(E21,E24,E25,E41,E43)</f>
        <v>0</v>
      </c>
      <c r="F20" s="34">
        <f>SUM(F21,F24,F25,F41,F43)</f>
        <v>600951</v>
      </c>
      <c r="G20" s="32">
        <f>SUM(G21,G24,G43)</f>
        <v>494776</v>
      </c>
      <c r="H20" s="33">
        <f>SUM(H21,H24,H43)</f>
        <v>11502</v>
      </c>
      <c r="I20" s="34">
        <f>SUM(I21,I24,I43)</f>
        <v>506278</v>
      </c>
      <c r="J20" s="32">
        <f>SUM(J21,J26,J43)</f>
        <v>105649</v>
      </c>
      <c r="K20" s="33">
        <f>SUM(K21,K26,K43)</f>
        <v>11420</v>
      </c>
      <c r="L20" s="34">
        <f>SUM(L21,L26,L43)</f>
        <v>117069</v>
      </c>
      <c r="M20" s="32">
        <f>SUM(M21,M45)</f>
        <v>30</v>
      </c>
      <c r="N20" s="33">
        <f>SUM(N21,N45)</f>
        <v>0</v>
      </c>
      <c r="O20" s="34">
        <f>SUM(O21,O45)</f>
        <v>30</v>
      </c>
      <c r="P20" s="35"/>
    </row>
    <row r="21" spans="1:16" ht="12.75" thickTop="1" x14ac:dyDescent="0.25">
      <c r="A21" s="36"/>
      <c r="B21" s="37" t="s">
        <v>39</v>
      </c>
      <c r="C21" s="38">
        <f t="shared" si="0"/>
        <v>9073</v>
      </c>
      <c r="D21" s="39">
        <f t="shared" ref="D21:O21" si="1">SUM(D22:D23)</f>
        <v>0</v>
      </c>
      <c r="E21" s="40">
        <f t="shared" si="1"/>
        <v>0</v>
      </c>
      <c r="F21" s="41">
        <f t="shared" si="1"/>
        <v>0</v>
      </c>
      <c r="G21" s="39">
        <f t="shared" si="1"/>
        <v>0</v>
      </c>
      <c r="H21" s="40">
        <f t="shared" si="1"/>
        <v>0</v>
      </c>
      <c r="I21" s="41">
        <f t="shared" si="1"/>
        <v>0</v>
      </c>
      <c r="J21" s="39">
        <f t="shared" si="1"/>
        <v>9043</v>
      </c>
      <c r="K21" s="40">
        <f t="shared" si="1"/>
        <v>0</v>
      </c>
      <c r="L21" s="41">
        <f t="shared" si="1"/>
        <v>9043</v>
      </c>
      <c r="M21" s="39">
        <f t="shared" si="1"/>
        <v>30</v>
      </c>
      <c r="N21" s="40">
        <f t="shared" si="1"/>
        <v>0</v>
      </c>
      <c r="O21" s="41">
        <f t="shared" si="1"/>
        <v>30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F23+I23+L23+O23</f>
        <v>9073</v>
      </c>
      <c r="D23" s="53"/>
      <c r="E23" s="54"/>
      <c r="F23" s="55">
        <f>D23+E23</f>
        <v>0</v>
      </c>
      <c r="G23" s="53"/>
      <c r="H23" s="54"/>
      <c r="I23" s="55">
        <f>G23+H23</f>
        <v>0</v>
      </c>
      <c r="J23" s="53">
        <v>9043</v>
      </c>
      <c r="K23" s="54"/>
      <c r="L23" s="56">
        <f>K23+J23</f>
        <v>9043</v>
      </c>
      <c r="M23" s="53">
        <v>30</v>
      </c>
      <c r="N23" s="54"/>
      <c r="O23" s="55">
        <f>N23+M23</f>
        <v>30</v>
      </c>
      <c r="P23" s="724"/>
    </row>
    <row r="24" spans="1:16" s="28" customFormat="1" ht="26.25" customHeight="1" thickBot="1" x14ac:dyDescent="0.3">
      <c r="A24" s="58">
        <v>19300</v>
      </c>
      <c r="B24" s="58" t="s">
        <v>42</v>
      </c>
      <c r="C24" s="59">
        <f>F24+I24</f>
        <v>1107229</v>
      </c>
      <c r="D24" s="60">
        <v>600951</v>
      </c>
      <c r="E24" s="63"/>
      <c r="F24" s="62">
        <f>D24+E24</f>
        <v>600951</v>
      </c>
      <c r="G24" s="60">
        <v>494776</v>
      </c>
      <c r="H24" s="61">
        <v>11502</v>
      </c>
      <c r="I24" s="62">
        <f>G24+H24</f>
        <v>506278</v>
      </c>
      <c r="J24" s="64" t="s">
        <v>43</v>
      </c>
      <c r="K24" s="65" t="s">
        <v>43</v>
      </c>
      <c r="L24" s="66" t="s">
        <v>43</v>
      </c>
      <c r="M24" s="64" t="s">
        <v>43</v>
      </c>
      <c r="N24" s="65" t="s">
        <v>43</v>
      </c>
      <c r="O24" s="66" t="s">
        <v>43</v>
      </c>
      <c r="P24" s="67" t="s">
        <v>841</v>
      </c>
    </row>
    <row r="25" spans="1:16" s="28" customFormat="1" ht="24.75" hidden="1" customHeight="1" thickTop="1" x14ac:dyDescent="0.25">
      <c r="A25" s="68"/>
      <c r="B25" s="69" t="s">
        <v>44</v>
      </c>
      <c r="C25" s="70">
        <f>F25</f>
        <v>0</v>
      </c>
      <c r="D25" s="71"/>
      <c r="E25" s="72"/>
      <c r="F25" s="73">
        <f>D25+E25</f>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 t="shared" ref="C26:C40" si="2">L26</f>
        <v>107962</v>
      </c>
      <c r="D26" s="74" t="s">
        <v>43</v>
      </c>
      <c r="E26" s="75" t="s">
        <v>43</v>
      </c>
      <c r="F26" s="76" t="s">
        <v>43</v>
      </c>
      <c r="G26" s="74" t="s">
        <v>43</v>
      </c>
      <c r="H26" s="75" t="s">
        <v>43</v>
      </c>
      <c r="I26" s="76" t="s">
        <v>43</v>
      </c>
      <c r="J26" s="78">
        <f>SUM(J27,J31,J33,J36)</f>
        <v>96542</v>
      </c>
      <c r="K26" s="79">
        <f>SUM(K27,K31,K33,K36)</f>
        <v>11420</v>
      </c>
      <c r="L26" s="80">
        <f>SUM(L27,L31,L33,L36)</f>
        <v>107962</v>
      </c>
      <c r="M26" s="78" t="s">
        <v>43</v>
      </c>
      <c r="N26" s="79" t="s">
        <v>43</v>
      </c>
      <c r="O26" s="80" t="s">
        <v>43</v>
      </c>
      <c r="P26" s="77"/>
    </row>
    <row r="27" spans="1:16" s="28" customFormat="1" ht="24" customHeight="1" x14ac:dyDescent="0.25">
      <c r="A27" s="81">
        <v>21350</v>
      </c>
      <c r="B27" s="69" t="s">
        <v>46</v>
      </c>
      <c r="C27" s="70">
        <f t="shared" si="2"/>
        <v>101147</v>
      </c>
      <c r="D27" s="74" t="s">
        <v>43</v>
      </c>
      <c r="E27" s="75" t="s">
        <v>43</v>
      </c>
      <c r="F27" s="76" t="s">
        <v>43</v>
      </c>
      <c r="G27" s="74" t="s">
        <v>43</v>
      </c>
      <c r="H27" s="75" t="s">
        <v>43</v>
      </c>
      <c r="I27" s="76" t="s">
        <v>43</v>
      </c>
      <c r="J27" s="78">
        <f>SUM(J28:J30)</f>
        <v>89727</v>
      </c>
      <c r="K27" s="79">
        <f>SUM(K28:K30)</f>
        <v>11420</v>
      </c>
      <c r="L27" s="80">
        <f>SUM(L28:L30)</f>
        <v>101147</v>
      </c>
      <c r="M27" s="78" t="s">
        <v>43</v>
      </c>
      <c r="N27" s="79" t="s">
        <v>43</v>
      </c>
      <c r="O27" s="80" t="s">
        <v>43</v>
      </c>
      <c r="P27" s="77"/>
    </row>
    <row r="28" spans="1:16" ht="12" hidden="1" customHeight="1" x14ac:dyDescent="0.25">
      <c r="A28" s="43">
        <v>21351</v>
      </c>
      <c r="B28" s="82" t="s">
        <v>47</v>
      </c>
      <c r="C28" s="83">
        <f t="shared" si="2"/>
        <v>0</v>
      </c>
      <c r="D28" s="84" t="s">
        <v>43</v>
      </c>
      <c r="E28" s="85" t="s">
        <v>43</v>
      </c>
      <c r="F28" s="86" t="s">
        <v>43</v>
      </c>
      <c r="G28" s="84" t="s">
        <v>43</v>
      </c>
      <c r="H28" s="85" t="s">
        <v>43</v>
      </c>
      <c r="I28" s="86" t="s">
        <v>43</v>
      </c>
      <c r="J28" s="46"/>
      <c r="K28" s="47"/>
      <c r="L28" s="48">
        <f>K28+J28</f>
        <v>0</v>
      </c>
      <c r="M28" s="87" t="s">
        <v>43</v>
      </c>
      <c r="N28" s="88" t="s">
        <v>43</v>
      </c>
      <c r="O28" s="48" t="s">
        <v>43</v>
      </c>
      <c r="P28" s="49"/>
    </row>
    <row r="29" spans="1:16" ht="12" hidden="1" customHeight="1" x14ac:dyDescent="0.25">
      <c r="A29" s="50">
        <v>21352</v>
      </c>
      <c r="B29" s="89" t="s">
        <v>48</v>
      </c>
      <c r="C29" s="90">
        <f t="shared" si="2"/>
        <v>0</v>
      </c>
      <c r="D29" s="91" t="s">
        <v>43</v>
      </c>
      <c r="E29" s="92" t="s">
        <v>43</v>
      </c>
      <c r="F29" s="93" t="s">
        <v>43</v>
      </c>
      <c r="G29" s="91" t="s">
        <v>43</v>
      </c>
      <c r="H29" s="92" t="s">
        <v>43</v>
      </c>
      <c r="I29" s="93" t="s">
        <v>43</v>
      </c>
      <c r="J29" s="53"/>
      <c r="K29" s="54"/>
      <c r="L29" s="56">
        <f>K29+J29</f>
        <v>0</v>
      </c>
      <c r="M29" s="94" t="s">
        <v>43</v>
      </c>
      <c r="N29" s="95" t="s">
        <v>43</v>
      </c>
      <c r="O29" s="56" t="s">
        <v>43</v>
      </c>
      <c r="P29" s="57"/>
    </row>
    <row r="30" spans="1:16" ht="27" customHeight="1" x14ac:dyDescent="0.25">
      <c r="A30" s="50">
        <v>21359</v>
      </c>
      <c r="B30" s="89" t="s">
        <v>49</v>
      </c>
      <c r="C30" s="90">
        <f t="shared" si="2"/>
        <v>101147</v>
      </c>
      <c r="D30" s="91" t="s">
        <v>43</v>
      </c>
      <c r="E30" s="92" t="s">
        <v>43</v>
      </c>
      <c r="F30" s="93" t="s">
        <v>43</v>
      </c>
      <c r="G30" s="91" t="s">
        <v>43</v>
      </c>
      <c r="H30" s="92" t="s">
        <v>43</v>
      </c>
      <c r="I30" s="93" t="s">
        <v>43</v>
      </c>
      <c r="J30" s="53">
        <v>89727</v>
      </c>
      <c r="K30" s="725">
        <v>11420</v>
      </c>
      <c r="L30" s="56">
        <f>K30+J30</f>
        <v>101147</v>
      </c>
      <c r="M30" s="94" t="s">
        <v>43</v>
      </c>
      <c r="N30" s="95" t="s">
        <v>43</v>
      </c>
      <c r="O30" s="56" t="s">
        <v>43</v>
      </c>
      <c r="P30" s="57" t="s">
        <v>842</v>
      </c>
    </row>
    <row r="31" spans="1:16" s="28" customFormat="1" ht="36" hidden="1" customHeight="1" x14ac:dyDescent="0.25">
      <c r="A31" s="81">
        <v>21370</v>
      </c>
      <c r="B31" s="69" t="s">
        <v>50</v>
      </c>
      <c r="C31" s="70">
        <f t="shared" si="2"/>
        <v>0</v>
      </c>
      <c r="D31" s="74" t="s">
        <v>43</v>
      </c>
      <c r="E31" s="75" t="s">
        <v>43</v>
      </c>
      <c r="F31" s="76" t="s">
        <v>43</v>
      </c>
      <c r="G31" s="74" t="s">
        <v>43</v>
      </c>
      <c r="H31" s="75" t="s">
        <v>43</v>
      </c>
      <c r="I31" s="76" t="s">
        <v>43</v>
      </c>
      <c r="J31" s="78">
        <f>SUM(J32)</f>
        <v>0</v>
      </c>
      <c r="K31" s="79">
        <f>SUM(K32)</f>
        <v>0</v>
      </c>
      <c r="L31" s="80">
        <f>SUM(L32)</f>
        <v>0</v>
      </c>
      <c r="M31" s="78" t="s">
        <v>43</v>
      </c>
      <c r="N31" s="79" t="s">
        <v>43</v>
      </c>
      <c r="O31" s="80" t="s">
        <v>43</v>
      </c>
      <c r="P31" s="77"/>
    </row>
    <row r="32" spans="1:16" ht="36" hidden="1" customHeight="1" x14ac:dyDescent="0.25">
      <c r="A32" s="96">
        <v>21379</v>
      </c>
      <c r="B32" s="97" t="s">
        <v>51</v>
      </c>
      <c r="C32" s="98">
        <f t="shared" si="2"/>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2"/>
        <v>5320</v>
      </c>
      <c r="D33" s="74" t="s">
        <v>43</v>
      </c>
      <c r="E33" s="75" t="s">
        <v>43</v>
      </c>
      <c r="F33" s="76" t="s">
        <v>43</v>
      </c>
      <c r="G33" s="74" t="s">
        <v>43</v>
      </c>
      <c r="H33" s="75" t="s">
        <v>43</v>
      </c>
      <c r="I33" s="76" t="s">
        <v>43</v>
      </c>
      <c r="J33" s="78">
        <f>SUM(J34:J35)</f>
        <v>5320</v>
      </c>
      <c r="K33" s="79">
        <f>SUM(K34:K35)</f>
        <v>0</v>
      </c>
      <c r="L33" s="80">
        <f>SUM(L34:L35)</f>
        <v>5320</v>
      </c>
      <c r="M33" s="78" t="s">
        <v>43</v>
      </c>
      <c r="N33" s="79" t="s">
        <v>43</v>
      </c>
      <c r="O33" s="80" t="s">
        <v>43</v>
      </c>
      <c r="P33" s="77"/>
    </row>
    <row r="34" spans="1:16" ht="12" customHeight="1" x14ac:dyDescent="0.25">
      <c r="A34" s="44">
        <v>21381</v>
      </c>
      <c r="B34" s="82" t="s">
        <v>53</v>
      </c>
      <c r="C34" s="83">
        <f t="shared" si="2"/>
        <v>3220</v>
      </c>
      <c r="D34" s="84" t="s">
        <v>43</v>
      </c>
      <c r="E34" s="85" t="s">
        <v>43</v>
      </c>
      <c r="F34" s="86" t="s">
        <v>43</v>
      </c>
      <c r="G34" s="84" t="s">
        <v>43</v>
      </c>
      <c r="H34" s="85" t="s">
        <v>43</v>
      </c>
      <c r="I34" s="86" t="s">
        <v>43</v>
      </c>
      <c r="J34" s="46">
        <v>3220</v>
      </c>
      <c r="K34" s="47"/>
      <c r="L34" s="48">
        <f>K34+J34</f>
        <v>3220</v>
      </c>
      <c r="M34" s="87" t="s">
        <v>43</v>
      </c>
      <c r="N34" s="88" t="s">
        <v>43</v>
      </c>
      <c r="O34" s="48" t="s">
        <v>43</v>
      </c>
      <c r="P34" s="49"/>
    </row>
    <row r="35" spans="1:16" ht="26.25" customHeight="1" x14ac:dyDescent="0.25">
      <c r="A35" s="51">
        <v>21383</v>
      </c>
      <c r="B35" s="89" t="s">
        <v>54</v>
      </c>
      <c r="C35" s="90">
        <f t="shared" si="2"/>
        <v>2100</v>
      </c>
      <c r="D35" s="91" t="s">
        <v>43</v>
      </c>
      <c r="E35" s="92" t="s">
        <v>43</v>
      </c>
      <c r="F35" s="93" t="s">
        <v>43</v>
      </c>
      <c r="G35" s="91" t="s">
        <v>43</v>
      </c>
      <c r="H35" s="92" t="s">
        <v>43</v>
      </c>
      <c r="I35" s="93" t="s">
        <v>43</v>
      </c>
      <c r="J35" s="53">
        <v>2100</v>
      </c>
      <c r="K35" s="349"/>
      <c r="L35" s="56">
        <f>K35+J35</f>
        <v>2100</v>
      </c>
      <c r="M35" s="94" t="s">
        <v>43</v>
      </c>
      <c r="N35" s="95" t="s">
        <v>43</v>
      </c>
      <c r="O35" s="56" t="s">
        <v>43</v>
      </c>
      <c r="P35" s="57"/>
    </row>
    <row r="36" spans="1:16" s="28" customFormat="1" ht="25.5" customHeight="1" x14ac:dyDescent="0.25">
      <c r="A36" s="81">
        <v>21390</v>
      </c>
      <c r="B36" s="69" t="s">
        <v>55</v>
      </c>
      <c r="C36" s="70">
        <f t="shared" si="2"/>
        <v>1495</v>
      </c>
      <c r="D36" s="74" t="s">
        <v>43</v>
      </c>
      <c r="E36" s="75" t="s">
        <v>43</v>
      </c>
      <c r="F36" s="76" t="s">
        <v>43</v>
      </c>
      <c r="G36" s="74" t="s">
        <v>43</v>
      </c>
      <c r="H36" s="75" t="s">
        <v>43</v>
      </c>
      <c r="I36" s="76" t="s">
        <v>43</v>
      </c>
      <c r="J36" s="78">
        <f>SUM(J37:J40)</f>
        <v>1495</v>
      </c>
      <c r="K36" s="79">
        <f>SUM(K37:K40)</f>
        <v>0</v>
      </c>
      <c r="L36" s="80">
        <f>SUM(L37:L40)</f>
        <v>1495</v>
      </c>
      <c r="M36" s="78" t="s">
        <v>43</v>
      </c>
      <c r="N36" s="79" t="s">
        <v>43</v>
      </c>
      <c r="O36" s="80" t="s">
        <v>43</v>
      </c>
      <c r="P36" s="77"/>
    </row>
    <row r="37" spans="1:16" ht="24" hidden="1" customHeight="1" x14ac:dyDescent="0.25">
      <c r="A37" s="44">
        <v>21391</v>
      </c>
      <c r="B37" s="82" t="s">
        <v>56</v>
      </c>
      <c r="C37" s="83">
        <f t="shared" si="2"/>
        <v>0</v>
      </c>
      <c r="D37" s="84" t="s">
        <v>43</v>
      </c>
      <c r="E37" s="85" t="s">
        <v>43</v>
      </c>
      <c r="F37" s="86" t="s">
        <v>43</v>
      </c>
      <c r="G37" s="84" t="s">
        <v>43</v>
      </c>
      <c r="H37" s="85" t="s">
        <v>43</v>
      </c>
      <c r="I37" s="86" t="s">
        <v>43</v>
      </c>
      <c r="J37" s="46"/>
      <c r="K37" s="47"/>
      <c r="L37" s="48">
        <f>K37+J37</f>
        <v>0</v>
      </c>
      <c r="M37" s="87" t="s">
        <v>43</v>
      </c>
      <c r="N37" s="88" t="s">
        <v>43</v>
      </c>
      <c r="O37" s="48" t="s">
        <v>43</v>
      </c>
      <c r="P37" s="49"/>
    </row>
    <row r="38" spans="1:16" ht="12" hidden="1" customHeight="1" x14ac:dyDescent="0.25">
      <c r="A38" s="51">
        <v>21393</v>
      </c>
      <c r="B38" s="89" t="s">
        <v>57</v>
      </c>
      <c r="C38" s="90">
        <f t="shared" si="2"/>
        <v>0</v>
      </c>
      <c r="D38" s="91" t="s">
        <v>43</v>
      </c>
      <c r="E38" s="92" t="s">
        <v>43</v>
      </c>
      <c r="F38" s="93" t="s">
        <v>43</v>
      </c>
      <c r="G38" s="91" t="s">
        <v>43</v>
      </c>
      <c r="H38" s="92" t="s">
        <v>43</v>
      </c>
      <c r="I38" s="93" t="s">
        <v>43</v>
      </c>
      <c r="J38" s="53"/>
      <c r="K38" s="54"/>
      <c r="L38" s="56">
        <f>K38+J38</f>
        <v>0</v>
      </c>
      <c r="M38" s="94" t="s">
        <v>43</v>
      </c>
      <c r="N38" s="95" t="s">
        <v>43</v>
      </c>
      <c r="O38" s="56" t="s">
        <v>43</v>
      </c>
      <c r="P38" s="57"/>
    </row>
    <row r="39" spans="1:16" ht="12" hidden="1" customHeight="1" x14ac:dyDescent="0.25">
      <c r="A39" s="51">
        <v>21395</v>
      </c>
      <c r="B39" s="89" t="s">
        <v>58</v>
      </c>
      <c r="C39" s="90">
        <f t="shared" si="2"/>
        <v>0</v>
      </c>
      <c r="D39" s="91" t="s">
        <v>43</v>
      </c>
      <c r="E39" s="92" t="s">
        <v>43</v>
      </c>
      <c r="F39" s="93" t="s">
        <v>43</v>
      </c>
      <c r="G39" s="91" t="s">
        <v>43</v>
      </c>
      <c r="H39" s="92" t="s">
        <v>43</v>
      </c>
      <c r="I39" s="93" t="s">
        <v>43</v>
      </c>
      <c r="J39" s="53"/>
      <c r="K39" s="54"/>
      <c r="L39" s="56">
        <f>K39+J39</f>
        <v>0</v>
      </c>
      <c r="M39" s="94" t="s">
        <v>43</v>
      </c>
      <c r="N39" s="95" t="s">
        <v>43</v>
      </c>
      <c r="O39" s="56" t="s">
        <v>43</v>
      </c>
      <c r="P39" s="57"/>
    </row>
    <row r="40" spans="1:16" ht="22.5" customHeight="1" x14ac:dyDescent="0.25">
      <c r="A40" s="108">
        <v>21399</v>
      </c>
      <c r="B40" s="109" t="s">
        <v>59</v>
      </c>
      <c r="C40" s="110">
        <f t="shared" si="2"/>
        <v>1495</v>
      </c>
      <c r="D40" s="111" t="s">
        <v>43</v>
      </c>
      <c r="E40" s="112" t="s">
        <v>43</v>
      </c>
      <c r="F40" s="113" t="s">
        <v>43</v>
      </c>
      <c r="G40" s="111" t="s">
        <v>43</v>
      </c>
      <c r="H40" s="112" t="s">
        <v>43</v>
      </c>
      <c r="I40" s="113" t="s">
        <v>43</v>
      </c>
      <c r="J40" s="114">
        <v>1495</v>
      </c>
      <c r="K40" s="483"/>
      <c r="L40" s="116">
        <f>K40+J40</f>
        <v>1495</v>
      </c>
      <c r="M40" s="117" t="s">
        <v>43</v>
      </c>
      <c r="N40" s="118" t="s">
        <v>43</v>
      </c>
      <c r="O40" s="116" t="s">
        <v>43</v>
      </c>
      <c r="P40" s="726"/>
    </row>
    <row r="41" spans="1:16" s="28" customFormat="1" ht="26.25" hidden="1" customHeight="1" x14ac:dyDescent="0.25">
      <c r="A41" s="120">
        <v>21420</v>
      </c>
      <c r="B41" s="121" t="s">
        <v>60</v>
      </c>
      <c r="C41" s="122">
        <f>F41</f>
        <v>0</v>
      </c>
      <c r="D41" s="123">
        <f>SUM(D42)</f>
        <v>0</v>
      </c>
      <c r="E41" s="124">
        <f>SUM(E42)</f>
        <v>0</v>
      </c>
      <c r="F41" s="125">
        <f>SUM(F42)</f>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64</v>
      </c>
      <c r="D43" s="78">
        <f>D44</f>
        <v>0</v>
      </c>
      <c r="E43" s="79">
        <f>E44</f>
        <v>0</v>
      </c>
      <c r="F43" s="80">
        <f>F44</f>
        <v>0</v>
      </c>
      <c r="G43" s="78">
        <f t="shared" ref="G43:L43" si="3">G44</f>
        <v>0</v>
      </c>
      <c r="H43" s="79">
        <f t="shared" si="3"/>
        <v>0</v>
      </c>
      <c r="I43" s="80">
        <f t="shared" si="3"/>
        <v>0</v>
      </c>
      <c r="J43" s="78">
        <f t="shared" si="3"/>
        <v>64</v>
      </c>
      <c r="K43" s="79">
        <f t="shared" si="3"/>
        <v>0</v>
      </c>
      <c r="L43" s="80">
        <f t="shared" si="3"/>
        <v>64</v>
      </c>
      <c r="M43" s="78" t="s">
        <v>43</v>
      </c>
      <c r="N43" s="79" t="s">
        <v>43</v>
      </c>
      <c r="O43" s="80" t="s">
        <v>43</v>
      </c>
      <c r="P43" s="77"/>
    </row>
    <row r="44" spans="1:16" s="28" customFormat="1" ht="23.25" customHeight="1" x14ac:dyDescent="0.25">
      <c r="A44" s="51">
        <v>21499</v>
      </c>
      <c r="B44" s="89" t="s">
        <v>63</v>
      </c>
      <c r="C44" s="133">
        <f>F44+I44+L44</f>
        <v>64</v>
      </c>
      <c r="D44" s="46"/>
      <c r="E44" s="47"/>
      <c r="F44" s="134">
        <f>D44+E44</f>
        <v>0</v>
      </c>
      <c r="G44" s="46"/>
      <c r="H44" s="47"/>
      <c r="I44" s="134">
        <f>G44+H44</f>
        <v>0</v>
      </c>
      <c r="J44" s="46">
        <v>64</v>
      </c>
      <c r="K44" s="461"/>
      <c r="L44" s="48">
        <f>K44+J44</f>
        <v>64</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SUM(N46:N47)</f>
        <v>0</v>
      </c>
      <c r="O45" s="116">
        <f>SUM(O46:O47)</f>
        <v>0</v>
      </c>
      <c r="P45" s="119"/>
    </row>
    <row r="46" spans="1:16" ht="24" hidden="1" customHeight="1" x14ac:dyDescent="0.25">
      <c r="A46" s="137">
        <v>23410</v>
      </c>
      <c r="B46" s="138" t="s">
        <v>65</v>
      </c>
      <c r="C46" s="122">
        <f>O46</f>
        <v>0</v>
      </c>
      <c r="D46" s="126" t="s">
        <v>43</v>
      </c>
      <c r="E46" s="127" t="s">
        <v>43</v>
      </c>
      <c r="F46" s="128" t="s">
        <v>43</v>
      </c>
      <c r="G46" s="126" t="s">
        <v>43</v>
      </c>
      <c r="H46" s="127" t="s">
        <v>43</v>
      </c>
      <c r="I46" s="128" t="s">
        <v>43</v>
      </c>
      <c r="J46" s="126" t="s">
        <v>43</v>
      </c>
      <c r="K46" s="127" t="s">
        <v>43</v>
      </c>
      <c r="L46" s="128" t="s">
        <v>43</v>
      </c>
      <c r="M46" s="139"/>
      <c r="N46" s="140"/>
      <c r="O46" s="141">
        <f>N46+M46</f>
        <v>0</v>
      </c>
      <c r="P46" s="129"/>
    </row>
    <row r="47" spans="1:16" ht="24" hidden="1" customHeight="1" x14ac:dyDescent="0.25">
      <c r="A47" s="137">
        <v>23510</v>
      </c>
      <c r="B47" s="138" t="s">
        <v>66</v>
      </c>
      <c r="C47" s="122">
        <f>O47</f>
        <v>0</v>
      </c>
      <c r="D47" s="126" t="s">
        <v>43</v>
      </c>
      <c r="E47" s="127" t="s">
        <v>43</v>
      </c>
      <c r="F47" s="128" t="s">
        <v>43</v>
      </c>
      <c r="G47" s="126" t="s">
        <v>43</v>
      </c>
      <c r="H47" s="127" t="s">
        <v>43</v>
      </c>
      <c r="I47" s="128" t="s">
        <v>43</v>
      </c>
      <c r="J47" s="126" t="s">
        <v>43</v>
      </c>
      <c r="K47" s="127" t="s">
        <v>43</v>
      </c>
      <c r="L47" s="128" t="s">
        <v>43</v>
      </c>
      <c r="M47" s="139"/>
      <c r="N47" s="140"/>
      <c r="O47" s="141">
        <f>N47+M47</f>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1224328</v>
      </c>
      <c r="D50" s="159">
        <f t="shared" ref="D50:O50" si="4">SUM(D51,D286)</f>
        <v>600951</v>
      </c>
      <c r="E50" s="160">
        <f t="shared" si="4"/>
        <v>0</v>
      </c>
      <c r="F50" s="161">
        <f t="shared" si="4"/>
        <v>600951</v>
      </c>
      <c r="G50" s="159">
        <f t="shared" si="4"/>
        <v>494776</v>
      </c>
      <c r="H50" s="160">
        <f t="shared" si="4"/>
        <v>11502</v>
      </c>
      <c r="I50" s="161">
        <f t="shared" si="4"/>
        <v>506278</v>
      </c>
      <c r="J50" s="32">
        <f t="shared" si="4"/>
        <v>105649</v>
      </c>
      <c r="K50" s="33">
        <f t="shared" si="4"/>
        <v>11420</v>
      </c>
      <c r="L50" s="34">
        <f t="shared" si="4"/>
        <v>117069</v>
      </c>
      <c r="M50" s="32">
        <f t="shared" si="4"/>
        <v>30</v>
      </c>
      <c r="N50" s="33">
        <f t="shared" si="4"/>
        <v>0</v>
      </c>
      <c r="O50" s="34">
        <f t="shared" si="4"/>
        <v>30</v>
      </c>
      <c r="P50" s="35"/>
    </row>
    <row r="51" spans="1:16" s="28" customFormat="1" ht="36.75" thickTop="1" x14ac:dyDescent="0.25">
      <c r="A51" s="162"/>
      <c r="B51" s="163" t="s">
        <v>69</v>
      </c>
      <c r="C51" s="164">
        <f t="shared" si="0"/>
        <v>1224328</v>
      </c>
      <c r="D51" s="165">
        <f t="shared" ref="D51:O51" si="5">SUM(D52,D194)</f>
        <v>600951</v>
      </c>
      <c r="E51" s="166">
        <f t="shared" si="5"/>
        <v>0</v>
      </c>
      <c r="F51" s="167">
        <f t="shared" si="5"/>
        <v>600951</v>
      </c>
      <c r="G51" s="165">
        <f t="shared" si="5"/>
        <v>494776</v>
      </c>
      <c r="H51" s="166">
        <f t="shared" si="5"/>
        <v>11502</v>
      </c>
      <c r="I51" s="167">
        <f t="shared" si="5"/>
        <v>506278</v>
      </c>
      <c r="J51" s="168">
        <f t="shared" si="5"/>
        <v>105649</v>
      </c>
      <c r="K51" s="169">
        <f t="shared" si="5"/>
        <v>11420</v>
      </c>
      <c r="L51" s="170">
        <f t="shared" si="5"/>
        <v>117069</v>
      </c>
      <c r="M51" s="168">
        <f t="shared" si="5"/>
        <v>30</v>
      </c>
      <c r="N51" s="169">
        <f t="shared" si="5"/>
        <v>0</v>
      </c>
      <c r="O51" s="170">
        <f t="shared" si="5"/>
        <v>30</v>
      </c>
      <c r="P51" s="171"/>
    </row>
    <row r="52" spans="1:16" s="28" customFormat="1" ht="24" x14ac:dyDescent="0.25">
      <c r="A52" s="24"/>
      <c r="B52" s="22" t="s">
        <v>70</v>
      </c>
      <c r="C52" s="172">
        <f t="shared" si="0"/>
        <v>1118335</v>
      </c>
      <c r="D52" s="173">
        <f t="shared" ref="D52:O52" si="6">SUM(D53,D75,D173,D187)</f>
        <v>520270</v>
      </c>
      <c r="E52" s="174">
        <f t="shared" si="6"/>
        <v>0</v>
      </c>
      <c r="F52" s="175">
        <f t="shared" si="6"/>
        <v>520270</v>
      </c>
      <c r="G52" s="173">
        <f t="shared" si="6"/>
        <v>494776</v>
      </c>
      <c r="H52" s="174">
        <f t="shared" si="6"/>
        <v>11502</v>
      </c>
      <c r="I52" s="175">
        <f t="shared" si="6"/>
        <v>506278</v>
      </c>
      <c r="J52" s="173">
        <f t="shared" si="6"/>
        <v>91079</v>
      </c>
      <c r="K52" s="174">
        <f t="shared" si="6"/>
        <v>678</v>
      </c>
      <c r="L52" s="175">
        <f t="shared" si="6"/>
        <v>91757</v>
      </c>
      <c r="M52" s="173">
        <f t="shared" si="6"/>
        <v>30</v>
      </c>
      <c r="N52" s="174">
        <f t="shared" si="6"/>
        <v>0</v>
      </c>
      <c r="O52" s="175">
        <f t="shared" si="6"/>
        <v>30</v>
      </c>
      <c r="P52" s="176"/>
    </row>
    <row r="53" spans="1:16" s="28" customFormat="1" x14ac:dyDescent="0.25">
      <c r="A53" s="177">
        <v>1000</v>
      </c>
      <c r="B53" s="177" t="s">
        <v>71</v>
      </c>
      <c r="C53" s="178">
        <f t="shared" si="0"/>
        <v>1019601</v>
      </c>
      <c r="D53" s="179">
        <f t="shared" ref="D53:O53" si="7">SUM(D54,D67)</f>
        <v>450163</v>
      </c>
      <c r="E53" s="180">
        <f t="shared" si="7"/>
        <v>0</v>
      </c>
      <c r="F53" s="181">
        <f t="shared" si="7"/>
        <v>450163</v>
      </c>
      <c r="G53" s="179">
        <f t="shared" si="7"/>
        <v>494776</v>
      </c>
      <c r="H53" s="180">
        <f t="shared" si="7"/>
        <v>11502</v>
      </c>
      <c r="I53" s="181">
        <f t="shared" si="7"/>
        <v>506278</v>
      </c>
      <c r="J53" s="179">
        <f t="shared" si="7"/>
        <v>63160</v>
      </c>
      <c r="K53" s="180">
        <f t="shared" si="7"/>
        <v>0</v>
      </c>
      <c r="L53" s="181">
        <f t="shared" si="7"/>
        <v>63160</v>
      </c>
      <c r="M53" s="179">
        <f t="shared" si="7"/>
        <v>0</v>
      </c>
      <c r="N53" s="180">
        <f t="shared" si="7"/>
        <v>0</v>
      </c>
      <c r="O53" s="181">
        <f t="shared" si="7"/>
        <v>0</v>
      </c>
      <c r="P53" s="182"/>
    </row>
    <row r="54" spans="1:16" x14ac:dyDescent="0.25">
      <c r="A54" s="69">
        <v>1100</v>
      </c>
      <c r="B54" s="183" t="s">
        <v>72</v>
      </c>
      <c r="C54" s="70">
        <f t="shared" si="0"/>
        <v>781485</v>
      </c>
      <c r="D54" s="184">
        <f t="shared" ref="D54:O54" si="8">SUM(D55,D58,D66)</f>
        <v>322460</v>
      </c>
      <c r="E54" s="185">
        <f t="shared" si="8"/>
        <v>0</v>
      </c>
      <c r="F54" s="73">
        <f t="shared" si="8"/>
        <v>322460</v>
      </c>
      <c r="G54" s="184">
        <f t="shared" si="8"/>
        <v>401022</v>
      </c>
      <c r="H54" s="185">
        <f t="shared" si="8"/>
        <v>9586</v>
      </c>
      <c r="I54" s="73">
        <f t="shared" si="8"/>
        <v>410608</v>
      </c>
      <c r="J54" s="184">
        <f t="shared" si="8"/>
        <v>48417</v>
      </c>
      <c r="K54" s="185">
        <f t="shared" si="8"/>
        <v>0</v>
      </c>
      <c r="L54" s="73">
        <f t="shared" si="8"/>
        <v>48417</v>
      </c>
      <c r="M54" s="184">
        <f t="shared" si="8"/>
        <v>0</v>
      </c>
      <c r="N54" s="185">
        <f t="shared" si="8"/>
        <v>0</v>
      </c>
      <c r="O54" s="73">
        <f t="shared" si="8"/>
        <v>0</v>
      </c>
      <c r="P54" s="77"/>
    </row>
    <row r="55" spans="1:16" x14ac:dyDescent="0.25">
      <c r="A55" s="186">
        <v>1110</v>
      </c>
      <c r="B55" s="138" t="s">
        <v>73</v>
      </c>
      <c r="C55" s="143">
        <f t="shared" si="0"/>
        <v>722621</v>
      </c>
      <c r="D55" s="187">
        <f t="shared" ref="D55:O55" si="9">SUM(D56:D57)</f>
        <v>284920</v>
      </c>
      <c r="E55" s="188">
        <f t="shared" si="9"/>
        <v>0</v>
      </c>
      <c r="F55" s="141">
        <f t="shared" si="9"/>
        <v>284920</v>
      </c>
      <c r="G55" s="187">
        <f t="shared" si="9"/>
        <v>377645</v>
      </c>
      <c r="H55" s="188">
        <f t="shared" si="9"/>
        <v>11816</v>
      </c>
      <c r="I55" s="141">
        <f t="shared" si="9"/>
        <v>389461</v>
      </c>
      <c r="J55" s="187">
        <f t="shared" si="9"/>
        <v>48240</v>
      </c>
      <c r="K55" s="188">
        <f t="shared" si="9"/>
        <v>0</v>
      </c>
      <c r="L55" s="141">
        <f t="shared" si="9"/>
        <v>48240</v>
      </c>
      <c r="M55" s="187">
        <f t="shared" si="9"/>
        <v>0</v>
      </c>
      <c r="N55" s="188">
        <f t="shared" si="9"/>
        <v>0</v>
      </c>
      <c r="O55" s="141">
        <f t="shared" si="9"/>
        <v>0</v>
      </c>
      <c r="P55" s="129"/>
    </row>
    <row r="56" spans="1:16" ht="12" hidden="1" customHeight="1" x14ac:dyDescent="0.25">
      <c r="A56" s="44">
        <v>1111</v>
      </c>
      <c r="B56" s="82" t="s">
        <v>74</v>
      </c>
      <c r="C56" s="83">
        <f t="shared" si="0"/>
        <v>0</v>
      </c>
      <c r="D56" s="46"/>
      <c r="E56" s="47"/>
      <c r="F56" s="134">
        <f>D56+E56</f>
        <v>0</v>
      </c>
      <c r="G56" s="46"/>
      <c r="H56" s="47"/>
      <c r="I56" s="134">
        <f>G56+H56</f>
        <v>0</v>
      </c>
      <c r="J56" s="46"/>
      <c r="K56" s="47"/>
      <c r="L56" s="134">
        <f>K56+J56</f>
        <v>0</v>
      </c>
      <c r="M56" s="46"/>
      <c r="N56" s="47"/>
      <c r="O56" s="134">
        <f>N56+M56</f>
        <v>0</v>
      </c>
      <c r="P56" s="49"/>
    </row>
    <row r="57" spans="1:16" ht="23.25" customHeight="1" x14ac:dyDescent="0.25">
      <c r="A57" s="51">
        <v>1119</v>
      </c>
      <c r="B57" s="89" t="s">
        <v>75</v>
      </c>
      <c r="C57" s="90">
        <f t="shared" si="0"/>
        <v>722621</v>
      </c>
      <c r="D57" s="53">
        <v>284920</v>
      </c>
      <c r="E57" s="349"/>
      <c r="F57" s="55">
        <f>D57+E57</f>
        <v>284920</v>
      </c>
      <c r="G57" s="53">
        <v>377645</v>
      </c>
      <c r="H57" s="725">
        <v>11816</v>
      </c>
      <c r="I57" s="55">
        <f>G57+H57</f>
        <v>389461</v>
      </c>
      <c r="J57" s="53">
        <v>48240</v>
      </c>
      <c r="K57" s="349"/>
      <c r="L57" s="55">
        <f>K57+J57</f>
        <v>48240</v>
      </c>
      <c r="M57" s="53"/>
      <c r="N57" s="54"/>
      <c r="O57" s="55">
        <f>N57+M57</f>
        <v>0</v>
      </c>
      <c r="P57" s="57" t="s">
        <v>843</v>
      </c>
    </row>
    <row r="58" spans="1:16" x14ac:dyDescent="0.25">
      <c r="A58" s="189">
        <v>1140</v>
      </c>
      <c r="B58" s="89" t="s">
        <v>76</v>
      </c>
      <c r="C58" s="90">
        <f t="shared" si="0"/>
        <v>53745</v>
      </c>
      <c r="D58" s="190">
        <f t="shared" ref="D58:O58" si="10">SUM(D59:D65)</f>
        <v>32598</v>
      </c>
      <c r="E58" s="191">
        <f t="shared" si="10"/>
        <v>0</v>
      </c>
      <c r="F58" s="55">
        <f t="shared" si="10"/>
        <v>32598</v>
      </c>
      <c r="G58" s="190">
        <f t="shared" si="10"/>
        <v>23377</v>
      </c>
      <c r="H58" s="191">
        <f t="shared" si="10"/>
        <v>-2230</v>
      </c>
      <c r="I58" s="55">
        <f t="shared" si="10"/>
        <v>21147</v>
      </c>
      <c r="J58" s="190">
        <f t="shared" si="10"/>
        <v>0</v>
      </c>
      <c r="K58" s="191">
        <f t="shared" si="10"/>
        <v>0</v>
      </c>
      <c r="L58" s="55">
        <f t="shared" si="10"/>
        <v>0</v>
      </c>
      <c r="M58" s="190">
        <f t="shared" si="10"/>
        <v>0</v>
      </c>
      <c r="N58" s="191">
        <f t="shared" si="10"/>
        <v>0</v>
      </c>
      <c r="O58" s="55">
        <f t="shared" si="10"/>
        <v>0</v>
      </c>
      <c r="P58" s="57"/>
    </row>
    <row r="59" spans="1:16" ht="12" hidden="1" customHeight="1" x14ac:dyDescent="0.25">
      <c r="A59" s="51">
        <v>1141</v>
      </c>
      <c r="B59" s="89" t="s">
        <v>77</v>
      </c>
      <c r="C59" s="90">
        <f t="shared" si="0"/>
        <v>0</v>
      </c>
      <c r="D59" s="53"/>
      <c r="E59" s="54"/>
      <c r="F59" s="55">
        <f t="shared" ref="F59:F66" si="11">D59+E59</f>
        <v>0</v>
      </c>
      <c r="G59" s="53"/>
      <c r="H59" s="54"/>
      <c r="I59" s="55">
        <f t="shared" ref="I59:I66" si="12">G59+H59</f>
        <v>0</v>
      </c>
      <c r="J59" s="53"/>
      <c r="K59" s="54"/>
      <c r="L59" s="55">
        <f t="shared" ref="L59:L66" si="13">K59+J59</f>
        <v>0</v>
      </c>
      <c r="M59" s="53"/>
      <c r="N59" s="54"/>
      <c r="O59" s="55">
        <f t="shared" ref="O59:O66" si="14">N59+M59</f>
        <v>0</v>
      </c>
      <c r="P59" s="57"/>
    </row>
    <row r="60" spans="1:16" ht="24.75" hidden="1" customHeight="1" x14ac:dyDescent="0.25">
      <c r="A60" s="51">
        <v>1142</v>
      </c>
      <c r="B60" s="89" t="s">
        <v>78</v>
      </c>
      <c r="C60" s="90">
        <f t="shared" si="0"/>
        <v>0</v>
      </c>
      <c r="D60" s="53"/>
      <c r="E60" s="54"/>
      <c r="F60" s="55">
        <f t="shared" si="11"/>
        <v>0</v>
      </c>
      <c r="G60" s="53"/>
      <c r="H60" s="54"/>
      <c r="I60" s="55">
        <f t="shared" si="12"/>
        <v>0</v>
      </c>
      <c r="J60" s="53"/>
      <c r="K60" s="54"/>
      <c r="L60" s="55">
        <f t="shared" si="13"/>
        <v>0</v>
      </c>
      <c r="M60" s="53"/>
      <c r="N60" s="54"/>
      <c r="O60" s="55">
        <f t="shared" si="14"/>
        <v>0</v>
      </c>
      <c r="P60" s="57"/>
    </row>
    <row r="61" spans="1:16" ht="24" hidden="1" customHeight="1" x14ac:dyDescent="0.25">
      <c r="A61" s="51">
        <v>1145</v>
      </c>
      <c r="B61" s="89" t="s">
        <v>79</v>
      </c>
      <c r="C61" s="90">
        <f t="shared" si="0"/>
        <v>0</v>
      </c>
      <c r="D61" s="53"/>
      <c r="E61" s="54"/>
      <c r="F61" s="55">
        <f t="shared" si="11"/>
        <v>0</v>
      </c>
      <c r="G61" s="53"/>
      <c r="H61" s="54"/>
      <c r="I61" s="55">
        <f t="shared" si="12"/>
        <v>0</v>
      </c>
      <c r="J61" s="53"/>
      <c r="K61" s="54"/>
      <c r="L61" s="55">
        <f t="shared" si="13"/>
        <v>0</v>
      </c>
      <c r="M61" s="53"/>
      <c r="N61" s="54"/>
      <c r="O61" s="55">
        <f t="shared" si="14"/>
        <v>0</v>
      </c>
      <c r="P61" s="57"/>
    </row>
    <row r="62" spans="1:16" ht="27.75" hidden="1" customHeight="1" x14ac:dyDescent="0.25">
      <c r="A62" s="51">
        <v>1146</v>
      </c>
      <c r="B62" s="89" t="s">
        <v>80</v>
      </c>
      <c r="C62" s="90">
        <f t="shared" si="0"/>
        <v>0</v>
      </c>
      <c r="D62" s="53"/>
      <c r="E62" s="54"/>
      <c r="F62" s="55">
        <f t="shared" si="11"/>
        <v>0</v>
      </c>
      <c r="G62" s="53"/>
      <c r="H62" s="54"/>
      <c r="I62" s="55">
        <f t="shared" si="12"/>
        <v>0</v>
      </c>
      <c r="J62" s="53"/>
      <c r="K62" s="54"/>
      <c r="L62" s="55">
        <f t="shared" si="13"/>
        <v>0</v>
      </c>
      <c r="M62" s="53"/>
      <c r="N62" s="54"/>
      <c r="O62" s="55">
        <f t="shared" si="14"/>
        <v>0</v>
      </c>
      <c r="P62" s="57"/>
    </row>
    <row r="63" spans="1:16" ht="17.25" customHeight="1" x14ac:dyDescent="0.25">
      <c r="A63" s="51">
        <v>1147</v>
      </c>
      <c r="B63" s="89" t="s">
        <v>81</v>
      </c>
      <c r="C63" s="90">
        <f t="shared" si="0"/>
        <v>21628</v>
      </c>
      <c r="D63" s="53">
        <v>5209</v>
      </c>
      <c r="E63" s="725">
        <f>-1062-152</f>
        <v>-1214</v>
      </c>
      <c r="F63" s="55">
        <f t="shared" si="11"/>
        <v>3995</v>
      </c>
      <c r="G63" s="53">
        <v>19133</v>
      </c>
      <c r="H63" s="725">
        <v>-1500</v>
      </c>
      <c r="I63" s="55">
        <f t="shared" si="12"/>
        <v>17633</v>
      </c>
      <c r="J63" s="53"/>
      <c r="K63" s="54"/>
      <c r="L63" s="55">
        <f t="shared" si="13"/>
        <v>0</v>
      </c>
      <c r="M63" s="53"/>
      <c r="N63" s="54"/>
      <c r="O63" s="55">
        <f t="shared" si="14"/>
        <v>0</v>
      </c>
      <c r="P63" s="57" t="s">
        <v>844</v>
      </c>
    </row>
    <row r="64" spans="1:16" ht="18" customHeight="1" x14ac:dyDescent="0.25">
      <c r="A64" s="51">
        <v>1148</v>
      </c>
      <c r="B64" s="89" t="s">
        <v>82</v>
      </c>
      <c r="C64" s="90">
        <f t="shared" si="0"/>
        <v>28603</v>
      </c>
      <c r="D64" s="53">
        <v>27389</v>
      </c>
      <c r="E64" s="725">
        <f>1062+152</f>
        <v>1214</v>
      </c>
      <c r="F64" s="55">
        <f t="shared" si="11"/>
        <v>28603</v>
      </c>
      <c r="G64" s="53"/>
      <c r="H64" s="54"/>
      <c r="I64" s="55">
        <f t="shared" si="12"/>
        <v>0</v>
      </c>
      <c r="J64" s="53"/>
      <c r="K64" s="54"/>
      <c r="L64" s="55">
        <f t="shared" si="13"/>
        <v>0</v>
      </c>
      <c r="M64" s="53"/>
      <c r="N64" s="54"/>
      <c r="O64" s="55">
        <f t="shared" si="14"/>
        <v>0</v>
      </c>
      <c r="P64" s="57" t="s">
        <v>1790</v>
      </c>
    </row>
    <row r="65" spans="1:16" ht="24.75" customHeight="1" x14ac:dyDescent="0.25">
      <c r="A65" s="51">
        <v>1149</v>
      </c>
      <c r="B65" s="89" t="s">
        <v>83</v>
      </c>
      <c r="C65" s="90">
        <f t="shared" si="0"/>
        <v>3514</v>
      </c>
      <c r="D65" s="53"/>
      <c r="E65" s="54"/>
      <c r="F65" s="55">
        <f t="shared" si="11"/>
        <v>0</v>
      </c>
      <c r="G65" s="53">
        <v>4244</v>
      </c>
      <c r="H65" s="725">
        <v>-730</v>
      </c>
      <c r="I65" s="55">
        <f t="shared" si="12"/>
        <v>3514</v>
      </c>
      <c r="J65" s="53"/>
      <c r="K65" s="54"/>
      <c r="L65" s="55">
        <f t="shared" si="13"/>
        <v>0</v>
      </c>
      <c r="M65" s="53"/>
      <c r="N65" s="54"/>
      <c r="O65" s="55">
        <f t="shared" si="14"/>
        <v>0</v>
      </c>
      <c r="P65" s="57" t="s">
        <v>845</v>
      </c>
    </row>
    <row r="66" spans="1:16" ht="36.75" customHeight="1" x14ac:dyDescent="0.25">
      <c r="A66" s="186">
        <v>1150</v>
      </c>
      <c r="B66" s="138" t="s">
        <v>84</v>
      </c>
      <c r="C66" s="143">
        <f t="shared" si="0"/>
        <v>5119</v>
      </c>
      <c r="D66" s="144">
        <v>4942</v>
      </c>
      <c r="E66" s="727"/>
      <c r="F66" s="141">
        <f t="shared" si="11"/>
        <v>4942</v>
      </c>
      <c r="G66" s="144"/>
      <c r="H66" s="145"/>
      <c r="I66" s="141">
        <f t="shared" si="12"/>
        <v>0</v>
      </c>
      <c r="J66" s="144">
        <v>177</v>
      </c>
      <c r="K66" s="727"/>
      <c r="L66" s="141">
        <f t="shared" si="13"/>
        <v>177</v>
      </c>
      <c r="M66" s="144"/>
      <c r="N66" s="145"/>
      <c r="O66" s="141">
        <f t="shared" si="14"/>
        <v>0</v>
      </c>
      <c r="P66" s="129"/>
    </row>
    <row r="67" spans="1:16" ht="24" x14ac:dyDescent="0.25">
      <c r="A67" s="69">
        <v>1200</v>
      </c>
      <c r="B67" s="183" t="s">
        <v>85</v>
      </c>
      <c r="C67" s="70">
        <f t="shared" si="0"/>
        <v>238116</v>
      </c>
      <c r="D67" s="184">
        <f t="shared" ref="D67:O67" si="15">SUM(D68:D69)</f>
        <v>127703</v>
      </c>
      <c r="E67" s="185">
        <f t="shared" si="15"/>
        <v>0</v>
      </c>
      <c r="F67" s="73">
        <f t="shared" si="15"/>
        <v>127703</v>
      </c>
      <c r="G67" s="184">
        <f t="shared" si="15"/>
        <v>93754</v>
      </c>
      <c r="H67" s="185">
        <f t="shared" si="15"/>
        <v>1916</v>
      </c>
      <c r="I67" s="73">
        <f t="shared" si="15"/>
        <v>95670</v>
      </c>
      <c r="J67" s="184">
        <f t="shared" si="15"/>
        <v>14743</v>
      </c>
      <c r="K67" s="185">
        <f t="shared" si="15"/>
        <v>0</v>
      </c>
      <c r="L67" s="73">
        <f t="shared" si="15"/>
        <v>14743</v>
      </c>
      <c r="M67" s="184">
        <f t="shared" si="15"/>
        <v>0</v>
      </c>
      <c r="N67" s="185">
        <f t="shared" si="15"/>
        <v>0</v>
      </c>
      <c r="O67" s="73">
        <f t="shared" si="15"/>
        <v>0</v>
      </c>
      <c r="P67" s="77"/>
    </row>
    <row r="68" spans="1:16" ht="28.5" customHeight="1" x14ac:dyDescent="0.25">
      <c r="A68" s="606">
        <v>1210</v>
      </c>
      <c r="B68" s="82" t="s">
        <v>86</v>
      </c>
      <c r="C68" s="83">
        <f t="shared" si="0"/>
        <v>189130</v>
      </c>
      <c r="D68" s="46">
        <v>82592</v>
      </c>
      <c r="E68" s="461"/>
      <c r="F68" s="134">
        <f>D68+E68</f>
        <v>82592</v>
      </c>
      <c r="G68" s="46">
        <v>92354</v>
      </c>
      <c r="H68" s="728">
        <v>1916</v>
      </c>
      <c r="I68" s="134">
        <f>G68+H68</f>
        <v>94270</v>
      </c>
      <c r="J68" s="46">
        <v>12268</v>
      </c>
      <c r="K68" s="461"/>
      <c r="L68" s="134">
        <f>K68+J68</f>
        <v>12268</v>
      </c>
      <c r="M68" s="46"/>
      <c r="N68" s="47"/>
      <c r="O68" s="134">
        <f>N68+M68</f>
        <v>0</v>
      </c>
      <c r="P68" s="57" t="s">
        <v>846</v>
      </c>
    </row>
    <row r="69" spans="1:16" ht="24" x14ac:dyDescent="0.25">
      <c r="A69" s="189">
        <v>1220</v>
      </c>
      <c r="B69" s="89" t="s">
        <v>87</v>
      </c>
      <c r="C69" s="90">
        <f t="shared" si="0"/>
        <v>48986</v>
      </c>
      <c r="D69" s="190">
        <f t="shared" ref="D69:O69" si="16">SUM(D70:D74)</f>
        <v>45111</v>
      </c>
      <c r="E69" s="191">
        <f t="shared" si="16"/>
        <v>0</v>
      </c>
      <c r="F69" s="55">
        <f t="shared" si="16"/>
        <v>45111</v>
      </c>
      <c r="G69" s="190">
        <f t="shared" si="16"/>
        <v>1400</v>
      </c>
      <c r="H69" s="191">
        <f t="shared" si="16"/>
        <v>0</v>
      </c>
      <c r="I69" s="55">
        <f t="shared" si="16"/>
        <v>1400</v>
      </c>
      <c r="J69" s="190">
        <f t="shared" si="16"/>
        <v>2475</v>
      </c>
      <c r="K69" s="191">
        <f t="shared" si="16"/>
        <v>0</v>
      </c>
      <c r="L69" s="55">
        <f t="shared" si="16"/>
        <v>2475</v>
      </c>
      <c r="M69" s="190">
        <f t="shared" si="16"/>
        <v>0</v>
      </c>
      <c r="N69" s="191">
        <f t="shared" si="16"/>
        <v>0</v>
      </c>
      <c r="O69" s="55">
        <f t="shared" si="16"/>
        <v>0</v>
      </c>
      <c r="P69" s="57"/>
    </row>
    <row r="70" spans="1:16" ht="48" customHeight="1" x14ac:dyDescent="0.25">
      <c r="A70" s="51">
        <v>1221</v>
      </c>
      <c r="B70" s="89" t="s">
        <v>88</v>
      </c>
      <c r="C70" s="90">
        <f t="shared" si="0"/>
        <v>30039</v>
      </c>
      <c r="D70" s="53">
        <v>26256</v>
      </c>
      <c r="E70" s="54"/>
      <c r="F70" s="55">
        <f>D70+E70</f>
        <v>26256</v>
      </c>
      <c r="G70" s="53">
        <v>1400</v>
      </c>
      <c r="H70" s="349"/>
      <c r="I70" s="55">
        <f>G70+H70</f>
        <v>1400</v>
      </c>
      <c r="J70" s="53">
        <v>2383</v>
      </c>
      <c r="K70" s="54"/>
      <c r="L70" s="55">
        <f>K70+J70</f>
        <v>2383</v>
      </c>
      <c r="M70" s="53"/>
      <c r="N70" s="54"/>
      <c r="O70" s="55">
        <f>N70+M70</f>
        <v>0</v>
      </c>
      <c r="P70" s="57"/>
    </row>
    <row r="71" spans="1:16" ht="12" hidden="1" customHeight="1" x14ac:dyDescent="0.25">
      <c r="A71" s="51">
        <v>1223</v>
      </c>
      <c r="B71" s="89" t="s">
        <v>89</v>
      </c>
      <c r="C71" s="90">
        <f t="shared" si="0"/>
        <v>0</v>
      </c>
      <c r="D71" s="53"/>
      <c r="E71" s="54"/>
      <c r="F71" s="55">
        <f>D71+E71</f>
        <v>0</v>
      </c>
      <c r="G71" s="53"/>
      <c r="H71" s="54"/>
      <c r="I71" s="55">
        <f>G71+H71</f>
        <v>0</v>
      </c>
      <c r="J71" s="53"/>
      <c r="K71" s="54"/>
      <c r="L71" s="55">
        <f>K71+J71</f>
        <v>0</v>
      </c>
      <c r="M71" s="53"/>
      <c r="N71" s="54"/>
      <c r="O71" s="55">
        <f>N71+M71</f>
        <v>0</v>
      </c>
      <c r="P71" s="57"/>
    </row>
    <row r="72" spans="1:16" ht="24" hidden="1" customHeight="1" x14ac:dyDescent="0.25">
      <c r="A72" s="51">
        <v>1225</v>
      </c>
      <c r="B72" s="89" t="s">
        <v>90</v>
      </c>
      <c r="C72" s="90">
        <f t="shared" si="0"/>
        <v>0</v>
      </c>
      <c r="D72" s="53"/>
      <c r="E72" s="54"/>
      <c r="F72" s="55">
        <f>D72+E72</f>
        <v>0</v>
      </c>
      <c r="G72" s="53"/>
      <c r="H72" s="54"/>
      <c r="I72" s="55">
        <f>G72+H72</f>
        <v>0</v>
      </c>
      <c r="J72" s="53"/>
      <c r="K72" s="54"/>
      <c r="L72" s="55">
        <f>K72+J72</f>
        <v>0</v>
      </c>
      <c r="M72" s="53"/>
      <c r="N72" s="54"/>
      <c r="O72" s="55">
        <f>N72+M72</f>
        <v>0</v>
      </c>
      <c r="P72" s="57"/>
    </row>
    <row r="73" spans="1:16" ht="36" customHeight="1" x14ac:dyDescent="0.25">
      <c r="A73" s="51">
        <v>1227</v>
      </c>
      <c r="B73" s="89" t="s">
        <v>91</v>
      </c>
      <c r="C73" s="90">
        <f t="shared" si="0"/>
        <v>18355</v>
      </c>
      <c r="D73" s="53">
        <v>18355</v>
      </c>
      <c r="E73" s="54"/>
      <c r="F73" s="55">
        <f>D73+E73</f>
        <v>18355</v>
      </c>
      <c r="G73" s="53"/>
      <c r="H73" s="54"/>
      <c r="I73" s="55">
        <f>G73+H73</f>
        <v>0</v>
      </c>
      <c r="J73" s="53"/>
      <c r="K73" s="54"/>
      <c r="L73" s="55">
        <f>K73+J73</f>
        <v>0</v>
      </c>
      <c r="M73" s="53"/>
      <c r="N73" s="54"/>
      <c r="O73" s="55">
        <f>N73+M73</f>
        <v>0</v>
      </c>
      <c r="P73" s="57"/>
    </row>
    <row r="74" spans="1:16" ht="48" customHeight="1" x14ac:dyDescent="0.25">
      <c r="A74" s="51">
        <v>1228</v>
      </c>
      <c r="B74" s="89" t="s">
        <v>92</v>
      </c>
      <c r="C74" s="90">
        <f t="shared" si="0"/>
        <v>592</v>
      </c>
      <c r="D74" s="53">
        <v>500</v>
      </c>
      <c r="E74" s="54"/>
      <c r="F74" s="55">
        <f>D74+E74</f>
        <v>500</v>
      </c>
      <c r="G74" s="53"/>
      <c r="H74" s="54"/>
      <c r="I74" s="55">
        <f>G74+H74</f>
        <v>0</v>
      </c>
      <c r="J74" s="53">
        <v>92</v>
      </c>
      <c r="K74" s="54"/>
      <c r="L74" s="55">
        <f>K74+J74</f>
        <v>92</v>
      </c>
      <c r="M74" s="53"/>
      <c r="N74" s="54"/>
      <c r="O74" s="55">
        <f>N74+M74</f>
        <v>0</v>
      </c>
      <c r="P74" s="57"/>
    </row>
    <row r="75" spans="1:16" x14ac:dyDescent="0.25">
      <c r="A75" s="177">
        <v>2000</v>
      </c>
      <c r="B75" s="177" t="s">
        <v>93</v>
      </c>
      <c r="C75" s="178">
        <f t="shared" si="0"/>
        <v>98734</v>
      </c>
      <c r="D75" s="179">
        <f t="shared" ref="D75:O75" si="17">SUM(D76,D83,D130,D164,D165,D172)</f>
        <v>70107</v>
      </c>
      <c r="E75" s="180">
        <f t="shared" si="17"/>
        <v>0</v>
      </c>
      <c r="F75" s="181">
        <f t="shared" si="17"/>
        <v>70107</v>
      </c>
      <c r="G75" s="179">
        <f t="shared" si="17"/>
        <v>0</v>
      </c>
      <c r="H75" s="180">
        <f t="shared" si="17"/>
        <v>0</v>
      </c>
      <c r="I75" s="181">
        <f t="shared" si="17"/>
        <v>0</v>
      </c>
      <c r="J75" s="179">
        <f t="shared" si="17"/>
        <v>27919</v>
      </c>
      <c r="K75" s="180">
        <f t="shared" si="17"/>
        <v>678</v>
      </c>
      <c r="L75" s="181">
        <f t="shared" si="17"/>
        <v>28597</v>
      </c>
      <c r="M75" s="179">
        <f t="shared" si="17"/>
        <v>30</v>
      </c>
      <c r="N75" s="180">
        <f t="shared" si="17"/>
        <v>0</v>
      </c>
      <c r="O75" s="181">
        <f t="shared" si="17"/>
        <v>30</v>
      </c>
      <c r="P75" s="182"/>
    </row>
    <row r="76" spans="1:16" ht="24" x14ac:dyDescent="0.25">
      <c r="A76" s="69">
        <v>2100</v>
      </c>
      <c r="B76" s="183" t="s">
        <v>94</v>
      </c>
      <c r="C76" s="70">
        <f t="shared" si="0"/>
        <v>3784</v>
      </c>
      <c r="D76" s="184">
        <f t="shared" ref="D76:O76" si="18">SUM(D77,D80)</f>
        <v>1984</v>
      </c>
      <c r="E76" s="185">
        <f t="shared" si="18"/>
        <v>0</v>
      </c>
      <c r="F76" s="73">
        <f t="shared" si="18"/>
        <v>1984</v>
      </c>
      <c r="G76" s="184">
        <f t="shared" si="18"/>
        <v>0</v>
      </c>
      <c r="H76" s="185">
        <f t="shared" si="18"/>
        <v>0</v>
      </c>
      <c r="I76" s="73">
        <f t="shared" si="18"/>
        <v>0</v>
      </c>
      <c r="J76" s="184">
        <f t="shared" si="18"/>
        <v>1800</v>
      </c>
      <c r="K76" s="185">
        <f t="shared" si="18"/>
        <v>0</v>
      </c>
      <c r="L76" s="73">
        <f t="shared" si="18"/>
        <v>1800</v>
      </c>
      <c r="M76" s="184">
        <f t="shared" si="18"/>
        <v>0</v>
      </c>
      <c r="N76" s="185">
        <f t="shared" si="18"/>
        <v>0</v>
      </c>
      <c r="O76" s="73">
        <f t="shared" si="18"/>
        <v>0</v>
      </c>
      <c r="P76" s="77"/>
    </row>
    <row r="77" spans="1:16" ht="24" customHeight="1" x14ac:dyDescent="0.25">
      <c r="A77" s="606">
        <v>2110</v>
      </c>
      <c r="B77" s="82" t="s">
        <v>95</v>
      </c>
      <c r="C77" s="83">
        <f t="shared" si="0"/>
        <v>252</v>
      </c>
      <c r="D77" s="194">
        <f t="shared" ref="D77:O77" si="19">SUM(D78:D79)</f>
        <v>0</v>
      </c>
      <c r="E77" s="195">
        <f t="shared" si="19"/>
        <v>0</v>
      </c>
      <c r="F77" s="134">
        <f t="shared" si="19"/>
        <v>0</v>
      </c>
      <c r="G77" s="194">
        <f t="shared" si="19"/>
        <v>0</v>
      </c>
      <c r="H77" s="195">
        <f t="shared" si="19"/>
        <v>0</v>
      </c>
      <c r="I77" s="134">
        <f t="shared" si="19"/>
        <v>0</v>
      </c>
      <c r="J77" s="194">
        <f t="shared" si="19"/>
        <v>252</v>
      </c>
      <c r="K77" s="195">
        <f t="shared" si="19"/>
        <v>0</v>
      </c>
      <c r="L77" s="134">
        <f t="shared" si="19"/>
        <v>252</v>
      </c>
      <c r="M77" s="194">
        <f t="shared" si="19"/>
        <v>0</v>
      </c>
      <c r="N77" s="195">
        <f t="shared" si="19"/>
        <v>0</v>
      </c>
      <c r="O77" s="134">
        <f t="shared" si="19"/>
        <v>0</v>
      </c>
      <c r="P77" s="49"/>
    </row>
    <row r="78" spans="1:16" ht="14.25" customHeight="1" x14ac:dyDescent="0.25">
      <c r="A78" s="51">
        <v>2111</v>
      </c>
      <c r="B78" s="89" t="s">
        <v>96</v>
      </c>
      <c r="C78" s="90">
        <f t="shared" si="0"/>
        <v>72</v>
      </c>
      <c r="D78" s="196"/>
      <c r="E78" s="197"/>
      <c r="F78" s="55">
        <f>D78+E78</f>
        <v>0</v>
      </c>
      <c r="G78" s="53"/>
      <c r="H78" s="54"/>
      <c r="I78" s="55">
        <f>G78+H78</f>
        <v>0</v>
      </c>
      <c r="J78" s="53">
        <v>72</v>
      </c>
      <c r="K78" s="349"/>
      <c r="L78" s="55">
        <f>K78+J78</f>
        <v>72</v>
      </c>
      <c r="M78" s="53"/>
      <c r="N78" s="54"/>
      <c r="O78" s="55">
        <f>N78+M78</f>
        <v>0</v>
      </c>
      <c r="P78" s="57"/>
    </row>
    <row r="79" spans="1:16" ht="27.75" customHeight="1" x14ac:dyDescent="0.25">
      <c r="A79" s="51">
        <v>2112</v>
      </c>
      <c r="B79" s="89" t="s">
        <v>97</v>
      </c>
      <c r="C79" s="90">
        <f t="shared" si="0"/>
        <v>180</v>
      </c>
      <c r="D79" s="196"/>
      <c r="E79" s="197"/>
      <c r="F79" s="55">
        <f>D79+E79</f>
        <v>0</v>
      </c>
      <c r="G79" s="53"/>
      <c r="H79" s="54"/>
      <c r="I79" s="55">
        <f>G79+H79</f>
        <v>0</v>
      </c>
      <c r="J79" s="53">
        <v>180</v>
      </c>
      <c r="K79" s="349"/>
      <c r="L79" s="55">
        <f>K79+J79</f>
        <v>180</v>
      </c>
      <c r="M79" s="53"/>
      <c r="N79" s="54"/>
      <c r="O79" s="55">
        <f>N79+M79</f>
        <v>0</v>
      </c>
      <c r="P79" s="57"/>
    </row>
    <row r="80" spans="1:16" ht="24" x14ac:dyDescent="0.25">
      <c r="A80" s="189">
        <v>2120</v>
      </c>
      <c r="B80" s="89" t="s">
        <v>98</v>
      </c>
      <c r="C80" s="90">
        <f t="shared" si="0"/>
        <v>3532</v>
      </c>
      <c r="D80" s="190">
        <f t="shared" ref="D80:O80" si="20">SUM(D81:D82)</f>
        <v>1984</v>
      </c>
      <c r="E80" s="191">
        <f t="shared" si="20"/>
        <v>0</v>
      </c>
      <c r="F80" s="55">
        <f t="shared" si="20"/>
        <v>1984</v>
      </c>
      <c r="G80" s="190">
        <f t="shared" si="20"/>
        <v>0</v>
      </c>
      <c r="H80" s="191">
        <f t="shared" si="20"/>
        <v>0</v>
      </c>
      <c r="I80" s="55">
        <f t="shared" si="20"/>
        <v>0</v>
      </c>
      <c r="J80" s="190">
        <f t="shared" si="20"/>
        <v>1548</v>
      </c>
      <c r="K80" s="191">
        <f t="shared" si="20"/>
        <v>0</v>
      </c>
      <c r="L80" s="55">
        <f t="shared" si="20"/>
        <v>1548</v>
      </c>
      <c r="M80" s="190">
        <f t="shared" si="20"/>
        <v>0</v>
      </c>
      <c r="N80" s="191">
        <f t="shared" si="20"/>
        <v>0</v>
      </c>
      <c r="O80" s="55">
        <f t="shared" si="20"/>
        <v>0</v>
      </c>
      <c r="P80" s="57"/>
    </row>
    <row r="81" spans="1:16" ht="16.5" customHeight="1" x14ac:dyDescent="0.25">
      <c r="A81" s="51">
        <v>2121</v>
      </c>
      <c r="B81" s="89" t="s">
        <v>96</v>
      </c>
      <c r="C81" s="90">
        <f t="shared" si="0"/>
        <v>1598</v>
      </c>
      <c r="D81" s="196">
        <v>684</v>
      </c>
      <c r="E81" s="197"/>
      <c r="F81" s="55">
        <f>D81+E81</f>
        <v>684</v>
      </c>
      <c r="G81" s="53"/>
      <c r="H81" s="54"/>
      <c r="I81" s="55">
        <f>G81+H81</f>
        <v>0</v>
      </c>
      <c r="J81" s="53">
        <v>914</v>
      </c>
      <c r="K81" s="349"/>
      <c r="L81" s="55">
        <f>K81+J81</f>
        <v>914</v>
      </c>
      <c r="M81" s="53"/>
      <c r="N81" s="54"/>
      <c r="O81" s="55">
        <f>N81+M81</f>
        <v>0</v>
      </c>
      <c r="P81" s="57"/>
    </row>
    <row r="82" spans="1:16" ht="24.75" customHeight="1" x14ac:dyDescent="0.25">
      <c r="A82" s="51">
        <v>2122</v>
      </c>
      <c r="B82" s="89" t="s">
        <v>97</v>
      </c>
      <c r="C82" s="90">
        <f t="shared" si="0"/>
        <v>1934</v>
      </c>
      <c r="D82" s="196">
        <v>1300</v>
      </c>
      <c r="E82" s="197"/>
      <c r="F82" s="55">
        <f>D82+E82</f>
        <v>1300</v>
      </c>
      <c r="G82" s="53"/>
      <c r="H82" s="54"/>
      <c r="I82" s="55">
        <f>G82+H82</f>
        <v>0</v>
      </c>
      <c r="J82" s="53">
        <v>634</v>
      </c>
      <c r="K82" s="54"/>
      <c r="L82" s="55">
        <f>K82+J82</f>
        <v>634</v>
      </c>
      <c r="M82" s="53"/>
      <c r="N82" s="54"/>
      <c r="O82" s="55">
        <f>N82+M82</f>
        <v>0</v>
      </c>
      <c r="P82" s="57"/>
    </row>
    <row r="83" spans="1:16" x14ac:dyDescent="0.25">
      <c r="A83" s="69">
        <v>2200</v>
      </c>
      <c r="B83" s="183" t="s">
        <v>99</v>
      </c>
      <c r="C83" s="70">
        <f t="shared" si="0"/>
        <v>75067</v>
      </c>
      <c r="D83" s="184">
        <f t="shared" ref="D83:O83" si="21">SUM(D84,D89,D95,D103,D112,D116,D122,D128)</f>
        <v>59353</v>
      </c>
      <c r="E83" s="185">
        <f t="shared" si="21"/>
        <v>0</v>
      </c>
      <c r="F83" s="73">
        <f t="shared" si="21"/>
        <v>59353</v>
      </c>
      <c r="G83" s="184">
        <f t="shared" si="21"/>
        <v>0</v>
      </c>
      <c r="H83" s="185">
        <f t="shared" si="21"/>
        <v>0</v>
      </c>
      <c r="I83" s="73">
        <f t="shared" si="21"/>
        <v>0</v>
      </c>
      <c r="J83" s="184">
        <f t="shared" si="21"/>
        <v>15714</v>
      </c>
      <c r="K83" s="185">
        <f t="shared" si="21"/>
        <v>0</v>
      </c>
      <c r="L83" s="73">
        <f t="shared" si="21"/>
        <v>15714</v>
      </c>
      <c r="M83" s="184">
        <f t="shared" si="21"/>
        <v>0</v>
      </c>
      <c r="N83" s="185">
        <f t="shared" si="21"/>
        <v>0</v>
      </c>
      <c r="O83" s="73">
        <f t="shared" si="21"/>
        <v>0</v>
      </c>
      <c r="P83" s="77"/>
    </row>
    <row r="84" spans="1:16" x14ac:dyDescent="0.25">
      <c r="A84" s="186">
        <v>2210</v>
      </c>
      <c r="B84" s="138" t="s">
        <v>100</v>
      </c>
      <c r="C84" s="143">
        <f t="shared" ref="C84:C147" si="22">F84+I84+L84+O84</f>
        <v>619</v>
      </c>
      <c r="D84" s="187">
        <f t="shared" ref="D84:O84" si="23">SUM(D85:D88)</f>
        <v>207</v>
      </c>
      <c r="E84" s="188">
        <f t="shared" si="23"/>
        <v>0</v>
      </c>
      <c r="F84" s="141">
        <f t="shared" si="23"/>
        <v>207</v>
      </c>
      <c r="G84" s="187">
        <f t="shared" si="23"/>
        <v>0</v>
      </c>
      <c r="H84" s="188">
        <f t="shared" si="23"/>
        <v>0</v>
      </c>
      <c r="I84" s="141">
        <f t="shared" si="23"/>
        <v>0</v>
      </c>
      <c r="J84" s="187">
        <f t="shared" si="23"/>
        <v>412</v>
      </c>
      <c r="K84" s="188">
        <f t="shared" si="23"/>
        <v>0</v>
      </c>
      <c r="L84" s="141">
        <f t="shared" si="23"/>
        <v>412</v>
      </c>
      <c r="M84" s="187">
        <f t="shared" si="23"/>
        <v>0</v>
      </c>
      <c r="N84" s="188">
        <f t="shared" si="23"/>
        <v>0</v>
      </c>
      <c r="O84" s="141">
        <f t="shared" si="23"/>
        <v>0</v>
      </c>
      <c r="P84" s="129"/>
    </row>
    <row r="85" spans="1:16" ht="24" hidden="1" customHeight="1" x14ac:dyDescent="0.25">
      <c r="A85" s="44">
        <v>2211</v>
      </c>
      <c r="B85" s="82" t="s">
        <v>101</v>
      </c>
      <c r="C85" s="83">
        <f t="shared" si="22"/>
        <v>0</v>
      </c>
      <c r="D85" s="199"/>
      <c r="E85" s="200"/>
      <c r="F85" s="134">
        <f>D85+E85</f>
        <v>0</v>
      </c>
      <c r="G85" s="46"/>
      <c r="H85" s="47"/>
      <c r="I85" s="134">
        <f>G85+H85</f>
        <v>0</v>
      </c>
      <c r="J85" s="46"/>
      <c r="K85" s="47"/>
      <c r="L85" s="134">
        <f>K85+J85</f>
        <v>0</v>
      </c>
      <c r="M85" s="46"/>
      <c r="N85" s="47"/>
      <c r="O85" s="134">
        <f>N85+M85</f>
        <v>0</v>
      </c>
      <c r="P85" s="49"/>
    </row>
    <row r="86" spans="1:16" ht="36" customHeight="1" x14ac:dyDescent="0.25">
      <c r="A86" s="51">
        <v>2212</v>
      </c>
      <c r="B86" s="89" t="s">
        <v>102</v>
      </c>
      <c r="C86" s="90">
        <f t="shared" si="22"/>
        <v>414</v>
      </c>
      <c r="D86" s="196">
        <v>207</v>
      </c>
      <c r="E86" s="197"/>
      <c r="F86" s="55">
        <f>D86+E86</f>
        <v>207</v>
      </c>
      <c r="G86" s="53"/>
      <c r="H86" s="54"/>
      <c r="I86" s="55">
        <f>G86+H86</f>
        <v>0</v>
      </c>
      <c r="J86" s="53">
        <v>207</v>
      </c>
      <c r="K86" s="54"/>
      <c r="L86" s="55">
        <f>K86+J86</f>
        <v>207</v>
      </c>
      <c r="M86" s="53"/>
      <c r="N86" s="54"/>
      <c r="O86" s="55">
        <f>N86+M86</f>
        <v>0</v>
      </c>
      <c r="P86" s="57"/>
    </row>
    <row r="87" spans="1:16" ht="28.5" customHeight="1" x14ac:dyDescent="0.25">
      <c r="A87" s="51">
        <v>2214</v>
      </c>
      <c r="B87" s="89" t="s">
        <v>103</v>
      </c>
      <c r="C87" s="90">
        <f t="shared" si="22"/>
        <v>130</v>
      </c>
      <c r="D87" s="196"/>
      <c r="E87" s="197"/>
      <c r="F87" s="55">
        <f>D87+E87</f>
        <v>0</v>
      </c>
      <c r="G87" s="53"/>
      <c r="H87" s="54"/>
      <c r="I87" s="55">
        <f>G87+H87</f>
        <v>0</v>
      </c>
      <c r="J87" s="53">
        <v>130</v>
      </c>
      <c r="K87" s="349"/>
      <c r="L87" s="55">
        <f>K87+J87</f>
        <v>130</v>
      </c>
      <c r="M87" s="53"/>
      <c r="N87" s="54"/>
      <c r="O87" s="55">
        <f>N87+M87</f>
        <v>0</v>
      </c>
      <c r="P87" s="57"/>
    </row>
    <row r="88" spans="1:16" ht="12" customHeight="1" x14ac:dyDescent="0.25">
      <c r="A88" s="51">
        <v>2219</v>
      </c>
      <c r="B88" s="89" t="s">
        <v>104</v>
      </c>
      <c r="C88" s="90">
        <f t="shared" si="22"/>
        <v>75</v>
      </c>
      <c r="D88" s="196"/>
      <c r="E88" s="197"/>
      <c r="F88" s="55">
        <f>D88+E88</f>
        <v>0</v>
      </c>
      <c r="G88" s="53"/>
      <c r="H88" s="54"/>
      <c r="I88" s="55">
        <f>G88+H88</f>
        <v>0</v>
      </c>
      <c r="J88" s="53">
        <v>75</v>
      </c>
      <c r="K88" s="54"/>
      <c r="L88" s="55">
        <f>K88+J88</f>
        <v>75</v>
      </c>
      <c r="M88" s="53"/>
      <c r="N88" s="54"/>
      <c r="O88" s="55">
        <f>N88+M88</f>
        <v>0</v>
      </c>
      <c r="P88" s="57"/>
    </row>
    <row r="89" spans="1:16" ht="24" x14ac:dyDescent="0.25">
      <c r="A89" s="189">
        <v>2220</v>
      </c>
      <c r="B89" s="89" t="s">
        <v>105</v>
      </c>
      <c r="C89" s="90">
        <f t="shared" si="22"/>
        <v>40704</v>
      </c>
      <c r="D89" s="190">
        <f t="shared" ref="D89:O89" si="24">SUM(D90:D94)</f>
        <v>38999</v>
      </c>
      <c r="E89" s="191">
        <f t="shared" si="24"/>
        <v>0</v>
      </c>
      <c r="F89" s="55">
        <f t="shared" si="24"/>
        <v>38999</v>
      </c>
      <c r="G89" s="190">
        <f t="shared" si="24"/>
        <v>0</v>
      </c>
      <c r="H89" s="191">
        <f t="shared" si="24"/>
        <v>0</v>
      </c>
      <c r="I89" s="55">
        <f t="shared" si="24"/>
        <v>0</v>
      </c>
      <c r="J89" s="190">
        <f t="shared" si="24"/>
        <v>1705</v>
      </c>
      <c r="K89" s="191">
        <f t="shared" si="24"/>
        <v>0</v>
      </c>
      <c r="L89" s="55">
        <f t="shared" si="24"/>
        <v>1705</v>
      </c>
      <c r="M89" s="190">
        <f t="shared" si="24"/>
        <v>0</v>
      </c>
      <c r="N89" s="191">
        <f t="shared" si="24"/>
        <v>0</v>
      </c>
      <c r="O89" s="55">
        <f t="shared" si="24"/>
        <v>0</v>
      </c>
      <c r="P89" s="57"/>
    </row>
    <row r="90" spans="1:16" ht="26.25" customHeight="1" x14ac:dyDescent="0.25">
      <c r="A90" s="51">
        <v>2221</v>
      </c>
      <c r="B90" s="89" t="s">
        <v>106</v>
      </c>
      <c r="C90" s="90">
        <f t="shared" si="22"/>
        <v>18467</v>
      </c>
      <c r="D90" s="196">
        <v>18447</v>
      </c>
      <c r="E90" s="353"/>
      <c r="F90" s="55">
        <f>D90+E90</f>
        <v>18447</v>
      </c>
      <c r="G90" s="53"/>
      <c r="H90" s="54"/>
      <c r="I90" s="55">
        <f>G90+H90</f>
        <v>0</v>
      </c>
      <c r="J90" s="53">
        <v>20</v>
      </c>
      <c r="K90" s="349"/>
      <c r="L90" s="55">
        <f>K90+J90</f>
        <v>20</v>
      </c>
      <c r="M90" s="53"/>
      <c r="N90" s="54"/>
      <c r="O90" s="55">
        <f>N90+M90</f>
        <v>0</v>
      </c>
      <c r="P90" s="57"/>
    </row>
    <row r="91" spans="1:16" ht="19.5" customHeight="1" x14ac:dyDescent="0.25">
      <c r="A91" s="51">
        <v>2222</v>
      </c>
      <c r="B91" s="89" t="s">
        <v>107</v>
      </c>
      <c r="C91" s="90">
        <f t="shared" si="22"/>
        <v>2125</v>
      </c>
      <c r="D91" s="196">
        <v>1480</v>
      </c>
      <c r="E91" s="353"/>
      <c r="F91" s="55">
        <f>D91+E91</f>
        <v>1480</v>
      </c>
      <c r="G91" s="53"/>
      <c r="H91" s="54"/>
      <c r="I91" s="55">
        <f>G91+H91</f>
        <v>0</v>
      </c>
      <c r="J91" s="53">
        <v>645</v>
      </c>
      <c r="K91" s="349"/>
      <c r="L91" s="55">
        <f>K91+J91</f>
        <v>645</v>
      </c>
      <c r="M91" s="53"/>
      <c r="N91" s="54"/>
      <c r="O91" s="55">
        <f>N91+M91</f>
        <v>0</v>
      </c>
      <c r="P91" s="729"/>
    </row>
    <row r="92" spans="1:16" ht="18.75" customHeight="1" x14ac:dyDescent="0.25">
      <c r="A92" s="51">
        <v>2223</v>
      </c>
      <c r="B92" s="89" t="s">
        <v>108</v>
      </c>
      <c r="C92" s="90">
        <f t="shared" si="22"/>
        <v>19696</v>
      </c>
      <c r="D92" s="196">
        <v>19072</v>
      </c>
      <c r="E92" s="353"/>
      <c r="F92" s="55">
        <f>D92+E92</f>
        <v>19072</v>
      </c>
      <c r="G92" s="53"/>
      <c r="H92" s="54"/>
      <c r="I92" s="55">
        <f>G92+H92</f>
        <v>0</v>
      </c>
      <c r="J92" s="53">
        <v>624</v>
      </c>
      <c r="K92" s="349"/>
      <c r="L92" s="55">
        <f>K92+J92</f>
        <v>624</v>
      </c>
      <c r="M92" s="53"/>
      <c r="N92" s="54"/>
      <c r="O92" s="55">
        <f>N92+M92</f>
        <v>0</v>
      </c>
      <c r="P92" s="729"/>
    </row>
    <row r="93" spans="1:16" ht="46.5" customHeight="1" x14ac:dyDescent="0.25">
      <c r="A93" s="51">
        <v>2224</v>
      </c>
      <c r="B93" s="89" t="s">
        <v>109</v>
      </c>
      <c r="C93" s="90">
        <f t="shared" si="22"/>
        <v>416</v>
      </c>
      <c r="D93" s="196"/>
      <c r="E93" s="353"/>
      <c r="F93" s="55">
        <f>D93+E93</f>
        <v>0</v>
      </c>
      <c r="G93" s="53"/>
      <c r="H93" s="54"/>
      <c r="I93" s="55">
        <f>G93+H93</f>
        <v>0</v>
      </c>
      <c r="J93" s="53">
        <v>416</v>
      </c>
      <c r="K93" s="349"/>
      <c r="L93" s="55">
        <f>K93+J93</f>
        <v>416</v>
      </c>
      <c r="M93" s="53"/>
      <c r="N93" s="54"/>
      <c r="O93" s="55">
        <f>N93+M93</f>
        <v>0</v>
      </c>
      <c r="P93" s="57"/>
    </row>
    <row r="94" spans="1:16" ht="24" hidden="1" customHeight="1" x14ac:dyDescent="0.25">
      <c r="A94" s="51">
        <v>2229</v>
      </c>
      <c r="B94" s="89" t="s">
        <v>110</v>
      </c>
      <c r="C94" s="90">
        <f t="shared" si="22"/>
        <v>0</v>
      </c>
      <c r="D94" s="196"/>
      <c r="E94" s="197"/>
      <c r="F94" s="55">
        <f>D94+E94</f>
        <v>0</v>
      </c>
      <c r="G94" s="53"/>
      <c r="H94" s="54"/>
      <c r="I94" s="55">
        <f>G94+H94</f>
        <v>0</v>
      </c>
      <c r="J94" s="53"/>
      <c r="K94" s="54"/>
      <c r="L94" s="55">
        <f>K94+J94</f>
        <v>0</v>
      </c>
      <c r="M94" s="53"/>
      <c r="N94" s="54"/>
      <c r="O94" s="55">
        <f>N94+M94</f>
        <v>0</v>
      </c>
      <c r="P94" s="57"/>
    </row>
    <row r="95" spans="1:16" ht="36" x14ac:dyDescent="0.25">
      <c r="A95" s="189">
        <v>2230</v>
      </c>
      <c r="B95" s="89" t="s">
        <v>111</v>
      </c>
      <c r="C95" s="90">
        <f t="shared" si="22"/>
        <v>2463</v>
      </c>
      <c r="D95" s="190">
        <f t="shared" ref="D95:O95" si="25">SUM(D96:D102)</f>
        <v>1583</v>
      </c>
      <c r="E95" s="191">
        <f t="shared" si="25"/>
        <v>0</v>
      </c>
      <c r="F95" s="55">
        <f t="shared" si="25"/>
        <v>1583</v>
      </c>
      <c r="G95" s="190">
        <f t="shared" si="25"/>
        <v>0</v>
      </c>
      <c r="H95" s="191">
        <f t="shared" si="25"/>
        <v>0</v>
      </c>
      <c r="I95" s="55">
        <f t="shared" si="25"/>
        <v>0</v>
      </c>
      <c r="J95" s="190">
        <f t="shared" si="25"/>
        <v>880</v>
      </c>
      <c r="K95" s="191">
        <f t="shared" si="25"/>
        <v>0</v>
      </c>
      <c r="L95" s="55">
        <f t="shared" si="25"/>
        <v>880</v>
      </c>
      <c r="M95" s="190">
        <f t="shared" si="25"/>
        <v>0</v>
      </c>
      <c r="N95" s="191">
        <f t="shared" si="25"/>
        <v>0</v>
      </c>
      <c r="O95" s="55">
        <f t="shared" si="25"/>
        <v>0</v>
      </c>
      <c r="P95" s="57"/>
    </row>
    <row r="96" spans="1:16" ht="24" hidden="1" customHeight="1" x14ac:dyDescent="0.25">
      <c r="A96" s="51">
        <v>2231</v>
      </c>
      <c r="B96" s="89" t="s">
        <v>112</v>
      </c>
      <c r="C96" s="90">
        <f t="shared" si="22"/>
        <v>0</v>
      </c>
      <c r="D96" s="196"/>
      <c r="E96" s="197"/>
      <c r="F96" s="55">
        <f t="shared" ref="F96:F102" si="26">D96+E96</f>
        <v>0</v>
      </c>
      <c r="G96" s="53"/>
      <c r="H96" s="54"/>
      <c r="I96" s="55">
        <f t="shared" ref="I96:I102" si="27">G96+H96</f>
        <v>0</v>
      </c>
      <c r="J96" s="53"/>
      <c r="K96" s="54"/>
      <c r="L96" s="55">
        <f t="shared" ref="L96:L102" si="28">K96+J96</f>
        <v>0</v>
      </c>
      <c r="M96" s="53"/>
      <c r="N96" s="54"/>
      <c r="O96" s="55">
        <f t="shared" ref="O96:O102" si="29">N96+M96</f>
        <v>0</v>
      </c>
      <c r="P96" s="57"/>
    </row>
    <row r="97" spans="1:16" ht="24.75" hidden="1" customHeight="1" x14ac:dyDescent="0.25">
      <c r="A97" s="51">
        <v>2232</v>
      </c>
      <c r="B97" s="89" t="s">
        <v>113</v>
      </c>
      <c r="C97" s="90">
        <f t="shared" si="22"/>
        <v>0</v>
      </c>
      <c r="D97" s="196"/>
      <c r="E97" s="197"/>
      <c r="F97" s="55">
        <f t="shared" si="26"/>
        <v>0</v>
      </c>
      <c r="G97" s="53"/>
      <c r="H97" s="54"/>
      <c r="I97" s="55">
        <f t="shared" si="27"/>
        <v>0</v>
      </c>
      <c r="J97" s="53"/>
      <c r="K97" s="54"/>
      <c r="L97" s="55">
        <f t="shared" si="28"/>
        <v>0</v>
      </c>
      <c r="M97" s="53"/>
      <c r="N97" s="54"/>
      <c r="O97" s="55">
        <f t="shared" si="29"/>
        <v>0</v>
      </c>
      <c r="P97" s="57"/>
    </row>
    <row r="98" spans="1:16" ht="24" hidden="1" customHeight="1" x14ac:dyDescent="0.25">
      <c r="A98" s="44">
        <v>2233</v>
      </c>
      <c r="B98" s="82" t="s">
        <v>114</v>
      </c>
      <c r="C98" s="83">
        <f t="shared" si="22"/>
        <v>0</v>
      </c>
      <c r="D98" s="199"/>
      <c r="E98" s="200"/>
      <c r="F98" s="134">
        <f t="shared" si="26"/>
        <v>0</v>
      </c>
      <c r="G98" s="46"/>
      <c r="H98" s="47"/>
      <c r="I98" s="134">
        <f t="shared" si="27"/>
        <v>0</v>
      </c>
      <c r="J98" s="46"/>
      <c r="K98" s="47"/>
      <c r="L98" s="134">
        <f t="shared" si="28"/>
        <v>0</v>
      </c>
      <c r="M98" s="46"/>
      <c r="N98" s="47"/>
      <c r="O98" s="134">
        <f t="shared" si="29"/>
        <v>0</v>
      </c>
      <c r="P98" s="49"/>
    </row>
    <row r="99" spans="1:16" ht="36" hidden="1" customHeight="1" x14ac:dyDescent="0.25">
      <c r="A99" s="51">
        <v>2234</v>
      </c>
      <c r="B99" s="89" t="s">
        <v>115</v>
      </c>
      <c r="C99" s="90">
        <f t="shared" si="22"/>
        <v>0</v>
      </c>
      <c r="D99" s="196"/>
      <c r="E99" s="197"/>
      <c r="F99" s="55">
        <f t="shared" si="26"/>
        <v>0</v>
      </c>
      <c r="G99" s="53"/>
      <c r="H99" s="54"/>
      <c r="I99" s="55">
        <f t="shared" si="27"/>
        <v>0</v>
      </c>
      <c r="J99" s="53"/>
      <c r="K99" s="54"/>
      <c r="L99" s="55">
        <f t="shared" si="28"/>
        <v>0</v>
      </c>
      <c r="M99" s="53"/>
      <c r="N99" s="54"/>
      <c r="O99" s="55">
        <f t="shared" si="29"/>
        <v>0</v>
      </c>
      <c r="P99" s="57"/>
    </row>
    <row r="100" spans="1:16" ht="24" customHeight="1" x14ac:dyDescent="0.25">
      <c r="A100" s="51">
        <v>2235</v>
      </c>
      <c r="B100" s="89" t="s">
        <v>116</v>
      </c>
      <c r="C100" s="90">
        <f t="shared" si="22"/>
        <v>570</v>
      </c>
      <c r="D100" s="196">
        <v>300</v>
      </c>
      <c r="E100" s="197"/>
      <c r="F100" s="55">
        <f t="shared" si="26"/>
        <v>300</v>
      </c>
      <c r="G100" s="53"/>
      <c r="H100" s="54"/>
      <c r="I100" s="55">
        <f t="shared" si="27"/>
        <v>0</v>
      </c>
      <c r="J100" s="53">
        <v>270</v>
      </c>
      <c r="K100" s="54"/>
      <c r="L100" s="55">
        <f t="shared" si="28"/>
        <v>270</v>
      </c>
      <c r="M100" s="53"/>
      <c r="N100" s="54"/>
      <c r="O100" s="55">
        <f t="shared" si="29"/>
        <v>0</v>
      </c>
      <c r="P100" s="57"/>
    </row>
    <row r="101" spans="1:16" ht="12" hidden="1" customHeight="1" x14ac:dyDescent="0.25">
      <c r="A101" s="51">
        <v>2236</v>
      </c>
      <c r="B101" s="89" t="s">
        <v>117</v>
      </c>
      <c r="C101" s="90">
        <f t="shared" si="22"/>
        <v>0</v>
      </c>
      <c r="D101" s="196"/>
      <c r="E101" s="197"/>
      <c r="F101" s="55">
        <f t="shared" si="26"/>
        <v>0</v>
      </c>
      <c r="G101" s="53"/>
      <c r="H101" s="54"/>
      <c r="I101" s="55">
        <f t="shared" si="27"/>
        <v>0</v>
      </c>
      <c r="J101" s="53"/>
      <c r="K101" s="54"/>
      <c r="L101" s="55">
        <f t="shared" si="28"/>
        <v>0</v>
      </c>
      <c r="M101" s="53"/>
      <c r="N101" s="54"/>
      <c r="O101" s="55">
        <f t="shared" si="29"/>
        <v>0</v>
      </c>
      <c r="P101" s="57"/>
    </row>
    <row r="102" spans="1:16" ht="24" customHeight="1" x14ac:dyDescent="0.25">
      <c r="A102" s="51">
        <v>2239</v>
      </c>
      <c r="B102" s="89" t="s">
        <v>118</v>
      </c>
      <c r="C102" s="90">
        <f t="shared" si="22"/>
        <v>1893</v>
      </c>
      <c r="D102" s="196">
        <v>1283</v>
      </c>
      <c r="E102" s="197"/>
      <c r="F102" s="55">
        <f t="shared" si="26"/>
        <v>1283</v>
      </c>
      <c r="G102" s="53"/>
      <c r="H102" s="54"/>
      <c r="I102" s="55">
        <f t="shared" si="27"/>
        <v>0</v>
      </c>
      <c r="J102" s="53">
        <v>610</v>
      </c>
      <c r="K102" s="54"/>
      <c r="L102" s="55">
        <f t="shared" si="28"/>
        <v>610</v>
      </c>
      <c r="M102" s="53"/>
      <c r="N102" s="54"/>
      <c r="O102" s="55">
        <f t="shared" si="29"/>
        <v>0</v>
      </c>
      <c r="P102" s="57"/>
    </row>
    <row r="103" spans="1:16" ht="36" x14ac:dyDescent="0.25">
      <c r="A103" s="189">
        <v>2240</v>
      </c>
      <c r="B103" s="89" t="s">
        <v>119</v>
      </c>
      <c r="C103" s="90">
        <f t="shared" si="22"/>
        <v>14037</v>
      </c>
      <c r="D103" s="190">
        <f t="shared" ref="D103:O103" si="30">SUM(D104:D111)</f>
        <v>11331</v>
      </c>
      <c r="E103" s="191">
        <f t="shared" si="30"/>
        <v>0</v>
      </c>
      <c r="F103" s="55">
        <f t="shared" si="30"/>
        <v>11331</v>
      </c>
      <c r="G103" s="190">
        <f t="shared" si="30"/>
        <v>0</v>
      </c>
      <c r="H103" s="191">
        <f t="shared" si="30"/>
        <v>0</v>
      </c>
      <c r="I103" s="55">
        <f t="shared" si="30"/>
        <v>0</v>
      </c>
      <c r="J103" s="190">
        <f t="shared" si="30"/>
        <v>2706</v>
      </c>
      <c r="K103" s="191">
        <f t="shared" si="30"/>
        <v>0</v>
      </c>
      <c r="L103" s="55">
        <f t="shared" si="30"/>
        <v>2706</v>
      </c>
      <c r="M103" s="190">
        <f t="shared" si="30"/>
        <v>0</v>
      </c>
      <c r="N103" s="191">
        <f t="shared" si="30"/>
        <v>0</v>
      </c>
      <c r="O103" s="55">
        <f t="shared" si="30"/>
        <v>0</v>
      </c>
      <c r="P103" s="57"/>
    </row>
    <row r="104" spans="1:16" ht="12" hidden="1" customHeight="1" x14ac:dyDescent="0.25">
      <c r="A104" s="51">
        <v>2241</v>
      </c>
      <c r="B104" s="89" t="s">
        <v>120</v>
      </c>
      <c r="C104" s="90">
        <f t="shared" si="22"/>
        <v>0</v>
      </c>
      <c r="D104" s="196"/>
      <c r="E104" s="197"/>
      <c r="F104" s="55">
        <f t="shared" ref="F104:F111" si="31">D104+E104</f>
        <v>0</v>
      </c>
      <c r="G104" s="53"/>
      <c r="H104" s="54"/>
      <c r="I104" s="55">
        <f t="shared" ref="I104:I111" si="32">G104+H104</f>
        <v>0</v>
      </c>
      <c r="J104" s="53"/>
      <c r="K104" s="54"/>
      <c r="L104" s="55">
        <f t="shared" ref="L104:L111" si="33">K104+J104</f>
        <v>0</v>
      </c>
      <c r="M104" s="53"/>
      <c r="N104" s="54"/>
      <c r="O104" s="55">
        <f t="shared" ref="O104:O111" si="34">N104+M104</f>
        <v>0</v>
      </c>
      <c r="P104" s="57"/>
    </row>
    <row r="105" spans="1:16" ht="24" hidden="1" customHeight="1" x14ac:dyDescent="0.25">
      <c r="A105" s="51">
        <v>2242</v>
      </c>
      <c r="B105" s="89" t="s">
        <v>121</v>
      </c>
      <c r="C105" s="90">
        <f t="shared" si="22"/>
        <v>0</v>
      </c>
      <c r="D105" s="196"/>
      <c r="E105" s="197"/>
      <c r="F105" s="55">
        <f t="shared" si="31"/>
        <v>0</v>
      </c>
      <c r="G105" s="53"/>
      <c r="H105" s="54"/>
      <c r="I105" s="55">
        <f t="shared" si="32"/>
        <v>0</v>
      </c>
      <c r="J105" s="53"/>
      <c r="K105" s="54"/>
      <c r="L105" s="55">
        <f t="shared" si="33"/>
        <v>0</v>
      </c>
      <c r="M105" s="53"/>
      <c r="N105" s="54"/>
      <c r="O105" s="55">
        <f t="shared" si="34"/>
        <v>0</v>
      </c>
      <c r="P105" s="57"/>
    </row>
    <row r="106" spans="1:16" ht="25.5" customHeight="1" x14ac:dyDescent="0.25">
      <c r="A106" s="51">
        <v>2243</v>
      </c>
      <c r="B106" s="89" t="s">
        <v>122</v>
      </c>
      <c r="C106" s="90">
        <f t="shared" si="22"/>
        <v>1883</v>
      </c>
      <c r="D106" s="196"/>
      <c r="E106" s="197"/>
      <c r="F106" s="55">
        <f t="shared" si="31"/>
        <v>0</v>
      </c>
      <c r="G106" s="53"/>
      <c r="H106" s="54"/>
      <c r="I106" s="55">
        <f t="shared" si="32"/>
        <v>0</v>
      </c>
      <c r="J106" s="53">
        <v>1883</v>
      </c>
      <c r="K106" s="54"/>
      <c r="L106" s="55">
        <f t="shared" si="33"/>
        <v>1883</v>
      </c>
      <c r="M106" s="53"/>
      <c r="N106" s="54"/>
      <c r="O106" s="55">
        <f t="shared" si="34"/>
        <v>0</v>
      </c>
      <c r="P106" s="57"/>
    </row>
    <row r="107" spans="1:16" ht="12" customHeight="1" x14ac:dyDescent="0.25">
      <c r="A107" s="51">
        <v>2244</v>
      </c>
      <c r="B107" s="89" t="s">
        <v>123</v>
      </c>
      <c r="C107" s="90">
        <f t="shared" si="22"/>
        <v>12154</v>
      </c>
      <c r="D107" s="196">
        <v>11331</v>
      </c>
      <c r="E107" s="197"/>
      <c r="F107" s="55">
        <f t="shared" si="31"/>
        <v>11331</v>
      </c>
      <c r="G107" s="53"/>
      <c r="H107" s="54"/>
      <c r="I107" s="55">
        <f t="shared" si="32"/>
        <v>0</v>
      </c>
      <c r="J107" s="53">
        <v>823</v>
      </c>
      <c r="K107" s="54"/>
      <c r="L107" s="55">
        <f t="shared" si="33"/>
        <v>823</v>
      </c>
      <c r="M107" s="53"/>
      <c r="N107" s="54"/>
      <c r="O107" s="55">
        <f t="shared" si="34"/>
        <v>0</v>
      </c>
      <c r="P107" s="57"/>
    </row>
    <row r="108" spans="1:16" ht="24" hidden="1" customHeight="1" x14ac:dyDescent="0.25">
      <c r="A108" s="51">
        <v>2246</v>
      </c>
      <c r="B108" s="89" t="s">
        <v>124</v>
      </c>
      <c r="C108" s="90">
        <f t="shared" si="22"/>
        <v>0</v>
      </c>
      <c r="D108" s="196"/>
      <c r="E108" s="197"/>
      <c r="F108" s="55">
        <f t="shared" si="31"/>
        <v>0</v>
      </c>
      <c r="G108" s="53"/>
      <c r="H108" s="54"/>
      <c r="I108" s="55">
        <f t="shared" si="32"/>
        <v>0</v>
      </c>
      <c r="J108" s="53"/>
      <c r="K108" s="54"/>
      <c r="L108" s="55">
        <f t="shared" si="33"/>
        <v>0</v>
      </c>
      <c r="M108" s="53"/>
      <c r="N108" s="54"/>
      <c r="O108" s="55">
        <f t="shared" si="34"/>
        <v>0</v>
      </c>
      <c r="P108" s="57"/>
    </row>
    <row r="109" spans="1:16" ht="12" hidden="1" customHeight="1" x14ac:dyDescent="0.25">
      <c r="A109" s="51">
        <v>2247</v>
      </c>
      <c r="B109" s="89" t="s">
        <v>125</v>
      </c>
      <c r="C109" s="90">
        <f t="shared" si="22"/>
        <v>0</v>
      </c>
      <c r="D109" s="196"/>
      <c r="E109" s="197"/>
      <c r="F109" s="55">
        <f t="shared" si="31"/>
        <v>0</v>
      </c>
      <c r="G109" s="53"/>
      <c r="H109" s="54"/>
      <c r="I109" s="55">
        <f t="shared" si="32"/>
        <v>0</v>
      </c>
      <c r="J109" s="53"/>
      <c r="K109" s="54"/>
      <c r="L109" s="55">
        <f t="shared" si="33"/>
        <v>0</v>
      </c>
      <c r="M109" s="53"/>
      <c r="N109" s="54"/>
      <c r="O109" s="55">
        <f t="shared" si="34"/>
        <v>0</v>
      </c>
      <c r="P109" s="57"/>
    </row>
    <row r="110" spans="1:16" ht="24" hidden="1" customHeight="1" x14ac:dyDescent="0.25">
      <c r="A110" s="51">
        <v>2248</v>
      </c>
      <c r="B110" s="89" t="s">
        <v>126</v>
      </c>
      <c r="C110" s="90">
        <f t="shared" si="22"/>
        <v>0</v>
      </c>
      <c r="D110" s="196"/>
      <c r="E110" s="197"/>
      <c r="F110" s="55">
        <f t="shared" si="31"/>
        <v>0</v>
      </c>
      <c r="G110" s="53"/>
      <c r="H110" s="54"/>
      <c r="I110" s="55">
        <f t="shared" si="32"/>
        <v>0</v>
      </c>
      <c r="J110" s="53"/>
      <c r="K110" s="54"/>
      <c r="L110" s="55">
        <f t="shared" si="33"/>
        <v>0</v>
      </c>
      <c r="M110" s="53"/>
      <c r="N110" s="54"/>
      <c r="O110" s="55">
        <f t="shared" si="34"/>
        <v>0</v>
      </c>
      <c r="P110" s="57"/>
    </row>
    <row r="111" spans="1:16" ht="24" hidden="1" customHeight="1" x14ac:dyDescent="0.25">
      <c r="A111" s="51">
        <v>2249</v>
      </c>
      <c r="B111" s="89" t="s">
        <v>127</v>
      </c>
      <c r="C111" s="90">
        <f t="shared" si="22"/>
        <v>0</v>
      </c>
      <c r="D111" s="196"/>
      <c r="E111" s="197"/>
      <c r="F111" s="55">
        <f t="shared" si="31"/>
        <v>0</v>
      </c>
      <c r="G111" s="53"/>
      <c r="H111" s="54"/>
      <c r="I111" s="55">
        <f t="shared" si="32"/>
        <v>0</v>
      </c>
      <c r="J111" s="53"/>
      <c r="K111" s="54"/>
      <c r="L111" s="55">
        <f t="shared" si="33"/>
        <v>0</v>
      </c>
      <c r="M111" s="53"/>
      <c r="N111" s="54"/>
      <c r="O111" s="55">
        <f t="shared" si="34"/>
        <v>0</v>
      </c>
      <c r="P111" s="57"/>
    </row>
    <row r="112" spans="1:16" x14ac:dyDescent="0.25">
      <c r="A112" s="189">
        <v>2250</v>
      </c>
      <c r="B112" s="89" t="s">
        <v>128</v>
      </c>
      <c r="C112" s="90">
        <f t="shared" si="22"/>
        <v>765</v>
      </c>
      <c r="D112" s="190">
        <f t="shared" ref="D112:O112" si="35">SUM(D113:D115)</f>
        <v>329</v>
      </c>
      <c r="E112" s="191">
        <f t="shared" si="35"/>
        <v>0</v>
      </c>
      <c r="F112" s="55">
        <f t="shared" si="35"/>
        <v>329</v>
      </c>
      <c r="G112" s="190">
        <f t="shared" si="35"/>
        <v>0</v>
      </c>
      <c r="H112" s="191">
        <f t="shared" si="35"/>
        <v>0</v>
      </c>
      <c r="I112" s="55">
        <f t="shared" si="35"/>
        <v>0</v>
      </c>
      <c r="J112" s="190">
        <f t="shared" si="35"/>
        <v>436</v>
      </c>
      <c r="K112" s="191">
        <f t="shared" si="35"/>
        <v>0</v>
      </c>
      <c r="L112" s="55">
        <f t="shared" si="35"/>
        <v>436</v>
      </c>
      <c r="M112" s="190">
        <f t="shared" si="35"/>
        <v>0</v>
      </c>
      <c r="N112" s="191">
        <f t="shared" si="35"/>
        <v>0</v>
      </c>
      <c r="O112" s="55">
        <f t="shared" si="35"/>
        <v>0</v>
      </c>
      <c r="P112" s="57"/>
    </row>
    <row r="113" spans="1:16" ht="12" hidden="1" customHeight="1" x14ac:dyDescent="0.25">
      <c r="A113" s="51">
        <v>2251</v>
      </c>
      <c r="B113" s="89" t="s">
        <v>129</v>
      </c>
      <c r="C113" s="90">
        <f t="shared" si="22"/>
        <v>0</v>
      </c>
      <c r="D113" s="196"/>
      <c r="E113" s="197"/>
      <c r="F113" s="55">
        <f>D113+E113</f>
        <v>0</v>
      </c>
      <c r="G113" s="53"/>
      <c r="H113" s="54"/>
      <c r="I113" s="55">
        <f>G113+H113</f>
        <v>0</v>
      </c>
      <c r="J113" s="53"/>
      <c r="K113" s="54"/>
      <c r="L113" s="55">
        <f>K113+J113</f>
        <v>0</v>
      </c>
      <c r="M113" s="53"/>
      <c r="N113" s="54"/>
      <c r="O113" s="55">
        <f>N113+M113</f>
        <v>0</v>
      </c>
      <c r="P113" s="57"/>
    </row>
    <row r="114" spans="1:16" ht="24" customHeight="1" x14ac:dyDescent="0.25">
      <c r="A114" s="51">
        <v>2252</v>
      </c>
      <c r="B114" s="89" t="s">
        <v>130</v>
      </c>
      <c r="C114" s="90">
        <f t="shared" si="22"/>
        <v>329</v>
      </c>
      <c r="D114" s="196">
        <v>329</v>
      </c>
      <c r="E114" s="197"/>
      <c r="F114" s="55">
        <f>D114+E114</f>
        <v>329</v>
      </c>
      <c r="G114" s="53"/>
      <c r="H114" s="54"/>
      <c r="I114" s="55">
        <f>G114+H114</f>
        <v>0</v>
      </c>
      <c r="J114" s="53"/>
      <c r="K114" s="54"/>
      <c r="L114" s="55">
        <f>K114+J114</f>
        <v>0</v>
      </c>
      <c r="M114" s="53"/>
      <c r="N114" s="54"/>
      <c r="O114" s="55">
        <f>N114+M114</f>
        <v>0</v>
      </c>
      <c r="P114" s="57"/>
    </row>
    <row r="115" spans="1:16" ht="24" customHeight="1" x14ac:dyDescent="0.25">
      <c r="A115" s="51">
        <v>2259</v>
      </c>
      <c r="B115" s="89" t="s">
        <v>131</v>
      </c>
      <c r="C115" s="90">
        <f t="shared" si="22"/>
        <v>436</v>
      </c>
      <c r="D115" s="196"/>
      <c r="E115" s="197"/>
      <c r="F115" s="55">
        <f>D115+E115</f>
        <v>0</v>
      </c>
      <c r="G115" s="53"/>
      <c r="H115" s="54"/>
      <c r="I115" s="55">
        <f>G115+H115</f>
        <v>0</v>
      </c>
      <c r="J115" s="53">
        <v>436</v>
      </c>
      <c r="K115" s="54"/>
      <c r="L115" s="55">
        <f>K115+J115</f>
        <v>436</v>
      </c>
      <c r="M115" s="53"/>
      <c r="N115" s="54"/>
      <c r="O115" s="55">
        <f>N115+M115</f>
        <v>0</v>
      </c>
      <c r="P115" s="57"/>
    </row>
    <row r="116" spans="1:16" x14ac:dyDescent="0.25">
      <c r="A116" s="189">
        <v>2260</v>
      </c>
      <c r="B116" s="89" t="s">
        <v>132</v>
      </c>
      <c r="C116" s="90">
        <f t="shared" si="22"/>
        <v>3956</v>
      </c>
      <c r="D116" s="190">
        <f t="shared" ref="D116:O116" si="36">SUM(D117:D121)</f>
        <v>26</v>
      </c>
      <c r="E116" s="191">
        <f t="shared" si="36"/>
        <v>0</v>
      </c>
      <c r="F116" s="55">
        <f t="shared" si="36"/>
        <v>26</v>
      </c>
      <c r="G116" s="190">
        <f t="shared" si="36"/>
        <v>0</v>
      </c>
      <c r="H116" s="191">
        <f t="shared" si="36"/>
        <v>0</v>
      </c>
      <c r="I116" s="55">
        <f t="shared" si="36"/>
        <v>0</v>
      </c>
      <c r="J116" s="190">
        <f t="shared" si="36"/>
        <v>3930</v>
      </c>
      <c r="K116" s="191">
        <f t="shared" si="36"/>
        <v>0</v>
      </c>
      <c r="L116" s="55">
        <f t="shared" si="36"/>
        <v>3930</v>
      </c>
      <c r="M116" s="190">
        <f t="shared" si="36"/>
        <v>0</v>
      </c>
      <c r="N116" s="191">
        <f t="shared" si="36"/>
        <v>0</v>
      </c>
      <c r="O116" s="55">
        <f t="shared" si="36"/>
        <v>0</v>
      </c>
      <c r="P116" s="57"/>
    </row>
    <row r="117" spans="1:16" ht="12" hidden="1" customHeight="1" x14ac:dyDescent="0.25">
      <c r="A117" s="51">
        <v>2261</v>
      </c>
      <c r="B117" s="89" t="s">
        <v>133</v>
      </c>
      <c r="C117" s="90">
        <f t="shared" si="22"/>
        <v>0</v>
      </c>
      <c r="D117" s="196"/>
      <c r="E117" s="197"/>
      <c r="F117" s="55">
        <f>D117+E117</f>
        <v>0</v>
      </c>
      <c r="G117" s="53"/>
      <c r="H117" s="54"/>
      <c r="I117" s="55">
        <f>G117+H117</f>
        <v>0</v>
      </c>
      <c r="J117" s="53"/>
      <c r="K117" s="54"/>
      <c r="L117" s="55">
        <f>K117+J117</f>
        <v>0</v>
      </c>
      <c r="M117" s="53"/>
      <c r="N117" s="54"/>
      <c r="O117" s="55">
        <f>N117+M117</f>
        <v>0</v>
      </c>
      <c r="P117" s="57"/>
    </row>
    <row r="118" spans="1:16" ht="14.25" customHeight="1" x14ac:dyDescent="0.25">
      <c r="A118" s="51">
        <v>2262</v>
      </c>
      <c r="B118" s="89" t="s">
        <v>134</v>
      </c>
      <c r="C118" s="90">
        <f t="shared" si="22"/>
        <v>3767</v>
      </c>
      <c r="D118" s="196"/>
      <c r="E118" s="197"/>
      <c r="F118" s="55">
        <f>D118+E118</f>
        <v>0</v>
      </c>
      <c r="G118" s="53"/>
      <c r="H118" s="54"/>
      <c r="I118" s="55">
        <f>G118+H118</f>
        <v>0</v>
      </c>
      <c r="J118" s="53">
        <v>3767</v>
      </c>
      <c r="K118" s="349"/>
      <c r="L118" s="55">
        <f>K118+J118</f>
        <v>3767</v>
      </c>
      <c r="M118" s="53"/>
      <c r="N118" s="54"/>
      <c r="O118" s="55">
        <f>N118+M118</f>
        <v>0</v>
      </c>
      <c r="P118" s="57"/>
    </row>
    <row r="119" spans="1:16" ht="12" hidden="1" customHeight="1" x14ac:dyDescent="0.25">
      <c r="A119" s="51">
        <v>2263</v>
      </c>
      <c r="B119" s="89" t="s">
        <v>135</v>
      </c>
      <c r="C119" s="90">
        <f t="shared" si="22"/>
        <v>0</v>
      </c>
      <c r="D119" s="196"/>
      <c r="E119" s="197"/>
      <c r="F119" s="55">
        <f>D119+E119</f>
        <v>0</v>
      </c>
      <c r="G119" s="53"/>
      <c r="H119" s="54"/>
      <c r="I119" s="55">
        <f>G119+H119</f>
        <v>0</v>
      </c>
      <c r="J119" s="53"/>
      <c r="K119" s="54"/>
      <c r="L119" s="55">
        <f>K119+J119</f>
        <v>0</v>
      </c>
      <c r="M119" s="53"/>
      <c r="N119" s="54"/>
      <c r="O119" s="55">
        <f>N119+M119</f>
        <v>0</v>
      </c>
      <c r="P119" s="57"/>
    </row>
    <row r="120" spans="1:16" ht="24" customHeight="1" x14ac:dyDescent="0.25">
      <c r="A120" s="51">
        <v>2264</v>
      </c>
      <c r="B120" s="89" t="s">
        <v>136</v>
      </c>
      <c r="C120" s="90">
        <f t="shared" si="22"/>
        <v>163</v>
      </c>
      <c r="D120" s="196"/>
      <c r="E120" s="197"/>
      <c r="F120" s="55">
        <f>D120+E120</f>
        <v>0</v>
      </c>
      <c r="G120" s="53"/>
      <c r="H120" s="54"/>
      <c r="I120" s="55">
        <f>G120+H120</f>
        <v>0</v>
      </c>
      <c r="J120" s="53">
        <v>163</v>
      </c>
      <c r="K120" s="54"/>
      <c r="L120" s="55">
        <f>K120+J120</f>
        <v>163</v>
      </c>
      <c r="M120" s="53"/>
      <c r="N120" s="54"/>
      <c r="O120" s="55">
        <f>N120+M120</f>
        <v>0</v>
      </c>
      <c r="P120" s="57"/>
    </row>
    <row r="121" spans="1:16" ht="12" customHeight="1" x14ac:dyDescent="0.25">
      <c r="A121" s="51">
        <v>2269</v>
      </c>
      <c r="B121" s="89" t="s">
        <v>137</v>
      </c>
      <c r="C121" s="90">
        <f t="shared" si="22"/>
        <v>26</v>
      </c>
      <c r="D121" s="196">
        <v>26</v>
      </c>
      <c r="E121" s="197"/>
      <c r="F121" s="55">
        <f>D121+E121</f>
        <v>26</v>
      </c>
      <c r="G121" s="53"/>
      <c r="H121" s="54"/>
      <c r="I121" s="55">
        <f>G121+H121</f>
        <v>0</v>
      </c>
      <c r="J121" s="53"/>
      <c r="K121" s="54"/>
      <c r="L121" s="55">
        <f>K121+J121</f>
        <v>0</v>
      </c>
      <c r="M121" s="53"/>
      <c r="N121" s="54"/>
      <c r="O121" s="55">
        <f>N121+M121</f>
        <v>0</v>
      </c>
      <c r="P121" s="57"/>
    </row>
    <row r="122" spans="1:16" x14ac:dyDescent="0.25">
      <c r="A122" s="189">
        <v>2270</v>
      </c>
      <c r="B122" s="89" t="s">
        <v>138</v>
      </c>
      <c r="C122" s="90">
        <f t="shared" si="22"/>
        <v>12523</v>
      </c>
      <c r="D122" s="190">
        <f t="shared" ref="D122:O122" si="37">SUM(D123:D127)</f>
        <v>6878</v>
      </c>
      <c r="E122" s="191">
        <f t="shared" si="37"/>
        <v>0</v>
      </c>
      <c r="F122" s="55">
        <f t="shared" si="37"/>
        <v>6878</v>
      </c>
      <c r="G122" s="190">
        <f t="shared" si="37"/>
        <v>0</v>
      </c>
      <c r="H122" s="191">
        <f t="shared" si="37"/>
        <v>0</v>
      </c>
      <c r="I122" s="55">
        <f t="shared" si="37"/>
        <v>0</v>
      </c>
      <c r="J122" s="190">
        <f t="shared" si="37"/>
        <v>5645</v>
      </c>
      <c r="K122" s="191">
        <f t="shared" si="37"/>
        <v>0</v>
      </c>
      <c r="L122" s="55">
        <f t="shared" si="37"/>
        <v>5645</v>
      </c>
      <c r="M122" s="190">
        <f t="shared" si="37"/>
        <v>0</v>
      </c>
      <c r="N122" s="191">
        <f t="shared" si="37"/>
        <v>0</v>
      </c>
      <c r="O122" s="55">
        <f t="shared" si="37"/>
        <v>0</v>
      </c>
      <c r="P122" s="57"/>
    </row>
    <row r="123" spans="1:16" ht="12" hidden="1" customHeight="1" x14ac:dyDescent="0.25">
      <c r="A123" s="51">
        <v>2272</v>
      </c>
      <c r="B123" s="201" t="s">
        <v>139</v>
      </c>
      <c r="C123" s="90">
        <f t="shared" si="22"/>
        <v>0</v>
      </c>
      <c r="D123" s="196"/>
      <c r="E123" s="197"/>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202" t="s">
        <v>140</v>
      </c>
      <c r="C124" s="90">
        <f t="shared" si="22"/>
        <v>0</v>
      </c>
      <c r="D124" s="196"/>
      <c r="E124" s="197"/>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9" t="s">
        <v>141</v>
      </c>
      <c r="C125" s="90">
        <f t="shared" si="22"/>
        <v>0</v>
      </c>
      <c r="D125" s="196"/>
      <c r="E125" s="197"/>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9" t="s">
        <v>142</v>
      </c>
      <c r="C126" s="90">
        <f t="shared" si="22"/>
        <v>0</v>
      </c>
      <c r="D126" s="196"/>
      <c r="E126" s="197"/>
      <c r="F126" s="55">
        <f>D126+E126</f>
        <v>0</v>
      </c>
      <c r="G126" s="53"/>
      <c r="H126" s="54"/>
      <c r="I126" s="55">
        <f>G126+H126</f>
        <v>0</v>
      </c>
      <c r="J126" s="53"/>
      <c r="K126" s="54"/>
      <c r="L126" s="55">
        <f>K126+J126</f>
        <v>0</v>
      </c>
      <c r="M126" s="53"/>
      <c r="N126" s="54"/>
      <c r="O126" s="55">
        <f>N126+M126</f>
        <v>0</v>
      </c>
      <c r="P126" s="57"/>
    </row>
    <row r="127" spans="1:16" ht="24" customHeight="1" x14ac:dyDescent="0.25">
      <c r="A127" s="51">
        <v>2279</v>
      </c>
      <c r="B127" s="89" t="s">
        <v>143</v>
      </c>
      <c r="C127" s="90">
        <f t="shared" si="22"/>
        <v>12523</v>
      </c>
      <c r="D127" s="196">
        <v>6878</v>
      </c>
      <c r="E127" s="197"/>
      <c r="F127" s="55">
        <f>D127+E127</f>
        <v>6878</v>
      </c>
      <c r="G127" s="53"/>
      <c r="H127" s="54"/>
      <c r="I127" s="55">
        <f>G127+H127</f>
        <v>0</v>
      </c>
      <c r="J127" s="53">
        <v>5645</v>
      </c>
      <c r="K127" s="54"/>
      <c r="L127" s="55">
        <f>K127+J127</f>
        <v>5645</v>
      </c>
      <c r="M127" s="53"/>
      <c r="N127" s="54"/>
      <c r="O127" s="55">
        <f>N127+M127</f>
        <v>0</v>
      </c>
      <c r="P127" s="57"/>
    </row>
    <row r="128" spans="1:16" ht="48" hidden="1" x14ac:dyDescent="0.25">
      <c r="A128" s="606">
        <v>2280</v>
      </c>
      <c r="B128" s="82" t="s">
        <v>144</v>
      </c>
      <c r="C128" s="83">
        <f t="shared" si="22"/>
        <v>0</v>
      </c>
      <c r="D128" s="194">
        <f t="shared" ref="D128:O128" si="38">SUM(D129)</f>
        <v>0</v>
      </c>
      <c r="E128" s="195">
        <f t="shared" si="38"/>
        <v>0</v>
      </c>
      <c r="F128" s="134">
        <f t="shared" si="38"/>
        <v>0</v>
      </c>
      <c r="G128" s="194">
        <f t="shared" si="38"/>
        <v>0</v>
      </c>
      <c r="H128" s="195">
        <f t="shared" si="38"/>
        <v>0</v>
      </c>
      <c r="I128" s="134">
        <f t="shared" si="38"/>
        <v>0</v>
      </c>
      <c r="J128" s="194">
        <f t="shared" si="38"/>
        <v>0</v>
      </c>
      <c r="K128" s="195">
        <f t="shared" si="38"/>
        <v>0</v>
      </c>
      <c r="L128" s="134">
        <f t="shared" si="38"/>
        <v>0</v>
      </c>
      <c r="M128" s="194">
        <f t="shared" si="38"/>
        <v>0</v>
      </c>
      <c r="N128" s="195">
        <f t="shared" si="38"/>
        <v>0</v>
      </c>
      <c r="O128" s="134">
        <f t="shared" si="38"/>
        <v>0</v>
      </c>
      <c r="P128" s="49"/>
    </row>
    <row r="129" spans="1:16" ht="24" hidden="1" customHeight="1" x14ac:dyDescent="0.25">
      <c r="A129" s="51">
        <v>2283</v>
      </c>
      <c r="B129" s="89" t="s">
        <v>145</v>
      </c>
      <c r="C129" s="90">
        <f t="shared" si="2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22"/>
        <v>19883</v>
      </c>
      <c r="D130" s="184">
        <f t="shared" ref="D130:O130" si="39">SUM(D131,D136,D140,D141,D144,D151,D159,D160,D163)</f>
        <v>8770</v>
      </c>
      <c r="E130" s="185">
        <f t="shared" si="39"/>
        <v>0</v>
      </c>
      <c r="F130" s="73">
        <f t="shared" si="39"/>
        <v>8770</v>
      </c>
      <c r="G130" s="184">
        <f t="shared" si="39"/>
        <v>0</v>
      </c>
      <c r="H130" s="185">
        <f t="shared" si="39"/>
        <v>0</v>
      </c>
      <c r="I130" s="73">
        <f t="shared" si="39"/>
        <v>0</v>
      </c>
      <c r="J130" s="184">
        <f t="shared" si="39"/>
        <v>10405</v>
      </c>
      <c r="K130" s="185">
        <f t="shared" si="39"/>
        <v>678</v>
      </c>
      <c r="L130" s="73">
        <f t="shared" si="39"/>
        <v>11083</v>
      </c>
      <c r="M130" s="184">
        <f t="shared" si="39"/>
        <v>30</v>
      </c>
      <c r="N130" s="185">
        <f t="shared" si="39"/>
        <v>0</v>
      </c>
      <c r="O130" s="73">
        <f t="shared" si="39"/>
        <v>30</v>
      </c>
      <c r="P130" s="77"/>
    </row>
    <row r="131" spans="1:16" ht="24" x14ac:dyDescent="0.25">
      <c r="A131" s="606">
        <v>2310</v>
      </c>
      <c r="B131" s="82" t="s">
        <v>147</v>
      </c>
      <c r="C131" s="83">
        <f t="shared" si="22"/>
        <v>10045</v>
      </c>
      <c r="D131" s="194">
        <f t="shared" ref="D131:O131" si="40">SUM(D132:D135)</f>
        <v>3511</v>
      </c>
      <c r="E131" s="195">
        <f t="shared" si="40"/>
        <v>0</v>
      </c>
      <c r="F131" s="134">
        <f t="shared" si="40"/>
        <v>3511</v>
      </c>
      <c r="G131" s="194">
        <f t="shared" si="40"/>
        <v>0</v>
      </c>
      <c r="H131" s="195">
        <f t="shared" si="40"/>
        <v>0</v>
      </c>
      <c r="I131" s="134">
        <f t="shared" si="40"/>
        <v>0</v>
      </c>
      <c r="J131" s="194">
        <f t="shared" si="40"/>
        <v>6331</v>
      </c>
      <c r="K131" s="195">
        <f t="shared" si="40"/>
        <v>203</v>
      </c>
      <c r="L131" s="134">
        <f t="shared" si="40"/>
        <v>6534</v>
      </c>
      <c r="M131" s="194">
        <f t="shared" si="40"/>
        <v>0</v>
      </c>
      <c r="N131" s="195">
        <f t="shared" si="40"/>
        <v>0</v>
      </c>
      <c r="O131" s="134">
        <f t="shared" si="40"/>
        <v>0</v>
      </c>
      <c r="P131" s="49"/>
    </row>
    <row r="132" spans="1:16" ht="13.5" customHeight="1" x14ac:dyDescent="0.25">
      <c r="A132" s="51">
        <v>2311</v>
      </c>
      <c r="B132" s="89" t="s">
        <v>148</v>
      </c>
      <c r="C132" s="90">
        <f t="shared" si="22"/>
        <v>2505</v>
      </c>
      <c r="D132" s="196">
        <v>693</v>
      </c>
      <c r="E132" s="197"/>
      <c r="F132" s="55">
        <f>D132+E132</f>
        <v>693</v>
      </c>
      <c r="G132" s="53"/>
      <c r="H132" s="54"/>
      <c r="I132" s="55">
        <f>G132+H132</f>
        <v>0</v>
      </c>
      <c r="J132" s="53">
        <v>1812</v>
      </c>
      <c r="K132" s="349"/>
      <c r="L132" s="55">
        <f>K132+J132</f>
        <v>1812</v>
      </c>
      <c r="M132" s="53"/>
      <c r="N132" s="54"/>
      <c r="O132" s="55">
        <f>N132+M132</f>
        <v>0</v>
      </c>
      <c r="P132" s="57"/>
    </row>
    <row r="133" spans="1:16" ht="18" customHeight="1" x14ac:dyDescent="0.25">
      <c r="A133" s="51">
        <v>2312</v>
      </c>
      <c r="B133" s="89" t="s">
        <v>149</v>
      </c>
      <c r="C133" s="90">
        <f t="shared" si="22"/>
        <v>5393</v>
      </c>
      <c r="D133" s="196">
        <v>2458</v>
      </c>
      <c r="E133" s="197"/>
      <c r="F133" s="55">
        <f>D133+E133</f>
        <v>2458</v>
      </c>
      <c r="G133" s="53"/>
      <c r="H133" s="54"/>
      <c r="I133" s="55">
        <f>G133+H133</f>
        <v>0</v>
      </c>
      <c r="J133" s="53">
        <v>2935</v>
      </c>
      <c r="K133" s="349"/>
      <c r="L133" s="55">
        <f>K133+J133</f>
        <v>2935</v>
      </c>
      <c r="M133" s="53"/>
      <c r="N133" s="54"/>
      <c r="O133" s="55">
        <f>N133+M133</f>
        <v>0</v>
      </c>
      <c r="P133" s="57"/>
    </row>
    <row r="134" spans="1:16" ht="12" customHeight="1" x14ac:dyDescent="0.25">
      <c r="A134" s="51">
        <v>2313</v>
      </c>
      <c r="B134" s="89" t="s">
        <v>150</v>
      </c>
      <c r="C134" s="90">
        <f t="shared" si="22"/>
        <v>360</v>
      </c>
      <c r="D134" s="196">
        <v>360</v>
      </c>
      <c r="E134" s="197"/>
      <c r="F134" s="55">
        <f>D134+E134</f>
        <v>360</v>
      </c>
      <c r="G134" s="53"/>
      <c r="H134" s="54"/>
      <c r="I134" s="55">
        <f>G134+H134</f>
        <v>0</v>
      </c>
      <c r="J134" s="53"/>
      <c r="K134" s="54"/>
      <c r="L134" s="55">
        <f>K134+J134</f>
        <v>0</v>
      </c>
      <c r="M134" s="53"/>
      <c r="N134" s="54"/>
      <c r="O134" s="55">
        <f>N134+M134</f>
        <v>0</v>
      </c>
      <c r="P134" s="57"/>
    </row>
    <row r="135" spans="1:16" ht="48.75" customHeight="1" x14ac:dyDescent="0.25">
      <c r="A135" s="51">
        <v>2314</v>
      </c>
      <c r="B135" s="89" t="s">
        <v>151</v>
      </c>
      <c r="C135" s="90">
        <f t="shared" si="22"/>
        <v>1787</v>
      </c>
      <c r="D135" s="196"/>
      <c r="E135" s="197"/>
      <c r="F135" s="55">
        <f>D135+E135</f>
        <v>0</v>
      </c>
      <c r="G135" s="53"/>
      <c r="H135" s="54"/>
      <c r="I135" s="55">
        <f>G135+H135</f>
        <v>0</v>
      </c>
      <c r="J135" s="53">
        <v>1584</v>
      </c>
      <c r="K135" s="725">
        <v>203</v>
      </c>
      <c r="L135" s="55">
        <f>K135+J135</f>
        <v>1787</v>
      </c>
      <c r="M135" s="53"/>
      <c r="N135" s="54"/>
      <c r="O135" s="55">
        <f>N135+M135</f>
        <v>0</v>
      </c>
      <c r="P135" s="57" t="s">
        <v>847</v>
      </c>
    </row>
    <row r="136" spans="1:16" x14ac:dyDescent="0.25">
      <c r="A136" s="189">
        <v>2320</v>
      </c>
      <c r="B136" s="89" t="s">
        <v>152</v>
      </c>
      <c r="C136" s="90">
        <f t="shared" si="22"/>
        <v>549</v>
      </c>
      <c r="D136" s="190">
        <f t="shared" ref="D136:O136" si="41">SUM(D137:D139)</f>
        <v>0</v>
      </c>
      <c r="E136" s="191">
        <f t="shared" si="41"/>
        <v>0</v>
      </c>
      <c r="F136" s="55">
        <f t="shared" si="41"/>
        <v>0</v>
      </c>
      <c r="G136" s="190">
        <f t="shared" si="41"/>
        <v>0</v>
      </c>
      <c r="H136" s="191">
        <f t="shared" si="41"/>
        <v>0</v>
      </c>
      <c r="I136" s="55">
        <f t="shared" si="41"/>
        <v>0</v>
      </c>
      <c r="J136" s="190">
        <f t="shared" si="41"/>
        <v>549</v>
      </c>
      <c r="K136" s="191">
        <f t="shared" si="41"/>
        <v>0</v>
      </c>
      <c r="L136" s="55">
        <f t="shared" si="41"/>
        <v>549</v>
      </c>
      <c r="M136" s="190">
        <f t="shared" si="41"/>
        <v>0</v>
      </c>
      <c r="N136" s="191">
        <f t="shared" si="41"/>
        <v>0</v>
      </c>
      <c r="O136" s="55">
        <f t="shared" si="41"/>
        <v>0</v>
      </c>
      <c r="P136" s="57"/>
    </row>
    <row r="137" spans="1:16" ht="12" hidden="1" customHeight="1" x14ac:dyDescent="0.25">
      <c r="A137" s="51">
        <v>2321</v>
      </c>
      <c r="B137" s="89" t="s">
        <v>153</v>
      </c>
      <c r="C137" s="90">
        <f t="shared" si="22"/>
        <v>0</v>
      </c>
      <c r="D137" s="196"/>
      <c r="E137" s="197"/>
      <c r="F137" s="55">
        <f>D137+E137</f>
        <v>0</v>
      </c>
      <c r="G137" s="53"/>
      <c r="H137" s="54"/>
      <c r="I137" s="55">
        <f>G137+H137</f>
        <v>0</v>
      </c>
      <c r="J137" s="53"/>
      <c r="K137" s="54"/>
      <c r="L137" s="55">
        <f>K137+J137</f>
        <v>0</v>
      </c>
      <c r="M137" s="53"/>
      <c r="N137" s="54"/>
      <c r="O137" s="55">
        <f>N137+M137</f>
        <v>0</v>
      </c>
      <c r="P137" s="57"/>
    </row>
    <row r="138" spans="1:16" ht="12" customHeight="1" x14ac:dyDescent="0.25">
      <c r="A138" s="51">
        <v>2322</v>
      </c>
      <c r="B138" s="89" t="s">
        <v>154</v>
      </c>
      <c r="C138" s="90">
        <f t="shared" si="22"/>
        <v>549</v>
      </c>
      <c r="D138" s="196"/>
      <c r="E138" s="197"/>
      <c r="F138" s="55">
        <f>D138+E138</f>
        <v>0</v>
      </c>
      <c r="G138" s="53"/>
      <c r="H138" s="54"/>
      <c r="I138" s="55">
        <f>G138+H138</f>
        <v>0</v>
      </c>
      <c r="J138" s="53">
        <v>549</v>
      </c>
      <c r="K138" s="54"/>
      <c r="L138" s="55">
        <f>K138+J138</f>
        <v>549</v>
      </c>
      <c r="M138" s="53"/>
      <c r="N138" s="54"/>
      <c r="O138" s="55">
        <f>N138+M138</f>
        <v>0</v>
      </c>
      <c r="P138" s="57"/>
    </row>
    <row r="139" spans="1:16" ht="10.5" hidden="1" customHeight="1" x14ac:dyDescent="0.25">
      <c r="A139" s="51">
        <v>2329</v>
      </c>
      <c r="B139" s="89" t="s">
        <v>155</v>
      </c>
      <c r="C139" s="90">
        <f t="shared" si="22"/>
        <v>0</v>
      </c>
      <c r="D139" s="196"/>
      <c r="E139" s="197"/>
      <c r="F139" s="55">
        <f>D139+E139</f>
        <v>0</v>
      </c>
      <c r="G139" s="53"/>
      <c r="H139" s="54"/>
      <c r="I139" s="55">
        <f>G139+H139</f>
        <v>0</v>
      </c>
      <c r="J139" s="53"/>
      <c r="K139" s="54"/>
      <c r="L139" s="55">
        <f>K139+J139</f>
        <v>0</v>
      </c>
      <c r="M139" s="53"/>
      <c r="N139" s="54"/>
      <c r="O139" s="55">
        <f>N139+M139</f>
        <v>0</v>
      </c>
      <c r="P139" s="57"/>
    </row>
    <row r="140" spans="1:16" ht="12" hidden="1" customHeight="1" x14ac:dyDescent="0.25">
      <c r="A140" s="189">
        <v>2330</v>
      </c>
      <c r="B140" s="89" t="s">
        <v>156</v>
      </c>
      <c r="C140" s="90">
        <f t="shared" si="22"/>
        <v>0</v>
      </c>
      <c r="D140" s="196"/>
      <c r="E140" s="197"/>
      <c r="F140" s="55">
        <f>D140+E140</f>
        <v>0</v>
      </c>
      <c r="G140" s="53"/>
      <c r="H140" s="54"/>
      <c r="I140" s="55">
        <f>G140+H140</f>
        <v>0</v>
      </c>
      <c r="J140" s="53"/>
      <c r="K140" s="54"/>
      <c r="L140" s="55">
        <f>K140+J140</f>
        <v>0</v>
      </c>
      <c r="M140" s="53"/>
      <c r="N140" s="54"/>
      <c r="O140" s="55">
        <f>N140+M140</f>
        <v>0</v>
      </c>
      <c r="P140" s="57"/>
    </row>
    <row r="141" spans="1:16" ht="48" x14ac:dyDescent="0.25">
      <c r="A141" s="189">
        <v>2340</v>
      </c>
      <c r="B141" s="89" t="s">
        <v>157</v>
      </c>
      <c r="C141" s="90">
        <f t="shared" si="22"/>
        <v>150</v>
      </c>
      <c r="D141" s="190">
        <f t="shared" ref="D141:O141" si="42">SUM(D142:D143)</f>
        <v>109</v>
      </c>
      <c r="E141" s="191">
        <f t="shared" si="42"/>
        <v>0</v>
      </c>
      <c r="F141" s="55">
        <f t="shared" si="42"/>
        <v>109</v>
      </c>
      <c r="G141" s="190">
        <f t="shared" si="42"/>
        <v>0</v>
      </c>
      <c r="H141" s="191">
        <f t="shared" si="42"/>
        <v>0</v>
      </c>
      <c r="I141" s="55">
        <f t="shared" si="42"/>
        <v>0</v>
      </c>
      <c r="J141" s="190">
        <f t="shared" si="42"/>
        <v>41</v>
      </c>
      <c r="K141" s="191">
        <f t="shared" si="42"/>
        <v>0</v>
      </c>
      <c r="L141" s="55">
        <f t="shared" si="42"/>
        <v>41</v>
      </c>
      <c r="M141" s="190">
        <f t="shared" si="42"/>
        <v>0</v>
      </c>
      <c r="N141" s="191">
        <f t="shared" si="42"/>
        <v>0</v>
      </c>
      <c r="O141" s="55">
        <f t="shared" si="42"/>
        <v>0</v>
      </c>
      <c r="P141" s="57"/>
    </row>
    <row r="142" spans="1:16" ht="12" customHeight="1" x14ac:dyDescent="0.25">
      <c r="A142" s="51">
        <v>2341</v>
      </c>
      <c r="B142" s="89" t="s">
        <v>158</v>
      </c>
      <c r="C142" s="90">
        <f t="shared" si="22"/>
        <v>150</v>
      </c>
      <c r="D142" s="196">
        <v>109</v>
      </c>
      <c r="E142" s="197"/>
      <c r="F142" s="55">
        <f>D142+E142</f>
        <v>109</v>
      </c>
      <c r="G142" s="53"/>
      <c r="H142" s="54"/>
      <c r="I142" s="55">
        <f>G142+H142</f>
        <v>0</v>
      </c>
      <c r="J142" s="53">
        <v>41</v>
      </c>
      <c r="K142" s="54"/>
      <c r="L142" s="55">
        <f>K142+J142</f>
        <v>41</v>
      </c>
      <c r="M142" s="53"/>
      <c r="N142" s="54"/>
      <c r="O142" s="55">
        <f>N142+M142</f>
        <v>0</v>
      </c>
      <c r="P142" s="57"/>
    </row>
    <row r="143" spans="1:16" ht="24" hidden="1" customHeight="1" x14ac:dyDescent="0.25">
      <c r="A143" s="51">
        <v>2344</v>
      </c>
      <c r="B143" s="89" t="s">
        <v>159</v>
      </c>
      <c r="C143" s="90">
        <f t="shared" si="22"/>
        <v>0</v>
      </c>
      <c r="D143" s="196"/>
      <c r="E143" s="197"/>
      <c r="F143" s="55">
        <f>D143+E143</f>
        <v>0</v>
      </c>
      <c r="G143" s="53"/>
      <c r="H143" s="54"/>
      <c r="I143" s="55">
        <f>G143+H143</f>
        <v>0</v>
      </c>
      <c r="J143" s="53"/>
      <c r="K143" s="54"/>
      <c r="L143" s="55">
        <f>K143+J143</f>
        <v>0</v>
      </c>
      <c r="M143" s="53"/>
      <c r="N143" s="54"/>
      <c r="O143" s="55">
        <f>N143+M143</f>
        <v>0</v>
      </c>
      <c r="P143" s="57"/>
    </row>
    <row r="144" spans="1:16" ht="24" x14ac:dyDescent="0.25">
      <c r="A144" s="186">
        <v>2350</v>
      </c>
      <c r="B144" s="138" t="s">
        <v>160</v>
      </c>
      <c r="C144" s="143">
        <f t="shared" si="22"/>
        <v>4719</v>
      </c>
      <c r="D144" s="187">
        <f t="shared" ref="D144:O144" si="43">SUM(D145:D150)</f>
        <v>1800</v>
      </c>
      <c r="E144" s="188">
        <f t="shared" si="43"/>
        <v>0</v>
      </c>
      <c r="F144" s="141">
        <f t="shared" si="43"/>
        <v>1800</v>
      </c>
      <c r="G144" s="187">
        <f t="shared" si="43"/>
        <v>0</v>
      </c>
      <c r="H144" s="188">
        <f t="shared" si="43"/>
        <v>0</v>
      </c>
      <c r="I144" s="141">
        <f t="shared" si="43"/>
        <v>0</v>
      </c>
      <c r="J144" s="187">
        <f t="shared" si="43"/>
        <v>2444</v>
      </c>
      <c r="K144" s="188">
        <f t="shared" si="43"/>
        <v>475</v>
      </c>
      <c r="L144" s="141">
        <f t="shared" si="43"/>
        <v>2919</v>
      </c>
      <c r="M144" s="187">
        <f t="shared" si="43"/>
        <v>0</v>
      </c>
      <c r="N144" s="188">
        <f t="shared" si="43"/>
        <v>0</v>
      </c>
      <c r="O144" s="141">
        <f t="shared" si="43"/>
        <v>0</v>
      </c>
      <c r="P144" s="129"/>
    </row>
    <row r="145" spans="1:16" ht="12" customHeight="1" x14ac:dyDescent="0.25">
      <c r="A145" s="44">
        <v>2351</v>
      </c>
      <c r="B145" s="82" t="s">
        <v>161</v>
      </c>
      <c r="C145" s="83">
        <f t="shared" si="22"/>
        <v>100</v>
      </c>
      <c r="D145" s="199"/>
      <c r="E145" s="200"/>
      <c r="F145" s="134">
        <f t="shared" ref="F145:F150" si="44">D145+E145</f>
        <v>0</v>
      </c>
      <c r="G145" s="46"/>
      <c r="H145" s="47"/>
      <c r="I145" s="134">
        <f t="shared" ref="I145:I150" si="45">G145+H145</f>
        <v>0</v>
      </c>
      <c r="J145" s="46">
        <v>100</v>
      </c>
      <c r="K145" s="47"/>
      <c r="L145" s="134">
        <f t="shared" ref="L145:L150" si="46">K145+J145</f>
        <v>100</v>
      </c>
      <c r="M145" s="46"/>
      <c r="N145" s="47"/>
      <c r="O145" s="134">
        <f t="shared" ref="O145:O150" si="47">N145+M145</f>
        <v>0</v>
      </c>
      <c r="P145" s="49"/>
    </row>
    <row r="146" spans="1:16" ht="23.25" customHeight="1" x14ac:dyDescent="0.25">
      <c r="A146" s="51">
        <v>2352</v>
      </c>
      <c r="B146" s="89" t="s">
        <v>162</v>
      </c>
      <c r="C146" s="90">
        <f t="shared" si="22"/>
        <v>4569</v>
      </c>
      <c r="D146" s="196">
        <v>1800</v>
      </c>
      <c r="E146" s="197"/>
      <c r="F146" s="55">
        <f t="shared" si="44"/>
        <v>1800</v>
      </c>
      <c r="G146" s="53"/>
      <c r="H146" s="54"/>
      <c r="I146" s="55">
        <f t="shared" si="45"/>
        <v>0</v>
      </c>
      <c r="J146" s="53">
        <v>2294</v>
      </c>
      <c r="K146" s="725">
        <v>475</v>
      </c>
      <c r="L146" s="55">
        <f t="shared" si="46"/>
        <v>2769</v>
      </c>
      <c r="M146" s="53"/>
      <c r="N146" s="54"/>
      <c r="O146" s="55">
        <f t="shared" si="47"/>
        <v>0</v>
      </c>
      <c r="P146" s="57" t="s">
        <v>848</v>
      </c>
    </row>
    <row r="147" spans="1:16" ht="24" hidden="1" customHeight="1" x14ac:dyDescent="0.25">
      <c r="A147" s="51">
        <v>2353</v>
      </c>
      <c r="B147" s="89" t="s">
        <v>163</v>
      </c>
      <c r="C147" s="90">
        <f t="shared" si="22"/>
        <v>0</v>
      </c>
      <c r="D147" s="196"/>
      <c r="E147" s="197"/>
      <c r="F147" s="55">
        <f t="shared" si="44"/>
        <v>0</v>
      </c>
      <c r="G147" s="53"/>
      <c r="H147" s="54"/>
      <c r="I147" s="55">
        <f t="shared" si="45"/>
        <v>0</v>
      </c>
      <c r="J147" s="53"/>
      <c r="K147" s="54"/>
      <c r="L147" s="55">
        <f t="shared" si="46"/>
        <v>0</v>
      </c>
      <c r="M147" s="53"/>
      <c r="N147" s="54"/>
      <c r="O147" s="55">
        <f t="shared" si="47"/>
        <v>0</v>
      </c>
      <c r="P147" s="57"/>
    </row>
    <row r="148" spans="1:16" ht="24" hidden="1" customHeight="1" x14ac:dyDescent="0.25">
      <c r="A148" s="51">
        <v>2354</v>
      </c>
      <c r="B148" s="89" t="s">
        <v>164</v>
      </c>
      <c r="C148" s="90">
        <f t="shared" ref="C148:C211" si="48">F148+I148+L148+O148</f>
        <v>0</v>
      </c>
      <c r="D148" s="196"/>
      <c r="E148" s="197"/>
      <c r="F148" s="55">
        <f t="shared" si="44"/>
        <v>0</v>
      </c>
      <c r="G148" s="53"/>
      <c r="H148" s="54"/>
      <c r="I148" s="55">
        <f t="shared" si="45"/>
        <v>0</v>
      </c>
      <c r="J148" s="53"/>
      <c r="K148" s="54"/>
      <c r="L148" s="55">
        <f t="shared" si="46"/>
        <v>0</v>
      </c>
      <c r="M148" s="53"/>
      <c r="N148" s="54"/>
      <c r="O148" s="55">
        <f t="shared" si="47"/>
        <v>0</v>
      </c>
      <c r="P148" s="57"/>
    </row>
    <row r="149" spans="1:16" ht="24" customHeight="1" x14ac:dyDescent="0.25">
      <c r="A149" s="51">
        <v>2355</v>
      </c>
      <c r="B149" s="89" t="s">
        <v>165</v>
      </c>
      <c r="C149" s="90">
        <f t="shared" si="48"/>
        <v>50</v>
      </c>
      <c r="D149" s="196"/>
      <c r="E149" s="197"/>
      <c r="F149" s="55">
        <f t="shared" si="44"/>
        <v>0</v>
      </c>
      <c r="G149" s="53"/>
      <c r="H149" s="54"/>
      <c r="I149" s="55">
        <f t="shared" si="45"/>
        <v>0</v>
      </c>
      <c r="J149" s="53">
        <v>50</v>
      </c>
      <c r="K149" s="349"/>
      <c r="L149" s="55">
        <f t="shared" si="46"/>
        <v>50</v>
      </c>
      <c r="M149" s="53"/>
      <c r="N149" s="54"/>
      <c r="O149" s="55">
        <f t="shared" si="47"/>
        <v>0</v>
      </c>
      <c r="P149" s="57"/>
    </row>
    <row r="150" spans="1:16" ht="24" hidden="1" customHeight="1" x14ac:dyDescent="0.25">
      <c r="A150" s="51">
        <v>2359</v>
      </c>
      <c r="B150" s="89" t="s">
        <v>166</v>
      </c>
      <c r="C150" s="90">
        <f t="shared" si="48"/>
        <v>0</v>
      </c>
      <c r="D150" s="196"/>
      <c r="E150" s="197"/>
      <c r="F150" s="55">
        <f t="shared" si="44"/>
        <v>0</v>
      </c>
      <c r="G150" s="53"/>
      <c r="H150" s="54"/>
      <c r="I150" s="55">
        <f t="shared" si="45"/>
        <v>0</v>
      </c>
      <c r="J150" s="53"/>
      <c r="K150" s="54"/>
      <c r="L150" s="55">
        <f t="shared" si="46"/>
        <v>0</v>
      </c>
      <c r="M150" s="53"/>
      <c r="N150" s="54"/>
      <c r="O150" s="55">
        <f t="shared" si="47"/>
        <v>0</v>
      </c>
      <c r="P150" s="57"/>
    </row>
    <row r="151" spans="1:16" ht="24.75" customHeight="1" x14ac:dyDescent="0.25">
      <c r="A151" s="189">
        <v>2360</v>
      </c>
      <c r="B151" s="89" t="s">
        <v>167</v>
      </c>
      <c r="C151" s="90">
        <f t="shared" si="48"/>
        <v>2185</v>
      </c>
      <c r="D151" s="190">
        <f t="shared" ref="D151:O151" si="49">SUM(D152:D158)</f>
        <v>1645</v>
      </c>
      <c r="E151" s="191">
        <f t="shared" si="49"/>
        <v>0</v>
      </c>
      <c r="F151" s="55">
        <f t="shared" si="49"/>
        <v>1645</v>
      </c>
      <c r="G151" s="190">
        <f t="shared" si="49"/>
        <v>0</v>
      </c>
      <c r="H151" s="191">
        <f t="shared" si="49"/>
        <v>0</v>
      </c>
      <c r="I151" s="55">
        <f t="shared" si="49"/>
        <v>0</v>
      </c>
      <c r="J151" s="190">
        <f t="shared" si="49"/>
        <v>540</v>
      </c>
      <c r="K151" s="191">
        <f t="shared" si="49"/>
        <v>0</v>
      </c>
      <c r="L151" s="55">
        <f t="shared" si="49"/>
        <v>540</v>
      </c>
      <c r="M151" s="190">
        <f t="shared" si="49"/>
        <v>0</v>
      </c>
      <c r="N151" s="191">
        <f t="shared" si="49"/>
        <v>0</v>
      </c>
      <c r="O151" s="55">
        <f t="shared" si="49"/>
        <v>0</v>
      </c>
      <c r="P151" s="57"/>
    </row>
    <row r="152" spans="1:16" ht="12" customHeight="1" x14ac:dyDescent="0.25">
      <c r="A152" s="50">
        <v>2361</v>
      </c>
      <c r="B152" s="89" t="s">
        <v>168</v>
      </c>
      <c r="C152" s="90">
        <f t="shared" si="48"/>
        <v>540</v>
      </c>
      <c r="D152" s="196"/>
      <c r="E152" s="197"/>
      <c r="F152" s="55">
        <f t="shared" ref="F152:F159" si="50">D152+E152</f>
        <v>0</v>
      </c>
      <c r="G152" s="53"/>
      <c r="H152" s="54"/>
      <c r="I152" s="55">
        <f t="shared" ref="I152:I159" si="51">G152+H152</f>
        <v>0</v>
      </c>
      <c r="J152" s="53">
        <v>540</v>
      </c>
      <c r="K152" s="54"/>
      <c r="L152" s="55">
        <f t="shared" ref="L152:L159" si="52">K152+J152</f>
        <v>540</v>
      </c>
      <c r="M152" s="53"/>
      <c r="N152" s="54"/>
      <c r="O152" s="55">
        <f t="shared" ref="O152:O159" si="53">N152+M152</f>
        <v>0</v>
      </c>
      <c r="P152" s="57"/>
    </row>
    <row r="153" spans="1:16" ht="24" hidden="1" customHeight="1" x14ac:dyDescent="0.25">
      <c r="A153" s="50">
        <v>2362</v>
      </c>
      <c r="B153" s="89" t="s">
        <v>169</v>
      </c>
      <c r="C153" s="90">
        <f t="shared" si="48"/>
        <v>0</v>
      </c>
      <c r="D153" s="196"/>
      <c r="E153" s="197"/>
      <c r="F153" s="55">
        <f t="shared" si="50"/>
        <v>0</v>
      </c>
      <c r="G153" s="53"/>
      <c r="H153" s="54"/>
      <c r="I153" s="55">
        <f t="shared" si="51"/>
        <v>0</v>
      </c>
      <c r="J153" s="53"/>
      <c r="K153" s="54"/>
      <c r="L153" s="55">
        <f t="shared" si="52"/>
        <v>0</v>
      </c>
      <c r="M153" s="53"/>
      <c r="N153" s="54"/>
      <c r="O153" s="55">
        <f t="shared" si="53"/>
        <v>0</v>
      </c>
      <c r="P153" s="57"/>
    </row>
    <row r="154" spans="1:16" ht="12" customHeight="1" x14ac:dyDescent="0.25">
      <c r="A154" s="50">
        <v>2363</v>
      </c>
      <c r="B154" s="89" t="s">
        <v>170</v>
      </c>
      <c r="C154" s="90">
        <f t="shared" si="48"/>
        <v>1645</v>
      </c>
      <c r="D154" s="196">
        <v>1645</v>
      </c>
      <c r="E154" s="197"/>
      <c r="F154" s="55">
        <f t="shared" si="50"/>
        <v>1645</v>
      </c>
      <c r="G154" s="53"/>
      <c r="H154" s="54"/>
      <c r="I154" s="55">
        <f t="shared" si="51"/>
        <v>0</v>
      </c>
      <c r="J154" s="53"/>
      <c r="K154" s="54"/>
      <c r="L154" s="55">
        <f t="shared" si="52"/>
        <v>0</v>
      </c>
      <c r="M154" s="53"/>
      <c r="N154" s="54"/>
      <c r="O154" s="55">
        <f t="shared" si="53"/>
        <v>0</v>
      </c>
      <c r="P154" s="57"/>
    </row>
    <row r="155" spans="1:16" ht="12" hidden="1" customHeight="1" x14ac:dyDescent="0.25">
      <c r="A155" s="50">
        <v>2364</v>
      </c>
      <c r="B155" s="89" t="s">
        <v>171</v>
      </c>
      <c r="C155" s="90">
        <f t="shared" si="48"/>
        <v>0</v>
      </c>
      <c r="D155" s="196"/>
      <c r="E155" s="197"/>
      <c r="F155" s="55">
        <f t="shared" si="50"/>
        <v>0</v>
      </c>
      <c r="G155" s="53"/>
      <c r="H155" s="54"/>
      <c r="I155" s="55">
        <f t="shared" si="51"/>
        <v>0</v>
      </c>
      <c r="J155" s="53"/>
      <c r="K155" s="54"/>
      <c r="L155" s="55">
        <f t="shared" si="52"/>
        <v>0</v>
      </c>
      <c r="M155" s="53"/>
      <c r="N155" s="54"/>
      <c r="O155" s="55">
        <f t="shared" si="53"/>
        <v>0</v>
      </c>
      <c r="P155" s="57"/>
    </row>
    <row r="156" spans="1:16" ht="12.75" hidden="1" customHeight="1" x14ac:dyDescent="0.25">
      <c r="A156" s="50">
        <v>2365</v>
      </c>
      <c r="B156" s="89" t="s">
        <v>172</v>
      </c>
      <c r="C156" s="90">
        <f t="shared" si="48"/>
        <v>0</v>
      </c>
      <c r="D156" s="196"/>
      <c r="E156" s="197"/>
      <c r="F156" s="55">
        <f t="shared" si="50"/>
        <v>0</v>
      </c>
      <c r="G156" s="53"/>
      <c r="H156" s="54"/>
      <c r="I156" s="55">
        <f t="shared" si="51"/>
        <v>0</v>
      </c>
      <c r="J156" s="53"/>
      <c r="K156" s="54"/>
      <c r="L156" s="55">
        <f t="shared" si="52"/>
        <v>0</v>
      </c>
      <c r="M156" s="53"/>
      <c r="N156" s="54"/>
      <c r="O156" s="55">
        <f t="shared" si="53"/>
        <v>0</v>
      </c>
      <c r="P156" s="57"/>
    </row>
    <row r="157" spans="1:16" ht="36" hidden="1" customHeight="1" x14ac:dyDescent="0.25">
      <c r="A157" s="50">
        <v>2366</v>
      </c>
      <c r="B157" s="89" t="s">
        <v>173</v>
      </c>
      <c r="C157" s="90">
        <f t="shared" si="48"/>
        <v>0</v>
      </c>
      <c r="D157" s="196"/>
      <c r="E157" s="197"/>
      <c r="F157" s="55">
        <f t="shared" si="50"/>
        <v>0</v>
      </c>
      <c r="G157" s="53"/>
      <c r="H157" s="54"/>
      <c r="I157" s="55">
        <f t="shared" si="51"/>
        <v>0</v>
      </c>
      <c r="J157" s="53"/>
      <c r="K157" s="54"/>
      <c r="L157" s="55">
        <f t="shared" si="52"/>
        <v>0</v>
      </c>
      <c r="M157" s="53"/>
      <c r="N157" s="54"/>
      <c r="O157" s="55">
        <f t="shared" si="53"/>
        <v>0</v>
      </c>
      <c r="P157" s="57"/>
    </row>
    <row r="158" spans="1:16" ht="48" hidden="1" customHeight="1" x14ac:dyDescent="0.25">
      <c r="A158" s="50">
        <v>2369</v>
      </c>
      <c r="B158" s="89" t="s">
        <v>174</v>
      </c>
      <c r="C158" s="90">
        <f t="shared" si="48"/>
        <v>0</v>
      </c>
      <c r="D158" s="196"/>
      <c r="E158" s="197"/>
      <c r="F158" s="55">
        <f t="shared" si="50"/>
        <v>0</v>
      </c>
      <c r="G158" s="53"/>
      <c r="H158" s="54"/>
      <c r="I158" s="55">
        <f t="shared" si="51"/>
        <v>0</v>
      </c>
      <c r="J158" s="53"/>
      <c r="K158" s="54"/>
      <c r="L158" s="55">
        <f t="shared" si="52"/>
        <v>0</v>
      </c>
      <c r="M158" s="53"/>
      <c r="N158" s="54"/>
      <c r="O158" s="55">
        <f t="shared" si="53"/>
        <v>0</v>
      </c>
      <c r="P158" s="57"/>
    </row>
    <row r="159" spans="1:16" ht="12" customHeight="1" x14ac:dyDescent="0.25">
      <c r="A159" s="186">
        <v>2370</v>
      </c>
      <c r="B159" s="138" t="s">
        <v>175</v>
      </c>
      <c r="C159" s="143">
        <f t="shared" si="48"/>
        <v>2235</v>
      </c>
      <c r="D159" s="203">
        <v>1705</v>
      </c>
      <c r="E159" s="204"/>
      <c r="F159" s="141">
        <f t="shared" si="50"/>
        <v>1705</v>
      </c>
      <c r="G159" s="144"/>
      <c r="H159" s="145"/>
      <c r="I159" s="141">
        <f t="shared" si="51"/>
        <v>0</v>
      </c>
      <c r="J159" s="144">
        <v>500</v>
      </c>
      <c r="K159" s="145"/>
      <c r="L159" s="141">
        <f t="shared" si="52"/>
        <v>500</v>
      </c>
      <c r="M159" s="144">
        <v>30</v>
      </c>
      <c r="N159" s="145"/>
      <c r="O159" s="141">
        <f t="shared" si="53"/>
        <v>30</v>
      </c>
      <c r="P159" s="129"/>
    </row>
    <row r="160" spans="1:16" hidden="1" x14ac:dyDescent="0.25">
      <c r="A160" s="186">
        <v>2380</v>
      </c>
      <c r="B160" s="138" t="s">
        <v>176</v>
      </c>
      <c r="C160" s="143">
        <f t="shared" si="48"/>
        <v>0</v>
      </c>
      <c r="D160" s="187">
        <f t="shared" ref="D160:O160" si="54">SUM(D161:D162)</f>
        <v>0</v>
      </c>
      <c r="E160" s="188">
        <f t="shared" si="54"/>
        <v>0</v>
      </c>
      <c r="F160" s="141">
        <f t="shared" si="54"/>
        <v>0</v>
      </c>
      <c r="G160" s="187">
        <f t="shared" si="54"/>
        <v>0</v>
      </c>
      <c r="H160" s="188">
        <f t="shared" si="54"/>
        <v>0</v>
      </c>
      <c r="I160" s="141">
        <f t="shared" si="54"/>
        <v>0</v>
      </c>
      <c r="J160" s="187">
        <f t="shared" si="54"/>
        <v>0</v>
      </c>
      <c r="K160" s="188">
        <f t="shared" si="54"/>
        <v>0</v>
      </c>
      <c r="L160" s="141">
        <f t="shared" si="54"/>
        <v>0</v>
      </c>
      <c r="M160" s="187">
        <f t="shared" si="54"/>
        <v>0</v>
      </c>
      <c r="N160" s="188">
        <f t="shared" si="54"/>
        <v>0</v>
      </c>
      <c r="O160" s="141">
        <f t="shared" si="54"/>
        <v>0</v>
      </c>
      <c r="P160" s="129"/>
    </row>
    <row r="161" spans="1:16" ht="12" hidden="1" customHeight="1" x14ac:dyDescent="0.25">
      <c r="A161" s="43">
        <v>2381</v>
      </c>
      <c r="B161" s="82" t="s">
        <v>177</v>
      </c>
      <c r="C161" s="83">
        <f t="shared" si="48"/>
        <v>0</v>
      </c>
      <c r="D161" s="199"/>
      <c r="E161" s="200"/>
      <c r="F161" s="134">
        <f>D161+E161</f>
        <v>0</v>
      </c>
      <c r="G161" s="46"/>
      <c r="H161" s="47"/>
      <c r="I161" s="134">
        <f>G161+H161</f>
        <v>0</v>
      </c>
      <c r="J161" s="46"/>
      <c r="K161" s="47"/>
      <c r="L161" s="134">
        <f>K161+J161</f>
        <v>0</v>
      </c>
      <c r="M161" s="46"/>
      <c r="N161" s="47"/>
      <c r="O161" s="134">
        <f>N161+M161</f>
        <v>0</v>
      </c>
      <c r="P161" s="49"/>
    </row>
    <row r="162" spans="1:16" ht="24" hidden="1" customHeight="1" x14ac:dyDescent="0.25">
      <c r="A162" s="50">
        <v>2389</v>
      </c>
      <c r="B162" s="89" t="s">
        <v>178</v>
      </c>
      <c r="C162" s="90">
        <f t="shared" si="48"/>
        <v>0</v>
      </c>
      <c r="D162" s="196"/>
      <c r="E162" s="197"/>
      <c r="F162" s="55">
        <f>D162+E162</f>
        <v>0</v>
      </c>
      <c r="G162" s="53"/>
      <c r="H162" s="54"/>
      <c r="I162" s="55">
        <f>G162+H162</f>
        <v>0</v>
      </c>
      <c r="J162" s="53"/>
      <c r="K162" s="54"/>
      <c r="L162" s="55">
        <f>K162+J162</f>
        <v>0</v>
      </c>
      <c r="M162" s="53"/>
      <c r="N162" s="54"/>
      <c r="O162" s="55">
        <f>N162+M162</f>
        <v>0</v>
      </c>
      <c r="P162" s="57"/>
    </row>
    <row r="163" spans="1:16" ht="12" hidden="1" customHeight="1" x14ac:dyDescent="0.25">
      <c r="A163" s="186">
        <v>2390</v>
      </c>
      <c r="B163" s="138" t="s">
        <v>179</v>
      </c>
      <c r="C163" s="143">
        <f t="shared" si="48"/>
        <v>0</v>
      </c>
      <c r="D163" s="203"/>
      <c r="E163" s="204"/>
      <c r="F163" s="141">
        <f>D163+E163</f>
        <v>0</v>
      </c>
      <c r="G163" s="144"/>
      <c r="H163" s="145"/>
      <c r="I163" s="141">
        <f>G163+H163</f>
        <v>0</v>
      </c>
      <c r="J163" s="144"/>
      <c r="K163" s="145"/>
      <c r="L163" s="141">
        <f>K163+J163</f>
        <v>0</v>
      </c>
      <c r="M163" s="144"/>
      <c r="N163" s="145"/>
      <c r="O163" s="141">
        <f>N163+M163</f>
        <v>0</v>
      </c>
      <c r="P163" s="129"/>
    </row>
    <row r="164" spans="1:16" ht="12" hidden="1" customHeight="1" x14ac:dyDescent="0.25">
      <c r="A164" s="69">
        <v>2400</v>
      </c>
      <c r="B164" s="183" t="s">
        <v>180</v>
      </c>
      <c r="C164" s="70">
        <f t="shared" si="48"/>
        <v>0</v>
      </c>
      <c r="D164" s="205"/>
      <c r="E164" s="206"/>
      <c r="F164" s="73">
        <f>D164+E164</f>
        <v>0</v>
      </c>
      <c r="G164" s="71"/>
      <c r="H164" s="72"/>
      <c r="I164" s="73">
        <f>G164+H164</f>
        <v>0</v>
      </c>
      <c r="J164" s="71"/>
      <c r="K164" s="72"/>
      <c r="L164" s="73">
        <f>K164+J164</f>
        <v>0</v>
      </c>
      <c r="M164" s="71"/>
      <c r="N164" s="72"/>
      <c r="O164" s="73">
        <f>N164+M164</f>
        <v>0</v>
      </c>
      <c r="P164" s="77"/>
    </row>
    <row r="165" spans="1:16" ht="24" hidden="1" x14ac:dyDescent="0.25">
      <c r="A165" s="69">
        <v>2500</v>
      </c>
      <c r="B165" s="183" t="s">
        <v>181</v>
      </c>
      <c r="C165" s="70">
        <f t="shared" si="48"/>
        <v>0</v>
      </c>
      <c r="D165" s="184">
        <f>SUM(D166,D171)</f>
        <v>0</v>
      </c>
      <c r="E165" s="185">
        <f>SUM(E166,E171)</f>
        <v>0</v>
      </c>
      <c r="F165" s="73">
        <f>SUM(F166,F171)</f>
        <v>0</v>
      </c>
      <c r="G165" s="184">
        <f t="shared" ref="G165:M165" si="55">SUM(G166,G171)</f>
        <v>0</v>
      </c>
      <c r="H165" s="185">
        <f>SUM(H166,H171)</f>
        <v>0</v>
      </c>
      <c r="I165" s="73">
        <f>SUM(I166,I171)</f>
        <v>0</v>
      </c>
      <c r="J165" s="184">
        <f t="shared" si="55"/>
        <v>0</v>
      </c>
      <c r="K165" s="185">
        <f>SUM(K166,K171)</f>
        <v>0</v>
      </c>
      <c r="L165" s="73">
        <f>SUM(L166,L171)</f>
        <v>0</v>
      </c>
      <c r="M165" s="184">
        <f t="shared" si="55"/>
        <v>0</v>
      </c>
      <c r="N165" s="185">
        <f>SUM(N166,N171)</f>
        <v>0</v>
      </c>
      <c r="O165" s="73">
        <f>SUM(O166,O171)</f>
        <v>0</v>
      </c>
      <c r="P165" s="77"/>
    </row>
    <row r="166" spans="1:16" ht="16.5" hidden="1" customHeight="1" x14ac:dyDescent="0.25">
      <c r="A166" s="606">
        <v>2510</v>
      </c>
      <c r="B166" s="82" t="s">
        <v>182</v>
      </c>
      <c r="C166" s="83">
        <f t="shared" si="48"/>
        <v>0</v>
      </c>
      <c r="D166" s="194">
        <f>SUM(D167:D170)</f>
        <v>0</v>
      </c>
      <c r="E166" s="195">
        <f>SUM(E167:E170)</f>
        <v>0</v>
      </c>
      <c r="F166" s="134">
        <f>SUM(F167:F170)</f>
        <v>0</v>
      </c>
      <c r="G166" s="194">
        <f t="shared" ref="G166:M166" si="56">SUM(G167:G170)</f>
        <v>0</v>
      </c>
      <c r="H166" s="195">
        <f>SUM(H167:H170)</f>
        <v>0</v>
      </c>
      <c r="I166" s="134">
        <f>SUM(I167:I170)</f>
        <v>0</v>
      </c>
      <c r="J166" s="194">
        <f t="shared" si="56"/>
        <v>0</v>
      </c>
      <c r="K166" s="195">
        <f>SUM(K167:K170)</f>
        <v>0</v>
      </c>
      <c r="L166" s="134">
        <f>SUM(L167:L170)</f>
        <v>0</v>
      </c>
      <c r="M166" s="194">
        <f t="shared" si="56"/>
        <v>0</v>
      </c>
      <c r="N166" s="195">
        <f>SUM(N167:N170)</f>
        <v>0</v>
      </c>
      <c r="O166" s="134">
        <f>SUM(O167:O170)</f>
        <v>0</v>
      </c>
      <c r="P166" s="49"/>
    </row>
    <row r="167" spans="1:16" ht="24" hidden="1" customHeight="1" x14ac:dyDescent="0.25">
      <c r="A167" s="51">
        <v>2512</v>
      </c>
      <c r="B167" s="89" t="s">
        <v>183</v>
      </c>
      <c r="C167" s="90">
        <f t="shared" si="48"/>
        <v>0</v>
      </c>
      <c r="D167" s="196"/>
      <c r="E167" s="197"/>
      <c r="F167" s="55">
        <f t="shared" ref="F167:F172" si="57">D167+E167</f>
        <v>0</v>
      </c>
      <c r="G167" s="53"/>
      <c r="H167" s="54"/>
      <c r="I167" s="55">
        <f t="shared" ref="I167:I172" si="58">G167+H167</f>
        <v>0</v>
      </c>
      <c r="J167" s="53"/>
      <c r="K167" s="54"/>
      <c r="L167" s="55">
        <f t="shared" ref="L167:L172" si="59">K167+J167</f>
        <v>0</v>
      </c>
      <c r="M167" s="53"/>
      <c r="N167" s="54"/>
      <c r="O167" s="55">
        <f t="shared" ref="O167:O172" si="60">N167+M167</f>
        <v>0</v>
      </c>
      <c r="P167" s="57"/>
    </row>
    <row r="168" spans="1:16" ht="36" hidden="1" customHeight="1" x14ac:dyDescent="0.25">
      <c r="A168" s="51">
        <v>2513</v>
      </c>
      <c r="B168" s="89" t="s">
        <v>184</v>
      </c>
      <c r="C168" s="90">
        <f t="shared" si="48"/>
        <v>0</v>
      </c>
      <c r="D168" s="196"/>
      <c r="E168" s="197"/>
      <c r="F168" s="55">
        <f t="shared" si="57"/>
        <v>0</v>
      </c>
      <c r="G168" s="53"/>
      <c r="H168" s="54"/>
      <c r="I168" s="55">
        <f t="shared" si="58"/>
        <v>0</v>
      </c>
      <c r="J168" s="53"/>
      <c r="K168" s="54"/>
      <c r="L168" s="55">
        <f t="shared" si="59"/>
        <v>0</v>
      </c>
      <c r="M168" s="53"/>
      <c r="N168" s="54"/>
      <c r="O168" s="55">
        <f t="shared" si="60"/>
        <v>0</v>
      </c>
      <c r="P168" s="57"/>
    </row>
    <row r="169" spans="1:16" ht="24" hidden="1" customHeight="1" x14ac:dyDescent="0.25">
      <c r="A169" s="51">
        <v>2515</v>
      </c>
      <c r="B169" s="89" t="s">
        <v>185</v>
      </c>
      <c r="C169" s="90">
        <f t="shared" si="48"/>
        <v>0</v>
      </c>
      <c r="D169" s="196"/>
      <c r="E169" s="197"/>
      <c r="F169" s="55">
        <f t="shared" si="57"/>
        <v>0</v>
      </c>
      <c r="G169" s="53"/>
      <c r="H169" s="54"/>
      <c r="I169" s="55">
        <f t="shared" si="58"/>
        <v>0</v>
      </c>
      <c r="J169" s="53"/>
      <c r="K169" s="54"/>
      <c r="L169" s="55">
        <f t="shared" si="59"/>
        <v>0</v>
      </c>
      <c r="M169" s="53"/>
      <c r="N169" s="54"/>
      <c r="O169" s="55">
        <f t="shared" si="60"/>
        <v>0</v>
      </c>
      <c r="P169" s="57"/>
    </row>
    <row r="170" spans="1:16" ht="24" hidden="1" customHeight="1" x14ac:dyDescent="0.25">
      <c r="A170" s="51">
        <v>2519</v>
      </c>
      <c r="B170" s="89" t="s">
        <v>186</v>
      </c>
      <c r="C170" s="90">
        <f t="shared" si="48"/>
        <v>0</v>
      </c>
      <c r="D170" s="196"/>
      <c r="E170" s="197"/>
      <c r="F170" s="55">
        <f t="shared" si="57"/>
        <v>0</v>
      </c>
      <c r="G170" s="53"/>
      <c r="H170" s="54"/>
      <c r="I170" s="55">
        <f t="shared" si="58"/>
        <v>0</v>
      </c>
      <c r="J170" s="53"/>
      <c r="K170" s="54"/>
      <c r="L170" s="55">
        <f t="shared" si="59"/>
        <v>0</v>
      </c>
      <c r="M170" s="53"/>
      <c r="N170" s="54"/>
      <c r="O170" s="55">
        <f t="shared" si="60"/>
        <v>0</v>
      </c>
      <c r="P170" s="57"/>
    </row>
    <row r="171" spans="1:16" ht="24" hidden="1" customHeight="1" x14ac:dyDescent="0.25">
      <c r="A171" s="189">
        <v>2520</v>
      </c>
      <c r="B171" s="89" t="s">
        <v>187</v>
      </c>
      <c r="C171" s="90">
        <f t="shared" si="48"/>
        <v>0</v>
      </c>
      <c r="D171" s="196"/>
      <c r="E171" s="197"/>
      <c r="F171" s="55">
        <f t="shared" si="57"/>
        <v>0</v>
      </c>
      <c r="G171" s="53"/>
      <c r="H171" s="54"/>
      <c r="I171" s="55">
        <f t="shared" si="58"/>
        <v>0</v>
      </c>
      <c r="J171" s="53"/>
      <c r="K171" s="54"/>
      <c r="L171" s="55">
        <f t="shared" si="59"/>
        <v>0</v>
      </c>
      <c r="M171" s="53"/>
      <c r="N171" s="54"/>
      <c r="O171" s="55">
        <f t="shared" si="60"/>
        <v>0</v>
      </c>
      <c r="P171" s="57"/>
    </row>
    <row r="172" spans="1:16" s="207" customFormat="1" ht="36" hidden="1" customHeight="1" x14ac:dyDescent="0.25">
      <c r="A172" s="23">
        <v>2800</v>
      </c>
      <c r="B172" s="82" t="s">
        <v>188</v>
      </c>
      <c r="C172" s="83">
        <f t="shared" si="48"/>
        <v>0</v>
      </c>
      <c r="D172" s="46"/>
      <c r="E172" s="47"/>
      <c r="F172" s="134">
        <f t="shared" si="57"/>
        <v>0</v>
      </c>
      <c r="G172" s="46"/>
      <c r="H172" s="47"/>
      <c r="I172" s="134">
        <f t="shared" si="58"/>
        <v>0</v>
      </c>
      <c r="J172" s="46"/>
      <c r="K172" s="47"/>
      <c r="L172" s="134">
        <f t="shared" si="59"/>
        <v>0</v>
      </c>
      <c r="M172" s="46"/>
      <c r="N172" s="47"/>
      <c r="O172" s="134">
        <f t="shared" si="60"/>
        <v>0</v>
      </c>
      <c r="P172" s="49"/>
    </row>
    <row r="173" spans="1:16" hidden="1" x14ac:dyDescent="0.25">
      <c r="A173" s="177">
        <v>3000</v>
      </c>
      <c r="B173" s="177" t="s">
        <v>189</v>
      </c>
      <c r="C173" s="178">
        <f t="shared" si="48"/>
        <v>0</v>
      </c>
      <c r="D173" s="179">
        <f t="shared" ref="D173:O173" si="61">SUM(D174,D184)</f>
        <v>0</v>
      </c>
      <c r="E173" s="180">
        <f t="shared" si="61"/>
        <v>0</v>
      </c>
      <c r="F173" s="181">
        <f t="shared" si="61"/>
        <v>0</v>
      </c>
      <c r="G173" s="179">
        <f t="shared" si="61"/>
        <v>0</v>
      </c>
      <c r="H173" s="180">
        <f t="shared" si="61"/>
        <v>0</v>
      </c>
      <c r="I173" s="181">
        <f t="shared" si="61"/>
        <v>0</v>
      </c>
      <c r="J173" s="179">
        <f t="shared" si="61"/>
        <v>0</v>
      </c>
      <c r="K173" s="180">
        <f t="shared" si="61"/>
        <v>0</v>
      </c>
      <c r="L173" s="181">
        <f t="shared" si="61"/>
        <v>0</v>
      </c>
      <c r="M173" s="179">
        <f t="shared" si="61"/>
        <v>0</v>
      </c>
      <c r="N173" s="180">
        <f t="shared" si="61"/>
        <v>0</v>
      </c>
      <c r="O173" s="181">
        <f t="shared" si="61"/>
        <v>0</v>
      </c>
      <c r="P173" s="182"/>
    </row>
    <row r="174" spans="1:16" ht="24" hidden="1" x14ac:dyDescent="0.25">
      <c r="A174" s="69">
        <v>3200</v>
      </c>
      <c r="B174" s="208" t="s">
        <v>190</v>
      </c>
      <c r="C174" s="70">
        <f t="shared" si="48"/>
        <v>0</v>
      </c>
      <c r="D174" s="184">
        <f>SUM(D175,D179)</f>
        <v>0</v>
      </c>
      <c r="E174" s="185">
        <f>SUM(E175,E179)</f>
        <v>0</v>
      </c>
      <c r="F174" s="73">
        <f>SUM(F175,F179)</f>
        <v>0</v>
      </c>
      <c r="G174" s="184">
        <f t="shared" ref="G174:M174" si="62">SUM(G175,G179)</f>
        <v>0</v>
      </c>
      <c r="H174" s="185">
        <f>SUM(H175,H179)</f>
        <v>0</v>
      </c>
      <c r="I174" s="73">
        <f>SUM(I175,I179)</f>
        <v>0</v>
      </c>
      <c r="J174" s="184">
        <f t="shared" si="62"/>
        <v>0</v>
      </c>
      <c r="K174" s="185">
        <f>SUM(K175,K179)</f>
        <v>0</v>
      </c>
      <c r="L174" s="73">
        <f>SUM(L175,L179)</f>
        <v>0</v>
      </c>
      <c r="M174" s="184">
        <f t="shared" si="62"/>
        <v>0</v>
      </c>
      <c r="N174" s="185">
        <f>SUM(N175,N179)</f>
        <v>0</v>
      </c>
      <c r="O174" s="73">
        <f>SUM(O175,O179)</f>
        <v>0</v>
      </c>
      <c r="P174" s="77"/>
    </row>
    <row r="175" spans="1:16" ht="36" hidden="1" x14ac:dyDescent="0.25">
      <c r="A175" s="606">
        <v>3260</v>
      </c>
      <c r="B175" s="82" t="s">
        <v>191</v>
      </c>
      <c r="C175" s="83">
        <f t="shared" si="48"/>
        <v>0</v>
      </c>
      <c r="D175" s="194">
        <f t="shared" ref="D175:O175" si="63">SUM(D176:D178)</f>
        <v>0</v>
      </c>
      <c r="E175" s="195">
        <f t="shared" si="63"/>
        <v>0</v>
      </c>
      <c r="F175" s="134">
        <f t="shared" si="63"/>
        <v>0</v>
      </c>
      <c r="G175" s="194">
        <f t="shared" si="63"/>
        <v>0</v>
      </c>
      <c r="H175" s="195">
        <f t="shared" si="63"/>
        <v>0</v>
      </c>
      <c r="I175" s="134">
        <f t="shared" si="63"/>
        <v>0</v>
      </c>
      <c r="J175" s="194">
        <f t="shared" si="63"/>
        <v>0</v>
      </c>
      <c r="K175" s="195">
        <f t="shared" si="63"/>
        <v>0</v>
      </c>
      <c r="L175" s="134">
        <f t="shared" si="63"/>
        <v>0</v>
      </c>
      <c r="M175" s="194">
        <f t="shared" si="63"/>
        <v>0</v>
      </c>
      <c r="N175" s="195">
        <f t="shared" si="63"/>
        <v>0</v>
      </c>
      <c r="O175" s="134">
        <f t="shared" si="63"/>
        <v>0</v>
      </c>
      <c r="P175" s="49"/>
    </row>
    <row r="176" spans="1:16" ht="24" hidden="1" customHeight="1" x14ac:dyDescent="0.25">
      <c r="A176" s="51">
        <v>3261</v>
      </c>
      <c r="B176" s="89" t="s">
        <v>192</v>
      </c>
      <c r="C176" s="90">
        <f t="shared" si="48"/>
        <v>0</v>
      </c>
      <c r="D176" s="196"/>
      <c r="E176" s="197"/>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9" t="s">
        <v>193</v>
      </c>
      <c r="C177" s="90">
        <f t="shared" si="48"/>
        <v>0</v>
      </c>
      <c r="D177" s="196"/>
      <c r="E177" s="197"/>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9" t="s">
        <v>194</v>
      </c>
      <c r="C178" s="90">
        <f t="shared" si="48"/>
        <v>0</v>
      </c>
      <c r="D178" s="196"/>
      <c r="E178" s="197"/>
      <c r="F178" s="55">
        <f>D178+E178</f>
        <v>0</v>
      </c>
      <c r="G178" s="53"/>
      <c r="H178" s="54"/>
      <c r="I178" s="55">
        <f>G178+H178</f>
        <v>0</v>
      </c>
      <c r="J178" s="53"/>
      <c r="K178" s="54"/>
      <c r="L178" s="55">
        <f>K178+J178</f>
        <v>0</v>
      </c>
      <c r="M178" s="53"/>
      <c r="N178" s="54"/>
      <c r="O178" s="55">
        <f>N178+M178</f>
        <v>0</v>
      </c>
      <c r="P178" s="57"/>
    </row>
    <row r="179" spans="1:16" ht="84" hidden="1" x14ac:dyDescent="0.25">
      <c r="A179" s="606">
        <v>3290</v>
      </c>
      <c r="B179" s="82" t="s">
        <v>195</v>
      </c>
      <c r="C179" s="209">
        <f t="shared" si="48"/>
        <v>0</v>
      </c>
      <c r="D179" s="194">
        <f>SUM(D180:D183)</f>
        <v>0</v>
      </c>
      <c r="E179" s="195">
        <f>SUM(E180:E183)</f>
        <v>0</v>
      </c>
      <c r="F179" s="134">
        <f>SUM(F180:F183)</f>
        <v>0</v>
      </c>
      <c r="G179" s="194">
        <f t="shared" ref="G179:M179" si="64">SUM(G180:G183)</f>
        <v>0</v>
      </c>
      <c r="H179" s="195">
        <f>SUM(H180:H183)</f>
        <v>0</v>
      </c>
      <c r="I179" s="134">
        <f>SUM(I180:I183)</f>
        <v>0</v>
      </c>
      <c r="J179" s="194">
        <f t="shared" si="64"/>
        <v>0</v>
      </c>
      <c r="K179" s="195">
        <f>SUM(K180:K183)</f>
        <v>0</v>
      </c>
      <c r="L179" s="134">
        <f>SUM(L180:L183)</f>
        <v>0</v>
      </c>
      <c r="M179" s="194">
        <f t="shared" si="64"/>
        <v>0</v>
      </c>
      <c r="N179" s="195">
        <f>SUM(N180:N183)</f>
        <v>0</v>
      </c>
      <c r="O179" s="134">
        <f>SUM(O180:O183)</f>
        <v>0</v>
      </c>
      <c r="P179" s="49"/>
    </row>
    <row r="180" spans="1:16" ht="72" hidden="1" customHeight="1" x14ac:dyDescent="0.25">
      <c r="A180" s="51">
        <v>3291</v>
      </c>
      <c r="B180" s="89" t="s">
        <v>196</v>
      </c>
      <c r="C180" s="90">
        <f t="shared" si="48"/>
        <v>0</v>
      </c>
      <c r="D180" s="196"/>
      <c r="E180" s="197"/>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9" t="s">
        <v>197</v>
      </c>
      <c r="C181" s="90">
        <f t="shared" si="48"/>
        <v>0</v>
      </c>
      <c r="D181" s="196"/>
      <c r="E181" s="197"/>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9" t="s">
        <v>198</v>
      </c>
      <c r="C182" s="90">
        <f t="shared" si="48"/>
        <v>0</v>
      </c>
      <c r="D182" s="196"/>
      <c r="E182" s="197"/>
      <c r="F182" s="55">
        <f>D182+E182</f>
        <v>0</v>
      </c>
      <c r="G182" s="53"/>
      <c r="H182" s="54"/>
      <c r="I182" s="55">
        <f>G182+H182</f>
        <v>0</v>
      </c>
      <c r="J182" s="53"/>
      <c r="K182" s="54"/>
      <c r="L182" s="55">
        <f>K182+J182</f>
        <v>0</v>
      </c>
      <c r="M182" s="53"/>
      <c r="N182" s="54"/>
      <c r="O182" s="55">
        <f>N182+M182</f>
        <v>0</v>
      </c>
      <c r="P182" s="57"/>
    </row>
    <row r="183" spans="1:16" ht="60" hidden="1" customHeight="1" x14ac:dyDescent="0.25">
      <c r="A183" s="210">
        <v>3294</v>
      </c>
      <c r="B183" s="89" t="s">
        <v>199</v>
      </c>
      <c r="C183" s="209">
        <f t="shared" si="48"/>
        <v>0</v>
      </c>
      <c r="D183" s="211"/>
      <c r="E183" s="212"/>
      <c r="F183" s="213">
        <f>D183+E183</f>
        <v>0</v>
      </c>
      <c r="G183" s="214"/>
      <c r="H183" s="215"/>
      <c r="I183" s="213">
        <f>G183+H183</f>
        <v>0</v>
      </c>
      <c r="J183" s="214"/>
      <c r="K183" s="215"/>
      <c r="L183" s="213">
        <f>K183+J183</f>
        <v>0</v>
      </c>
      <c r="M183" s="214"/>
      <c r="N183" s="215"/>
      <c r="O183" s="213">
        <f>N183+M183</f>
        <v>0</v>
      </c>
      <c r="P183" s="216"/>
    </row>
    <row r="184" spans="1:16" ht="48" hidden="1" x14ac:dyDescent="0.25">
      <c r="A184" s="217">
        <v>3300</v>
      </c>
      <c r="B184" s="208" t="s">
        <v>200</v>
      </c>
      <c r="C184" s="218">
        <f t="shared" si="48"/>
        <v>0</v>
      </c>
      <c r="D184" s="219">
        <f>SUM(D185:D186)</f>
        <v>0</v>
      </c>
      <c r="E184" s="220">
        <f>SUM(E185:E186)</f>
        <v>0</v>
      </c>
      <c r="F184" s="221">
        <f>SUM(F185:F186)</f>
        <v>0</v>
      </c>
      <c r="G184" s="219">
        <f t="shared" ref="G184:M184" si="65">SUM(G185:G186)</f>
        <v>0</v>
      </c>
      <c r="H184" s="220">
        <f>SUM(H185:H186)</f>
        <v>0</v>
      </c>
      <c r="I184" s="221">
        <f>SUM(I185:I186)</f>
        <v>0</v>
      </c>
      <c r="J184" s="219">
        <f t="shared" si="65"/>
        <v>0</v>
      </c>
      <c r="K184" s="220">
        <f>SUM(K185:K186)</f>
        <v>0</v>
      </c>
      <c r="L184" s="221">
        <f>SUM(L185:L186)</f>
        <v>0</v>
      </c>
      <c r="M184" s="219">
        <f t="shared" si="65"/>
        <v>0</v>
      </c>
      <c r="N184" s="220">
        <f>SUM(N185:N186)</f>
        <v>0</v>
      </c>
      <c r="O184" s="221">
        <f>SUM(O185:O186)</f>
        <v>0</v>
      </c>
      <c r="P184" s="222"/>
    </row>
    <row r="185" spans="1:16" ht="48" hidden="1" customHeight="1" x14ac:dyDescent="0.25">
      <c r="A185" s="137">
        <v>3310</v>
      </c>
      <c r="B185" s="138" t="s">
        <v>201</v>
      </c>
      <c r="C185" s="143">
        <f t="shared" si="48"/>
        <v>0</v>
      </c>
      <c r="D185" s="203"/>
      <c r="E185" s="204"/>
      <c r="F185" s="141">
        <f>D185+E185</f>
        <v>0</v>
      </c>
      <c r="G185" s="144"/>
      <c r="H185" s="145"/>
      <c r="I185" s="141">
        <f>G185+H185</f>
        <v>0</v>
      </c>
      <c r="J185" s="144"/>
      <c r="K185" s="145"/>
      <c r="L185" s="141">
        <f>K185+J185</f>
        <v>0</v>
      </c>
      <c r="M185" s="144"/>
      <c r="N185" s="145"/>
      <c r="O185" s="141">
        <f>N185+M185</f>
        <v>0</v>
      </c>
      <c r="P185" s="129"/>
    </row>
    <row r="186" spans="1:16" ht="48.75" hidden="1" customHeight="1" x14ac:dyDescent="0.25">
      <c r="A186" s="44">
        <v>3320</v>
      </c>
      <c r="B186" s="82" t="s">
        <v>202</v>
      </c>
      <c r="C186" s="83">
        <f t="shared" si="48"/>
        <v>0</v>
      </c>
      <c r="D186" s="199"/>
      <c r="E186" s="200"/>
      <c r="F186" s="134">
        <f>D186+E186</f>
        <v>0</v>
      </c>
      <c r="G186" s="46"/>
      <c r="H186" s="47"/>
      <c r="I186" s="134">
        <f>G186+H186</f>
        <v>0</v>
      </c>
      <c r="J186" s="46"/>
      <c r="K186" s="47"/>
      <c r="L186" s="134">
        <f>K186+J186</f>
        <v>0</v>
      </c>
      <c r="M186" s="46"/>
      <c r="N186" s="47"/>
      <c r="O186" s="134">
        <f>N186+M186</f>
        <v>0</v>
      </c>
      <c r="P186" s="49"/>
    </row>
    <row r="187" spans="1:16" hidden="1" x14ac:dyDescent="0.25">
      <c r="A187" s="223">
        <v>4000</v>
      </c>
      <c r="B187" s="177" t="s">
        <v>203</v>
      </c>
      <c r="C187" s="178">
        <f t="shared" si="48"/>
        <v>0</v>
      </c>
      <c r="D187" s="179">
        <f t="shared" ref="D187:O187" si="66">SUM(D188,D191)</f>
        <v>0</v>
      </c>
      <c r="E187" s="180">
        <f t="shared" si="66"/>
        <v>0</v>
      </c>
      <c r="F187" s="181">
        <f t="shared" si="66"/>
        <v>0</v>
      </c>
      <c r="G187" s="179">
        <f t="shared" si="66"/>
        <v>0</v>
      </c>
      <c r="H187" s="180">
        <f t="shared" si="66"/>
        <v>0</v>
      </c>
      <c r="I187" s="181">
        <f t="shared" si="66"/>
        <v>0</v>
      </c>
      <c r="J187" s="179">
        <f t="shared" si="66"/>
        <v>0</v>
      </c>
      <c r="K187" s="180">
        <f t="shared" si="66"/>
        <v>0</v>
      </c>
      <c r="L187" s="181">
        <f t="shared" si="66"/>
        <v>0</v>
      </c>
      <c r="M187" s="179">
        <f t="shared" si="66"/>
        <v>0</v>
      </c>
      <c r="N187" s="180">
        <f t="shared" si="66"/>
        <v>0</v>
      </c>
      <c r="O187" s="181">
        <f t="shared" si="66"/>
        <v>0</v>
      </c>
      <c r="P187" s="182"/>
    </row>
    <row r="188" spans="1:16" ht="24" hidden="1" x14ac:dyDescent="0.25">
      <c r="A188" s="224">
        <v>4200</v>
      </c>
      <c r="B188" s="183" t="s">
        <v>204</v>
      </c>
      <c r="C188" s="70">
        <f t="shared" si="48"/>
        <v>0</v>
      </c>
      <c r="D188" s="184">
        <f t="shared" ref="D188:O188" si="67">SUM(D189,D190)</f>
        <v>0</v>
      </c>
      <c r="E188" s="185">
        <f t="shared" si="67"/>
        <v>0</v>
      </c>
      <c r="F188" s="73">
        <f t="shared" si="67"/>
        <v>0</v>
      </c>
      <c r="G188" s="184">
        <f t="shared" si="67"/>
        <v>0</v>
      </c>
      <c r="H188" s="185">
        <f t="shared" si="67"/>
        <v>0</v>
      </c>
      <c r="I188" s="73">
        <f t="shared" si="67"/>
        <v>0</v>
      </c>
      <c r="J188" s="184">
        <f t="shared" si="67"/>
        <v>0</v>
      </c>
      <c r="K188" s="185">
        <f t="shared" si="67"/>
        <v>0</v>
      </c>
      <c r="L188" s="73">
        <f t="shared" si="67"/>
        <v>0</v>
      </c>
      <c r="M188" s="184">
        <f t="shared" si="67"/>
        <v>0</v>
      </c>
      <c r="N188" s="185">
        <f t="shared" si="67"/>
        <v>0</v>
      </c>
      <c r="O188" s="73">
        <f t="shared" si="67"/>
        <v>0</v>
      </c>
      <c r="P188" s="77"/>
    </row>
    <row r="189" spans="1:16" ht="36" hidden="1" customHeight="1" x14ac:dyDescent="0.25">
      <c r="A189" s="606">
        <v>4240</v>
      </c>
      <c r="B189" s="82" t="s">
        <v>205</v>
      </c>
      <c r="C189" s="83">
        <f t="shared" si="48"/>
        <v>0</v>
      </c>
      <c r="D189" s="199"/>
      <c r="E189" s="200"/>
      <c r="F189" s="134">
        <f>D189+E189</f>
        <v>0</v>
      </c>
      <c r="G189" s="46"/>
      <c r="H189" s="47"/>
      <c r="I189" s="134">
        <f>G189+H189</f>
        <v>0</v>
      </c>
      <c r="J189" s="46"/>
      <c r="K189" s="47"/>
      <c r="L189" s="134">
        <f>K189+J189</f>
        <v>0</v>
      </c>
      <c r="M189" s="46"/>
      <c r="N189" s="47"/>
      <c r="O189" s="134">
        <f>N189+M189</f>
        <v>0</v>
      </c>
      <c r="P189" s="49"/>
    </row>
    <row r="190" spans="1:16" ht="24" hidden="1" customHeight="1" x14ac:dyDescent="0.25">
      <c r="A190" s="189">
        <v>4250</v>
      </c>
      <c r="B190" s="89" t="s">
        <v>206</v>
      </c>
      <c r="C190" s="90">
        <f t="shared" si="48"/>
        <v>0</v>
      </c>
      <c r="D190" s="196"/>
      <c r="E190" s="197"/>
      <c r="F190" s="55">
        <f>D190+E190</f>
        <v>0</v>
      </c>
      <c r="G190" s="53"/>
      <c r="H190" s="54"/>
      <c r="I190" s="55">
        <f>G190+H190</f>
        <v>0</v>
      </c>
      <c r="J190" s="53"/>
      <c r="K190" s="54"/>
      <c r="L190" s="55">
        <f>K190+J190</f>
        <v>0</v>
      </c>
      <c r="M190" s="53"/>
      <c r="N190" s="54"/>
      <c r="O190" s="55">
        <f>N190+M190</f>
        <v>0</v>
      </c>
      <c r="P190" s="57"/>
    </row>
    <row r="191" spans="1:16" hidden="1" x14ac:dyDescent="0.25">
      <c r="A191" s="69">
        <v>4300</v>
      </c>
      <c r="B191" s="183" t="s">
        <v>207</v>
      </c>
      <c r="C191" s="70">
        <f t="shared" si="48"/>
        <v>0</v>
      </c>
      <c r="D191" s="184">
        <f t="shared" ref="D191:O191" si="68">SUM(D192)</f>
        <v>0</v>
      </c>
      <c r="E191" s="185">
        <f t="shared" si="68"/>
        <v>0</v>
      </c>
      <c r="F191" s="73">
        <f t="shared" si="68"/>
        <v>0</v>
      </c>
      <c r="G191" s="184">
        <f t="shared" si="68"/>
        <v>0</v>
      </c>
      <c r="H191" s="185">
        <f t="shared" si="68"/>
        <v>0</v>
      </c>
      <c r="I191" s="73">
        <f t="shared" si="68"/>
        <v>0</v>
      </c>
      <c r="J191" s="184">
        <f t="shared" si="68"/>
        <v>0</v>
      </c>
      <c r="K191" s="185">
        <f t="shared" si="68"/>
        <v>0</v>
      </c>
      <c r="L191" s="73">
        <f t="shared" si="68"/>
        <v>0</v>
      </c>
      <c r="M191" s="184">
        <f t="shared" si="68"/>
        <v>0</v>
      </c>
      <c r="N191" s="185">
        <f t="shared" si="68"/>
        <v>0</v>
      </c>
      <c r="O191" s="73">
        <f t="shared" si="68"/>
        <v>0</v>
      </c>
      <c r="P191" s="77"/>
    </row>
    <row r="192" spans="1:16" ht="24" hidden="1" x14ac:dyDescent="0.25">
      <c r="A192" s="606">
        <v>4310</v>
      </c>
      <c r="B192" s="82" t="s">
        <v>208</v>
      </c>
      <c r="C192" s="83">
        <f t="shared" si="48"/>
        <v>0</v>
      </c>
      <c r="D192" s="194">
        <f t="shared" ref="D192:O192" si="69">SUM(D193:D193)</f>
        <v>0</v>
      </c>
      <c r="E192" s="195">
        <f t="shared" si="69"/>
        <v>0</v>
      </c>
      <c r="F192" s="134">
        <f t="shared" si="69"/>
        <v>0</v>
      </c>
      <c r="G192" s="194">
        <f t="shared" si="69"/>
        <v>0</v>
      </c>
      <c r="H192" s="195">
        <f t="shared" si="69"/>
        <v>0</v>
      </c>
      <c r="I192" s="134">
        <f t="shared" si="69"/>
        <v>0</v>
      </c>
      <c r="J192" s="194">
        <f t="shared" si="69"/>
        <v>0</v>
      </c>
      <c r="K192" s="195">
        <f t="shared" si="69"/>
        <v>0</v>
      </c>
      <c r="L192" s="134">
        <f t="shared" si="69"/>
        <v>0</v>
      </c>
      <c r="M192" s="194">
        <f t="shared" si="69"/>
        <v>0</v>
      </c>
      <c r="N192" s="195">
        <f t="shared" si="69"/>
        <v>0</v>
      </c>
      <c r="O192" s="134">
        <f t="shared" si="69"/>
        <v>0</v>
      </c>
      <c r="P192" s="49"/>
    </row>
    <row r="193" spans="1:16" ht="36" hidden="1" customHeight="1" x14ac:dyDescent="0.25">
      <c r="A193" s="51">
        <v>4311</v>
      </c>
      <c r="B193" s="89" t="s">
        <v>209</v>
      </c>
      <c r="C193" s="90">
        <f t="shared" si="48"/>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48"/>
        <v>105993</v>
      </c>
      <c r="D194" s="173">
        <f t="shared" ref="D194:O194" si="70">SUM(D195,D230,D269,D283)</f>
        <v>80681</v>
      </c>
      <c r="E194" s="174">
        <f t="shared" si="70"/>
        <v>0</v>
      </c>
      <c r="F194" s="175">
        <f t="shared" si="70"/>
        <v>80681</v>
      </c>
      <c r="G194" s="173">
        <f t="shared" si="70"/>
        <v>0</v>
      </c>
      <c r="H194" s="174">
        <f t="shared" si="70"/>
        <v>0</v>
      </c>
      <c r="I194" s="175">
        <f t="shared" si="70"/>
        <v>0</v>
      </c>
      <c r="J194" s="173">
        <f t="shared" si="70"/>
        <v>14570</v>
      </c>
      <c r="K194" s="174">
        <f t="shared" si="70"/>
        <v>10742</v>
      </c>
      <c r="L194" s="175">
        <f t="shared" si="70"/>
        <v>25312</v>
      </c>
      <c r="M194" s="173">
        <f t="shared" si="70"/>
        <v>0</v>
      </c>
      <c r="N194" s="174">
        <f t="shared" si="70"/>
        <v>0</v>
      </c>
      <c r="O194" s="175">
        <f t="shared" si="70"/>
        <v>0</v>
      </c>
      <c r="P194" s="176"/>
    </row>
    <row r="195" spans="1:16" x14ac:dyDescent="0.25">
      <c r="A195" s="177">
        <v>5000</v>
      </c>
      <c r="B195" s="177" t="s">
        <v>211</v>
      </c>
      <c r="C195" s="178">
        <f t="shared" si="48"/>
        <v>105993</v>
      </c>
      <c r="D195" s="179">
        <f t="shared" ref="D195:O195" si="71">D196+D204</f>
        <v>80681</v>
      </c>
      <c r="E195" s="180">
        <f t="shared" si="71"/>
        <v>0</v>
      </c>
      <c r="F195" s="181">
        <f t="shared" si="71"/>
        <v>80681</v>
      </c>
      <c r="G195" s="179">
        <f t="shared" si="71"/>
        <v>0</v>
      </c>
      <c r="H195" s="180">
        <f t="shared" si="71"/>
        <v>0</v>
      </c>
      <c r="I195" s="181">
        <f t="shared" si="71"/>
        <v>0</v>
      </c>
      <c r="J195" s="179">
        <f t="shared" si="71"/>
        <v>14570</v>
      </c>
      <c r="K195" s="180">
        <f t="shared" si="71"/>
        <v>10742</v>
      </c>
      <c r="L195" s="181">
        <f t="shared" si="71"/>
        <v>25312</v>
      </c>
      <c r="M195" s="179">
        <f t="shared" si="71"/>
        <v>0</v>
      </c>
      <c r="N195" s="180">
        <f t="shared" si="71"/>
        <v>0</v>
      </c>
      <c r="O195" s="181">
        <f t="shared" si="71"/>
        <v>0</v>
      </c>
      <c r="P195" s="182"/>
    </row>
    <row r="196" spans="1:16" x14ac:dyDescent="0.25">
      <c r="A196" s="69">
        <v>5100</v>
      </c>
      <c r="B196" s="183" t="s">
        <v>212</v>
      </c>
      <c r="C196" s="70">
        <f t="shared" si="48"/>
        <v>60</v>
      </c>
      <c r="D196" s="184">
        <f t="shared" ref="D196:O196" si="72">D197+D198+D201+D202+D203</f>
        <v>0</v>
      </c>
      <c r="E196" s="185">
        <f t="shared" si="72"/>
        <v>0</v>
      </c>
      <c r="F196" s="73">
        <f t="shared" si="72"/>
        <v>0</v>
      </c>
      <c r="G196" s="184">
        <f t="shared" si="72"/>
        <v>0</v>
      </c>
      <c r="H196" s="185">
        <f t="shared" si="72"/>
        <v>0</v>
      </c>
      <c r="I196" s="73">
        <f t="shared" si="72"/>
        <v>0</v>
      </c>
      <c r="J196" s="184">
        <f t="shared" si="72"/>
        <v>0</v>
      </c>
      <c r="K196" s="185">
        <f t="shared" si="72"/>
        <v>60</v>
      </c>
      <c r="L196" s="73">
        <f t="shared" si="72"/>
        <v>60</v>
      </c>
      <c r="M196" s="184">
        <f t="shared" si="72"/>
        <v>0</v>
      </c>
      <c r="N196" s="185">
        <f t="shared" si="72"/>
        <v>0</v>
      </c>
      <c r="O196" s="73">
        <f t="shared" si="72"/>
        <v>0</v>
      </c>
      <c r="P196" s="77"/>
    </row>
    <row r="197" spans="1:16" ht="12" hidden="1" customHeight="1" x14ac:dyDescent="0.25">
      <c r="A197" s="606">
        <v>5110</v>
      </c>
      <c r="B197" s="82" t="s">
        <v>213</v>
      </c>
      <c r="C197" s="83">
        <f t="shared" si="48"/>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48"/>
        <v>60</v>
      </c>
      <c r="D198" s="190">
        <f t="shared" ref="D198:O198" si="73">D199+D200</f>
        <v>0</v>
      </c>
      <c r="E198" s="191">
        <f t="shared" si="73"/>
        <v>0</v>
      </c>
      <c r="F198" s="55">
        <f t="shared" si="73"/>
        <v>0</v>
      </c>
      <c r="G198" s="190">
        <f t="shared" si="73"/>
        <v>0</v>
      </c>
      <c r="H198" s="191">
        <f t="shared" si="73"/>
        <v>0</v>
      </c>
      <c r="I198" s="55">
        <f t="shared" si="73"/>
        <v>0</v>
      </c>
      <c r="J198" s="190">
        <f t="shared" si="73"/>
        <v>0</v>
      </c>
      <c r="K198" s="191">
        <f t="shared" si="73"/>
        <v>60</v>
      </c>
      <c r="L198" s="55">
        <f t="shared" si="73"/>
        <v>60</v>
      </c>
      <c r="M198" s="190">
        <f t="shared" si="73"/>
        <v>0</v>
      </c>
      <c r="N198" s="191">
        <f t="shared" si="73"/>
        <v>0</v>
      </c>
      <c r="O198" s="55">
        <f t="shared" si="73"/>
        <v>0</v>
      </c>
      <c r="P198" s="57"/>
    </row>
    <row r="199" spans="1:16" ht="24" customHeight="1" x14ac:dyDescent="0.25">
      <c r="A199" s="51">
        <v>5121</v>
      </c>
      <c r="B199" s="89" t="s">
        <v>215</v>
      </c>
      <c r="C199" s="90">
        <f t="shared" si="48"/>
        <v>60</v>
      </c>
      <c r="D199" s="196"/>
      <c r="E199" s="197"/>
      <c r="F199" s="55">
        <f>D199+E199</f>
        <v>0</v>
      </c>
      <c r="G199" s="53"/>
      <c r="H199" s="54"/>
      <c r="I199" s="55">
        <f>G199+H199</f>
        <v>0</v>
      </c>
      <c r="J199" s="53"/>
      <c r="K199" s="725">
        <v>60</v>
      </c>
      <c r="L199" s="55">
        <f>K199+J199</f>
        <v>60</v>
      </c>
      <c r="M199" s="53"/>
      <c r="N199" s="54"/>
      <c r="O199" s="55">
        <f>N199+M199</f>
        <v>0</v>
      </c>
      <c r="P199" s="57" t="s">
        <v>849</v>
      </c>
    </row>
    <row r="200" spans="1:16" ht="24" hidden="1" customHeight="1" x14ac:dyDescent="0.25">
      <c r="A200" s="51">
        <v>5129</v>
      </c>
      <c r="B200" s="89" t="s">
        <v>216</v>
      </c>
      <c r="C200" s="90">
        <f t="shared" si="48"/>
        <v>0</v>
      </c>
      <c r="D200" s="196"/>
      <c r="E200" s="197"/>
      <c r="F200" s="55">
        <f>D200+E200</f>
        <v>0</v>
      </c>
      <c r="G200" s="53"/>
      <c r="H200" s="54"/>
      <c r="I200" s="55">
        <f>G200+H200</f>
        <v>0</v>
      </c>
      <c r="J200" s="53"/>
      <c r="K200" s="54"/>
      <c r="L200" s="55">
        <f>K200+J200</f>
        <v>0</v>
      </c>
      <c r="M200" s="53"/>
      <c r="N200" s="54"/>
      <c r="O200" s="55">
        <f>N200+M200</f>
        <v>0</v>
      </c>
      <c r="P200" s="57"/>
    </row>
    <row r="201" spans="1:16" ht="12" hidden="1" customHeight="1" x14ac:dyDescent="0.25">
      <c r="A201" s="189">
        <v>5130</v>
      </c>
      <c r="B201" s="89" t="s">
        <v>217</v>
      </c>
      <c r="C201" s="90">
        <f t="shared" si="48"/>
        <v>0</v>
      </c>
      <c r="D201" s="196"/>
      <c r="E201" s="197"/>
      <c r="F201" s="55">
        <f>D201+E201</f>
        <v>0</v>
      </c>
      <c r="G201" s="53"/>
      <c r="H201" s="54"/>
      <c r="I201" s="55">
        <f>G201+H201</f>
        <v>0</v>
      </c>
      <c r="J201" s="53"/>
      <c r="K201" s="54"/>
      <c r="L201" s="55">
        <f>K201+J201</f>
        <v>0</v>
      </c>
      <c r="M201" s="53"/>
      <c r="N201" s="54"/>
      <c r="O201" s="55">
        <f>N201+M201</f>
        <v>0</v>
      </c>
      <c r="P201" s="57"/>
    </row>
    <row r="202" spans="1:16" ht="12" hidden="1" customHeight="1" x14ac:dyDescent="0.25">
      <c r="A202" s="189">
        <v>5140</v>
      </c>
      <c r="B202" s="89" t="s">
        <v>218</v>
      </c>
      <c r="C202" s="90">
        <f t="shared" si="48"/>
        <v>0</v>
      </c>
      <c r="D202" s="196"/>
      <c r="E202" s="197"/>
      <c r="F202" s="55">
        <f>D202+E202</f>
        <v>0</v>
      </c>
      <c r="G202" s="53"/>
      <c r="H202" s="54"/>
      <c r="I202" s="55">
        <f>G202+H202</f>
        <v>0</v>
      </c>
      <c r="J202" s="53"/>
      <c r="K202" s="54"/>
      <c r="L202" s="55">
        <f>K202+J202</f>
        <v>0</v>
      </c>
      <c r="M202" s="53"/>
      <c r="N202" s="54"/>
      <c r="O202" s="55">
        <f>N202+M202</f>
        <v>0</v>
      </c>
      <c r="P202" s="57"/>
    </row>
    <row r="203" spans="1:16" ht="24" hidden="1" customHeight="1" x14ac:dyDescent="0.25">
      <c r="A203" s="189">
        <v>5170</v>
      </c>
      <c r="B203" s="89" t="s">
        <v>219</v>
      </c>
      <c r="C203" s="90">
        <f t="shared" si="48"/>
        <v>0</v>
      </c>
      <c r="D203" s="196"/>
      <c r="E203" s="197"/>
      <c r="F203" s="55">
        <f>D203+E203</f>
        <v>0</v>
      </c>
      <c r="G203" s="53"/>
      <c r="H203" s="54"/>
      <c r="I203" s="55">
        <f>G203+H203</f>
        <v>0</v>
      </c>
      <c r="J203" s="53"/>
      <c r="K203" s="54"/>
      <c r="L203" s="55">
        <f>K203+J203</f>
        <v>0</v>
      </c>
      <c r="M203" s="53"/>
      <c r="N203" s="54"/>
      <c r="O203" s="55">
        <f>N203+M203</f>
        <v>0</v>
      </c>
      <c r="P203" s="57"/>
    </row>
    <row r="204" spans="1:16" x14ac:dyDescent="0.25">
      <c r="A204" s="69">
        <v>5200</v>
      </c>
      <c r="B204" s="183" t="s">
        <v>220</v>
      </c>
      <c r="C204" s="70">
        <f t="shared" si="48"/>
        <v>105933</v>
      </c>
      <c r="D204" s="184">
        <f t="shared" ref="D204:O204" si="74">D205+D215+D216+D225+D226+D227+D229</f>
        <v>80681</v>
      </c>
      <c r="E204" s="185">
        <f t="shared" si="74"/>
        <v>0</v>
      </c>
      <c r="F204" s="73">
        <f t="shared" si="74"/>
        <v>80681</v>
      </c>
      <c r="G204" s="184">
        <f t="shared" si="74"/>
        <v>0</v>
      </c>
      <c r="H204" s="185">
        <f t="shared" si="74"/>
        <v>0</v>
      </c>
      <c r="I204" s="73">
        <f t="shared" si="74"/>
        <v>0</v>
      </c>
      <c r="J204" s="184">
        <f t="shared" si="74"/>
        <v>14570</v>
      </c>
      <c r="K204" s="185">
        <f t="shared" si="74"/>
        <v>10682</v>
      </c>
      <c r="L204" s="73">
        <f t="shared" si="74"/>
        <v>25252</v>
      </c>
      <c r="M204" s="184">
        <f t="shared" si="74"/>
        <v>0</v>
      </c>
      <c r="N204" s="185">
        <f t="shared" si="74"/>
        <v>0</v>
      </c>
      <c r="O204" s="73">
        <f t="shared" si="74"/>
        <v>0</v>
      </c>
      <c r="P204" s="77"/>
    </row>
    <row r="205" spans="1:16" hidden="1" x14ac:dyDescent="0.25">
      <c r="A205" s="186">
        <v>5210</v>
      </c>
      <c r="B205" s="138" t="s">
        <v>221</v>
      </c>
      <c r="C205" s="143">
        <f t="shared" si="48"/>
        <v>0</v>
      </c>
      <c r="D205" s="187">
        <f t="shared" ref="D205:O205" si="75">SUM(D206:D214)</f>
        <v>0</v>
      </c>
      <c r="E205" s="188">
        <f t="shared" si="75"/>
        <v>0</v>
      </c>
      <c r="F205" s="141">
        <f t="shared" si="75"/>
        <v>0</v>
      </c>
      <c r="G205" s="187">
        <f t="shared" si="75"/>
        <v>0</v>
      </c>
      <c r="H205" s="188">
        <f t="shared" si="75"/>
        <v>0</v>
      </c>
      <c r="I205" s="141">
        <f t="shared" si="75"/>
        <v>0</v>
      </c>
      <c r="J205" s="187">
        <f t="shared" si="75"/>
        <v>0</v>
      </c>
      <c r="K205" s="188">
        <f t="shared" si="75"/>
        <v>0</v>
      </c>
      <c r="L205" s="141">
        <f t="shared" si="75"/>
        <v>0</v>
      </c>
      <c r="M205" s="187">
        <f t="shared" si="75"/>
        <v>0</v>
      </c>
      <c r="N205" s="188">
        <f t="shared" si="75"/>
        <v>0</v>
      </c>
      <c r="O205" s="141">
        <f t="shared" si="75"/>
        <v>0</v>
      </c>
      <c r="P205" s="129"/>
    </row>
    <row r="206" spans="1:16" ht="12" hidden="1" customHeight="1" x14ac:dyDescent="0.25">
      <c r="A206" s="44">
        <v>5211</v>
      </c>
      <c r="B206" s="82" t="s">
        <v>222</v>
      </c>
      <c r="C206" s="83">
        <f t="shared" si="48"/>
        <v>0</v>
      </c>
      <c r="D206" s="199"/>
      <c r="E206" s="200"/>
      <c r="F206" s="134">
        <f t="shared" ref="F206:F215" si="76">D206+E206</f>
        <v>0</v>
      </c>
      <c r="G206" s="46"/>
      <c r="H206" s="47"/>
      <c r="I206" s="134">
        <f t="shared" ref="I206:I215" si="77">G206+H206</f>
        <v>0</v>
      </c>
      <c r="J206" s="46"/>
      <c r="K206" s="47"/>
      <c r="L206" s="134">
        <f t="shared" ref="L206:L215" si="78">K206+J206</f>
        <v>0</v>
      </c>
      <c r="M206" s="46"/>
      <c r="N206" s="47"/>
      <c r="O206" s="134">
        <f t="shared" ref="O206:O215" si="79">N206+M206</f>
        <v>0</v>
      </c>
      <c r="P206" s="49"/>
    </row>
    <row r="207" spans="1:16" ht="12" hidden="1" customHeight="1" x14ac:dyDescent="0.25">
      <c r="A207" s="51">
        <v>5212</v>
      </c>
      <c r="B207" s="89" t="s">
        <v>223</v>
      </c>
      <c r="C207" s="90">
        <f t="shared" si="48"/>
        <v>0</v>
      </c>
      <c r="D207" s="196"/>
      <c r="E207" s="197"/>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9" t="s">
        <v>224</v>
      </c>
      <c r="C208" s="90">
        <f t="shared" si="48"/>
        <v>0</v>
      </c>
      <c r="D208" s="196"/>
      <c r="E208" s="197"/>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9" t="s">
        <v>225</v>
      </c>
      <c r="C209" s="90">
        <f t="shared" si="48"/>
        <v>0</v>
      </c>
      <c r="D209" s="196"/>
      <c r="E209" s="197"/>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9" t="s">
        <v>226</v>
      </c>
      <c r="C210" s="90">
        <f t="shared" si="48"/>
        <v>0</v>
      </c>
      <c r="D210" s="196"/>
      <c r="E210" s="197"/>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9" t="s">
        <v>227</v>
      </c>
      <c r="C211" s="90">
        <f t="shared" si="48"/>
        <v>0</v>
      </c>
      <c r="D211" s="196"/>
      <c r="E211" s="197"/>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9" t="s">
        <v>228</v>
      </c>
      <c r="C212" s="90">
        <f t="shared" ref="C212:C275" si="80">F212+I212+L212+O212</f>
        <v>0</v>
      </c>
      <c r="D212" s="196"/>
      <c r="E212" s="197"/>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9" t="s">
        <v>229</v>
      </c>
      <c r="C213" s="90">
        <f t="shared" si="80"/>
        <v>0</v>
      </c>
      <c r="D213" s="196"/>
      <c r="E213" s="197"/>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9" t="s">
        <v>230</v>
      </c>
      <c r="C214" s="90">
        <f t="shared" si="80"/>
        <v>0</v>
      </c>
      <c r="D214" s="196"/>
      <c r="E214" s="197"/>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9">
        <v>5220</v>
      </c>
      <c r="B215" s="89" t="s">
        <v>231</v>
      </c>
      <c r="C215" s="90">
        <f t="shared" si="80"/>
        <v>0</v>
      </c>
      <c r="D215" s="196"/>
      <c r="E215" s="197"/>
      <c r="F215" s="55">
        <f t="shared" si="76"/>
        <v>0</v>
      </c>
      <c r="G215" s="53"/>
      <c r="H215" s="54"/>
      <c r="I215" s="55">
        <f t="shared" si="77"/>
        <v>0</v>
      </c>
      <c r="J215" s="53"/>
      <c r="K215" s="54"/>
      <c r="L215" s="55">
        <f t="shared" si="78"/>
        <v>0</v>
      </c>
      <c r="M215" s="53"/>
      <c r="N215" s="54"/>
      <c r="O215" s="55">
        <f t="shared" si="79"/>
        <v>0</v>
      </c>
      <c r="P215" s="57"/>
    </row>
    <row r="216" spans="1:16" x14ac:dyDescent="0.25">
      <c r="A216" s="189">
        <v>5230</v>
      </c>
      <c r="B216" s="89" t="s">
        <v>232</v>
      </c>
      <c r="C216" s="90">
        <f t="shared" si="80"/>
        <v>105933</v>
      </c>
      <c r="D216" s="190">
        <f t="shared" ref="D216:O216" si="81">SUM(D217:D224)</f>
        <v>80681</v>
      </c>
      <c r="E216" s="191">
        <f t="shared" si="81"/>
        <v>0</v>
      </c>
      <c r="F216" s="55">
        <f t="shared" si="81"/>
        <v>80681</v>
      </c>
      <c r="G216" s="190">
        <f t="shared" si="81"/>
        <v>0</v>
      </c>
      <c r="H216" s="191">
        <f t="shared" si="81"/>
        <v>0</v>
      </c>
      <c r="I216" s="55">
        <f t="shared" si="81"/>
        <v>0</v>
      </c>
      <c r="J216" s="190">
        <f t="shared" si="81"/>
        <v>14570</v>
      </c>
      <c r="K216" s="191">
        <f t="shared" si="81"/>
        <v>10682</v>
      </c>
      <c r="L216" s="55">
        <f t="shared" si="81"/>
        <v>25252</v>
      </c>
      <c r="M216" s="190">
        <f t="shared" si="81"/>
        <v>0</v>
      </c>
      <c r="N216" s="191">
        <f t="shared" si="81"/>
        <v>0</v>
      </c>
      <c r="O216" s="55">
        <f t="shared" si="81"/>
        <v>0</v>
      </c>
      <c r="P216" s="57"/>
    </row>
    <row r="217" spans="1:16" ht="12" hidden="1" customHeight="1" x14ac:dyDescent="0.25">
      <c r="A217" s="51">
        <v>5231</v>
      </c>
      <c r="B217" s="89" t="s">
        <v>233</v>
      </c>
      <c r="C217" s="90">
        <f t="shared" si="80"/>
        <v>0</v>
      </c>
      <c r="D217" s="196"/>
      <c r="E217" s="197"/>
      <c r="F217" s="55">
        <f t="shared" ref="F217:F226" si="82">D217+E217</f>
        <v>0</v>
      </c>
      <c r="G217" s="53"/>
      <c r="H217" s="54"/>
      <c r="I217" s="55">
        <f t="shared" ref="I217:I226" si="83">G217+H217</f>
        <v>0</v>
      </c>
      <c r="J217" s="53"/>
      <c r="K217" s="54"/>
      <c r="L217" s="55">
        <f t="shared" ref="L217:L226" si="84">K217+J217</f>
        <v>0</v>
      </c>
      <c r="M217" s="53"/>
      <c r="N217" s="54"/>
      <c r="O217" s="55">
        <f t="shared" ref="O217:O226" si="85">N217+M217</f>
        <v>0</v>
      </c>
      <c r="P217" s="57"/>
    </row>
    <row r="218" spans="1:16" ht="12" hidden="1" customHeight="1" x14ac:dyDescent="0.25">
      <c r="A218" s="51">
        <v>5232</v>
      </c>
      <c r="B218" s="89" t="s">
        <v>234</v>
      </c>
      <c r="C218" s="90">
        <f t="shared" si="80"/>
        <v>0</v>
      </c>
      <c r="D218" s="196"/>
      <c r="E218" s="197"/>
      <c r="F218" s="55">
        <f t="shared" si="82"/>
        <v>0</v>
      </c>
      <c r="G218" s="53"/>
      <c r="H218" s="54"/>
      <c r="I218" s="55">
        <f t="shared" si="83"/>
        <v>0</v>
      </c>
      <c r="J218" s="53"/>
      <c r="K218" s="54"/>
      <c r="L218" s="55">
        <f t="shared" si="84"/>
        <v>0</v>
      </c>
      <c r="M218" s="53"/>
      <c r="N218" s="54"/>
      <c r="O218" s="55">
        <f t="shared" si="85"/>
        <v>0</v>
      </c>
      <c r="P218" s="57"/>
    </row>
    <row r="219" spans="1:16" ht="12" customHeight="1" x14ac:dyDescent="0.25">
      <c r="A219" s="51">
        <v>5233</v>
      </c>
      <c r="B219" s="89" t="s">
        <v>235</v>
      </c>
      <c r="C219" s="90">
        <f t="shared" si="80"/>
        <v>400</v>
      </c>
      <c r="D219" s="196"/>
      <c r="E219" s="197"/>
      <c r="F219" s="55">
        <f t="shared" si="82"/>
        <v>0</v>
      </c>
      <c r="G219" s="53"/>
      <c r="H219" s="54"/>
      <c r="I219" s="55">
        <f t="shared" si="83"/>
        <v>0</v>
      </c>
      <c r="J219" s="53">
        <v>400</v>
      </c>
      <c r="K219" s="54"/>
      <c r="L219" s="55">
        <f t="shared" si="84"/>
        <v>400</v>
      </c>
      <c r="M219" s="53"/>
      <c r="N219" s="54"/>
      <c r="O219" s="55">
        <f t="shared" si="85"/>
        <v>0</v>
      </c>
      <c r="P219" s="57"/>
    </row>
    <row r="220" spans="1:16" ht="24" hidden="1" customHeight="1" x14ac:dyDescent="0.25">
      <c r="A220" s="51">
        <v>5234</v>
      </c>
      <c r="B220" s="89" t="s">
        <v>236</v>
      </c>
      <c r="C220" s="90">
        <f t="shared" si="80"/>
        <v>0</v>
      </c>
      <c r="D220" s="196"/>
      <c r="E220" s="197"/>
      <c r="F220" s="55">
        <f t="shared" si="82"/>
        <v>0</v>
      </c>
      <c r="G220" s="53"/>
      <c r="H220" s="54"/>
      <c r="I220" s="55">
        <f t="shared" si="83"/>
        <v>0</v>
      </c>
      <c r="J220" s="53"/>
      <c r="K220" s="54"/>
      <c r="L220" s="55">
        <f t="shared" si="84"/>
        <v>0</v>
      </c>
      <c r="M220" s="53"/>
      <c r="N220" s="54"/>
      <c r="O220" s="55">
        <f t="shared" si="85"/>
        <v>0</v>
      </c>
      <c r="P220" s="57"/>
    </row>
    <row r="221" spans="1:16" ht="14.25" hidden="1" customHeight="1" x14ac:dyDescent="0.25">
      <c r="A221" s="51">
        <v>5236</v>
      </c>
      <c r="B221" s="89" t="s">
        <v>237</v>
      </c>
      <c r="C221" s="90">
        <f t="shared" si="80"/>
        <v>0</v>
      </c>
      <c r="D221" s="196"/>
      <c r="E221" s="197"/>
      <c r="F221" s="55">
        <f t="shared" si="82"/>
        <v>0</v>
      </c>
      <c r="G221" s="53"/>
      <c r="H221" s="54"/>
      <c r="I221" s="55">
        <f t="shared" si="83"/>
        <v>0</v>
      </c>
      <c r="J221" s="53"/>
      <c r="K221" s="54"/>
      <c r="L221" s="55">
        <f t="shared" si="84"/>
        <v>0</v>
      </c>
      <c r="M221" s="53"/>
      <c r="N221" s="54"/>
      <c r="O221" s="55">
        <f t="shared" si="85"/>
        <v>0</v>
      </c>
      <c r="P221" s="57"/>
    </row>
    <row r="222" spans="1:16" ht="14.25" hidden="1" customHeight="1" x14ac:dyDescent="0.25">
      <c r="A222" s="51">
        <v>5237</v>
      </c>
      <c r="B222" s="89" t="s">
        <v>238</v>
      </c>
      <c r="C222" s="90">
        <f t="shared" si="80"/>
        <v>0</v>
      </c>
      <c r="D222" s="196"/>
      <c r="E222" s="197"/>
      <c r="F222" s="55">
        <f t="shared" si="82"/>
        <v>0</v>
      </c>
      <c r="G222" s="53"/>
      <c r="H222" s="54"/>
      <c r="I222" s="55">
        <f t="shared" si="83"/>
        <v>0</v>
      </c>
      <c r="J222" s="53"/>
      <c r="K222" s="54"/>
      <c r="L222" s="55">
        <f t="shared" si="84"/>
        <v>0</v>
      </c>
      <c r="M222" s="53"/>
      <c r="N222" s="54"/>
      <c r="O222" s="55">
        <f t="shared" si="85"/>
        <v>0</v>
      </c>
      <c r="P222" s="57"/>
    </row>
    <row r="223" spans="1:16" ht="27.75" customHeight="1" x14ac:dyDescent="0.25">
      <c r="A223" s="51">
        <v>5238</v>
      </c>
      <c r="B223" s="89" t="s">
        <v>239</v>
      </c>
      <c r="C223" s="90">
        <f t="shared" si="80"/>
        <v>21482</v>
      </c>
      <c r="D223" s="196">
        <v>11400</v>
      </c>
      <c r="E223" s="197"/>
      <c r="F223" s="55">
        <f t="shared" si="82"/>
        <v>11400</v>
      </c>
      <c r="G223" s="53"/>
      <c r="H223" s="54"/>
      <c r="I223" s="55">
        <f t="shared" si="83"/>
        <v>0</v>
      </c>
      <c r="J223" s="53"/>
      <c r="K223" s="725">
        <v>10082</v>
      </c>
      <c r="L223" s="55">
        <f t="shared" si="84"/>
        <v>10082</v>
      </c>
      <c r="M223" s="53"/>
      <c r="N223" s="54"/>
      <c r="O223" s="55">
        <f t="shared" si="85"/>
        <v>0</v>
      </c>
      <c r="P223" s="57" t="s">
        <v>850</v>
      </c>
    </row>
    <row r="224" spans="1:16" ht="27.75" customHeight="1" x14ac:dyDescent="0.25">
      <c r="A224" s="51">
        <v>5239</v>
      </c>
      <c r="B224" s="89" t="s">
        <v>240</v>
      </c>
      <c r="C224" s="90">
        <f t="shared" si="80"/>
        <v>84051</v>
      </c>
      <c r="D224" s="196">
        <v>69281</v>
      </c>
      <c r="E224" s="197"/>
      <c r="F224" s="55">
        <f t="shared" si="82"/>
        <v>69281</v>
      </c>
      <c r="G224" s="53"/>
      <c r="H224" s="54"/>
      <c r="I224" s="55">
        <f t="shared" si="83"/>
        <v>0</v>
      </c>
      <c r="J224" s="53">
        <v>14170</v>
      </c>
      <c r="K224" s="725">
        <v>600</v>
      </c>
      <c r="L224" s="55">
        <f t="shared" si="84"/>
        <v>14770</v>
      </c>
      <c r="M224" s="53"/>
      <c r="N224" s="54"/>
      <c r="O224" s="55">
        <f t="shared" si="85"/>
        <v>0</v>
      </c>
      <c r="P224" s="57" t="s">
        <v>851</v>
      </c>
    </row>
    <row r="225" spans="1:16" ht="24" hidden="1" customHeight="1" x14ac:dyDescent="0.25">
      <c r="A225" s="189">
        <v>5240</v>
      </c>
      <c r="B225" s="89" t="s">
        <v>241</v>
      </c>
      <c r="C225" s="90">
        <f t="shared" si="80"/>
        <v>0</v>
      </c>
      <c r="D225" s="196"/>
      <c r="E225" s="197"/>
      <c r="F225" s="55">
        <f t="shared" si="82"/>
        <v>0</v>
      </c>
      <c r="G225" s="53"/>
      <c r="H225" s="54"/>
      <c r="I225" s="55">
        <f t="shared" si="83"/>
        <v>0</v>
      </c>
      <c r="J225" s="53"/>
      <c r="K225" s="54"/>
      <c r="L225" s="55">
        <f t="shared" si="84"/>
        <v>0</v>
      </c>
      <c r="M225" s="53"/>
      <c r="N225" s="54"/>
      <c r="O225" s="55">
        <f t="shared" si="85"/>
        <v>0</v>
      </c>
      <c r="P225" s="57"/>
    </row>
    <row r="226" spans="1:16" ht="12" hidden="1" customHeight="1" x14ac:dyDescent="0.25">
      <c r="A226" s="189">
        <v>5250</v>
      </c>
      <c r="B226" s="89" t="s">
        <v>242</v>
      </c>
      <c r="C226" s="90">
        <f t="shared" si="80"/>
        <v>0</v>
      </c>
      <c r="D226" s="196"/>
      <c r="E226" s="197"/>
      <c r="F226" s="55">
        <f t="shared" si="82"/>
        <v>0</v>
      </c>
      <c r="G226" s="53"/>
      <c r="H226" s="54"/>
      <c r="I226" s="55">
        <f t="shared" si="83"/>
        <v>0</v>
      </c>
      <c r="J226" s="53"/>
      <c r="K226" s="54"/>
      <c r="L226" s="55">
        <f t="shared" si="84"/>
        <v>0</v>
      </c>
      <c r="M226" s="53"/>
      <c r="N226" s="54"/>
      <c r="O226" s="55">
        <f t="shared" si="85"/>
        <v>0</v>
      </c>
      <c r="P226" s="57"/>
    </row>
    <row r="227" spans="1:16" hidden="1" x14ac:dyDescent="0.25">
      <c r="A227" s="189">
        <v>5260</v>
      </c>
      <c r="B227" s="89" t="s">
        <v>243</v>
      </c>
      <c r="C227" s="90">
        <f t="shared" si="80"/>
        <v>0</v>
      </c>
      <c r="D227" s="190">
        <f t="shared" ref="D227:O227" si="86">SUM(D228)</f>
        <v>0</v>
      </c>
      <c r="E227" s="191">
        <f t="shared" si="86"/>
        <v>0</v>
      </c>
      <c r="F227" s="55">
        <f t="shared" si="86"/>
        <v>0</v>
      </c>
      <c r="G227" s="190">
        <f t="shared" si="86"/>
        <v>0</v>
      </c>
      <c r="H227" s="191">
        <f t="shared" si="86"/>
        <v>0</v>
      </c>
      <c r="I227" s="55">
        <f t="shared" si="86"/>
        <v>0</v>
      </c>
      <c r="J227" s="190">
        <f t="shared" si="86"/>
        <v>0</v>
      </c>
      <c r="K227" s="191">
        <f t="shared" si="86"/>
        <v>0</v>
      </c>
      <c r="L227" s="55">
        <f t="shared" si="86"/>
        <v>0</v>
      </c>
      <c r="M227" s="190">
        <f t="shared" si="86"/>
        <v>0</v>
      </c>
      <c r="N227" s="191">
        <f t="shared" si="86"/>
        <v>0</v>
      </c>
      <c r="O227" s="55">
        <f t="shared" si="86"/>
        <v>0</v>
      </c>
      <c r="P227" s="57"/>
    </row>
    <row r="228" spans="1:16" ht="24" hidden="1" customHeight="1" x14ac:dyDescent="0.25">
      <c r="A228" s="51">
        <v>5269</v>
      </c>
      <c r="B228" s="89" t="s">
        <v>244</v>
      </c>
      <c r="C228" s="90">
        <f t="shared" si="80"/>
        <v>0</v>
      </c>
      <c r="D228" s="196"/>
      <c r="E228" s="197"/>
      <c r="F228" s="55">
        <f>D228+E228</f>
        <v>0</v>
      </c>
      <c r="G228" s="53"/>
      <c r="H228" s="54"/>
      <c r="I228" s="55">
        <f>G228+H228</f>
        <v>0</v>
      </c>
      <c r="J228" s="53"/>
      <c r="K228" s="54"/>
      <c r="L228" s="55">
        <f>K228+J228</f>
        <v>0</v>
      </c>
      <c r="M228" s="53"/>
      <c r="N228" s="54"/>
      <c r="O228" s="55">
        <f>N228+M228</f>
        <v>0</v>
      </c>
      <c r="P228" s="57"/>
    </row>
    <row r="229" spans="1:16" ht="24" hidden="1" customHeight="1" x14ac:dyDescent="0.25">
      <c r="A229" s="186">
        <v>5270</v>
      </c>
      <c r="B229" s="138" t="s">
        <v>245</v>
      </c>
      <c r="C229" s="143">
        <f t="shared" si="80"/>
        <v>0</v>
      </c>
      <c r="D229" s="203"/>
      <c r="E229" s="204"/>
      <c r="F229" s="141">
        <f>D229+E229</f>
        <v>0</v>
      </c>
      <c r="G229" s="144"/>
      <c r="H229" s="145"/>
      <c r="I229" s="141">
        <f>G229+H229</f>
        <v>0</v>
      </c>
      <c r="J229" s="144"/>
      <c r="K229" s="145"/>
      <c r="L229" s="141">
        <f>K229+J229</f>
        <v>0</v>
      </c>
      <c r="M229" s="144"/>
      <c r="N229" s="145"/>
      <c r="O229" s="141">
        <f>N229+M229</f>
        <v>0</v>
      </c>
      <c r="P229" s="129"/>
    </row>
    <row r="230" spans="1:16" hidden="1" x14ac:dyDescent="0.25">
      <c r="A230" s="177">
        <v>6000</v>
      </c>
      <c r="B230" s="177" t="s">
        <v>246</v>
      </c>
      <c r="C230" s="178">
        <f t="shared" si="80"/>
        <v>0</v>
      </c>
      <c r="D230" s="179">
        <f t="shared" ref="D230:O230" si="87">D231+D251+D259</f>
        <v>0</v>
      </c>
      <c r="E230" s="180">
        <f t="shared" si="87"/>
        <v>0</v>
      </c>
      <c r="F230" s="181">
        <f t="shared" si="87"/>
        <v>0</v>
      </c>
      <c r="G230" s="179">
        <f t="shared" si="87"/>
        <v>0</v>
      </c>
      <c r="H230" s="180">
        <f t="shared" si="87"/>
        <v>0</v>
      </c>
      <c r="I230" s="181">
        <f t="shared" si="87"/>
        <v>0</v>
      </c>
      <c r="J230" s="179">
        <f t="shared" si="87"/>
        <v>0</v>
      </c>
      <c r="K230" s="180">
        <f t="shared" si="87"/>
        <v>0</v>
      </c>
      <c r="L230" s="181">
        <f t="shared" si="87"/>
        <v>0</v>
      </c>
      <c r="M230" s="179">
        <f t="shared" si="87"/>
        <v>0</v>
      </c>
      <c r="N230" s="180">
        <f t="shared" si="87"/>
        <v>0</v>
      </c>
      <c r="O230" s="181">
        <f t="shared" si="87"/>
        <v>0</v>
      </c>
      <c r="P230" s="182"/>
    </row>
    <row r="231" spans="1:16" ht="14.25" hidden="1" customHeight="1" x14ac:dyDescent="0.25">
      <c r="A231" s="217">
        <v>6200</v>
      </c>
      <c r="B231" s="208" t="s">
        <v>247</v>
      </c>
      <c r="C231" s="218">
        <f t="shared" si="80"/>
        <v>0</v>
      </c>
      <c r="D231" s="219">
        <f t="shared" ref="D231:O231" si="88">SUM(D232,D233,D235,D238,D244,D245,D246)</f>
        <v>0</v>
      </c>
      <c r="E231" s="220">
        <f t="shared" si="88"/>
        <v>0</v>
      </c>
      <c r="F231" s="221">
        <f t="shared" si="88"/>
        <v>0</v>
      </c>
      <c r="G231" s="219">
        <f t="shared" si="88"/>
        <v>0</v>
      </c>
      <c r="H231" s="220">
        <f t="shared" si="88"/>
        <v>0</v>
      </c>
      <c r="I231" s="221">
        <f t="shared" si="88"/>
        <v>0</v>
      </c>
      <c r="J231" s="219">
        <f t="shared" si="88"/>
        <v>0</v>
      </c>
      <c r="K231" s="220">
        <f t="shared" si="88"/>
        <v>0</v>
      </c>
      <c r="L231" s="221">
        <f t="shared" si="88"/>
        <v>0</v>
      </c>
      <c r="M231" s="219">
        <f t="shared" si="88"/>
        <v>0</v>
      </c>
      <c r="N231" s="220">
        <f t="shared" si="88"/>
        <v>0</v>
      </c>
      <c r="O231" s="221">
        <f t="shared" si="88"/>
        <v>0</v>
      </c>
      <c r="P231" s="222"/>
    </row>
    <row r="232" spans="1:16" ht="24" hidden="1" customHeight="1" x14ac:dyDescent="0.25">
      <c r="A232" s="606">
        <v>6220</v>
      </c>
      <c r="B232" s="82" t="s">
        <v>248</v>
      </c>
      <c r="C232" s="83">
        <f t="shared" si="80"/>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80"/>
        <v>0</v>
      </c>
      <c r="D233" s="190">
        <f t="shared" ref="D233:O233" si="89">SUM(D234)</f>
        <v>0</v>
      </c>
      <c r="E233" s="191">
        <f t="shared" si="89"/>
        <v>0</v>
      </c>
      <c r="F233" s="55">
        <f t="shared" si="89"/>
        <v>0</v>
      </c>
      <c r="G233" s="190">
        <f t="shared" si="89"/>
        <v>0</v>
      </c>
      <c r="H233" s="191">
        <f t="shared" si="89"/>
        <v>0</v>
      </c>
      <c r="I233" s="55">
        <f t="shared" si="89"/>
        <v>0</v>
      </c>
      <c r="J233" s="190">
        <f t="shared" si="89"/>
        <v>0</v>
      </c>
      <c r="K233" s="191">
        <f t="shared" si="89"/>
        <v>0</v>
      </c>
      <c r="L233" s="55">
        <f t="shared" si="89"/>
        <v>0</v>
      </c>
      <c r="M233" s="190">
        <f t="shared" si="89"/>
        <v>0</v>
      </c>
      <c r="N233" s="191">
        <f t="shared" si="89"/>
        <v>0</v>
      </c>
      <c r="O233" s="55">
        <f t="shared" si="89"/>
        <v>0</v>
      </c>
      <c r="P233" s="57"/>
    </row>
    <row r="234" spans="1:16" ht="24" hidden="1" customHeight="1" x14ac:dyDescent="0.25">
      <c r="A234" s="51">
        <v>6239</v>
      </c>
      <c r="B234" s="82" t="s">
        <v>250</v>
      </c>
      <c r="C234" s="90">
        <f t="shared" si="80"/>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80"/>
        <v>0</v>
      </c>
      <c r="D235" s="190">
        <f t="shared" ref="D235:O235" si="90">SUM(D236:D237)</f>
        <v>0</v>
      </c>
      <c r="E235" s="191">
        <f t="shared" si="90"/>
        <v>0</v>
      </c>
      <c r="F235" s="55">
        <f t="shared" si="90"/>
        <v>0</v>
      </c>
      <c r="G235" s="190">
        <f t="shared" si="90"/>
        <v>0</v>
      </c>
      <c r="H235" s="191">
        <f t="shared" si="90"/>
        <v>0</v>
      </c>
      <c r="I235" s="55">
        <f t="shared" si="90"/>
        <v>0</v>
      </c>
      <c r="J235" s="190">
        <f t="shared" si="90"/>
        <v>0</v>
      </c>
      <c r="K235" s="191">
        <f t="shared" si="90"/>
        <v>0</v>
      </c>
      <c r="L235" s="55">
        <f t="shared" si="90"/>
        <v>0</v>
      </c>
      <c r="M235" s="190">
        <f t="shared" si="90"/>
        <v>0</v>
      </c>
      <c r="N235" s="191">
        <f t="shared" si="90"/>
        <v>0</v>
      </c>
      <c r="O235" s="55">
        <f t="shared" si="90"/>
        <v>0</v>
      </c>
      <c r="P235" s="57"/>
    </row>
    <row r="236" spans="1:16" ht="12" hidden="1" customHeight="1" x14ac:dyDescent="0.25">
      <c r="A236" s="51">
        <v>6241</v>
      </c>
      <c r="B236" s="89" t="s">
        <v>252</v>
      </c>
      <c r="C236" s="90">
        <f t="shared" si="80"/>
        <v>0</v>
      </c>
      <c r="D236" s="196"/>
      <c r="E236" s="197"/>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9" t="s">
        <v>253</v>
      </c>
      <c r="C237" s="90">
        <f t="shared" si="80"/>
        <v>0</v>
      </c>
      <c r="D237" s="196"/>
      <c r="E237" s="197"/>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9">
        <v>6250</v>
      </c>
      <c r="B238" s="89" t="s">
        <v>254</v>
      </c>
      <c r="C238" s="90">
        <f t="shared" si="80"/>
        <v>0</v>
      </c>
      <c r="D238" s="190">
        <f t="shared" ref="D238:O238" si="91">SUM(D239:D243)</f>
        <v>0</v>
      </c>
      <c r="E238" s="191">
        <f t="shared" si="91"/>
        <v>0</v>
      </c>
      <c r="F238" s="55">
        <f t="shared" si="91"/>
        <v>0</v>
      </c>
      <c r="G238" s="190">
        <f t="shared" si="91"/>
        <v>0</v>
      </c>
      <c r="H238" s="191">
        <f t="shared" si="91"/>
        <v>0</v>
      </c>
      <c r="I238" s="55">
        <f t="shared" si="91"/>
        <v>0</v>
      </c>
      <c r="J238" s="190">
        <f t="shared" si="91"/>
        <v>0</v>
      </c>
      <c r="K238" s="191">
        <f t="shared" si="91"/>
        <v>0</v>
      </c>
      <c r="L238" s="55">
        <f t="shared" si="91"/>
        <v>0</v>
      </c>
      <c r="M238" s="190">
        <f t="shared" si="91"/>
        <v>0</v>
      </c>
      <c r="N238" s="191">
        <f t="shared" si="91"/>
        <v>0</v>
      </c>
      <c r="O238" s="55">
        <f t="shared" si="91"/>
        <v>0</v>
      </c>
      <c r="P238" s="57"/>
    </row>
    <row r="239" spans="1:16" ht="14.25" hidden="1" customHeight="1" x14ac:dyDescent="0.25">
      <c r="A239" s="51">
        <v>6252</v>
      </c>
      <c r="B239" s="89" t="s">
        <v>255</v>
      </c>
      <c r="C239" s="90">
        <f t="shared" si="80"/>
        <v>0</v>
      </c>
      <c r="D239" s="196"/>
      <c r="E239" s="197"/>
      <c r="F239" s="55">
        <f t="shared" ref="F239:F245" si="92">D239+E239</f>
        <v>0</v>
      </c>
      <c r="G239" s="53"/>
      <c r="H239" s="54"/>
      <c r="I239" s="55">
        <f t="shared" ref="I239:I245" si="93">G239+H239</f>
        <v>0</v>
      </c>
      <c r="J239" s="53"/>
      <c r="K239" s="54"/>
      <c r="L239" s="55">
        <f t="shared" ref="L239:L245" si="94">K239+J239</f>
        <v>0</v>
      </c>
      <c r="M239" s="53"/>
      <c r="N239" s="54"/>
      <c r="O239" s="55">
        <f t="shared" ref="O239:O245" si="95">N239+M239</f>
        <v>0</v>
      </c>
      <c r="P239" s="57"/>
    </row>
    <row r="240" spans="1:16" ht="14.25" hidden="1" customHeight="1" x14ac:dyDescent="0.25">
      <c r="A240" s="51">
        <v>6253</v>
      </c>
      <c r="B240" s="89" t="s">
        <v>256</v>
      </c>
      <c r="C240" s="90">
        <f t="shared" si="80"/>
        <v>0</v>
      </c>
      <c r="D240" s="196"/>
      <c r="E240" s="197"/>
      <c r="F240" s="55">
        <f t="shared" si="92"/>
        <v>0</v>
      </c>
      <c r="G240" s="53"/>
      <c r="H240" s="54"/>
      <c r="I240" s="55">
        <f t="shared" si="93"/>
        <v>0</v>
      </c>
      <c r="J240" s="53"/>
      <c r="K240" s="54"/>
      <c r="L240" s="55">
        <f t="shared" si="94"/>
        <v>0</v>
      </c>
      <c r="M240" s="53"/>
      <c r="N240" s="54"/>
      <c r="O240" s="55">
        <f t="shared" si="95"/>
        <v>0</v>
      </c>
      <c r="P240" s="57"/>
    </row>
    <row r="241" spans="1:16" ht="24" hidden="1" customHeight="1" x14ac:dyDescent="0.25">
      <c r="A241" s="51">
        <v>6254</v>
      </c>
      <c r="B241" s="89" t="s">
        <v>257</v>
      </c>
      <c r="C241" s="90">
        <f t="shared" si="80"/>
        <v>0</v>
      </c>
      <c r="D241" s="196"/>
      <c r="E241" s="197"/>
      <c r="F241" s="55">
        <f t="shared" si="92"/>
        <v>0</v>
      </c>
      <c r="G241" s="53"/>
      <c r="H241" s="54"/>
      <c r="I241" s="55">
        <f t="shared" si="93"/>
        <v>0</v>
      </c>
      <c r="J241" s="53"/>
      <c r="K241" s="54"/>
      <c r="L241" s="55">
        <f t="shared" si="94"/>
        <v>0</v>
      </c>
      <c r="M241" s="53"/>
      <c r="N241" s="54"/>
      <c r="O241" s="55">
        <f t="shared" si="95"/>
        <v>0</v>
      </c>
      <c r="P241" s="57"/>
    </row>
    <row r="242" spans="1:16" ht="24" hidden="1" customHeight="1" x14ac:dyDescent="0.25">
      <c r="A242" s="51">
        <v>6255</v>
      </c>
      <c r="B242" s="89" t="s">
        <v>258</v>
      </c>
      <c r="C242" s="90">
        <f t="shared" si="80"/>
        <v>0</v>
      </c>
      <c r="D242" s="196"/>
      <c r="E242" s="197"/>
      <c r="F242" s="55">
        <f t="shared" si="92"/>
        <v>0</v>
      </c>
      <c r="G242" s="53"/>
      <c r="H242" s="54"/>
      <c r="I242" s="55">
        <f t="shared" si="93"/>
        <v>0</v>
      </c>
      <c r="J242" s="53"/>
      <c r="K242" s="54"/>
      <c r="L242" s="55">
        <f t="shared" si="94"/>
        <v>0</v>
      </c>
      <c r="M242" s="53"/>
      <c r="N242" s="54"/>
      <c r="O242" s="55">
        <f t="shared" si="95"/>
        <v>0</v>
      </c>
      <c r="P242" s="57"/>
    </row>
    <row r="243" spans="1:16" ht="12" hidden="1" customHeight="1" x14ac:dyDescent="0.25">
      <c r="A243" s="51">
        <v>6259</v>
      </c>
      <c r="B243" s="89" t="s">
        <v>259</v>
      </c>
      <c r="C243" s="90">
        <f t="shared" si="80"/>
        <v>0</v>
      </c>
      <c r="D243" s="196"/>
      <c r="E243" s="197"/>
      <c r="F243" s="55">
        <f t="shared" si="92"/>
        <v>0</v>
      </c>
      <c r="G243" s="53"/>
      <c r="H243" s="54"/>
      <c r="I243" s="55">
        <f t="shared" si="93"/>
        <v>0</v>
      </c>
      <c r="J243" s="53"/>
      <c r="K243" s="54"/>
      <c r="L243" s="55">
        <f t="shared" si="94"/>
        <v>0</v>
      </c>
      <c r="M243" s="53"/>
      <c r="N243" s="54"/>
      <c r="O243" s="55">
        <f t="shared" si="95"/>
        <v>0</v>
      </c>
      <c r="P243" s="57"/>
    </row>
    <row r="244" spans="1:16" ht="24" hidden="1" customHeight="1" x14ac:dyDescent="0.25">
      <c r="A244" s="189">
        <v>6260</v>
      </c>
      <c r="B244" s="89" t="s">
        <v>260</v>
      </c>
      <c r="C244" s="90">
        <f t="shared" si="80"/>
        <v>0</v>
      </c>
      <c r="D244" s="196"/>
      <c r="E244" s="197"/>
      <c r="F244" s="55">
        <f t="shared" si="92"/>
        <v>0</v>
      </c>
      <c r="G244" s="53"/>
      <c r="H244" s="54"/>
      <c r="I244" s="55">
        <f t="shared" si="93"/>
        <v>0</v>
      </c>
      <c r="J244" s="53"/>
      <c r="K244" s="54"/>
      <c r="L244" s="55">
        <f t="shared" si="94"/>
        <v>0</v>
      </c>
      <c r="M244" s="53"/>
      <c r="N244" s="54"/>
      <c r="O244" s="55">
        <f t="shared" si="95"/>
        <v>0</v>
      </c>
      <c r="P244" s="57"/>
    </row>
    <row r="245" spans="1:16" ht="12" hidden="1" customHeight="1" x14ac:dyDescent="0.25">
      <c r="A245" s="189">
        <v>6270</v>
      </c>
      <c r="B245" s="89" t="s">
        <v>261</v>
      </c>
      <c r="C245" s="90">
        <f t="shared" si="80"/>
        <v>0</v>
      </c>
      <c r="D245" s="196"/>
      <c r="E245" s="197"/>
      <c r="F245" s="55">
        <f t="shared" si="92"/>
        <v>0</v>
      </c>
      <c r="G245" s="53"/>
      <c r="H245" s="54"/>
      <c r="I245" s="55">
        <f t="shared" si="93"/>
        <v>0</v>
      </c>
      <c r="J245" s="53"/>
      <c r="K245" s="54"/>
      <c r="L245" s="55">
        <f t="shared" si="94"/>
        <v>0</v>
      </c>
      <c r="M245" s="53"/>
      <c r="N245" s="54"/>
      <c r="O245" s="55">
        <f t="shared" si="95"/>
        <v>0</v>
      </c>
      <c r="P245" s="57"/>
    </row>
    <row r="246" spans="1:16" ht="24" hidden="1" x14ac:dyDescent="0.25">
      <c r="A246" s="606">
        <v>6290</v>
      </c>
      <c r="B246" s="82" t="s">
        <v>262</v>
      </c>
      <c r="C246" s="209">
        <f t="shared" si="80"/>
        <v>0</v>
      </c>
      <c r="D246" s="194">
        <f>SUM(D247:D250)</f>
        <v>0</v>
      </c>
      <c r="E246" s="195">
        <f>SUM(E247:E250)</f>
        <v>0</v>
      </c>
      <c r="F246" s="134">
        <f>SUM(F247:F250)</f>
        <v>0</v>
      </c>
      <c r="G246" s="194">
        <f t="shared" ref="G246:M246" si="96">SUM(G247:G250)</f>
        <v>0</v>
      </c>
      <c r="H246" s="195">
        <f>SUM(H247:H250)</f>
        <v>0</v>
      </c>
      <c r="I246" s="134">
        <f>SUM(I247:I250)</f>
        <v>0</v>
      </c>
      <c r="J246" s="194">
        <f t="shared" si="96"/>
        <v>0</v>
      </c>
      <c r="K246" s="195">
        <f>SUM(K247:K250)</f>
        <v>0</v>
      </c>
      <c r="L246" s="134">
        <f>SUM(L247:L250)</f>
        <v>0</v>
      </c>
      <c r="M246" s="194">
        <f t="shared" si="96"/>
        <v>0</v>
      </c>
      <c r="N246" s="195">
        <f>SUM(N247:N250)</f>
        <v>0</v>
      </c>
      <c r="O246" s="134">
        <f>SUM(O247:O250)</f>
        <v>0</v>
      </c>
      <c r="P246" s="49"/>
    </row>
    <row r="247" spans="1:16" ht="12" hidden="1" customHeight="1" x14ac:dyDescent="0.25">
      <c r="A247" s="51">
        <v>6291</v>
      </c>
      <c r="B247" s="89" t="s">
        <v>263</v>
      </c>
      <c r="C247" s="90">
        <f t="shared" si="80"/>
        <v>0</v>
      </c>
      <c r="D247" s="196"/>
      <c r="E247" s="197"/>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9" t="s">
        <v>264</v>
      </c>
      <c r="C248" s="90">
        <f t="shared" si="80"/>
        <v>0</v>
      </c>
      <c r="D248" s="196"/>
      <c r="E248" s="197"/>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9" t="s">
        <v>265</v>
      </c>
      <c r="C249" s="90">
        <f t="shared" si="80"/>
        <v>0</v>
      </c>
      <c r="D249" s="196"/>
      <c r="E249" s="197"/>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9" t="s">
        <v>266</v>
      </c>
      <c r="C250" s="90">
        <f t="shared" si="80"/>
        <v>0</v>
      </c>
      <c r="D250" s="196"/>
      <c r="E250" s="197"/>
      <c r="F250" s="55">
        <f>D250+E250</f>
        <v>0</v>
      </c>
      <c r="G250" s="53"/>
      <c r="H250" s="54"/>
      <c r="I250" s="55">
        <f>G250+H250</f>
        <v>0</v>
      </c>
      <c r="J250" s="53"/>
      <c r="K250" s="54"/>
      <c r="L250" s="55">
        <f>K250+J250</f>
        <v>0</v>
      </c>
      <c r="M250" s="53"/>
      <c r="N250" s="54"/>
      <c r="O250" s="55">
        <f>N250+M250</f>
        <v>0</v>
      </c>
      <c r="P250" s="57"/>
    </row>
    <row r="251" spans="1:16" hidden="1" x14ac:dyDescent="0.25">
      <c r="A251" s="69">
        <v>6300</v>
      </c>
      <c r="B251" s="183" t="s">
        <v>267</v>
      </c>
      <c r="C251" s="70">
        <f t="shared" si="80"/>
        <v>0</v>
      </c>
      <c r="D251" s="184">
        <f>SUM(D252,D257,D258)</f>
        <v>0</v>
      </c>
      <c r="E251" s="185">
        <f>SUM(E252,E257,E258)</f>
        <v>0</v>
      </c>
      <c r="F251" s="73">
        <f>SUM(F252,F257,F258)</f>
        <v>0</v>
      </c>
      <c r="G251" s="184">
        <f t="shared" ref="G251:M251" si="97">SUM(G252,G257,G258)</f>
        <v>0</v>
      </c>
      <c r="H251" s="185">
        <f>SUM(H252,H257,H258)</f>
        <v>0</v>
      </c>
      <c r="I251" s="73">
        <f>SUM(I252,I257,I258)</f>
        <v>0</v>
      </c>
      <c r="J251" s="184">
        <f t="shared" si="97"/>
        <v>0</v>
      </c>
      <c r="K251" s="185">
        <f>SUM(K252,K257,K258)</f>
        <v>0</v>
      </c>
      <c r="L251" s="73">
        <f>SUM(L252,L257,L258)</f>
        <v>0</v>
      </c>
      <c r="M251" s="184">
        <f t="shared" si="97"/>
        <v>0</v>
      </c>
      <c r="N251" s="185">
        <f>SUM(N252,N257,N258)</f>
        <v>0</v>
      </c>
      <c r="O251" s="73">
        <f>SUM(O252,O257,O258)</f>
        <v>0</v>
      </c>
      <c r="P251" s="77"/>
    </row>
    <row r="252" spans="1:16" ht="24" hidden="1" x14ac:dyDescent="0.25">
      <c r="A252" s="606">
        <v>6320</v>
      </c>
      <c r="B252" s="82" t="s">
        <v>268</v>
      </c>
      <c r="C252" s="209">
        <f t="shared" si="80"/>
        <v>0</v>
      </c>
      <c r="D252" s="194">
        <f>SUM(D253:D256)</f>
        <v>0</v>
      </c>
      <c r="E252" s="195">
        <f>SUM(E253:E256)</f>
        <v>0</v>
      </c>
      <c r="F252" s="134">
        <f>SUM(F253:F256)</f>
        <v>0</v>
      </c>
      <c r="G252" s="194">
        <f t="shared" ref="G252:M252" si="98">SUM(G253:G256)</f>
        <v>0</v>
      </c>
      <c r="H252" s="195">
        <f>SUM(H253:H256)</f>
        <v>0</v>
      </c>
      <c r="I252" s="134">
        <f>SUM(I253:I256)</f>
        <v>0</v>
      </c>
      <c r="J252" s="194">
        <f t="shared" si="98"/>
        <v>0</v>
      </c>
      <c r="K252" s="195">
        <f>SUM(K253:K256)</f>
        <v>0</v>
      </c>
      <c r="L252" s="134">
        <f>SUM(L253:L256)</f>
        <v>0</v>
      </c>
      <c r="M252" s="194">
        <f t="shared" si="98"/>
        <v>0</v>
      </c>
      <c r="N252" s="195">
        <f>SUM(N253:N256)</f>
        <v>0</v>
      </c>
      <c r="O252" s="134">
        <f>SUM(O253:O256)</f>
        <v>0</v>
      </c>
      <c r="P252" s="49"/>
    </row>
    <row r="253" spans="1:16" ht="12" hidden="1" customHeight="1" x14ac:dyDescent="0.25">
      <c r="A253" s="51">
        <v>6322</v>
      </c>
      <c r="B253" s="89" t="s">
        <v>269</v>
      </c>
      <c r="C253" s="90">
        <f t="shared" si="80"/>
        <v>0</v>
      </c>
      <c r="D253" s="196"/>
      <c r="E253" s="197"/>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9" t="s">
        <v>270</v>
      </c>
      <c r="C254" s="90">
        <f t="shared" si="80"/>
        <v>0</v>
      </c>
      <c r="D254" s="196"/>
      <c r="E254" s="197"/>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9" t="s">
        <v>271</v>
      </c>
      <c r="C255" s="90">
        <f t="shared" si="80"/>
        <v>0</v>
      </c>
      <c r="D255" s="196"/>
      <c r="E255" s="197"/>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2" t="s">
        <v>272</v>
      </c>
      <c r="C256" s="83">
        <f t="shared" si="80"/>
        <v>0</v>
      </c>
      <c r="D256" s="199"/>
      <c r="E256" s="200"/>
      <c r="F256" s="134">
        <f t="shared" si="99"/>
        <v>0</v>
      </c>
      <c r="G256" s="46"/>
      <c r="H256" s="47"/>
      <c r="I256" s="134">
        <f t="shared" si="100"/>
        <v>0</v>
      </c>
      <c r="J256" s="46"/>
      <c r="K256" s="47"/>
      <c r="L256" s="134">
        <f t="shared" si="101"/>
        <v>0</v>
      </c>
      <c r="M256" s="46"/>
      <c r="N256" s="47"/>
      <c r="O256" s="134">
        <f t="shared" si="102"/>
        <v>0</v>
      </c>
      <c r="P256" s="49"/>
    </row>
    <row r="257" spans="1:16" ht="24" hidden="1" customHeight="1" x14ac:dyDescent="0.25">
      <c r="A257" s="226">
        <v>6330</v>
      </c>
      <c r="B257" s="227" t="s">
        <v>273</v>
      </c>
      <c r="C257" s="209">
        <f t="shared" si="80"/>
        <v>0</v>
      </c>
      <c r="D257" s="211"/>
      <c r="E257" s="212"/>
      <c r="F257" s="213">
        <f t="shared" si="99"/>
        <v>0</v>
      </c>
      <c r="G257" s="214"/>
      <c r="H257" s="215"/>
      <c r="I257" s="213">
        <f t="shared" si="100"/>
        <v>0</v>
      </c>
      <c r="J257" s="214"/>
      <c r="K257" s="215"/>
      <c r="L257" s="213">
        <f t="shared" si="101"/>
        <v>0</v>
      </c>
      <c r="M257" s="214"/>
      <c r="N257" s="215"/>
      <c r="O257" s="213">
        <f t="shared" si="102"/>
        <v>0</v>
      </c>
      <c r="P257" s="216"/>
    </row>
    <row r="258" spans="1:16" ht="12" hidden="1" customHeight="1" x14ac:dyDescent="0.25">
      <c r="A258" s="189">
        <v>6360</v>
      </c>
      <c r="B258" s="89" t="s">
        <v>274</v>
      </c>
      <c r="C258" s="90">
        <f t="shared" si="80"/>
        <v>0</v>
      </c>
      <c r="D258" s="196"/>
      <c r="E258" s="197"/>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9">
        <v>6400</v>
      </c>
      <c r="B259" s="183" t="s">
        <v>275</v>
      </c>
      <c r="C259" s="70">
        <f t="shared" si="80"/>
        <v>0</v>
      </c>
      <c r="D259" s="184">
        <f>SUM(D260,D264)</f>
        <v>0</v>
      </c>
      <c r="E259" s="185">
        <f>SUM(E260,E264)</f>
        <v>0</v>
      </c>
      <c r="F259" s="73">
        <f>SUM(F260,F264)</f>
        <v>0</v>
      </c>
      <c r="G259" s="184">
        <f t="shared" ref="G259:M259" si="103">SUM(G260,G264)</f>
        <v>0</v>
      </c>
      <c r="H259" s="185">
        <f>SUM(H260,H264)</f>
        <v>0</v>
      </c>
      <c r="I259" s="73">
        <f>SUM(I260,I264)</f>
        <v>0</v>
      </c>
      <c r="J259" s="184">
        <f t="shared" si="103"/>
        <v>0</v>
      </c>
      <c r="K259" s="185">
        <f>SUM(K260,K264)</f>
        <v>0</v>
      </c>
      <c r="L259" s="73">
        <f>SUM(L260,L264)</f>
        <v>0</v>
      </c>
      <c r="M259" s="184">
        <f t="shared" si="103"/>
        <v>0</v>
      </c>
      <c r="N259" s="185">
        <f>SUM(N260,N264)</f>
        <v>0</v>
      </c>
      <c r="O259" s="73">
        <f>SUM(O260,O264)</f>
        <v>0</v>
      </c>
      <c r="P259" s="77"/>
    </row>
    <row r="260" spans="1:16" ht="24" hidden="1" x14ac:dyDescent="0.25">
      <c r="A260" s="606">
        <v>6410</v>
      </c>
      <c r="B260" s="82" t="s">
        <v>276</v>
      </c>
      <c r="C260" s="83">
        <f t="shared" si="80"/>
        <v>0</v>
      </c>
      <c r="D260" s="194">
        <f>SUM(D261:D263)</f>
        <v>0</v>
      </c>
      <c r="E260" s="195">
        <f>SUM(E261:E263)</f>
        <v>0</v>
      </c>
      <c r="F260" s="134">
        <f>SUM(F261:F263)</f>
        <v>0</v>
      </c>
      <c r="G260" s="194">
        <f t="shared" ref="G260:M260" si="104">SUM(G261:G263)</f>
        <v>0</v>
      </c>
      <c r="H260" s="195">
        <f>SUM(H261:H263)</f>
        <v>0</v>
      </c>
      <c r="I260" s="134">
        <f>SUM(I261:I263)</f>
        <v>0</v>
      </c>
      <c r="J260" s="194">
        <f t="shared" si="104"/>
        <v>0</v>
      </c>
      <c r="K260" s="195">
        <f>SUM(K261:K263)</f>
        <v>0</v>
      </c>
      <c r="L260" s="134">
        <f>SUM(L261:L263)</f>
        <v>0</v>
      </c>
      <c r="M260" s="194">
        <f t="shared" si="104"/>
        <v>0</v>
      </c>
      <c r="N260" s="195">
        <f>SUM(N261:N263)</f>
        <v>0</v>
      </c>
      <c r="O260" s="134">
        <f>SUM(O261:O263)</f>
        <v>0</v>
      </c>
      <c r="P260" s="49"/>
    </row>
    <row r="261" spans="1:16" ht="12" hidden="1" customHeight="1" x14ac:dyDescent="0.25">
      <c r="A261" s="51">
        <v>6411</v>
      </c>
      <c r="B261" s="201" t="s">
        <v>277</v>
      </c>
      <c r="C261" s="90">
        <f t="shared" si="80"/>
        <v>0</v>
      </c>
      <c r="D261" s="196"/>
      <c r="E261" s="197"/>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9" t="s">
        <v>278</v>
      </c>
      <c r="C262" s="90">
        <f t="shared" si="80"/>
        <v>0</v>
      </c>
      <c r="D262" s="196"/>
      <c r="E262" s="197"/>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9" t="s">
        <v>279</v>
      </c>
      <c r="C263" s="90">
        <f t="shared" si="80"/>
        <v>0</v>
      </c>
      <c r="D263" s="196"/>
      <c r="E263" s="197"/>
      <c r="F263" s="55">
        <f>D263+E263</f>
        <v>0</v>
      </c>
      <c r="G263" s="53"/>
      <c r="H263" s="54"/>
      <c r="I263" s="55">
        <f>G263+H263</f>
        <v>0</v>
      </c>
      <c r="J263" s="53"/>
      <c r="K263" s="54"/>
      <c r="L263" s="55">
        <f>K263+J263</f>
        <v>0</v>
      </c>
      <c r="M263" s="53"/>
      <c r="N263" s="54"/>
      <c r="O263" s="55">
        <f>N263+M263</f>
        <v>0</v>
      </c>
      <c r="P263" s="57"/>
    </row>
    <row r="264" spans="1:16" ht="48" hidden="1" x14ac:dyDescent="0.25">
      <c r="A264" s="189">
        <v>6420</v>
      </c>
      <c r="B264" s="89" t="s">
        <v>280</v>
      </c>
      <c r="C264" s="90">
        <f t="shared" si="80"/>
        <v>0</v>
      </c>
      <c r="D264" s="190">
        <f t="shared" ref="D264:O264" si="105">SUM(D265:D268)</f>
        <v>0</v>
      </c>
      <c r="E264" s="191">
        <f t="shared" si="105"/>
        <v>0</v>
      </c>
      <c r="F264" s="55">
        <f t="shared" si="105"/>
        <v>0</v>
      </c>
      <c r="G264" s="190">
        <f t="shared" si="105"/>
        <v>0</v>
      </c>
      <c r="H264" s="191">
        <f t="shared" si="105"/>
        <v>0</v>
      </c>
      <c r="I264" s="55">
        <f t="shared" si="105"/>
        <v>0</v>
      </c>
      <c r="J264" s="190">
        <f t="shared" si="105"/>
        <v>0</v>
      </c>
      <c r="K264" s="191">
        <f t="shared" si="105"/>
        <v>0</v>
      </c>
      <c r="L264" s="55">
        <f t="shared" si="105"/>
        <v>0</v>
      </c>
      <c r="M264" s="190">
        <f t="shared" si="105"/>
        <v>0</v>
      </c>
      <c r="N264" s="191">
        <f t="shared" si="105"/>
        <v>0</v>
      </c>
      <c r="O264" s="55">
        <f t="shared" si="105"/>
        <v>0</v>
      </c>
      <c r="P264" s="57"/>
    </row>
    <row r="265" spans="1:16" ht="36" hidden="1" customHeight="1" x14ac:dyDescent="0.25">
      <c r="A265" s="51">
        <v>6421</v>
      </c>
      <c r="B265" s="89" t="s">
        <v>281</v>
      </c>
      <c r="C265" s="90">
        <f t="shared" si="80"/>
        <v>0</v>
      </c>
      <c r="D265" s="196"/>
      <c r="E265" s="197"/>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9" t="s">
        <v>282</v>
      </c>
      <c r="C266" s="90">
        <f t="shared" si="80"/>
        <v>0</v>
      </c>
      <c r="D266" s="196"/>
      <c r="E266" s="197"/>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9" t="s">
        <v>283</v>
      </c>
      <c r="C267" s="90">
        <f t="shared" si="80"/>
        <v>0</v>
      </c>
      <c r="D267" s="196"/>
      <c r="E267" s="197"/>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9" t="s">
        <v>284</v>
      </c>
      <c r="C268" s="90">
        <f t="shared" si="80"/>
        <v>0</v>
      </c>
      <c r="D268" s="196"/>
      <c r="E268" s="197"/>
      <c r="F268" s="55">
        <f>D268+E268</f>
        <v>0</v>
      </c>
      <c r="G268" s="53"/>
      <c r="H268" s="54"/>
      <c r="I268" s="55">
        <f>G268+H268</f>
        <v>0</v>
      </c>
      <c r="J268" s="53"/>
      <c r="K268" s="54"/>
      <c r="L268" s="55">
        <f>K268+J268</f>
        <v>0</v>
      </c>
      <c r="M268" s="53"/>
      <c r="N268" s="54"/>
      <c r="O268" s="55">
        <f>N268+M268</f>
        <v>0</v>
      </c>
      <c r="P268" s="57"/>
    </row>
    <row r="269" spans="1:16" ht="48" hidden="1" x14ac:dyDescent="0.25">
      <c r="A269" s="228">
        <v>7000</v>
      </c>
      <c r="B269" s="228" t="s">
        <v>285</v>
      </c>
      <c r="C269" s="229">
        <f t="shared" si="80"/>
        <v>0</v>
      </c>
      <c r="D269" s="230">
        <f t="shared" ref="D269:O269" si="106">SUM(D270,D281)</f>
        <v>0</v>
      </c>
      <c r="E269" s="231">
        <f t="shared" si="106"/>
        <v>0</v>
      </c>
      <c r="F269" s="232">
        <f t="shared" si="106"/>
        <v>0</v>
      </c>
      <c r="G269" s="230">
        <f t="shared" si="106"/>
        <v>0</v>
      </c>
      <c r="H269" s="231">
        <f t="shared" si="106"/>
        <v>0</v>
      </c>
      <c r="I269" s="232">
        <f t="shared" si="106"/>
        <v>0</v>
      </c>
      <c r="J269" s="230">
        <f t="shared" si="106"/>
        <v>0</v>
      </c>
      <c r="K269" s="231">
        <f t="shared" si="106"/>
        <v>0</v>
      </c>
      <c r="L269" s="232">
        <f t="shared" si="106"/>
        <v>0</v>
      </c>
      <c r="M269" s="230">
        <f t="shared" si="106"/>
        <v>0</v>
      </c>
      <c r="N269" s="231">
        <f t="shared" si="106"/>
        <v>0</v>
      </c>
      <c r="O269" s="232">
        <f t="shared" si="106"/>
        <v>0</v>
      </c>
      <c r="P269" s="233"/>
    </row>
    <row r="270" spans="1:16" ht="24" hidden="1" x14ac:dyDescent="0.25">
      <c r="A270" s="69">
        <v>7200</v>
      </c>
      <c r="B270" s="183" t="s">
        <v>286</v>
      </c>
      <c r="C270" s="70">
        <f t="shared" si="80"/>
        <v>0</v>
      </c>
      <c r="D270" s="184">
        <f t="shared" ref="D270:O270" si="107">SUM(D271,D272,D275,D276,D280)</f>
        <v>0</v>
      </c>
      <c r="E270" s="185">
        <f t="shared" si="107"/>
        <v>0</v>
      </c>
      <c r="F270" s="73">
        <f t="shared" si="107"/>
        <v>0</v>
      </c>
      <c r="G270" s="184">
        <f t="shared" si="107"/>
        <v>0</v>
      </c>
      <c r="H270" s="185">
        <f t="shared" si="107"/>
        <v>0</v>
      </c>
      <c r="I270" s="73">
        <f t="shared" si="107"/>
        <v>0</v>
      </c>
      <c r="J270" s="184">
        <f t="shared" si="107"/>
        <v>0</v>
      </c>
      <c r="K270" s="185">
        <f t="shared" si="107"/>
        <v>0</v>
      </c>
      <c r="L270" s="73">
        <f t="shared" si="107"/>
        <v>0</v>
      </c>
      <c r="M270" s="184">
        <f t="shared" si="107"/>
        <v>0</v>
      </c>
      <c r="N270" s="185">
        <f t="shared" si="107"/>
        <v>0</v>
      </c>
      <c r="O270" s="73">
        <f t="shared" si="107"/>
        <v>0</v>
      </c>
      <c r="P270" s="77"/>
    </row>
    <row r="271" spans="1:16" ht="24" hidden="1" customHeight="1" x14ac:dyDescent="0.25">
      <c r="A271" s="606">
        <v>7210</v>
      </c>
      <c r="B271" s="82" t="s">
        <v>287</v>
      </c>
      <c r="C271" s="83">
        <f t="shared" si="80"/>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80"/>
        <v>0</v>
      </c>
      <c r="D272" s="190">
        <f t="shared" ref="D272:O272" si="108">SUM(D273:D274)</f>
        <v>0</v>
      </c>
      <c r="E272" s="191">
        <f t="shared" si="108"/>
        <v>0</v>
      </c>
      <c r="F272" s="55">
        <f t="shared" si="108"/>
        <v>0</v>
      </c>
      <c r="G272" s="190">
        <f t="shared" si="108"/>
        <v>0</v>
      </c>
      <c r="H272" s="191">
        <f t="shared" si="108"/>
        <v>0</v>
      </c>
      <c r="I272" s="55">
        <f t="shared" si="108"/>
        <v>0</v>
      </c>
      <c r="J272" s="190">
        <f t="shared" si="108"/>
        <v>0</v>
      </c>
      <c r="K272" s="191">
        <f t="shared" si="108"/>
        <v>0</v>
      </c>
      <c r="L272" s="55">
        <f t="shared" si="108"/>
        <v>0</v>
      </c>
      <c r="M272" s="190">
        <f t="shared" si="108"/>
        <v>0</v>
      </c>
      <c r="N272" s="191">
        <f t="shared" si="108"/>
        <v>0</v>
      </c>
      <c r="O272" s="55">
        <f t="shared" si="108"/>
        <v>0</v>
      </c>
      <c r="P272" s="57"/>
    </row>
    <row r="273" spans="1:16" s="234" customFormat="1" ht="36" hidden="1" customHeight="1" x14ac:dyDescent="0.25">
      <c r="A273" s="51">
        <v>7221</v>
      </c>
      <c r="B273" s="89" t="s">
        <v>289</v>
      </c>
      <c r="C273" s="90">
        <f t="shared" si="80"/>
        <v>0</v>
      </c>
      <c r="D273" s="196"/>
      <c r="E273" s="197"/>
      <c r="F273" s="55">
        <f>D273+E273</f>
        <v>0</v>
      </c>
      <c r="G273" s="53"/>
      <c r="H273" s="54"/>
      <c r="I273" s="55">
        <f>G273+H273</f>
        <v>0</v>
      </c>
      <c r="J273" s="53"/>
      <c r="K273" s="54"/>
      <c r="L273" s="55">
        <f>K273+J273</f>
        <v>0</v>
      </c>
      <c r="M273" s="53"/>
      <c r="N273" s="54"/>
      <c r="O273" s="55">
        <f>N273+M273</f>
        <v>0</v>
      </c>
      <c r="P273" s="57"/>
    </row>
    <row r="274" spans="1:16" s="234" customFormat="1" ht="36" hidden="1" customHeight="1" x14ac:dyDescent="0.25">
      <c r="A274" s="51">
        <v>7222</v>
      </c>
      <c r="B274" s="89" t="s">
        <v>290</v>
      </c>
      <c r="C274" s="90">
        <f t="shared" si="80"/>
        <v>0</v>
      </c>
      <c r="D274" s="196"/>
      <c r="E274" s="197"/>
      <c r="F274" s="55">
        <f>D274+E274</f>
        <v>0</v>
      </c>
      <c r="G274" s="53"/>
      <c r="H274" s="54"/>
      <c r="I274" s="55">
        <f>G274+H274</f>
        <v>0</v>
      </c>
      <c r="J274" s="53"/>
      <c r="K274" s="54"/>
      <c r="L274" s="55">
        <f>K274+J274</f>
        <v>0</v>
      </c>
      <c r="M274" s="53"/>
      <c r="N274" s="54"/>
      <c r="O274" s="55">
        <f>N274+M274</f>
        <v>0</v>
      </c>
      <c r="P274" s="57"/>
    </row>
    <row r="275" spans="1:16" ht="24" hidden="1" customHeight="1" x14ac:dyDescent="0.25">
      <c r="A275" s="189">
        <v>7230</v>
      </c>
      <c r="B275" s="89" t="s">
        <v>291</v>
      </c>
      <c r="C275" s="90">
        <f t="shared" si="80"/>
        <v>0</v>
      </c>
      <c r="D275" s="196"/>
      <c r="E275" s="197"/>
      <c r="F275" s="55">
        <f>D275+E275</f>
        <v>0</v>
      </c>
      <c r="G275" s="53"/>
      <c r="H275" s="54"/>
      <c r="I275" s="55">
        <f>G275+H275</f>
        <v>0</v>
      </c>
      <c r="J275" s="53"/>
      <c r="K275" s="54"/>
      <c r="L275" s="55">
        <f>K275+J275</f>
        <v>0</v>
      </c>
      <c r="M275" s="53"/>
      <c r="N275" s="54"/>
      <c r="O275" s="55">
        <f>N275+M275</f>
        <v>0</v>
      </c>
      <c r="P275" s="57"/>
    </row>
    <row r="276" spans="1:16" ht="24" hidden="1" x14ac:dyDescent="0.25">
      <c r="A276" s="189">
        <v>7240</v>
      </c>
      <c r="B276" s="89" t="s">
        <v>292</v>
      </c>
      <c r="C276" s="90">
        <f t="shared" ref="C276:C301" si="109">F276+I276+L276+O276</f>
        <v>0</v>
      </c>
      <c r="D276" s="190">
        <f t="shared" ref="D276:O276" si="110">SUM(D277:D279)</f>
        <v>0</v>
      </c>
      <c r="E276" s="191">
        <f t="shared" si="110"/>
        <v>0</v>
      </c>
      <c r="F276" s="55">
        <f t="shared" si="110"/>
        <v>0</v>
      </c>
      <c r="G276" s="190">
        <f t="shared" si="110"/>
        <v>0</v>
      </c>
      <c r="H276" s="191">
        <f t="shared" si="110"/>
        <v>0</v>
      </c>
      <c r="I276" s="55">
        <f t="shared" si="110"/>
        <v>0</v>
      </c>
      <c r="J276" s="190">
        <f t="shared" si="110"/>
        <v>0</v>
      </c>
      <c r="K276" s="191">
        <f t="shared" si="110"/>
        <v>0</v>
      </c>
      <c r="L276" s="55">
        <f t="shared" si="110"/>
        <v>0</v>
      </c>
      <c r="M276" s="190">
        <f t="shared" si="110"/>
        <v>0</v>
      </c>
      <c r="N276" s="191">
        <f t="shared" si="110"/>
        <v>0</v>
      </c>
      <c r="O276" s="55">
        <f t="shared" si="110"/>
        <v>0</v>
      </c>
      <c r="P276" s="57"/>
    </row>
    <row r="277" spans="1:16" ht="48" hidden="1" customHeight="1" x14ac:dyDescent="0.25">
      <c r="A277" s="51">
        <v>7245</v>
      </c>
      <c r="B277" s="89" t="s">
        <v>293</v>
      </c>
      <c r="C277" s="90">
        <f t="shared" si="109"/>
        <v>0</v>
      </c>
      <c r="D277" s="196"/>
      <c r="E277" s="197"/>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9" t="s">
        <v>294</v>
      </c>
      <c r="C278" s="90">
        <f t="shared" si="109"/>
        <v>0</v>
      </c>
      <c r="D278" s="196"/>
      <c r="E278" s="197"/>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9" t="s">
        <v>295</v>
      </c>
      <c r="C279" s="90">
        <f t="shared" si="109"/>
        <v>0</v>
      </c>
      <c r="D279" s="196"/>
      <c r="E279" s="197"/>
      <c r="F279" s="55">
        <f>D279+E279</f>
        <v>0</v>
      </c>
      <c r="G279" s="53"/>
      <c r="H279" s="54"/>
      <c r="I279" s="55">
        <f>G279+H279</f>
        <v>0</v>
      </c>
      <c r="J279" s="53"/>
      <c r="K279" s="54"/>
      <c r="L279" s="55">
        <f>K279+J279</f>
        <v>0</v>
      </c>
      <c r="M279" s="53"/>
      <c r="N279" s="54"/>
      <c r="O279" s="55">
        <f>N279+M279</f>
        <v>0</v>
      </c>
      <c r="P279" s="57"/>
    </row>
    <row r="280" spans="1:16" ht="24" hidden="1" customHeight="1" x14ac:dyDescent="0.25">
      <c r="A280" s="606">
        <v>7260</v>
      </c>
      <c r="B280" s="82" t="s">
        <v>296</v>
      </c>
      <c r="C280" s="83">
        <f t="shared" si="109"/>
        <v>0</v>
      </c>
      <c r="D280" s="199"/>
      <c r="E280" s="200"/>
      <c r="F280" s="134">
        <f>D280+E280</f>
        <v>0</v>
      </c>
      <c r="G280" s="46"/>
      <c r="H280" s="47"/>
      <c r="I280" s="134">
        <f>G280+H280</f>
        <v>0</v>
      </c>
      <c r="J280" s="46"/>
      <c r="K280" s="47"/>
      <c r="L280" s="134">
        <f>K280+J280</f>
        <v>0</v>
      </c>
      <c r="M280" s="46"/>
      <c r="N280" s="47"/>
      <c r="O280" s="134">
        <f>N280+M280</f>
        <v>0</v>
      </c>
      <c r="P280" s="49"/>
    </row>
    <row r="281" spans="1:16" hidden="1" x14ac:dyDescent="0.25">
      <c r="A281" s="136">
        <v>7700</v>
      </c>
      <c r="B281" s="109" t="s">
        <v>297</v>
      </c>
      <c r="C281" s="110">
        <f t="shared" si="109"/>
        <v>0</v>
      </c>
      <c r="D281" s="235">
        <f t="shared" ref="D281:O281" si="111">D282</f>
        <v>0</v>
      </c>
      <c r="E281" s="236">
        <f t="shared" si="111"/>
        <v>0</v>
      </c>
      <c r="F281" s="131">
        <f t="shared" si="111"/>
        <v>0</v>
      </c>
      <c r="G281" s="235">
        <f t="shared" si="111"/>
        <v>0</v>
      </c>
      <c r="H281" s="236">
        <f t="shared" si="111"/>
        <v>0</v>
      </c>
      <c r="I281" s="131">
        <f t="shared" si="111"/>
        <v>0</v>
      </c>
      <c r="J281" s="235">
        <f t="shared" si="111"/>
        <v>0</v>
      </c>
      <c r="K281" s="236">
        <f t="shared" si="111"/>
        <v>0</v>
      </c>
      <c r="L281" s="131">
        <f t="shared" si="111"/>
        <v>0</v>
      </c>
      <c r="M281" s="235">
        <f t="shared" si="111"/>
        <v>0</v>
      </c>
      <c r="N281" s="236">
        <f t="shared" si="111"/>
        <v>0</v>
      </c>
      <c r="O281" s="131">
        <f t="shared" si="111"/>
        <v>0</v>
      </c>
      <c r="P281" s="119"/>
    </row>
    <row r="282" spans="1:16" ht="12" hidden="1" customHeight="1" x14ac:dyDescent="0.25">
      <c r="A282" s="186">
        <v>7720</v>
      </c>
      <c r="B282" s="82" t="s">
        <v>298</v>
      </c>
      <c r="C282" s="98">
        <f t="shared" si="109"/>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109"/>
        <v>0</v>
      </c>
      <c r="D283" s="243">
        <f t="shared" ref="D283:O284" si="112">D284</f>
        <v>0</v>
      </c>
      <c r="E283" s="244">
        <f t="shared" si="112"/>
        <v>0</v>
      </c>
      <c r="F283" s="245">
        <f t="shared" si="112"/>
        <v>0</v>
      </c>
      <c r="G283" s="243">
        <f>G284</f>
        <v>0</v>
      </c>
      <c r="H283" s="244">
        <f>H284</f>
        <v>0</v>
      </c>
      <c r="I283" s="245">
        <f>I284</f>
        <v>0</v>
      </c>
      <c r="J283" s="243">
        <f t="shared" si="112"/>
        <v>0</v>
      </c>
      <c r="K283" s="244">
        <f t="shared" si="112"/>
        <v>0</v>
      </c>
      <c r="L283" s="245">
        <f t="shared" si="112"/>
        <v>0</v>
      </c>
      <c r="M283" s="243">
        <f t="shared" si="112"/>
        <v>0</v>
      </c>
      <c r="N283" s="244">
        <f t="shared" si="112"/>
        <v>0</v>
      </c>
      <c r="O283" s="245">
        <f t="shared" si="112"/>
        <v>0</v>
      </c>
      <c r="P283" s="246"/>
    </row>
    <row r="284" spans="1:16" ht="24" hidden="1" x14ac:dyDescent="0.25">
      <c r="A284" s="247">
        <v>9200</v>
      </c>
      <c r="B284" s="89" t="s">
        <v>300</v>
      </c>
      <c r="C284" s="143">
        <f t="shared" si="109"/>
        <v>0</v>
      </c>
      <c r="D284" s="187">
        <f t="shared" si="112"/>
        <v>0</v>
      </c>
      <c r="E284" s="188">
        <f t="shared" si="112"/>
        <v>0</v>
      </c>
      <c r="F284" s="141">
        <f t="shared" si="112"/>
        <v>0</v>
      </c>
      <c r="G284" s="187">
        <f t="shared" si="112"/>
        <v>0</v>
      </c>
      <c r="H284" s="188">
        <f t="shared" si="112"/>
        <v>0</v>
      </c>
      <c r="I284" s="141">
        <f t="shared" si="112"/>
        <v>0</v>
      </c>
      <c r="J284" s="187">
        <f t="shared" si="112"/>
        <v>0</v>
      </c>
      <c r="K284" s="188">
        <f t="shared" si="112"/>
        <v>0</v>
      </c>
      <c r="L284" s="141">
        <f t="shared" si="112"/>
        <v>0</v>
      </c>
      <c r="M284" s="187">
        <f t="shared" si="112"/>
        <v>0</v>
      </c>
      <c r="N284" s="188">
        <f t="shared" si="112"/>
        <v>0</v>
      </c>
      <c r="O284" s="141">
        <f t="shared" si="112"/>
        <v>0</v>
      </c>
      <c r="P284" s="129"/>
    </row>
    <row r="285" spans="1:16" ht="24" hidden="1" customHeight="1" x14ac:dyDescent="0.25">
      <c r="A285" s="248">
        <v>9230</v>
      </c>
      <c r="B285" s="89" t="s">
        <v>301</v>
      </c>
      <c r="C285" s="143">
        <f t="shared" si="109"/>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109"/>
        <v>0</v>
      </c>
      <c r="D286" s="190">
        <f t="shared" ref="D286:O286" si="113">SUM(D287:D288)</f>
        <v>0</v>
      </c>
      <c r="E286" s="191">
        <f t="shared" si="113"/>
        <v>0</v>
      </c>
      <c r="F286" s="55">
        <f t="shared" si="113"/>
        <v>0</v>
      </c>
      <c r="G286" s="190">
        <f t="shared" si="113"/>
        <v>0</v>
      </c>
      <c r="H286" s="191">
        <f t="shared" si="113"/>
        <v>0</v>
      </c>
      <c r="I286" s="55">
        <f t="shared" si="113"/>
        <v>0</v>
      </c>
      <c r="J286" s="190">
        <f t="shared" si="113"/>
        <v>0</v>
      </c>
      <c r="K286" s="191">
        <f t="shared" si="113"/>
        <v>0</v>
      </c>
      <c r="L286" s="55">
        <f t="shared" si="113"/>
        <v>0</v>
      </c>
      <c r="M286" s="190">
        <f t="shared" si="113"/>
        <v>0</v>
      </c>
      <c r="N286" s="191">
        <f t="shared" si="113"/>
        <v>0</v>
      </c>
      <c r="O286" s="55">
        <f t="shared" si="113"/>
        <v>0</v>
      </c>
      <c r="P286" s="57"/>
    </row>
    <row r="287" spans="1:16" ht="12" hidden="1" customHeight="1" x14ac:dyDescent="0.25">
      <c r="A287" s="201" t="s">
        <v>303</v>
      </c>
      <c r="B287" s="51" t="s">
        <v>304</v>
      </c>
      <c r="C287" s="90">
        <f t="shared" si="109"/>
        <v>0</v>
      </c>
      <c r="D287" s="196"/>
      <c r="E287" s="197"/>
      <c r="F287" s="55">
        <f>D287+E287</f>
        <v>0</v>
      </c>
      <c r="G287" s="53"/>
      <c r="H287" s="54"/>
      <c r="I287" s="55">
        <f>G287+H287</f>
        <v>0</v>
      </c>
      <c r="J287" s="53"/>
      <c r="K287" s="54"/>
      <c r="L287" s="55">
        <f>K287+J287</f>
        <v>0</v>
      </c>
      <c r="M287" s="53"/>
      <c r="N287" s="54"/>
      <c r="O287" s="55">
        <f>N287+M287</f>
        <v>0</v>
      </c>
      <c r="P287" s="57"/>
    </row>
    <row r="288" spans="1:16" ht="24" hidden="1" customHeight="1" x14ac:dyDescent="0.25">
      <c r="A288" s="201" t="s">
        <v>305</v>
      </c>
      <c r="B288" s="249" t="s">
        <v>306</v>
      </c>
      <c r="C288" s="83">
        <f t="shared" si="109"/>
        <v>0</v>
      </c>
      <c r="D288" s="199"/>
      <c r="E288" s="200"/>
      <c r="F288" s="134">
        <f>D288+E288</f>
        <v>0</v>
      </c>
      <c r="G288" s="46"/>
      <c r="H288" s="47"/>
      <c r="I288" s="134">
        <f>G288+H288</f>
        <v>0</v>
      </c>
      <c r="J288" s="46"/>
      <c r="K288" s="47"/>
      <c r="L288" s="134">
        <f>K288+J288</f>
        <v>0</v>
      </c>
      <c r="M288" s="46"/>
      <c r="N288" s="47"/>
      <c r="O288" s="134">
        <f>N288+M288</f>
        <v>0</v>
      </c>
      <c r="P288" s="49"/>
    </row>
    <row r="289" spans="1:16" ht="12.75" thickBot="1" x14ac:dyDescent="0.3">
      <c r="A289" s="250"/>
      <c r="B289" s="250" t="s">
        <v>307</v>
      </c>
      <c r="C289" s="251">
        <f t="shared" si="109"/>
        <v>1224328</v>
      </c>
      <c r="D289" s="252">
        <f t="shared" ref="D289:O289" si="114">SUM(D286,D269,D230,D195,D187,D173,D75,D53,D283)</f>
        <v>600951</v>
      </c>
      <c r="E289" s="253">
        <f t="shared" si="114"/>
        <v>0</v>
      </c>
      <c r="F289" s="254">
        <f t="shared" si="114"/>
        <v>600951</v>
      </c>
      <c r="G289" s="252">
        <f t="shared" si="114"/>
        <v>494776</v>
      </c>
      <c r="H289" s="253">
        <f t="shared" si="114"/>
        <v>11502</v>
      </c>
      <c r="I289" s="254">
        <f t="shared" si="114"/>
        <v>506278</v>
      </c>
      <c r="J289" s="252">
        <f t="shared" si="114"/>
        <v>105649</v>
      </c>
      <c r="K289" s="253">
        <f t="shared" si="114"/>
        <v>11420</v>
      </c>
      <c r="L289" s="254">
        <f t="shared" si="114"/>
        <v>117069</v>
      </c>
      <c r="M289" s="252">
        <f t="shared" si="114"/>
        <v>30</v>
      </c>
      <c r="N289" s="253">
        <f t="shared" si="114"/>
        <v>0</v>
      </c>
      <c r="O289" s="254">
        <f t="shared" si="114"/>
        <v>30</v>
      </c>
      <c r="P289" s="255"/>
    </row>
    <row r="290" spans="1:16" s="28" customFormat="1" ht="13.5" thickTop="1" thickBot="1" x14ac:dyDescent="0.3">
      <c r="A290" s="1544" t="s">
        <v>308</v>
      </c>
      <c r="B290" s="1545"/>
      <c r="C290" s="256">
        <f t="shared" si="109"/>
        <v>-9073</v>
      </c>
      <c r="D290" s="257">
        <f t="shared" ref="D290:I290" si="115">SUM(D24,D25,D41)-D51</f>
        <v>0</v>
      </c>
      <c r="E290" s="258">
        <f t="shared" si="115"/>
        <v>0</v>
      </c>
      <c r="F290" s="259">
        <f t="shared" si="115"/>
        <v>0</v>
      </c>
      <c r="G290" s="257">
        <f t="shared" si="115"/>
        <v>0</v>
      </c>
      <c r="H290" s="258">
        <f t="shared" si="115"/>
        <v>0</v>
      </c>
      <c r="I290" s="259">
        <f t="shared" si="115"/>
        <v>0</v>
      </c>
      <c r="J290" s="257">
        <f>(J26+J43)-J51</f>
        <v>-9043</v>
      </c>
      <c r="K290" s="258">
        <f>(K26+K43)-K51</f>
        <v>0</v>
      </c>
      <c r="L290" s="259">
        <f>(L26+L43)-L51</f>
        <v>-9043</v>
      </c>
      <c r="M290" s="257">
        <f>M45-M51</f>
        <v>-30</v>
      </c>
      <c r="N290" s="258">
        <f>N45-N51</f>
        <v>0</v>
      </c>
      <c r="O290" s="259">
        <f>O45-O51</f>
        <v>-30</v>
      </c>
      <c r="P290" s="260"/>
    </row>
    <row r="291" spans="1:16" s="28" customFormat="1" ht="12.75" thickTop="1" x14ac:dyDescent="0.25">
      <c r="A291" s="1546" t="s">
        <v>309</v>
      </c>
      <c r="B291" s="1547"/>
      <c r="C291" s="261">
        <f t="shared" si="109"/>
        <v>9073</v>
      </c>
      <c r="D291" s="262">
        <f t="shared" ref="D291:O291" si="116">SUM(D292,D293)-D300+D301</f>
        <v>0</v>
      </c>
      <c r="E291" s="263">
        <f t="shared" si="116"/>
        <v>0</v>
      </c>
      <c r="F291" s="264">
        <f t="shared" si="116"/>
        <v>0</v>
      </c>
      <c r="G291" s="262">
        <f t="shared" si="116"/>
        <v>0</v>
      </c>
      <c r="H291" s="263">
        <f t="shared" si="116"/>
        <v>0</v>
      </c>
      <c r="I291" s="264">
        <f t="shared" si="116"/>
        <v>0</v>
      </c>
      <c r="J291" s="262">
        <f t="shared" si="116"/>
        <v>9043</v>
      </c>
      <c r="K291" s="263">
        <f t="shared" si="116"/>
        <v>0</v>
      </c>
      <c r="L291" s="264">
        <f t="shared" si="116"/>
        <v>9043</v>
      </c>
      <c r="M291" s="262">
        <f t="shared" si="116"/>
        <v>30</v>
      </c>
      <c r="N291" s="263">
        <f t="shared" si="116"/>
        <v>0</v>
      </c>
      <c r="O291" s="264">
        <f t="shared" si="116"/>
        <v>30</v>
      </c>
      <c r="P291" s="265"/>
    </row>
    <row r="292" spans="1:16" s="28" customFormat="1" ht="12.75" thickBot="1" x14ac:dyDescent="0.3">
      <c r="A292" s="157" t="s">
        <v>310</v>
      </c>
      <c r="B292" s="157" t="s">
        <v>311</v>
      </c>
      <c r="C292" s="158">
        <f t="shared" si="109"/>
        <v>9073</v>
      </c>
      <c r="D292" s="159">
        <f t="shared" ref="D292:O292" si="117">D21-D286</f>
        <v>0</v>
      </c>
      <c r="E292" s="160">
        <f t="shared" si="117"/>
        <v>0</v>
      </c>
      <c r="F292" s="161">
        <f t="shared" si="117"/>
        <v>0</v>
      </c>
      <c r="G292" s="159">
        <f t="shared" si="117"/>
        <v>0</v>
      </c>
      <c r="H292" s="160">
        <f t="shared" si="117"/>
        <v>0</v>
      </c>
      <c r="I292" s="161">
        <f t="shared" si="117"/>
        <v>0</v>
      </c>
      <c r="J292" s="159">
        <f t="shared" si="117"/>
        <v>9043</v>
      </c>
      <c r="K292" s="160">
        <f t="shared" si="117"/>
        <v>0</v>
      </c>
      <c r="L292" s="161">
        <f t="shared" si="117"/>
        <v>9043</v>
      </c>
      <c r="M292" s="159">
        <f t="shared" si="117"/>
        <v>30</v>
      </c>
      <c r="N292" s="160">
        <f t="shared" si="117"/>
        <v>0</v>
      </c>
      <c r="O292" s="161">
        <f t="shared" si="117"/>
        <v>30</v>
      </c>
      <c r="P292" s="35"/>
    </row>
    <row r="293" spans="1:16" s="28" customFormat="1" ht="12.75" hidden="1" thickTop="1" x14ac:dyDescent="0.25">
      <c r="A293" s="266" t="s">
        <v>312</v>
      </c>
      <c r="B293" s="266" t="s">
        <v>313</v>
      </c>
      <c r="C293" s="261">
        <f t="shared" si="109"/>
        <v>0</v>
      </c>
      <c r="D293" s="262">
        <f t="shared" ref="D293:O293" si="118">SUM(D294,D296,D298)-SUM(D295,D297,D299)</f>
        <v>0</v>
      </c>
      <c r="E293" s="263">
        <f t="shared" si="118"/>
        <v>0</v>
      </c>
      <c r="F293" s="264">
        <f t="shared" si="118"/>
        <v>0</v>
      </c>
      <c r="G293" s="262">
        <f t="shared" si="118"/>
        <v>0</v>
      </c>
      <c r="H293" s="263">
        <f t="shared" si="118"/>
        <v>0</v>
      </c>
      <c r="I293" s="264">
        <f t="shared" si="118"/>
        <v>0</v>
      </c>
      <c r="J293" s="262">
        <f t="shared" si="118"/>
        <v>0</v>
      </c>
      <c r="K293" s="263">
        <f t="shared" si="118"/>
        <v>0</v>
      </c>
      <c r="L293" s="264">
        <f t="shared" si="118"/>
        <v>0</v>
      </c>
      <c r="M293" s="262">
        <f t="shared" si="118"/>
        <v>0</v>
      </c>
      <c r="N293" s="263">
        <f t="shared" si="118"/>
        <v>0</v>
      </c>
      <c r="O293" s="264">
        <f t="shared" si="118"/>
        <v>0</v>
      </c>
      <c r="P293" s="265"/>
    </row>
    <row r="294" spans="1:16" ht="12" hidden="1" customHeight="1" x14ac:dyDescent="0.25">
      <c r="A294" s="267" t="s">
        <v>314</v>
      </c>
      <c r="B294" s="142" t="s">
        <v>315</v>
      </c>
      <c r="C294" s="98">
        <f t="shared" si="109"/>
        <v>0</v>
      </c>
      <c r="D294" s="237"/>
      <c r="E294" s="238"/>
      <c r="F294" s="239">
        <f t="shared" ref="F294:F301" si="119">D294+E294</f>
        <v>0</v>
      </c>
      <c r="G294" s="102"/>
      <c r="H294" s="103"/>
      <c r="I294" s="239">
        <f t="shared" ref="I294:I301" si="120">G294+H294</f>
        <v>0</v>
      </c>
      <c r="J294" s="102"/>
      <c r="K294" s="103"/>
      <c r="L294" s="239">
        <f t="shared" ref="L294:L301" si="121">K294+J294</f>
        <v>0</v>
      </c>
      <c r="M294" s="102"/>
      <c r="N294" s="103"/>
      <c r="O294" s="239">
        <f t="shared" ref="O294:O301" si="122">N294+M294</f>
        <v>0</v>
      </c>
      <c r="P294" s="107"/>
    </row>
    <row r="295" spans="1:16" ht="24" hidden="1" customHeight="1" x14ac:dyDescent="0.25">
      <c r="A295" s="201" t="s">
        <v>316</v>
      </c>
      <c r="B295" s="50" t="s">
        <v>317</v>
      </c>
      <c r="C295" s="90">
        <f t="shared" si="109"/>
        <v>0</v>
      </c>
      <c r="D295" s="196"/>
      <c r="E295" s="197"/>
      <c r="F295" s="55">
        <f t="shared" si="119"/>
        <v>0</v>
      </c>
      <c r="G295" s="53"/>
      <c r="H295" s="54"/>
      <c r="I295" s="55">
        <f t="shared" si="120"/>
        <v>0</v>
      </c>
      <c r="J295" s="53"/>
      <c r="K295" s="54"/>
      <c r="L295" s="55">
        <f t="shared" si="121"/>
        <v>0</v>
      </c>
      <c r="M295" s="53"/>
      <c r="N295" s="54"/>
      <c r="O295" s="55">
        <f t="shared" si="122"/>
        <v>0</v>
      </c>
      <c r="P295" s="57"/>
    </row>
    <row r="296" spans="1:16" ht="12" hidden="1" customHeight="1" x14ac:dyDescent="0.25">
      <c r="A296" s="201" t="s">
        <v>318</v>
      </c>
      <c r="B296" s="50" t="s">
        <v>319</v>
      </c>
      <c r="C296" s="90">
        <f t="shared" si="109"/>
        <v>0</v>
      </c>
      <c r="D296" s="196"/>
      <c r="E296" s="197"/>
      <c r="F296" s="55">
        <f t="shared" si="119"/>
        <v>0</v>
      </c>
      <c r="G296" s="53"/>
      <c r="H296" s="54"/>
      <c r="I296" s="55">
        <f t="shared" si="120"/>
        <v>0</v>
      </c>
      <c r="J296" s="53"/>
      <c r="K296" s="54"/>
      <c r="L296" s="55">
        <f t="shared" si="121"/>
        <v>0</v>
      </c>
      <c r="M296" s="53"/>
      <c r="N296" s="54"/>
      <c r="O296" s="55">
        <f t="shared" si="122"/>
        <v>0</v>
      </c>
      <c r="P296" s="57"/>
    </row>
    <row r="297" spans="1:16" ht="24" hidden="1" customHeight="1" x14ac:dyDescent="0.25">
      <c r="A297" s="201" t="s">
        <v>320</v>
      </c>
      <c r="B297" s="50" t="s">
        <v>321</v>
      </c>
      <c r="C297" s="90">
        <f t="shared" si="109"/>
        <v>0</v>
      </c>
      <c r="D297" s="196"/>
      <c r="E297" s="197"/>
      <c r="F297" s="55">
        <f t="shared" si="119"/>
        <v>0</v>
      </c>
      <c r="G297" s="53"/>
      <c r="H297" s="54"/>
      <c r="I297" s="55">
        <f t="shared" si="120"/>
        <v>0</v>
      </c>
      <c r="J297" s="53"/>
      <c r="K297" s="54"/>
      <c r="L297" s="55">
        <f t="shared" si="121"/>
        <v>0</v>
      </c>
      <c r="M297" s="53"/>
      <c r="N297" s="54"/>
      <c r="O297" s="55">
        <f t="shared" si="122"/>
        <v>0</v>
      </c>
      <c r="P297" s="57"/>
    </row>
    <row r="298" spans="1:16" ht="12" hidden="1" customHeight="1" x14ac:dyDescent="0.25">
      <c r="A298" s="201" t="s">
        <v>322</v>
      </c>
      <c r="B298" s="50" t="s">
        <v>323</v>
      </c>
      <c r="C298" s="90">
        <f t="shared" si="109"/>
        <v>0</v>
      </c>
      <c r="D298" s="196"/>
      <c r="E298" s="197"/>
      <c r="F298" s="55">
        <f t="shared" si="119"/>
        <v>0</v>
      </c>
      <c r="G298" s="53"/>
      <c r="H298" s="54"/>
      <c r="I298" s="55">
        <f t="shared" si="120"/>
        <v>0</v>
      </c>
      <c r="J298" s="53"/>
      <c r="K298" s="54"/>
      <c r="L298" s="55">
        <f t="shared" si="121"/>
        <v>0</v>
      </c>
      <c r="M298" s="53"/>
      <c r="N298" s="54"/>
      <c r="O298" s="55">
        <f t="shared" si="122"/>
        <v>0</v>
      </c>
      <c r="P298" s="57"/>
    </row>
    <row r="299" spans="1:16" ht="24.75" hidden="1" customHeight="1" thickBot="1" x14ac:dyDescent="0.3">
      <c r="A299" s="268" t="s">
        <v>324</v>
      </c>
      <c r="B299" s="269" t="s">
        <v>325</v>
      </c>
      <c r="C299" s="209">
        <f t="shared" si="109"/>
        <v>0</v>
      </c>
      <c r="D299" s="211"/>
      <c r="E299" s="212"/>
      <c r="F299" s="213">
        <f t="shared" si="119"/>
        <v>0</v>
      </c>
      <c r="G299" s="214"/>
      <c r="H299" s="215"/>
      <c r="I299" s="213">
        <f t="shared" si="120"/>
        <v>0</v>
      </c>
      <c r="J299" s="214"/>
      <c r="K299" s="215"/>
      <c r="L299" s="213">
        <f t="shared" si="121"/>
        <v>0</v>
      </c>
      <c r="M299" s="214"/>
      <c r="N299" s="215"/>
      <c r="O299" s="213">
        <f t="shared" si="122"/>
        <v>0</v>
      </c>
      <c r="P299" s="216"/>
    </row>
    <row r="300" spans="1:16" s="28" customFormat="1" ht="13.5" hidden="1" customHeight="1" thickTop="1" thickBot="1" x14ac:dyDescent="0.3">
      <c r="A300" s="270" t="s">
        <v>326</v>
      </c>
      <c r="B300" s="270" t="s">
        <v>327</v>
      </c>
      <c r="C300" s="256">
        <f t="shared" si="109"/>
        <v>0</v>
      </c>
      <c r="D300" s="271"/>
      <c r="E300" s="272"/>
      <c r="F300" s="259">
        <f t="shared" si="119"/>
        <v>0</v>
      </c>
      <c r="G300" s="271"/>
      <c r="H300" s="272"/>
      <c r="I300" s="273">
        <f t="shared" si="120"/>
        <v>0</v>
      </c>
      <c r="J300" s="271"/>
      <c r="K300" s="272"/>
      <c r="L300" s="273">
        <f t="shared" si="121"/>
        <v>0</v>
      </c>
      <c r="M300" s="271"/>
      <c r="N300" s="272"/>
      <c r="O300" s="273">
        <f t="shared" si="122"/>
        <v>0</v>
      </c>
      <c r="P300" s="274"/>
    </row>
    <row r="301" spans="1:16" s="28" customFormat="1" ht="48.75" hidden="1" customHeight="1" thickTop="1" x14ac:dyDescent="0.25">
      <c r="A301" s="266" t="s">
        <v>328</v>
      </c>
      <c r="B301" s="275" t="s">
        <v>329</v>
      </c>
      <c r="C301" s="261">
        <f t="shared" si="109"/>
        <v>0</v>
      </c>
      <c r="D301" s="205"/>
      <c r="E301" s="206"/>
      <c r="F301" s="73">
        <f t="shared" si="119"/>
        <v>0</v>
      </c>
      <c r="G301" s="205"/>
      <c r="H301" s="206"/>
      <c r="I301" s="73">
        <f t="shared" si="120"/>
        <v>0</v>
      </c>
      <c r="J301" s="205"/>
      <c r="K301" s="206"/>
      <c r="L301" s="73">
        <f t="shared" si="121"/>
        <v>0</v>
      </c>
      <c r="M301" s="205"/>
      <c r="N301" s="206"/>
      <c r="O301" s="73">
        <f t="shared" si="122"/>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sheetData>
  <sheetProtection algorithmName="SHA-512" hashValue="0e/whRTe5RRii8x/tbAcS8aNnSgHrSE0YLShC2rBddCl/EbBwu5H3XU8emloJjqnF8dDxCYozpzI9m58Yz6kgg==" saltValue="qiDQ2fCqm5xx5COwtxXLlg==" spinCount="100000" sheet="1" objects="1" scenarios="1" formatCells="0" formatColumns="0" formatRows="0" deleteColumns="0"/>
  <autoFilter ref="A18:P301">
    <filterColumn colId="2">
      <filters>
        <filter val="1 019 601"/>
        <filter val="1 107 229"/>
        <filter val="1 118 335"/>
        <filter val="1 224 328"/>
        <filter val="1 495"/>
        <filter val="1 598"/>
        <filter val="1 645"/>
        <filter val="1 787"/>
        <filter val="1 883"/>
        <filter val="1 893"/>
        <filter val="1 934"/>
        <filter val="10 045"/>
        <filter val="100"/>
        <filter val="101 147"/>
        <filter val="105 933"/>
        <filter val="105 993"/>
        <filter val="107 962"/>
        <filter val="12 154"/>
        <filter val="12 523"/>
        <filter val="130"/>
        <filter val="14 037"/>
        <filter val="150"/>
        <filter val="163"/>
        <filter val="18 355"/>
        <filter val="18 467"/>
        <filter val="180"/>
        <filter val="189 130"/>
        <filter val="19 696"/>
        <filter val="19 883"/>
        <filter val="2 100"/>
        <filter val="2 125"/>
        <filter val="2 185"/>
        <filter val="2 235"/>
        <filter val="2 463"/>
        <filter val="2 505"/>
        <filter val="21 482"/>
        <filter val="21 780"/>
        <filter val="238 116"/>
        <filter val="252"/>
        <filter val="26"/>
        <filter val="28 451"/>
        <filter val="3 220"/>
        <filter val="3 514"/>
        <filter val="3 532"/>
        <filter val="3 767"/>
        <filter val="3 784"/>
        <filter val="3 956"/>
        <filter val="30 039"/>
        <filter val="329"/>
        <filter val="360"/>
        <filter val="4 569"/>
        <filter val="4 719"/>
        <filter val="40 704"/>
        <filter val="400"/>
        <filter val="414"/>
        <filter val="416"/>
        <filter val="436"/>
        <filter val="48 986"/>
        <filter val="5 119"/>
        <filter val="5 320"/>
        <filter val="5 393"/>
        <filter val="50"/>
        <filter val="53 745"/>
        <filter val="540"/>
        <filter val="549"/>
        <filter val="570"/>
        <filter val="592"/>
        <filter val="60"/>
        <filter val="619"/>
        <filter val="64"/>
        <filter val="72"/>
        <filter val="722 621"/>
        <filter val="75"/>
        <filter val="75 067"/>
        <filter val="765"/>
        <filter val="781 485"/>
        <filter val="84 051"/>
        <filter val="9 073"/>
        <filter val="-9 073"/>
        <filter val="98 73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2019.gada 31.oktobra saistošajiem noteikumiem Nr.46
(protokols Nr.14, 28.punkts)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8"/>
  <sheetViews>
    <sheetView showGridLines="0" view="pageLayout" zoomScaleNormal="100" workbookViewId="0">
      <selection activeCell="T4" sqref="T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828</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60" t="s">
        <v>821</v>
      </c>
      <c r="D3" s="1560"/>
      <c r="E3" s="1560"/>
      <c r="F3" s="1560"/>
      <c r="G3" s="1560"/>
      <c r="H3" s="1560"/>
      <c r="I3" s="1560"/>
      <c r="J3" s="1560"/>
      <c r="K3" s="1560"/>
      <c r="L3" s="1560"/>
      <c r="M3" s="1560"/>
      <c r="N3" s="1560"/>
      <c r="O3" s="1560"/>
      <c r="P3" s="1561"/>
      <c r="Q3" s="277"/>
    </row>
    <row r="4" spans="1:17" ht="12.75" customHeight="1" x14ac:dyDescent="0.25">
      <c r="A4" s="5" t="s">
        <v>4</v>
      </c>
      <c r="B4" s="6"/>
      <c r="C4" s="1560" t="s">
        <v>822</v>
      </c>
      <c r="D4" s="1560"/>
      <c r="E4" s="1560"/>
      <c r="F4" s="1560"/>
      <c r="G4" s="1560"/>
      <c r="H4" s="1560"/>
      <c r="I4" s="1560"/>
      <c r="J4" s="1560"/>
      <c r="K4" s="1560"/>
      <c r="L4" s="1560"/>
      <c r="M4" s="1560"/>
      <c r="N4" s="1560"/>
      <c r="O4" s="1560"/>
      <c r="P4" s="1561"/>
      <c r="Q4" s="277"/>
    </row>
    <row r="5" spans="1:17" ht="12.75" customHeight="1" x14ac:dyDescent="0.25">
      <c r="A5" s="7" t="s">
        <v>6</v>
      </c>
      <c r="B5" s="8"/>
      <c r="C5" s="1562" t="s">
        <v>823</v>
      </c>
      <c r="D5" s="1562"/>
      <c r="E5" s="1562"/>
      <c r="F5" s="1562"/>
      <c r="G5" s="1562"/>
      <c r="H5" s="1562"/>
      <c r="I5" s="1562"/>
      <c r="J5" s="1562"/>
      <c r="K5" s="1562"/>
      <c r="L5" s="1562"/>
      <c r="M5" s="1562"/>
      <c r="N5" s="1562"/>
      <c r="O5" s="1562"/>
      <c r="P5" s="1563"/>
      <c r="Q5" s="277"/>
    </row>
    <row r="6" spans="1:17" ht="12.75" customHeight="1" x14ac:dyDescent="0.25">
      <c r="A6" s="7" t="s">
        <v>8</v>
      </c>
      <c r="B6" s="8"/>
      <c r="C6" s="1562" t="s">
        <v>824</v>
      </c>
      <c r="D6" s="1562"/>
      <c r="E6" s="1562"/>
      <c r="F6" s="1562"/>
      <c r="G6" s="1562"/>
      <c r="H6" s="1562"/>
      <c r="I6" s="1562"/>
      <c r="J6" s="1562"/>
      <c r="K6" s="1562"/>
      <c r="L6" s="1562"/>
      <c r="M6" s="1562"/>
      <c r="N6" s="1562"/>
      <c r="O6" s="1562"/>
      <c r="P6" s="1563"/>
      <c r="Q6" s="277"/>
    </row>
    <row r="7" spans="1:17" ht="24.75" customHeight="1" x14ac:dyDescent="0.25">
      <c r="A7" s="7" t="s">
        <v>10</v>
      </c>
      <c r="B7" s="8"/>
      <c r="C7" s="1560" t="s">
        <v>825</v>
      </c>
      <c r="D7" s="1560"/>
      <c r="E7" s="1560"/>
      <c r="F7" s="1560"/>
      <c r="G7" s="1560"/>
      <c r="H7" s="1560"/>
      <c r="I7" s="1560"/>
      <c r="J7" s="1560"/>
      <c r="K7" s="1560"/>
      <c r="L7" s="1560"/>
      <c r="M7" s="1560"/>
      <c r="N7" s="1560"/>
      <c r="O7" s="1560"/>
      <c r="P7" s="1561"/>
      <c r="Q7" s="277"/>
    </row>
    <row r="8" spans="1:17" ht="12.75" customHeight="1" x14ac:dyDescent="0.25">
      <c r="A8" s="9" t="s">
        <v>12</v>
      </c>
      <c r="B8" s="8"/>
      <c r="C8" s="1564"/>
      <c r="D8" s="1564"/>
      <c r="E8" s="1564"/>
      <c r="F8" s="1564"/>
      <c r="G8" s="1564"/>
      <c r="H8" s="1564"/>
      <c r="I8" s="1564"/>
      <c r="J8" s="1564"/>
      <c r="K8" s="1564"/>
      <c r="L8" s="1564"/>
      <c r="M8" s="1564"/>
      <c r="N8" s="1564"/>
      <c r="O8" s="1564"/>
      <c r="P8" s="1565"/>
      <c r="Q8" s="277"/>
    </row>
    <row r="9" spans="1:17" ht="12.75" customHeight="1" x14ac:dyDescent="0.25">
      <c r="A9" s="7"/>
      <c r="B9" s="8" t="s">
        <v>13</v>
      </c>
      <c r="C9" s="1562"/>
      <c r="D9" s="1562"/>
      <c r="E9" s="1562"/>
      <c r="F9" s="1562"/>
      <c r="G9" s="1562"/>
      <c r="H9" s="1562"/>
      <c r="I9" s="1562"/>
      <c r="J9" s="1562"/>
      <c r="K9" s="1562"/>
      <c r="L9" s="1562"/>
      <c r="M9" s="1562"/>
      <c r="N9" s="1562"/>
      <c r="O9" s="1562"/>
      <c r="P9" s="1563"/>
      <c r="Q9" s="277"/>
    </row>
    <row r="10" spans="1:17" ht="12.75" customHeight="1" x14ac:dyDescent="0.25">
      <c r="A10" s="7"/>
      <c r="B10" s="8" t="s">
        <v>15</v>
      </c>
      <c r="C10" s="1566"/>
      <c r="D10" s="1566"/>
      <c r="E10" s="1566"/>
      <c r="F10" s="1566"/>
      <c r="G10" s="1566"/>
      <c r="H10" s="1566"/>
      <c r="I10" s="1566"/>
      <c r="J10" s="1566"/>
      <c r="K10" s="1566"/>
      <c r="L10" s="1566"/>
      <c r="M10" s="1566"/>
      <c r="N10" s="1566"/>
      <c r="O10" s="1566"/>
      <c r="P10" s="1567"/>
      <c r="Q10" s="277"/>
    </row>
    <row r="11" spans="1:17" ht="12.75" customHeight="1" x14ac:dyDescent="0.25">
      <c r="A11" s="7"/>
      <c r="B11" s="8" t="s">
        <v>16</v>
      </c>
      <c r="C11" s="1564" t="s">
        <v>826</v>
      </c>
      <c r="D11" s="1564"/>
      <c r="E11" s="1564"/>
      <c r="F11" s="1564"/>
      <c r="G11" s="1564"/>
      <c r="H11" s="1564"/>
      <c r="I11" s="1564"/>
      <c r="J11" s="1564"/>
      <c r="K11" s="1564"/>
      <c r="L11" s="1564"/>
      <c r="M11" s="1564"/>
      <c r="N11" s="1564"/>
      <c r="O11" s="1564"/>
      <c r="P11" s="1565"/>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13192</v>
      </c>
      <c r="D20" s="32">
        <f>SUM(D21,D24,D25,D41,D43)</f>
        <v>0</v>
      </c>
      <c r="E20" s="33">
        <f t="shared" ref="E20:F20" si="1">SUM(E21,E24,E25,E41,E43)</f>
        <v>13192</v>
      </c>
      <c r="F20" s="34">
        <f t="shared" si="1"/>
        <v>13192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42</v>
      </c>
      <c r="C24" s="59">
        <f>F24+I24</f>
        <v>0</v>
      </c>
      <c r="D24" s="60"/>
      <c r="E24" s="63"/>
      <c r="F24" s="62">
        <f t="shared" si="9"/>
        <v>0</v>
      </c>
      <c r="G24" s="60"/>
      <c r="H24" s="63"/>
      <c r="I24" s="62">
        <f t="shared" si="10"/>
        <v>0</v>
      </c>
      <c r="J24" s="64" t="s">
        <v>43</v>
      </c>
      <c r="K24" s="65" t="s">
        <v>43</v>
      </c>
      <c r="L24" s="66" t="s">
        <v>43</v>
      </c>
      <c r="M24" s="64" t="s">
        <v>43</v>
      </c>
      <c r="N24" s="65" t="s">
        <v>43</v>
      </c>
      <c r="O24" s="66" t="s">
        <v>43</v>
      </c>
      <c r="P24" s="67"/>
    </row>
    <row r="25" spans="1:16" s="28" customFormat="1" ht="24.75" customHeight="1" thickTop="1" x14ac:dyDescent="0.25">
      <c r="A25" s="68">
        <v>18630</v>
      </c>
      <c r="B25" s="69" t="s">
        <v>44</v>
      </c>
      <c r="C25" s="70">
        <f>F25</f>
        <v>13192</v>
      </c>
      <c r="D25" s="71"/>
      <c r="E25" s="72">
        <v>13192</v>
      </c>
      <c r="F25" s="73">
        <f t="shared" si="9"/>
        <v>13192</v>
      </c>
      <c r="G25" s="74" t="s">
        <v>43</v>
      </c>
      <c r="H25" s="75" t="s">
        <v>43</v>
      </c>
      <c r="I25" s="76" t="s">
        <v>43</v>
      </c>
      <c r="J25" s="74" t="s">
        <v>43</v>
      </c>
      <c r="K25" s="75" t="s">
        <v>43</v>
      </c>
      <c r="L25" s="76" t="s">
        <v>43</v>
      </c>
      <c r="M25" s="74" t="s">
        <v>43</v>
      </c>
      <c r="N25" s="75" t="s">
        <v>43</v>
      </c>
      <c r="O25" s="76" t="s">
        <v>43</v>
      </c>
      <c r="P25" s="77" t="s">
        <v>827</v>
      </c>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72"/>
      <c r="D49" s="607"/>
      <c r="E49" s="608"/>
      <c r="F49" s="175"/>
      <c r="G49" s="46"/>
      <c r="H49" s="47"/>
      <c r="I49" s="134"/>
      <c r="J49" s="46"/>
      <c r="K49" s="47"/>
      <c r="L49" s="48"/>
      <c r="M49" s="46"/>
      <c r="N49" s="47"/>
      <c r="O49" s="134"/>
      <c r="P49" s="156"/>
    </row>
    <row r="50" spans="1:16" s="28" customFormat="1" ht="12.75" thickBot="1" x14ac:dyDescent="0.3">
      <c r="A50" s="157"/>
      <c r="B50" s="29" t="s">
        <v>68</v>
      </c>
      <c r="C50" s="158">
        <f t="shared" si="0"/>
        <v>13192</v>
      </c>
      <c r="D50" s="159">
        <f>SUM(D51,D286)</f>
        <v>0</v>
      </c>
      <c r="E50" s="160">
        <f t="shared" ref="E50:F50" si="26">SUM(E51,E286)</f>
        <v>13192</v>
      </c>
      <c r="F50" s="161">
        <f t="shared" si="26"/>
        <v>13192</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2484</v>
      </c>
      <c r="D51" s="165">
        <f>SUM(D52,D194)</f>
        <v>0</v>
      </c>
      <c r="E51" s="166">
        <f t="shared" ref="E51:F51" si="30">SUM(E52,E194)</f>
        <v>2484</v>
      </c>
      <c r="F51" s="167">
        <f t="shared" si="30"/>
        <v>2484</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2484</v>
      </c>
      <c r="D52" s="173">
        <f>SUM(D53,D75,D173,D187)</f>
        <v>0</v>
      </c>
      <c r="E52" s="174">
        <f t="shared" ref="E52:F52" si="34">SUM(E53,E75,E173,E187)</f>
        <v>2484</v>
      </c>
      <c r="F52" s="175">
        <f t="shared" si="34"/>
        <v>2484</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609">
        <f t="shared" si="0"/>
        <v>0</v>
      </c>
      <c r="D53" s="610">
        <f>SUM(D54,D67)</f>
        <v>0</v>
      </c>
      <c r="E53" s="611">
        <f t="shared" ref="E53:F53" si="38">SUM(E54,E67)</f>
        <v>0</v>
      </c>
      <c r="F53" s="612">
        <f t="shared" si="38"/>
        <v>0</v>
      </c>
      <c r="G53" s="610">
        <f>SUM(G54,G67)</f>
        <v>0</v>
      </c>
      <c r="H53" s="611">
        <f t="shared" ref="H53:I53" si="39">SUM(H54,H67)</f>
        <v>0</v>
      </c>
      <c r="I53" s="612">
        <f t="shared" si="39"/>
        <v>0</v>
      </c>
      <c r="J53" s="610">
        <f>SUM(J54,J67)</f>
        <v>0</v>
      </c>
      <c r="K53" s="611">
        <f t="shared" ref="K53:L53" si="40">SUM(K54,K67)</f>
        <v>0</v>
      </c>
      <c r="L53" s="612">
        <f t="shared" si="40"/>
        <v>0</v>
      </c>
      <c r="M53" s="610">
        <f>SUM(M54,M67)</f>
        <v>0</v>
      </c>
      <c r="N53" s="611">
        <f t="shared" ref="N53:O53" si="41">SUM(N54,N67)</f>
        <v>0</v>
      </c>
      <c r="O53" s="612">
        <f t="shared" si="41"/>
        <v>0</v>
      </c>
      <c r="P53" s="613"/>
    </row>
    <row r="54" spans="1:16" hidden="1" x14ac:dyDescent="0.25">
      <c r="A54" s="69">
        <v>1100</v>
      </c>
      <c r="B54" s="183" t="s">
        <v>72</v>
      </c>
      <c r="C54" s="614">
        <f t="shared" si="0"/>
        <v>0</v>
      </c>
      <c r="D54" s="615">
        <f>SUM(D55,D58,D66)</f>
        <v>0</v>
      </c>
      <c r="E54" s="616">
        <f t="shared" ref="E54:F54" si="42">SUM(E55,E58,E66)</f>
        <v>0</v>
      </c>
      <c r="F54" s="617">
        <f t="shared" si="42"/>
        <v>0</v>
      </c>
      <c r="G54" s="615">
        <f>SUM(G55,G58,G66)</f>
        <v>0</v>
      </c>
      <c r="H54" s="616">
        <f t="shared" ref="H54:I54" si="43">SUM(H55,H58,H66)</f>
        <v>0</v>
      </c>
      <c r="I54" s="617">
        <f t="shared" si="43"/>
        <v>0</v>
      </c>
      <c r="J54" s="615">
        <f>SUM(J55,J58,J66)</f>
        <v>0</v>
      </c>
      <c r="K54" s="616">
        <f t="shared" ref="K54:L54" si="44">SUM(K55,K58,K66)</f>
        <v>0</v>
      </c>
      <c r="L54" s="617">
        <f t="shared" si="44"/>
        <v>0</v>
      </c>
      <c r="M54" s="615">
        <f>SUM(M55,M58,M66)</f>
        <v>0</v>
      </c>
      <c r="N54" s="616">
        <f t="shared" ref="N54:O54" si="45">SUM(N55,N58,N66)</f>
        <v>0</v>
      </c>
      <c r="O54" s="617">
        <f t="shared" si="45"/>
        <v>0</v>
      </c>
      <c r="P54" s="618"/>
    </row>
    <row r="55" spans="1:16" hidden="1" x14ac:dyDescent="0.25">
      <c r="A55" s="186">
        <v>1110</v>
      </c>
      <c r="B55" s="138" t="s">
        <v>73</v>
      </c>
      <c r="C55" s="619">
        <f t="shared" si="0"/>
        <v>0</v>
      </c>
      <c r="D55" s="620">
        <f>SUM(D56:D57)</f>
        <v>0</v>
      </c>
      <c r="E55" s="621">
        <f t="shared" ref="E55:F55" si="46">SUM(E56:E57)</f>
        <v>0</v>
      </c>
      <c r="F55" s="622">
        <f t="shared" si="46"/>
        <v>0</v>
      </c>
      <c r="G55" s="620">
        <f>SUM(G56:G57)</f>
        <v>0</v>
      </c>
      <c r="H55" s="621">
        <f t="shared" ref="H55:I55" si="47">SUM(H56:H57)</f>
        <v>0</v>
      </c>
      <c r="I55" s="622">
        <f t="shared" si="47"/>
        <v>0</v>
      </c>
      <c r="J55" s="620">
        <f>SUM(J56:J57)</f>
        <v>0</v>
      </c>
      <c r="K55" s="621">
        <f t="shared" ref="K55:L55" si="48">SUM(K56:K57)</f>
        <v>0</v>
      </c>
      <c r="L55" s="622">
        <f t="shared" si="48"/>
        <v>0</v>
      </c>
      <c r="M55" s="620">
        <f>SUM(M56:M57)</f>
        <v>0</v>
      </c>
      <c r="N55" s="621">
        <f t="shared" ref="N55:O55" si="49">SUM(N56:N57)</f>
        <v>0</v>
      </c>
      <c r="O55" s="622">
        <f t="shared" si="49"/>
        <v>0</v>
      </c>
      <c r="P55" s="623"/>
    </row>
    <row r="56" spans="1:16" ht="12" hidden="1" customHeight="1" x14ac:dyDescent="0.25">
      <c r="A56" s="44">
        <v>1111</v>
      </c>
      <c r="B56" s="82" t="s">
        <v>74</v>
      </c>
      <c r="C56" s="624">
        <f t="shared" si="0"/>
        <v>0</v>
      </c>
      <c r="D56" s="625"/>
      <c r="E56" s="626"/>
      <c r="F56" s="627">
        <f t="shared" ref="F56:F57" si="50">D56+E56</f>
        <v>0</v>
      </c>
      <c r="G56" s="625"/>
      <c r="H56" s="626"/>
      <c r="I56" s="627">
        <f t="shared" ref="I56:I57" si="51">G56+H56</f>
        <v>0</v>
      </c>
      <c r="J56" s="625"/>
      <c r="K56" s="626"/>
      <c r="L56" s="627">
        <f t="shared" ref="L56:L57" si="52">K56+J56</f>
        <v>0</v>
      </c>
      <c r="M56" s="625"/>
      <c r="N56" s="626"/>
      <c r="O56" s="627">
        <f t="shared" ref="O56:O57" si="53">N56+M56</f>
        <v>0</v>
      </c>
      <c r="P56" s="628"/>
    </row>
    <row r="57" spans="1:16" ht="24" hidden="1" customHeight="1" x14ac:dyDescent="0.25">
      <c r="A57" s="51">
        <v>1119</v>
      </c>
      <c r="B57" s="89" t="s">
        <v>75</v>
      </c>
      <c r="C57" s="629">
        <f t="shared" si="0"/>
        <v>0</v>
      </c>
      <c r="D57" s="630"/>
      <c r="E57" s="631"/>
      <c r="F57" s="632">
        <f t="shared" si="50"/>
        <v>0</v>
      </c>
      <c r="G57" s="630"/>
      <c r="H57" s="631"/>
      <c r="I57" s="632">
        <f t="shared" si="51"/>
        <v>0</v>
      </c>
      <c r="J57" s="630"/>
      <c r="K57" s="631"/>
      <c r="L57" s="632">
        <f t="shared" si="52"/>
        <v>0</v>
      </c>
      <c r="M57" s="630"/>
      <c r="N57" s="631"/>
      <c r="O57" s="632">
        <f t="shared" si="53"/>
        <v>0</v>
      </c>
      <c r="P57" s="633"/>
    </row>
    <row r="58" spans="1:16" hidden="1" x14ac:dyDescent="0.25">
      <c r="A58" s="189">
        <v>1140</v>
      </c>
      <c r="B58" s="89" t="s">
        <v>76</v>
      </c>
      <c r="C58" s="629">
        <f t="shared" si="0"/>
        <v>0</v>
      </c>
      <c r="D58" s="634">
        <f>SUM(D59:D65)</f>
        <v>0</v>
      </c>
      <c r="E58" s="635">
        <f>SUM(E59:E65)</f>
        <v>0</v>
      </c>
      <c r="F58" s="632">
        <f t="shared" ref="F58" si="54">SUM(F59:F65)</f>
        <v>0</v>
      </c>
      <c r="G58" s="634">
        <f>SUM(G59:G65)</f>
        <v>0</v>
      </c>
      <c r="H58" s="635">
        <f t="shared" ref="H58:I58" si="55">SUM(H59:H65)</f>
        <v>0</v>
      </c>
      <c r="I58" s="632">
        <f t="shared" si="55"/>
        <v>0</v>
      </c>
      <c r="J58" s="634">
        <f>SUM(J59:J65)</f>
        <v>0</v>
      </c>
      <c r="K58" s="635">
        <f t="shared" ref="K58:L58" si="56">SUM(K59:K65)</f>
        <v>0</v>
      </c>
      <c r="L58" s="632">
        <f t="shared" si="56"/>
        <v>0</v>
      </c>
      <c r="M58" s="634">
        <f>SUM(M59:M65)</f>
        <v>0</v>
      </c>
      <c r="N58" s="635">
        <f t="shared" ref="N58:O58" si="57">SUM(N59:N65)</f>
        <v>0</v>
      </c>
      <c r="O58" s="632">
        <f t="shared" si="57"/>
        <v>0</v>
      </c>
      <c r="P58" s="633"/>
    </row>
    <row r="59" spans="1:16" ht="12" hidden="1" customHeight="1" x14ac:dyDescent="0.25">
      <c r="A59" s="51">
        <v>1141</v>
      </c>
      <c r="B59" s="89" t="s">
        <v>77</v>
      </c>
      <c r="C59" s="629">
        <f t="shared" si="0"/>
        <v>0</v>
      </c>
      <c r="D59" s="630"/>
      <c r="E59" s="631"/>
      <c r="F59" s="632">
        <f t="shared" ref="F59:F66" si="58">D59+E59</f>
        <v>0</v>
      </c>
      <c r="G59" s="630"/>
      <c r="H59" s="631"/>
      <c r="I59" s="632">
        <f t="shared" ref="I59:I66" si="59">G59+H59</f>
        <v>0</v>
      </c>
      <c r="J59" s="630"/>
      <c r="K59" s="631"/>
      <c r="L59" s="632">
        <f t="shared" ref="L59:L66" si="60">K59+J59</f>
        <v>0</v>
      </c>
      <c r="M59" s="630"/>
      <c r="N59" s="631"/>
      <c r="O59" s="632">
        <f t="shared" ref="O59:O66" si="61">N59+M59</f>
        <v>0</v>
      </c>
      <c r="P59" s="633"/>
    </row>
    <row r="60" spans="1:16" ht="24.75" hidden="1" customHeight="1" x14ac:dyDescent="0.25">
      <c r="A60" s="51">
        <v>1142</v>
      </c>
      <c r="B60" s="89" t="s">
        <v>78</v>
      </c>
      <c r="C60" s="629">
        <f t="shared" si="0"/>
        <v>0</v>
      </c>
      <c r="D60" s="630"/>
      <c r="E60" s="631"/>
      <c r="F60" s="632">
        <f t="shared" si="58"/>
        <v>0</v>
      </c>
      <c r="G60" s="630"/>
      <c r="H60" s="631"/>
      <c r="I60" s="632">
        <f t="shared" si="59"/>
        <v>0</v>
      </c>
      <c r="J60" s="630"/>
      <c r="K60" s="631"/>
      <c r="L60" s="632">
        <f t="shared" si="60"/>
        <v>0</v>
      </c>
      <c r="M60" s="630"/>
      <c r="N60" s="631"/>
      <c r="O60" s="632">
        <f t="shared" si="61"/>
        <v>0</v>
      </c>
      <c r="P60" s="633"/>
    </row>
    <row r="61" spans="1:16" ht="24" hidden="1" customHeight="1" x14ac:dyDescent="0.25">
      <c r="A61" s="51">
        <v>1145</v>
      </c>
      <c r="B61" s="89" t="s">
        <v>79</v>
      </c>
      <c r="C61" s="629">
        <f t="shared" si="0"/>
        <v>0</v>
      </c>
      <c r="D61" s="630"/>
      <c r="E61" s="631"/>
      <c r="F61" s="632">
        <f t="shared" si="58"/>
        <v>0</v>
      </c>
      <c r="G61" s="630"/>
      <c r="H61" s="631"/>
      <c r="I61" s="632">
        <f t="shared" si="59"/>
        <v>0</v>
      </c>
      <c r="J61" s="630"/>
      <c r="K61" s="631"/>
      <c r="L61" s="632">
        <f t="shared" si="60"/>
        <v>0</v>
      </c>
      <c r="M61" s="630"/>
      <c r="N61" s="631"/>
      <c r="O61" s="632">
        <f t="shared" si="61"/>
        <v>0</v>
      </c>
      <c r="P61" s="633"/>
    </row>
    <row r="62" spans="1:16" ht="27.75" hidden="1" customHeight="1" x14ac:dyDescent="0.25">
      <c r="A62" s="51">
        <v>1146</v>
      </c>
      <c r="B62" s="89" t="s">
        <v>80</v>
      </c>
      <c r="C62" s="629">
        <f t="shared" si="0"/>
        <v>0</v>
      </c>
      <c r="D62" s="630"/>
      <c r="E62" s="631"/>
      <c r="F62" s="632">
        <f t="shared" si="58"/>
        <v>0</v>
      </c>
      <c r="G62" s="630"/>
      <c r="H62" s="631"/>
      <c r="I62" s="632">
        <f t="shared" si="59"/>
        <v>0</v>
      </c>
      <c r="J62" s="630"/>
      <c r="K62" s="631"/>
      <c r="L62" s="632">
        <f t="shared" si="60"/>
        <v>0</v>
      </c>
      <c r="M62" s="630"/>
      <c r="N62" s="631"/>
      <c r="O62" s="632">
        <f t="shared" si="61"/>
        <v>0</v>
      </c>
      <c r="P62" s="633"/>
    </row>
    <row r="63" spans="1:16" ht="12" hidden="1" customHeight="1" x14ac:dyDescent="0.25">
      <c r="A63" s="51">
        <v>1147</v>
      </c>
      <c r="B63" s="89" t="s">
        <v>81</v>
      </c>
      <c r="C63" s="629">
        <f t="shared" si="0"/>
        <v>0</v>
      </c>
      <c r="D63" s="630"/>
      <c r="E63" s="631"/>
      <c r="F63" s="632">
        <f t="shared" si="58"/>
        <v>0</v>
      </c>
      <c r="G63" s="630"/>
      <c r="H63" s="631"/>
      <c r="I63" s="632">
        <f t="shared" si="59"/>
        <v>0</v>
      </c>
      <c r="J63" s="630"/>
      <c r="K63" s="631"/>
      <c r="L63" s="632">
        <f t="shared" si="60"/>
        <v>0</v>
      </c>
      <c r="M63" s="630"/>
      <c r="N63" s="631"/>
      <c r="O63" s="632">
        <f t="shared" si="61"/>
        <v>0</v>
      </c>
      <c r="P63" s="633"/>
    </row>
    <row r="64" spans="1:16" ht="12" hidden="1" customHeight="1" x14ac:dyDescent="0.25">
      <c r="A64" s="51">
        <v>1148</v>
      </c>
      <c r="B64" s="89" t="s">
        <v>82</v>
      </c>
      <c r="C64" s="629">
        <f t="shared" si="0"/>
        <v>0</v>
      </c>
      <c r="D64" s="630"/>
      <c r="E64" s="631"/>
      <c r="F64" s="632">
        <f t="shared" si="58"/>
        <v>0</v>
      </c>
      <c r="G64" s="630"/>
      <c r="H64" s="631"/>
      <c r="I64" s="632">
        <f t="shared" si="59"/>
        <v>0</v>
      </c>
      <c r="J64" s="630"/>
      <c r="K64" s="631"/>
      <c r="L64" s="632">
        <f t="shared" si="60"/>
        <v>0</v>
      </c>
      <c r="M64" s="630"/>
      <c r="N64" s="631"/>
      <c r="O64" s="632">
        <f t="shared" si="61"/>
        <v>0</v>
      </c>
      <c r="P64" s="633"/>
    </row>
    <row r="65" spans="1:16" ht="24" hidden="1" customHeight="1" x14ac:dyDescent="0.25">
      <c r="A65" s="51">
        <v>1149</v>
      </c>
      <c r="B65" s="89" t="s">
        <v>83</v>
      </c>
      <c r="C65" s="629">
        <f t="shared" si="0"/>
        <v>0</v>
      </c>
      <c r="D65" s="630"/>
      <c r="E65" s="631"/>
      <c r="F65" s="632">
        <f t="shared" si="58"/>
        <v>0</v>
      </c>
      <c r="G65" s="630"/>
      <c r="H65" s="631"/>
      <c r="I65" s="632">
        <f t="shared" si="59"/>
        <v>0</v>
      </c>
      <c r="J65" s="630"/>
      <c r="K65" s="631"/>
      <c r="L65" s="632">
        <f t="shared" si="60"/>
        <v>0</v>
      </c>
      <c r="M65" s="630"/>
      <c r="N65" s="631"/>
      <c r="O65" s="632">
        <f t="shared" si="61"/>
        <v>0</v>
      </c>
      <c r="P65" s="633"/>
    </row>
    <row r="66" spans="1:16" ht="36" hidden="1" customHeight="1" x14ac:dyDescent="0.25">
      <c r="A66" s="186">
        <v>1150</v>
      </c>
      <c r="B66" s="138" t="s">
        <v>84</v>
      </c>
      <c r="C66" s="619">
        <f t="shared" si="0"/>
        <v>0</v>
      </c>
      <c r="D66" s="636"/>
      <c r="E66" s="637"/>
      <c r="F66" s="622">
        <f t="shared" si="58"/>
        <v>0</v>
      </c>
      <c r="G66" s="636"/>
      <c r="H66" s="637"/>
      <c r="I66" s="622">
        <f t="shared" si="59"/>
        <v>0</v>
      </c>
      <c r="J66" s="636"/>
      <c r="K66" s="637"/>
      <c r="L66" s="622">
        <f t="shared" si="60"/>
        <v>0</v>
      </c>
      <c r="M66" s="636"/>
      <c r="N66" s="637"/>
      <c r="O66" s="622">
        <f t="shared" si="61"/>
        <v>0</v>
      </c>
      <c r="P66" s="623"/>
    </row>
    <row r="67" spans="1:16" ht="24" hidden="1" x14ac:dyDescent="0.25">
      <c r="A67" s="69">
        <v>1200</v>
      </c>
      <c r="B67" s="183" t="s">
        <v>85</v>
      </c>
      <c r="C67" s="614">
        <f t="shared" si="0"/>
        <v>0</v>
      </c>
      <c r="D67" s="615">
        <f>SUM(D68:D69)</f>
        <v>0</v>
      </c>
      <c r="E67" s="616">
        <f t="shared" ref="E67:F67" si="62">SUM(E68:E69)</f>
        <v>0</v>
      </c>
      <c r="F67" s="617">
        <f t="shared" si="62"/>
        <v>0</v>
      </c>
      <c r="G67" s="615">
        <f>SUM(G68:G69)</f>
        <v>0</v>
      </c>
      <c r="H67" s="616">
        <f t="shared" ref="H67:I67" si="63">SUM(H68:H69)</f>
        <v>0</v>
      </c>
      <c r="I67" s="617">
        <f t="shared" si="63"/>
        <v>0</v>
      </c>
      <c r="J67" s="615">
        <f>SUM(J68:J69)</f>
        <v>0</v>
      </c>
      <c r="K67" s="616">
        <f t="shared" ref="K67:L67" si="64">SUM(K68:K69)</f>
        <v>0</v>
      </c>
      <c r="L67" s="617">
        <f t="shared" si="64"/>
        <v>0</v>
      </c>
      <c r="M67" s="615">
        <f>SUM(M68:M69)</f>
        <v>0</v>
      </c>
      <c r="N67" s="616">
        <f t="shared" ref="N67:O67" si="65">SUM(N68:N69)</f>
        <v>0</v>
      </c>
      <c r="O67" s="617">
        <f t="shared" si="65"/>
        <v>0</v>
      </c>
      <c r="P67" s="618"/>
    </row>
    <row r="68" spans="1:16" ht="24" hidden="1" customHeight="1" x14ac:dyDescent="0.25">
      <c r="A68" s="605">
        <v>1210</v>
      </c>
      <c r="B68" s="82" t="s">
        <v>86</v>
      </c>
      <c r="C68" s="624">
        <f t="shared" si="0"/>
        <v>0</v>
      </c>
      <c r="D68" s="625"/>
      <c r="E68" s="626"/>
      <c r="F68" s="627">
        <f>D68+E68</f>
        <v>0</v>
      </c>
      <c r="G68" s="625"/>
      <c r="H68" s="626"/>
      <c r="I68" s="627">
        <f>G68+H68</f>
        <v>0</v>
      </c>
      <c r="J68" s="625"/>
      <c r="K68" s="626"/>
      <c r="L68" s="627">
        <f>K68+J68</f>
        <v>0</v>
      </c>
      <c r="M68" s="625"/>
      <c r="N68" s="626"/>
      <c r="O68" s="627">
        <f>N68+M68</f>
        <v>0</v>
      </c>
      <c r="P68" s="628"/>
    </row>
    <row r="69" spans="1:16" ht="24" hidden="1" x14ac:dyDescent="0.25">
      <c r="A69" s="189">
        <v>1220</v>
      </c>
      <c r="B69" s="89" t="s">
        <v>87</v>
      </c>
      <c r="C69" s="629">
        <f t="shared" si="0"/>
        <v>0</v>
      </c>
      <c r="D69" s="634">
        <f>SUM(D70:D74)</f>
        <v>0</v>
      </c>
      <c r="E69" s="635">
        <f t="shared" ref="E69:F69" si="66">SUM(E70:E74)</f>
        <v>0</v>
      </c>
      <c r="F69" s="632">
        <f t="shared" si="66"/>
        <v>0</v>
      </c>
      <c r="G69" s="634">
        <f>SUM(G70:G74)</f>
        <v>0</v>
      </c>
      <c r="H69" s="635">
        <f t="shared" ref="H69:I69" si="67">SUM(H70:H74)</f>
        <v>0</v>
      </c>
      <c r="I69" s="632">
        <f t="shared" si="67"/>
        <v>0</v>
      </c>
      <c r="J69" s="634">
        <f>SUM(J70:J74)</f>
        <v>0</v>
      </c>
      <c r="K69" s="635">
        <f t="shared" ref="K69:L69" si="68">SUM(K70:K74)</f>
        <v>0</v>
      </c>
      <c r="L69" s="632">
        <f t="shared" si="68"/>
        <v>0</v>
      </c>
      <c r="M69" s="634">
        <f>SUM(M70:M74)</f>
        <v>0</v>
      </c>
      <c r="N69" s="635">
        <f t="shared" ref="N69:O69" si="69">SUM(N70:N74)</f>
        <v>0</v>
      </c>
      <c r="O69" s="632">
        <f t="shared" si="69"/>
        <v>0</v>
      </c>
      <c r="P69" s="633"/>
    </row>
    <row r="70" spans="1:16" ht="48" hidden="1" customHeight="1" x14ac:dyDescent="0.25">
      <c r="A70" s="51">
        <v>1221</v>
      </c>
      <c r="B70" s="89" t="s">
        <v>88</v>
      </c>
      <c r="C70" s="629">
        <f t="shared" si="0"/>
        <v>0</v>
      </c>
      <c r="D70" s="630"/>
      <c r="E70" s="631"/>
      <c r="F70" s="632">
        <f t="shared" ref="F70:F74" si="70">D70+E70</f>
        <v>0</v>
      </c>
      <c r="G70" s="630"/>
      <c r="H70" s="631"/>
      <c r="I70" s="632">
        <f t="shared" ref="I70:I74" si="71">G70+H70</f>
        <v>0</v>
      </c>
      <c r="J70" s="630"/>
      <c r="K70" s="631"/>
      <c r="L70" s="632">
        <f t="shared" ref="L70:L74" si="72">K70+J70</f>
        <v>0</v>
      </c>
      <c r="M70" s="630"/>
      <c r="N70" s="631"/>
      <c r="O70" s="632">
        <f t="shared" ref="O70:O74" si="73">N70+M70</f>
        <v>0</v>
      </c>
      <c r="P70" s="633"/>
    </row>
    <row r="71" spans="1:16" ht="12" hidden="1" customHeight="1" x14ac:dyDescent="0.25">
      <c r="A71" s="51">
        <v>1223</v>
      </c>
      <c r="B71" s="89" t="s">
        <v>89</v>
      </c>
      <c r="C71" s="629">
        <f t="shared" si="0"/>
        <v>0</v>
      </c>
      <c r="D71" s="630"/>
      <c r="E71" s="631"/>
      <c r="F71" s="632">
        <f t="shared" si="70"/>
        <v>0</v>
      </c>
      <c r="G71" s="630"/>
      <c r="H71" s="631"/>
      <c r="I71" s="632">
        <f t="shared" si="71"/>
        <v>0</v>
      </c>
      <c r="J71" s="630"/>
      <c r="K71" s="631"/>
      <c r="L71" s="632">
        <f t="shared" si="72"/>
        <v>0</v>
      </c>
      <c r="M71" s="630"/>
      <c r="N71" s="631"/>
      <c r="O71" s="632">
        <f t="shared" si="73"/>
        <v>0</v>
      </c>
      <c r="P71" s="633"/>
    </row>
    <row r="72" spans="1:16" ht="24" hidden="1" customHeight="1" x14ac:dyDescent="0.25">
      <c r="A72" s="51">
        <v>1225</v>
      </c>
      <c r="B72" s="89" t="s">
        <v>90</v>
      </c>
      <c r="C72" s="629">
        <f t="shared" si="0"/>
        <v>0</v>
      </c>
      <c r="D72" s="630"/>
      <c r="E72" s="631"/>
      <c r="F72" s="632">
        <f t="shared" si="70"/>
        <v>0</v>
      </c>
      <c r="G72" s="630"/>
      <c r="H72" s="631"/>
      <c r="I72" s="632">
        <f t="shared" si="71"/>
        <v>0</v>
      </c>
      <c r="J72" s="630"/>
      <c r="K72" s="631"/>
      <c r="L72" s="632">
        <f t="shared" si="72"/>
        <v>0</v>
      </c>
      <c r="M72" s="630"/>
      <c r="N72" s="631"/>
      <c r="O72" s="632">
        <f t="shared" si="73"/>
        <v>0</v>
      </c>
      <c r="P72" s="633"/>
    </row>
    <row r="73" spans="1:16" ht="36" hidden="1" customHeight="1" x14ac:dyDescent="0.25">
      <c r="A73" s="51">
        <v>1227</v>
      </c>
      <c r="B73" s="89" t="s">
        <v>91</v>
      </c>
      <c r="C73" s="629">
        <f t="shared" si="0"/>
        <v>0</v>
      </c>
      <c r="D73" s="630"/>
      <c r="E73" s="631"/>
      <c r="F73" s="632">
        <f t="shared" si="70"/>
        <v>0</v>
      </c>
      <c r="G73" s="630"/>
      <c r="H73" s="631"/>
      <c r="I73" s="632">
        <f t="shared" si="71"/>
        <v>0</v>
      </c>
      <c r="J73" s="630"/>
      <c r="K73" s="631"/>
      <c r="L73" s="632">
        <f t="shared" si="72"/>
        <v>0</v>
      </c>
      <c r="M73" s="630"/>
      <c r="N73" s="631"/>
      <c r="O73" s="632">
        <f t="shared" si="73"/>
        <v>0</v>
      </c>
      <c r="P73" s="633"/>
    </row>
    <row r="74" spans="1:16" ht="48" hidden="1" customHeight="1" x14ac:dyDescent="0.25">
      <c r="A74" s="51">
        <v>1228</v>
      </c>
      <c r="B74" s="89" t="s">
        <v>92</v>
      </c>
      <c r="C74" s="629">
        <f t="shared" si="0"/>
        <v>0</v>
      </c>
      <c r="D74" s="630"/>
      <c r="E74" s="631"/>
      <c r="F74" s="632">
        <f t="shared" si="70"/>
        <v>0</v>
      </c>
      <c r="G74" s="630"/>
      <c r="H74" s="631"/>
      <c r="I74" s="632">
        <f t="shared" si="71"/>
        <v>0</v>
      </c>
      <c r="J74" s="630"/>
      <c r="K74" s="631"/>
      <c r="L74" s="632">
        <f t="shared" si="72"/>
        <v>0</v>
      </c>
      <c r="M74" s="630"/>
      <c r="N74" s="631"/>
      <c r="O74" s="632">
        <f t="shared" si="73"/>
        <v>0</v>
      </c>
      <c r="P74" s="633"/>
    </row>
    <row r="75" spans="1:16" x14ac:dyDescent="0.25">
      <c r="A75" s="177">
        <v>2000</v>
      </c>
      <c r="B75" s="177" t="s">
        <v>93</v>
      </c>
      <c r="C75" s="609">
        <f t="shared" si="0"/>
        <v>2484</v>
      </c>
      <c r="D75" s="610">
        <f>SUM(D76,D83,D130,D164,D165,D172)</f>
        <v>0</v>
      </c>
      <c r="E75" s="611">
        <f t="shared" ref="E75:F75" si="74">SUM(E76,E83,E130,E164,E165,E172)</f>
        <v>2484</v>
      </c>
      <c r="F75" s="612">
        <f t="shared" si="74"/>
        <v>2484</v>
      </c>
      <c r="G75" s="610">
        <f>SUM(G76,G83,G130,G164,G165,G172)</f>
        <v>0</v>
      </c>
      <c r="H75" s="611">
        <f t="shared" ref="H75:I75" si="75">SUM(H76,H83,H130,H164,H165,H172)</f>
        <v>0</v>
      </c>
      <c r="I75" s="612">
        <f t="shared" si="75"/>
        <v>0</v>
      </c>
      <c r="J75" s="610">
        <f>SUM(J76,J83,J130,J164,J165,J172)</f>
        <v>0</v>
      </c>
      <c r="K75" s="611">
        <f t="shared" ref="K75:L75" si="76">SUM(K76,K83,K130,K164,K165,K172)</f>
        <v>0</v>
      </c>
      <c r="L75" s="612">
        <f t="shared" si="76"/>
        <v>0</v>
      </c>
      <c r="M75" s="610">
        <f>SUM(M76,M83,M130,M164,M165,M172)</f>
        <v>0</v>
      </c>
      <c r="N75" s="611">
        <f t="shared" ref="N75:O75" si="77">SUM(N76,N83,N130,N164,N165,N172)</f>
        <v>0</v>
      </c>
      <c r="O75" s="612">
        <f t="shared" si="77"/>
        <v>0</v>
      </c>
      <c r="P75" s="613"/>
    </row>
    <row r="76" spans="1:16" ht="24" x14ac:dyDescent="0.25">
      <c r="A76" s="69">
        <v>2100</v>
      </c>
      <c r="B76" s="183" t="s">
        <v>94</v>
      </c>
      <c r="C76" s="70">
        <f t="shared" si="0"/>
        <v>2334</v>
      </c>
      <c r="D76" s="184">
        <f>SUM(D77,D80)</f>
        <v>0</v>
      </c>
      <c r="E76" s="185">
        <f t="shared" ref="E76:F76" si="78">SUM(E77,E80)</f>
        <v>2334</v>
      </c>
      <c r="F76" s="73">
        <f t="shared" si="78"/>
        <v>2334</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05">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2334</v>
      </c>
      <c r="D80" s="190">
        <f>SUM(D81:D82)</f>
        <v>0</v>
      </c>
      <c r="E80" s="191">
        <f t="shared" ref="E80:F80" si="90">SUM(E81:E82)</f>
        <v>2334</v>
      </c>
      <c r="F80" s="55">
        <f t="shared" si="90"/>
        <v>2334</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customHeight="1" x14ac:dyDescent="0.25">
      <c r="A81" s="51">
        <v>2121</v>
      </c>
      <c r="B81" s="89" t="s">
        <v>96</v>
      </c>
      <c r="C81" s="90">
        <f t="shared" si="0"/>
        <v>560</v>
      </c>
      <c r="D81" s="196"/>
      <c r="E81" s="197">
        <v>560</v>
      </c>
      <c r="F81" s="55">
        <f t="shared" ref="F81:F82" si="94">D81+E81</f>
        <v>560</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9" t="s">
        <v>97</v>
      </c>
      <c r="C82" s="90">
        <f t="shared" si="0"/>
        <v>1774</v>
      </c>
      <c r="D82" s="196"/>
      <c r="E82" s="197">
        <v>1774</v>
      </c>
      <c r="F82" s="55">
        <f t="shared" si="94"/>
        <v>1774</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605">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150</v>
      </c>
      <c r="D130" s="184">
        <f>SUM(D131,D136,D140,D141,D144,D151,D159,D160,D163)</f>
        <v>0</v>
      </c>
      <c r="E130" s="185">
        <f t="shared" ref="E130:F130" si="160">SUM(E131,E136,E140,E141,E144,E151,E159,E160,E163)</f>
        <v>150</v>
      </c>
      <c r="F130" s="73">
        <f t="shared" si="160"/>
        <v>150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605">
        <v>2310</v>
      </c>
      <c r="B131" s="82" t="s">
        <v>147</v>
      </c>
      <c r="C131" s="83">
        <f t="shared" si="102"/>
        <v>150</v>
      </c>
      <c r="D131" s="194">
        <f t="shared" ref="D131:O131" si="164">SUM(D132:D135)</f>
        <v>0</v>
      </c>
      <c r="E131" s="195">
        <f t="shared" si="164"/>
        <v>150</v>
      </c>
      <c r="F131" s="134">
        <f t="shared" si="164"/>
        <v>150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150</v>
      </c>
      <c r="D132" s="196"/>
      <c r="E132" s="197">
        <v>150</v>
      </c>
      <c r="F132" s="55">
        <f t="shared" ref="F132:F135" si="165">D132+E132</f>
        <v>150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638">
        <f t="shared" si="193"/>
        <v>0</v>
      </c>
      <c r="D160" s="639">
        <f>SUM(D161:D162)</f>
        <v>0</v>
      </c>
      <c r="E160" s="640">
        <f t="shared" ref="E160:F160" si="202">SUM(E161:E162)</f>
        <v>0</v>
      </c>
      <c r="F160" s="641">
        <f t="shared" si="202"/>
        <v>0</v>
      </c>
      <c r="G160" s="639">
        <f>SUM(G161:G162)</f>
        <v>0</v>
      </c>
      <c r="H160" s="640">
        <f t="shared" ref="H160:I160" si="203">SUM(H161:H162)</f>
        <v>0</v>
      </c>
      <c r="I160" s="641">
        <f t="shared" si="203"/>
        <v>0</v>
      </c>
      <c r="J160" s="639">
        <f>SUM(J161:J162)</f>
        <v>0</v>
      </c>
      <c r="K160" s="640">
        <f t="shared" ref="K160:L160" si="204">SUM(K161:K162)</f>
        <v>0</v>
      </c>
      <c r="L160" s="641">
        <f t="shared" si="204"/>
        <v>0</v>
      </c>
      <c r="M160" s="639">
        <f>SUM(M161:M162)</f>
        <v>0</v>
      </c>
      <c r="N160" s="640">
        <f t="shared" ref="N160:O160" si="205">SUM(N161:N162)</f>
        <v>0</v>
      </c>
      <c r="O160" s="641">
        <f t="shared" si="205"/>
        <v>0</v>
      </c>
      <c r="P160" s="129"/>
    </row>
    <row r="161" spans="1:16" ht="12" hidden="1" customHeight="1" x14ac:dyDescent="0.25">
      <c r="A161" s="43">
        <v>2381</v>
      </c>
      <c r="B161" s="82" t="s">
        <v>177</v>
      </c>
      <c r="C161" s="642">
        <f t="shared" si="193"/>
        <v>0</v>
      </c>
      <c r="D161" s="199"/>
      <c r="E161" s="200"/>
      <c r="F161" s="643">
        <f t="shared" ref="F161:F164" si="206">D161+E161</f>
        <v>0</v>
      </c>
      <c r="G161" s="46"/>
      <c r="H161" s="47"/>
      <c r="I161" s="643">
        <f t="shared" ref="I161:I164" si="207">G161+H161</f>
        <v>0</v>
      </c>
      <c r="J161" s="46"/>
      <c r="K161" s="47"/>
      <c r="L161" s="643">
        <f t="shared" ref="L161:L164" si="208">K161+J161</f>
        <v>0</v>
      </c>
      <c r="M161" s="46"/>
      <c r="N161" s="47"/>
      <c r="O161" s="643">
        <f t="shared" ref="O161:O164" si="209">N161+M161</f>
        <v>0</v>
      </c>
      <c r="P161" s="49"/>
    </row>
    <row r="162" spans="1:16" ht="24" hidden="1" customHeight="1" x14ac:dyDescent="0.25">
      <c r="A162" s="50">
        <v>2389</v>
      </c>
      <c r="B162" s="89" t="s">
        <v>178</v>
      </c>
      <c r="C162" s="644">
        <f t="shared" si="193"/>
        <v>0</v>
      </c>
      <c r="D162" s="196"/>
      <c r="E162" s="197"/>
      <c r="F162" s="645">
        <f t="shared" si="206"/>
        <v>0</v>
      </c>
      <c r="G162" s="53"/>
      <c r="H162" s="54"/>
      <c r="I162" s="645">
        <f t="shared" si="207"/>
        <v>0</v>
      </c>
      <c r="J162" s="53"/>
      <c r="K162" s="54"/>
      <c r="L162" s="645">
        <f t="shared" si="208"/>
        <v>0</v>
      </c>
      <c r="M162" s="53"/>
      <c r="N162" s="54"/>
      <c r="O162" s="645">
        <f t="shared" si="209"/>
        <v>0</v>
      </c>
      <c r="P162" s="57"/>
    </row>
    <row r="163" spans="1:16" ht="12" hidden="1" customHeight="1" x14ac:dyDescent="0.25">
      <c r="A163" s="186">
        <v>2390</v>
      </c>
      <c r="B163" s="138" t="s">
        <v>179</v>
      </c>
      <c r="C163" s="638">
        <f t="shared" si="193"/>
        <v>0</v>
      </c>
      <c r="D163" s="203"/>
      <c r="E163" s="204"/>
      <c r="F163" s="641">
        <f t="shared" si="206"/>
        <v>0</v>
      </c>
      <c r="G163" s="144"/>
      <c r="H163" s="145"/>
      <c r="I163" s="641">
        <f t="shared" si="207"/>
        <v>0</v>
      </c>
      <c r="J163" s="144"/>
      <c r="K163" s="145"/>
      <c r="L163" s="641">
        <f t="shared" si="208"/>
        <v>0</v>
      </c>
      <c r="M163" s="144"/>
      <c r="N163" s="145"/>
      <c r="O163" s="641">
        <f t="shared" si="209"/>
        <v>0</v>
      </c>
      <c r="P163" s="129"/>
    </row>
    <row r="164" spans="1:16" ht="12" hidden="1" customHeight="1" x14ac:dyDescent="0.25">
      <c r="A164" s="69">
        <v>2400</v>
      </c>
      <c r="B164" s="183" t="s">
        <v>180</v>
      </c>
      <c r="C164" s="646">
        <f t="shared" si="193"/>
        <v>0</v>
      </c>
      <c r="D164" s="205"/>
      <c r="E164" s="206"/>
      <c r="F164" s="647">
        <f t="shared" si="206"/>
        <v>0</v>
      </c>
      <c r="G164" s="71"/>
      <c r="H164" s="72"/>
      <c r="I164" s="647">
        <f t="shared" si="207"/>
        <v>0</v>
      </c>
      <c r="J164" s="71"/>
      <c r="K164" s="72"/>
      <c r="L164" s="647">
        <f t="shared" si="208"/>
        <v>0</v>
      </c>
      <c r="M164" s="71"/>
      <c r="N164" s="72"/>
      <c r="O164" s="647">
        <f t="shared" si="209"/>
        <v>0</v>
      </c>
      <c r="P164" s="77"/>
    </row>
    <row r="165" spans="1:16" ht="24" hidden="1" x14ac:dyDescent="0.25">
      <c r="A165" s="69">
        <v>2500</v>
      </c>
      <c r="B165" s="183" t="s">
        <v>181</v>
      </c>
      <c r="C165" s="646">
        <f t="shared" si="193"/>
        <v>0</v>
      </c>
      <c r="D165" s="648">
        <f>SUM(D166,D171)</f>
        <v>0</v>
      </c>
      <c r="E165" s="649">
        <f t="shared" ref="E165:O165" si="210">SUM(E166,E171)</f>
        <v>0</v>
      </c>
      <c r="F165" s="647">
        <f t="shared" si="210"/>
        <v>0</v>
      </c>
      <c r="G165" s="648">
        <f t="shared" si="210"/>
        <v>0</v>
      </c>
      <c r="H165" s="649">
        <f t="shared" si="210"/>
        <v>0</v>
      </c>
      <c r="I165" s="647">
        <f t="shared" si="210"/>
        <v>0</v>
      </c>
      <c r="J165" s="648">
        <f t="shared" si="210"/>
        <v>0</v>
      </c>
      <c r="K165" s="649">
        <f t="shared" si="210"/>
        <v>0</v>
      </c>
      <c r="L165" s="647">
        <f t="shared" si="210"/>
        <v>0</v>
      </c>
      <c r="M165" s="648">
        <f t="shared" si="210"/>
        <v>0</v>
      </c>
      <c r="N165" s="649">
        <f t="shared" si="210"/>
        <v>0</v>
      </c>
      <c r="O165" s="647">
        <f t="shared" si="210"/>
        <v>0</v>
      </c>
      <c r="P165" s="77"/>
    </row>
    <row r="166" spans="1:16" ht="16.5" hidden="1" customHeight="1" x14ac:dyDescent="0.25">
      <c r="A166" s="605">
        <v>2510</v>
      </c>
      <c r="B166" s="82" t="s">
        <v>182</v>
      </c>
      <c r="C166" s="642">
        <f t="shared" si="193"/>
        <v>0</v>
      </c>
      <c r="D166" s="650">
        <f>SUM(D167:D170)</f>
        <v>0</v>
      </c>
      <c r="E166" s="651">
        <f t="shared" ref="E166:O166" si="211">SUM(E167:E170)</f>
        <v>0</v>
      </c>
      <c r="F166" s="643">
        <f t="shared" si="211"/>
        <v>0</v>
      </c>
      <c r="G166" s="650">
        <f t="shared" si="211"/>
        <v>0</v>
      </c>
      <c r="H166" s="651">
        <f t="shared" si="211"/>
        <v>0</v>
      </c>
      <c r="I166" s="643">
        <f t="shared" si="211"/>
        <v>0</v>
      </c>
      <c r="J166" s="650">
        <f t="shared" si="211"/>
        <v>0</v>
      </c>
      <c r="K166" s="651">
        <f t="shared" si="211"/>
        <v>0</v>
      </c>
      <c r="L166" s="643">
        <f t="shared" si="211"/>
        <v>0</v>
      </c>
      <c r="M166" s="650">
        <f t="shared" si="211"/>
        <v>0</v>
      </c>
      <c r="N166" s="651">
        <f t="shared" si="211"/>
        <v>0</v>
      </c>
      <c r="O166" s="643">
        <f t="shared" si="211"/>
        <v>0</v>
      </c>
      <c r="P166" s="49"/>
    </row>
    <row r="167" spans="1:16" ht="24" hidden="1" customHeight="1" x14ac:dyDescent="0.25">
      <c r="A167" s="51">
        <v>2512</v>
      </c>
      <c r="B167" s="89" t="s">
        <v>183</v>
      </c>
      <c r="C167" s="644">
        <f t="shared" si="193"/>
        <v>0</v>
      </c>
      <c r="D167" s="196"/>
      <c r="E167" s="197"/>
      <c r="F167" s="645">
        <f t="shared" ref="F167:F172" si="212">D167+E167</f>
        <v>0</v>
      </c>
      <c r="G167" s="53"/>
      <c r="H167" s="54"/>
      <c r="I167" s="645">
        <f t="shared" ref="I167:I172" si="213">G167+H167</f>
        <v>0</v>
      </c>
      <c r="J167" s="53"/>
      <c r="K167" s="54"/>
      <c r="L167" s="645">
        <f t="shared" ref="L167:L172" si="214">K167+J167</f>
        <v>0</v>
      </c>
      <c r="M167" s="53"/>
      <c r="N167" s="54"/>
      <c r="O167" s="645">
        <f t="shared" ref="O167:O172" si="215">N167+M167</f>
        <v>0</v>
      </c>
      <c r="P167" s="57"/>
    </row>
    <row r="168" spans="1:16" ht="36" hidden="1" customHeight="1" x14ac:dyDescent="0.25">
      <c r="A168" s="51">
        <v>2513</v>
      </c>
      <c r="B168" s="89" t="s">
        <v>184</v>
      </c>
      <c r="C168" s="644">
        <f t="shared" si="193"/>
        <v>0</v>
      </c>
      <c r="D168" s="196"/>
      <c r="E168" s="197"/>
      <c r="F168" s="645">
        <f t="shared" si="212"/>
        <v>0</v>
      </c>
      <c r="G168" s="53"/>
      <c r="H168" s="54"/>
      <c r="I168" s="645">
        <f t="shared" si="213"/>
        <v>0</v>
      </c>
      <c r="J168" s="53"/>
      <c r="K168" s="54"/>
      <c r="L168" s="645">
        <f t="shared" si="214"/>
        <v>0</v>
      </c>
      <c r="M168" s="53"/>
      <c r="N168" s="54"/>
      <c r="O168" s="645">
        <f t="shared" si="215"/>
        <v>0</v>
      </c>
      <c r="P168" s="57"/>
    </row>
    <row r="169" spans="1:16" ht="24" hidden="1" customHeight="1" x14ac:dyDescent="0.25">
      <c r="A169" s="51">
        <v>2515</v>
      </c>
      <c r="B169" s="89" t="s">
        <v>185</v>
      </c>
      <c r="C169" s="644">
        <f t="shared" si="193"/>
        <v>0</v>
      </c>
      <c r="D169" s="196"/>
      <c r="E169" s="197"/>
      <c r="F169" s="645">
        <f t="shared" si="212"/>
        <v>0</v>
      </c>
      <c r="G169" s="53"/>
      <c r="H169" s="54"/>
      <c r="I169" s="645">
        <f t="shared" si="213"/>
        <v>0</v>
      </c>
      <c r="J169" s="53"/>
      <c r="K169" s="54"/>
      <c r="L169" s="645">
        <f t="shared" si="214"/>
        <v>0</v>
      </c>
      <c r="M169" s="53"/>
      <c r="N169" s="54"/>
      <c r="O169" s="645">
        <f t="shared" si="215"/>
        <v>0</v>
      </c>
      <c r="P169" s="57"/>
    </row>
    <row r="170" spans="1:16" ht="24" hidden="1" customHeight="1" x14ac:dyDescent="0.25">
      <c r="A170" s="51">
        <v>2519</v>
      </c>
      <c r="B170" s="89" t="s">
        <v>186</v>
      </c>
      <c r="C170" s="644">
        <f t="shared" si="193"/>
        <v>0</v>
      </c>
      <c r="D170" s="196"/>
      <c r="E170" s="197"/>
      <c r="F170" s="645">
        <f t="shared" si="212"/>
        <v>0</v>
      </c>
      <c r="G170" s="53"/>
      <c r="H170" s="54"/>
      <c r="I170" s="645">
        <f t="shared" si="213"/>
        <v>0</v>
      </c>
      <c r="J170" s="53"/>
      <c r="K170" s="54"/>
      <c r="L170" s="645">
        <f t="shared" si="214"/>
        <v>0</v>
      </c>
      <c r="M170" s="53"/>
      <c r="N170" s="54"/>
      <c r="O170" s="645">
        <f t="shared" si="215"/>
        <v>0</v>
      </c>
      <c r="P170" s="57"/>
    </row>
    <row r="171" spans="1:16" ht="24" hidden="1" customHeight="1" x14ac:dyDescent="0.25">
      <c r="A171" s="189">
        <v>2520</v>
      </c>
      <c r="B171" s="89" t="s">
        <v>187</v>
      </c>
      <c r="C171" s="644">
        <f t="shared" si="193"/>
        <v>0</v>
      </c>
      <c r="D171" s="196"/>
      <c r="E171" s="197"/>
      <c r="F171" s="645">
        <f t="shared" si="212"/>
        <v>0</v>
      </c>
      <c r="G171" s="53"/>
      <c r="H171" s="54"/>
      <c r="I171" s="645">
        <f t="shared" si="213"/>
        <v>0</v>
      </c>
      <c r="J171" s="53"/>
      <c r="K171" s="54"/>
      <c r="L171" s="645">
        <f t="shared" si="214"/>
        <v>0</v>
      </c>
      <c r="M171" s="53"/>
      <c r="N171" s="54"/>
      <c r="O171" s="645">
        <f t="shared" si="215"/>
        <v>0</v>
      </c>
      <c r="P171" s="57"/>
    </row>
    <row r="172" spans="1:16" s="207" customFormat="1" ht="36" hidden="1" customHeight="1" x14ac:dyDescent="0.25">
      <c r="A172" s="23">
        <v>2800</v>
      </c>
      <c r="B172" s="82" t="s">
        <v>188</v>
      </c>
      <c r="C172" s="642">
        <f t="shared" si="193"/>
        <v>0</v>
      </c>
      <c r="D172" s="46"/>
      <c r="E172" s="47"/>
      <c r="F172" s="643">
        <f t="shared" si="212"/>
        <v>0</v>
      </c>
      <c r="G172" s="46"/>
      <c r="H172" s="47"/>
      <c r="I172" s="643">
        <f t="shared" si="213"/>
        <v>0</v>
      </c>
      <c r="J172" s="46"/>
      <c r="K172" s="47"/>
      <c r="L172" s="643">
        <f t="shared" si="214"/>
        <v>0</v>
      </c>
      <c r="M172" s="46"/>
      <c r="N172" s="47"/>
      <c r="O172" s="643">
        <f t="shared" si="215"/>
        <v>0</v>
      </c>
      <c r="P172" s="49"/>
    </row>
    <row r="173" spans="1:16" hidden="1" x14ac:dyDescent="0.25">
      <c r="A173" s="652">
        <v>3000</v>
      </c>
      <c r="B173" s="652" t="s">
        <v>189</v>
      </c>
      <c r="C173" s="609">
        <f t="shared" si="193"/>
        <v>0</v>
      </c>
      <c r="D173" s="610">
        <f>SUM(D174,D184)</f>
        <v>0</v>
      </c>
      <c r="E173" s="611">
        <f t="shared" ref="E173:F173" si="216">SUM(E174,E184)</f>
        <v>0</v>
      </c>
      <c r="F173" s="612">
        <f t="shared" si="216"/>
        <v>0</v>
      </c>
      <c r="G173" s="610">
        <f>SUM(G174,G184)</f>
        <v>0</v>
      </c>
      <c r="H173" s="611">
        <f t="shared" ref="H173:I173" si="217">SUM(H174,H184)</f>
        <v>0</v>
      </c>
      <c r="I173" s="612">
        <f t="shared" si="217"/>
        <v>0</v>
      </c>
      <c r="J173" s="610">
        <f>SUM(J174,J184)</f>
        <v>0</v>
      </c>
      <c r="K173" s="611">
        <f t="shared" ref="K173:L173" si="218">SUM(K174,K184)</f>
        <v>0</v>
      </c>
      <c r="L173" s="612">
        <f t="shared" si="218"/>
        <v>0</v>
      </c>
      <c r="M173" s="610">
        <f>SUM(M174,M184)</f>
        <v>0</v>
      </c>
      <c r="N173" s="611">
        <f t="shared" ref="N173:O173" si="219">SUM(N174,N184)</f>
        <v>0</v>
      </c>
      <c r="O173" s="612">
        <f t="shared" si="219"/>
        <v>0</v>
      </c>
      <c r="P173" s="613"/>
    </row>
    <row r="174" spans="1:16" ht="24" hidden="1" x14ac:dyDescent="0.25">
      <c r="A174" s="653">
        <v>3200</v>
      </c>
      <c r="B174" s="654" t="s">
        <v>190</v>
      </c>
      <c r="C174" s="614">
        <f t="shared" si="193"/>
        <v>0</v>
      </c>
      <c r="D174" s="615">
        <f>SUM(D175,D179)</f>
        <v>0</v>
      </c>
      <c r="E174" s="616">
        <f t="shared" ref="E174:O174" si="220">SUM(E175,E179)</f>
        <v>0</v>
      </c>
      <c r="F174" s="617">
        <f t="shared" si="220"/>
        <v>0</v>
      </c>
      <c r="G174" s="615">
        <f t="shared" si="220"/>
        <v>0</v>
      </c>
      <c r="H174" s="616">
        <f t="shared" si="220"/>
        <v>0</v>
      </c>
      <c r="I174" s="617">
        <f t="shared" si="220"/>
        <v>0</v>
      </c>
      <c r="J174" s="615">
        <f t="shared" si="220"/>
        <v>0</v>
      </c>
      <c r="K174" s="616">
        <f t="shared" si="220"/>
        <v>0</v>
      </c>
      <c r="L174" s="617">
        <f t="shared" si="220"/>
        <v>0</v>
      </c>
      <c r="M174" s="615">
        <f t="shared" si="220"/>
        <v>0</v>
      </c>
      <c r="N174" s="616">
        <f t="shared" si="220"/>
        <v>0</v>
      </c>
      <c r="O174" s="617">
        <f t="shared" si="220"/>
        <v>0</v>
      </c>
      <c r="P174" s="618"/>
    </row>
    <row r="175" spans="1:16" ht="36" hidden="1" x14ac:dyDescent="0.25">
      <c r="A175" s="655">
        <v>3260</v>
      </c>
      <c r="B175" s="656" t="s">
        <v>191</v>
      </c>
      <c r="C175" s="624">
        <f t="shared" si="193"/>
        <v>0</v>
      </c>
      <c r="D175" s="657">
        <f>SUM(D176:D178)</f>
        <v>0</v>
      </c>
      <c r="E175" s="658">
        <f t="shared" ref="E175:F175" si="221">SUM(E176:E178)</f>
        <v>0</v>
      </c>
      <c r="F175" s="627">
        <f t="shared" si="221"/>
        <v>0</v>
      </c>
      <c r="G175" s="657">
        <f>SUM(G176:G178)</f>
        <v>0</v>
      </c>
      <c r="H175" s="658">
        <f t="shared" ref="H175:I175" si="222">SUM(H176:H178)</f>
        <v>0</v>
      </c>
      <c r="I175" s="627">
        <f t="shared" si="222"/>
        <v>0</v>
      </c>
      <c r="J175" s="657">
        <f>SUM(J176:J178)</f>
        <v>0</v>
      </c>
      <c r="K175" s="658">
        <f t="shared" ref="K175:L175" si="223">SUM(K176:K178)</f>
        <v>0</v>
      </c>
      <c r="L175" s="627">
        <f t="shared" si="223"/>
        <v>0</v>
      </c>
      <c r="M175" s="657">
        <f>SUM(M176:M178)</f>
        <v>0</v>
      </c>
      <c r="N175" s="658">
        <f t="shared" ref="N175:O175" si="224">SUM(N176:N178)</f>
        <v>0</v>
      </c>
      <c r="O175" s="627">
        <f t="shared" si="224"/>
        <v>0</v>
      </c>
      <c r="P175" s="628"/>
    </row>
    <row r="176" spans="1:16" ht="24" hidden="1" customHeight="1" x14ac:dyDescent="0.25">
      <c r="A176" s="659">
        <v>3261</v>
      </c>
      <c r="B176" s="660" t="s">
        <v>192</v>
      </c>
      <c r="C176" s="629">
        <f t="shared" si="193"/>
        <v>0</v>
      </c>
      <c r="D176" s="661"/>
      <c r="E176" s="662"/>
      <c r="F176" s="632">
        <f t="shared" ref="F176:F178" si="225">D176+E176</f>
        <v>0</v>
      </c>
      <c r="G176" s="630"/>
      <c r="H176" s="631"/>
      <c r="I176" s="632">
        <f t="shared" ref="I176:I178" si="226">G176+H176</f>
        <v>0</v>
      </c>
      <c r="J176" s="630"/>
      <c r="K176" s="631"/>
      <c r="L176" s="632">
        <f t="shared" ref="L176:L178" si="227">K176+J176</f>
        <v>0</v>
      </c>
      <c r="M176" s="630"/>
      <c r="N176" s="631"/>
      <c r="O176" s="632">
        <f t="shared" ref="O176:O178" si="228">N176+M176</f>
        <v>0</v>
      </c>
      <c r="P176" s="633"/>
    </row>
    <row r="177" spans="1:16" ht="36" hidden="1" customHeight="1" x14ac:dyDescent="0.25">
      <c r="A177" s="659">
        <v>3262</v>
      </c>
      <c r="B177" s="660" t="s">
        <v>193</v>
      </c>
      <c r="C177" s="629">
        <f t="shared" si="193"/>
        <v>0</v>
      </c>
      <c r="D177" s="661"/>
      <c r="E177" s="662"/>
      <c r="F177" s="632">
        <f t="shared" si="225"/>
        <v>0</v>
      </c>
      <c r="G177" s="630"/>
      <c r="H177" s="631"/>
      <c r="I177" s="632">
        <f t="shared" si="226"/>
        <v>0</v>
      </c>
      <c r="J177" s="630"/>
      <c r="K177" s="631"/>
      <c r="L177" s="632">
        <f t="shared" si="227"/>
        <v>0</v>
      </c>
      <c r="M177" s="630"/>
      <c r="N177" s="631"/>
      <c r="O177" s="632">
        <f t="shared" si="228"/>
        <v>0</v>
      </c>
      <c r="P177" s="633"/>
    </row>
    <row r="178" spans="1:16" ht="24" hidden="1" customHeight="1" x14ac:dyDescent="0.25">
      <c r="A178" s="659">
        <v>3263</v>
      </c>
      <c r="B178" s="660" t="s">
        <v>194</v>
      </c>
      <c r="C178" s="629">
        <f t="shared" si="193"/>
        <v>0</v>
      </c>
      <c r="D178" s="661"/>
      <c r="E178" s="662"/>
      <c r="F178" s="632">
        <f t="shared" si="225"/>
        <v>0</v>
      </c>
      <c r="G178" s="630"/>
      <c r="H178" s="631"/>
      <c r="I178" s="632">
        <f t="shared" si="226"/>
        <v>0</v>
      </c>
      <c r="J178" s="630"/>
      <c r="K178" s="631"/>
      <c r="L178" s="632">
        <f t="shared" si="227"/>
        <v>0</v>
      </c>
      <c r="M178" s="630"/>
      <c r="N178" s="631"/>
      <c r="O178" s="632">
        <f t="shared" si="228"/>
        <v>0</v>
      </c>
      <c r="P178" s="633"/>
    </row>
    <row r="179" spans="1:16" ht="84" hidden="1" x14ac:dyDescent="0.25">
      <c r="A179" s="655">
        <v>3290</v>
      </c>
      <c r="B179" s="656" t="s">
        <v>195</v>
      </c>
      <c r="C179" s="663">
        <f t="shared" si="193"/>
        <v>0</v>
      </c>
      <c r="D179" s="657">
        <f>SUM(D180:D183)</f>
        <v>0</v>
      </c>
      <c r="E179" s="658">
        <f t="shared" ref="E179:O179" si="229">SUM(E180:E183)</f>
        <v>0</v>
      </c>
      <c r="F179" s="627">
        <f t="shared" si="229"/>
        <v>0</v>
      </c>
      <c r="G179" s="657">
        <f t="shared" si="229"/>
        <v>0</v>
      </c>
      <c r="H179" s="658">
        <f t="shared" si="229"/>
        <v>0</v>
      </c>
      <c r="I179" s="627">
        <f t="shared" si="229"/>
        <v>0</v>
      </c>
      <c r="J179" s="657">
        <f t="shared" si="229"/>
        <v>0</v>
      </c>
      <c r="K179" s="658">
        <f t="shared" si="229"/>
        <v>0</v>
      </c>
      <c r="L179" s="627">
        <f t="shared" si="229"/>
        <v>0</v>
      </c>
      <c r="M179" s="657">
        <f t="shared" si="229"/>
        <v>0</v>
      </c>
      <c r="N179" s="658">
        <f t="shared" si="229"/>
        <v>0</v>
      </c>
      <c r="O179" s="627">
        <f t="shared" si="229"/>
        <v>0</v>
      </c>
      <c r="P179" s="628"/>
    </row>
    <row r="180" spans="1:16" ht="72" hidden="1" customHeight="1" x14ac:dyDescent="0.25">
      <c r="A180" s="659">
        <v>3291</v>
      </c>
      <c r="B180" s="660" t="s">
        <v>196</v>
      </c>
      <c r="C180" s="629">
        <f t="shared" si="193"/>
        <v>0</v>
      </c>
      <c r="D180" s="661"/>
      <c r="E180" s="662"/>
      <c r="F180" s="632">
        <f t="shared" ref="F180:F183" si="230">D180+E180</f>
        <v>0</v>
      </c>
      <c r="G180" s="630"/>
      <c r="H180" s="631"/>
      <c r="I180" s="632">
        <f t="shared" ref="I180:I183" si="231">G180+H180</f>
        <v>0</v>
      </c>
      <c r="J180" s="630"/>
      <c r="K180" s="631"/>
      <c r="L180" s="632">
        <f t="shared" ref="L180:L183" si="232">K180+J180</f>
        <v>0</v>
      </c>
      <c r="M180" s="630"/>
      <c r="N180" s="631"/>
      <c r="O180" s="632">
        <f t="shared" ref="O180:O183" si="233">N180+M180</f>
        <v>0</v>
      </c>
      <c r="P180" s="633"/>
    </row>
    <row r="181" spans="1:16" ht="72" hidden="1" customHeight="1" x14ac:dyDescent="0.25">
      <c r="A181" s="659">
        <v>3292</v>
      </c>
      <c r="B181" s="660" t="s">
        <v>197</v>
      </c>
      <c r="C181" s="629">
        <f t="shared" si="193"/>
        <v>0</v>
      </c>
      <c r="D181" s="661"/>
      <c r="E181" s="662"/>
      <c r="F181" s="632">
        <f t="shared" si="230"/>
        <v>0</v>
      </c>
      <c r="G181" s="630"/>
      <c r="H181" s="631"/>
      <c r="I181" s="632">
        <f t="shared" si="231"/>
        <v>0</v>
      </c>
      <c r="J181" s="630"/>
      <c r="K181" s="631"/>
      <c r="L181" s="632">
        <f t="shared" si="232"/>
        <v>0</v>
      </c>
      <c r="M181" s="630"/>
      <c r="N181" s="631"/>
      <c r="O181" s="632">
        <f t="shared" si="233"/>
        <v>0</v>
      </c>
      <c r="P181" s="633"/>
    </row>
    <row r="182" spans="1:16" ht="72" hidden="1" customHeight="1" x14ac:dyDescent="0.25">
      <c r="A182" s="659">
        <v>3293</v>
      </c>
      <c r="B182" s="660" t="s">
        <v>198</v>
      </c>
      <c r="C182" s="629">
        <f t="shared" si="193"/>
        <v>0</v>
      </c>
      <c r="D182" s="661"/>
      <c r="E182" s="662"/>
      <c r="F182" s="632">
        <f t="shared" si="230"/>
        <v>0</v>
      </c>
      <c r="G182" s="630"/>
      <c r="H182" s="631"/>
      <c r="I182" s="632">
        <f t="shared" si="231"/>
        <v>0</v>
      </c>
      <c r="J182" s="630"/>
      <c r="K182" s="631"/>
      <c r="L182" s="632">
        <f t="shared" si="232"/>
        <v>0</v>
      </c>
      <c r="M182" s="630"/>
      <c r="N182" s="631"/>
      <c r="O182" s="632">
        <f t="shared" si="233"/>
        <v>0</v>
      </c>
      <c r="P182" s="633"/>
    </row>
    <row r="183" spans="1:16" ht="60" hidden="1" customHeight="1" x14ac:dyDescent="0.25">
      <c r="A183" s="664">
        <v>3294</v>
      </c>
      <c r="B183" s="660" t="s">
        <v>199</v>
      </c>
      <c r="C183" s="663">
        <f t="shared" si="193"/>
        <v>0</v>
      </c>
      <c r="D183" s="665"/>
      <c r="E183" s="666"/>
      <c r="F183" s="667">
        <f t="shared" si="230"/>
        <v>0</v>
      </c>
      <c r="G183" s="668"/>
      <c r="H183" s="669"/>
      <c r="I183" s="667">
        <f t="shared" si="231"/>
        <v>0</v>
      </c>
      <c r="J183" s="668"/>
      <c r="K183" s="669"/>
      <c r="L183" s="667">
        <f t="shared" si="232"/>
        <v>0</v>
      </c>
      <c r="M183" s="668"/>
      <c r="N183" s="669"/>
      <c r="O183" s="667">
        <f t="shared" si="233"/>
        <v>0</v>
      </c>
      <c r="P183" s="670"/>
    </row>
    <row r="184" spans="1:16" ht="48" hidden="1" x14ac:dyDescent="0.25">
      <c r="A184" s="652">
        <v>3300</v>
      </c>
      <c r="B184" s="654" t="s">
        <v>200</v>
      </c>
      <c r="C184" s="671">
        <f t="shared" si="193"/>
        <v>0</v>
      </c>
      <c r="D184" s="672">
        <f>SUM(D185:D186)</f>
        <v>0</v>
      </c>
      <c r="E184" s="673">
        <f t="shared" ref="E184:O184" si="234">SUM(E185:E186)</f>
        <v>0</v>
      </c>
      <c r="F184" s="674">
        <f t="shared" si="234"/>
        <v>0</v>
      </c>
      <c r="G184" s="672">
        <f t="shared" si="234"/>
        <v>0</v>
      </c>
      <c r="H184" s="673">
        <f t="shared" si="234"/>
        <v>0</v>
      </c>
      <c r="I184" s="674">
        <f t="shared" si="234"/>
        <v>0</v>
      </c>
      <c r="J184" s="672">
        <f t="shared" si="234"/>
        <v>0</v>
      </c>
      <c r="K184" s="673">
        <f t="shared" si="234"/>
        <v>0</v>
      </c>
      <c r="L184" s="674">
        <f t="shared" si="234"/>
        <v>0</v>
      </c>
      <c r="M184" s="672">
        <f t="shared" si="234"/>
        <v>0</v>
      </c>
      <c r="N184" s="673">
        <f t="shared" si="234"/>
        <v>0</v>
      </c>
      <c r="O184" s="674">
        <f t="shared" si="234"/>
        <v>0</v>
      </c>
      <c r="P184" s="675"/>
    </row>
    <row r="185" spans="1:16" ht="48" hidden="1" customHeight="1" x14ac:dyDescent="0.25">
      <c r="A185" s="676">
        <v>3310</v>
      </c>
      <c r="B185" s="677" t="s">
        <v>201</v>
      </c>
      <c r="C185" s="619">
        <f t="shared" si="193"/>
        <v>0</v>
      </c>
      <c r="D185" s="678"/>
      <c r="E185" s="679"/>
      <c r="F185" s="622">
        <f t="shared" ref="F185:F186" si="235">D185+E185</f>
        <v>0</v>
      </c>
      <c r="G185" s="636"/>
      <c r="H185" s="637"/>
      <c r="I185" s="622">
        <f t="shared" ref="I185:I186" si="236">G185+H185</f>
        <v>0</v>
      </c>
      <c r="J185" s="636"/>
      <c r="K185" s="637"/>
      <c r="L185" s="622">
        <f t="shared" ref="L185:L186" si="237">K185+J185</f>
        <v>0</v>
      </c>
      <c r="M185" s="636"/>
      <c r="N185" s="637"/>
      <c r="O185" s="622">
        <f t="shared" ref="O185:O186" si="238">N185+M185</f>
        <v>0</v>
      </c>
      <c r="P185" s="623"/>
    </row>
    <row r="186" spans="1:16" ht="48.75" hidden="1" customHeight="1" x14ac:dyDescent="0.25">
      <c r="A186" s="680">
        <v>3320</v>
      </c>
      <c r="B186" s="656" t="s">
        <v>202</v>
      </c>
      <c r="C186" s="624">
        <f t="shared" si="193"/>
        <v>0</v>
      </c>
      <c r="D186" s="681"/>
      <c r="E186" s="682"/>
      <c r="F186" s="627">
        <f t="shared" si="235"/>
        <v>0</v>
      </c>
      <c r="G186" s="625"/>
      <c r="H186" s="626"/>
      <c r="I186" s="627">
        <f t="shared" si="236"/>
        <v>0</v>
      </c>
      <c r="J186" s="625"/>
      <c r="K186" s="626"/>
      <c r="L186" s="627">
        <f t="shared" si="237"/>
        <v>0</v>
      </c>
      <c r="M186" s="625"/>
      <c r="N186" s="626"/>
      <c r="O186" s="627">
        <f t="shared" si="238"/>
        <v>0</v>
      </c>
      <c r="P186" s="628"/>
    </row>
    <row r="187" spans="1:16" hidden="1" x14ac:dyDescent="0.25">
      <c r="A187" s="683">
        <v>4000</v>
      </c>
      <c r="B187" s="652" t="s">
        <v>203</v>
      </c>
      <c r="C187" s="609">
        <f t="shared" si="193"/>
        <v>0</v>
      </c>
      <c r="D187" s="610">
        <f>SUM(D188,D191)</f>
        <v>0</v>
      </c>
      <c r="E187" s="611">
        <f t="shared" ref="E187:F187" si="239">SUM(E188,E191)</f>
        <v>0</v>
      </c>
      <c r="F187" s="612">
        <f t="shared" si="239"/>
        <v>0</v>
      </c>
      <c r="G187" s="610">
        <f>SUM(G188,G191)</f>
        <v>0</v>
      </c>
      <c r="H187" s="611">
        <f t="shared" ref="H187:I187" si="240">SUM(H188,H191)</f>
        <v>0</v>
      </c>
      <c r="I187" s="612">
        <f t="shared" si="240"/>
        <v>0</v>
      </c>
      <c r="J187" s="610">
        <f>SUM(J188,J191)</f>
        <v>0</v>
      </c>
      <c r="K187" s="611">
        <f t="shared" ref="K187:L187" si="241">SUM(K188,K191)</f>
        <v>0</v>
      </c>
      <c r="L187" s="612">
        <f t="shared" si="241"/>
        <v>0</v>
      </c>
      <c r="M187" s="610">
        <f>SUM(M188,M191)</f>
        <v>0</v>
      </c>
      <c r="N187" s="611">
        <f t="shared" ref="N187:O187" si="242">SUM(N188,N191)</f>
        <v>0</v>
      </c>
      <c r="O187" s="612">
        <f t="shared" si="242"/>
        <v>0</v>
      </c>
      <c r="P187" s="613"/>
    </row>
    <row r="188" spans="1:16" ht="24" hidden="1" x14ac:dyDescent="0.25">
      <c r="A188" s="684">
        <v>4200</v>
      </c>
      <c r="B188" s="685" t="s">
        <v>204</v>
      </c>
      <c r="C188" s="614">
        <f t="shared" si="193"/>
        <v>0</v>
      </c>
      <c r="D188" s="615">
        <f>SUM(D189,D190)</f>
        <v>0</v>
      </c>
      <c r="E188" s="616">
        <f t="shared" ref="E188:F188" si="243">SUM(E189,E190)</f>
        <v>0</v>
      </c>
      <c r="F188" s="617">
        <f t="shared" si="243"/>
        <v>0</v>
      </c>
      <c r="G188" s="615">
        <f>SUM(G189,G190)</f>
        <v>0</v>
      </c>
      <c r="H188" s="616">
        <f t="shared" ref="H188:I188" si="244">SUM(H189,H190)</f>
        <v>0</v>
      </c>
      <c r="I188" s="617">
        <f t="shared" si="244"/>
        <v>0</v>
      </c>
      <c r="J188" s="615">
        <f>SUM(J189,J190)</f>
        <v>0</v>
      </c>
      <c r="K188" s="616">
        <f t="shared" ref="K188:L188" si="245">SUM(K189,K190)</f>
        <v>0</v>
      </c>
      <c r="L188" s="617">
        <f t="shared" si="245"/>
        <v>0</v>
      </c>
      <c r="M188" s="615">
        <f>SUM(M189,M190)</f>
        <v>0</v>
      </c>
      <c r="N188" s="616">
        <f t="shared" ref="N188:O188" si="246">SUM(N189,N190)</f>
        <v>0</v>
      </c>
      <c r="O188" s="617">
        <f t="shared" si="246"/>
        <v>0</v>
      </c>
      <c r="P188" s="618"/>
    </row>
    <row r="189" spans="1:16" ht="36" hidden="1" customHeight="1" x14ac:dyDescent="0.25">
      <c r="A189" s="655">
        <v>4240</v>
      </c>
      <c r="B189" s="656" t="s">
        <v>205</v>
      </c>
      <c r="C189" s="624">
        <f t="shared" si="193"/>
        <v>0</v>
      </c>
      <c r="D189" s="681"/>
      <c r="E189" s="682"/>
      <c r="F189" s="627">
        <f t="shared" ref="F189:F190" si="247">D189+E189</f>
        <v>0</v>
      </c>
      <c r="G189" s="625"/>
      <c r="H189" s="626"/>
      <c r="I189" s="627">
        <f t="shared" ref="I189:I190" si="248">G189+H189</f>
        <v>0</v>
      </c>
      <c r="J189" s="625"/>
      <c r="K189" s="626"/>
      <c r="L189" s="627">
        <f t="shared" ref="L189:L190" si="249">K189+J189</f>
        <v>0</v>
      </c>
      <c r="M189" s="625"/>
      <c r="N189" s="626"/>
      <c r="O189" s="627">
        <f t="shared" ref="O189:O190" si="250">N189+M189</f>
        <v>0</v>
      </c>
      <c r="P189" s="628"/>
    </row>
    <row r="190" spans="1:16" ht="24" hidden="1" customHeight="1" x14ac:dyDescent="0.25">
      <c r="A190" s="686">
        <v>4250</v>
      </c>
      <c r="B190" s="660" t="s">
        <v>206</v>
      </c>
      <c r="C190" s="629">
        <f t="shared" si="193"/>
        <v>0</v>
      </c>
      <c r="D190" s="661"/>
      <c r="E190" s="662"/>
      <c r="F190" s="632">
        <f t="shared" si="247"/>
        <v>0</v>
      </c>
      <c r="G190" s="630"/>
      <c r="H190" s="631"/>
      <c r="I190" s="632">
        <f t="shared" si="248"/>
        <v>0</v>
      </c>
      <c r="J190" s="630"/>
      <c r="K190" s="631"/>
      <c r="L190" s="632">
        <f t="shared" si="249"/>
        <v>0</v>
      </c>
      <c r="M190" s="630"/>
      <c r="N190" s="631"/>
      <c r="O190" s="632">
        <f t="shared" si="250"/>
        <v>0</v>
      </c>
      <c r="P190" s="633"/>
    </row>
    <row r="191" spans="1:16" hidden="1" x14ac:dyDescent="0.25">
      <c r="A191" s="653">
        <v>4300</v>
      </c>
      <c r="B191" s="685" t="s">
        <v>207</v>
      </c>
      <c r="C191" s="614">
        <f t="shared" si="193"/>
        <v>0</v>
      </c>
      <c r="D191" s="615">
        <f>SUM(D192)</f>
        <v>0</v>
      </c>
      <c r="E191" s="616">
        <f t="shared" ref="E191:F191" si="251">SUM(E192)</f>
        <v>0</v>
      </c>
      <c r="F191" s="617">
        <f t="shared" si="251"/>
        <v>0</v>
      </c>
      <c r="G191" s="615">
        <f>SUM(G192)</f>
        <v>0</v>
      </c>
      <c r="H191" s="616">
        <f t="shared" ref="H191:I191" si="252">SUM(H192)</f>
        <v>0</v>
      </c>
      <c r="I191" s="617">
        <f t="shared" si="252"/>
        <v>0</v>
      </c>
      <c r="J191" s="615">
        <f>SUM(J192)</f>
        <v>0</v>
      </c>
      <c r="K191" s="616">
        <f t="shared" ref="K191:L191" si="253">SUM(K192)</f>
        <v>0</v>
      </c>
      <c r="L191" s="617">
        <f t="shared" si="253"/>
        <v>0</v>
      </c>
      <c r="M191" s="615">
        <f>SUM(M192)</f>
        <v>0</v>
      </c>
      <c r="N191" s="616">
        <f t="shared" ref="N191:O191" si="254">SUM(N192)</f>
        <v>0</v>
      </c>
      <c r="O191" s="617">
        <f t="shared" si="254"/>
        <v>0</v>
      </c>
      <c r="P191" s="618"/>
    </row>
    <row r="192" spans="1:16" ht="24" hidden="1" x14ac:dyDescent="0.25">
      <c r="A192" s="655">
        <v>4310</v>
      </c>
      <c r="B192" s="656" t="s">
        <v>208</v>
      </c>
      <c r="C192" s="624">
        <f t="shared" si="193"/>
        <v>0</v>
      </c>
      <c r="D192" s="657">
        <f>SUM(D193:D193)</f>
        <v>0</v>
      </c>
      <c r="E192" s="658">
        <f t="shared" ref="E192:F192" si="255">SUM(E193:E193)</f>
        <v>0</v>
      </c>
      <c r="F192" s="627">
        <f t="shared" si="255"/>
        <v>0</v>
      </c>
      <c r="G192" s="657">
        <f>SUM(G193:G193)</f>
        <v>0</v>
      </c>
      <c r="H192" s="658">
        <f t="shared" ref="H192:I192" si="256">SUM(H193:H193)</f>
        <v>0</v>
      </c>
      <c r="I192" s="627">
        <f t="shared" si="256"/>
        <v>0</v>
      </c>
      <c r="J192" s="657">
        <f>SUM(J193:J193)</f>
        <v>0</v>
      </c>
      <c r="K192" s="658">
        <f t="shared" ref="K192:L192" si="257">SUM(K193:K193)</f>
        <v>0</v>
      </c>
      <c r="L192" s="627">
        <f t="shared" si="257"/>
        <v>0</v>
      </c>
      <c r="M192" s="657">
        <f>SUM(M193:M193)</f>
        <v>0</v>
      </c>
      <c r="N192" s="658">
        <f t="shared" ref="N192:O192" si="258">SUM(N193:N193)</f>
        <v>0</v>
      </c>
      <c r="O192" s="627">
        <f t="shared" si="258"/>
        <v>0</v>
      </c>
      <c r="P192" s="628"/>
    </row>
    <row r="193" spans="1:16" ht="36" hidden="1" customHeight="1" x14ac:dyDescent="0.25">
      <c r="A193" s="659">
        <v>4311</v>
      </c>
      <c r="B193" s="660" t="s">
        <v>209</v>
      </c>
      <c r="C193" s="629">
        <f t="shared" si="193"/>
        <v>0</v>
      </c>
      <c r="D193" s="661"/>
      <c r="E193" s="662"/>
      <c r="F193" s="632">
        <f>D193+E193</f>
        <v>0</v>
      </c>
      <c r="G193" s="630"/>
      <c r="H193" s="631"/>
      <c r="I193" s="632">
        <f>G193+H193</f>
        <v>0</v>
      </c>
      <c r="J193" s="630"/>
      <c r="K193" s="631"/>
      <c r="L193" s="632">
        <f>K193+J193</f>
        <v>0</v>
      </c>
      <c r="M193" s="630"/>
      <c r="N193" s="631"/>
      <c r="O193" s="632">
        <f>N193+M193</f>
        <v>0</v>
      </c>
      <c r="P193" s="633"/>
    </row>
    <row r="194" spans="1:16" s="28" customFormat="1" ht="24" hidden="1" x14ac:dyDescent="0.25">
      <c r="A194" s="687"/>
      <c r="B194" s="688" t="s">
        <v>210</v>
      </c>
      <c r="C194" s="689">
        <f t="shared" si="193"/>
        <v>0</v>
      </c>
      <c r="D194" s="690">
        <f t="shared" ref="D194:O194" si="259">SUM(D195,D230,D269,D283)</f>
        <v>0</v>
      </c>
      <c r="E194" s="691">
        <f t="shared" si="259"/>
        <v>0</v>
      </c>
      <c r="F194" s="692">
        <f t="shared" si="259"/>
        <v>0</v>
      </c>
      <c r="G194" s="690">
        <f t="shared" si="259"/>
        <v>0</v>
      </c>
      <c r="H194" s="691">
        <f t="shared" si="259"/>
        <v>0</v>
      </c>
      <c r="I194" s="692">
        <f t="shared" si="259"/>
        <v>0</v>
      </c>
      <c r="J194" s="690">
        <f t="shared" si="259"/>
        <v>0</v>
      </c>
      <c r="K194" s="691">
        <f t="shared" si="259"/>
        <v>0</v>
      </c>
      <c r="L194" s="692">
        <f t="shared" si="259"/>
        <v>0</v>
      </c>
      <c r="M194" s="690">
        <f t="shared" si="259"/>
        <v>0</v>
      </c>
      <c r="N194" s="691">
        <f t="shared" si="259"/>
        <v>0</v>
      </c>
      <c r="O194" s="692">
        <f t="shared" si="259"/>
        <v>0</v>
      </c>
      <c r="P194" s="693"/>
    </row>
    <row r="195" spans="1:16" hidden="1" x14ac:dyDescent="0.25">
      <c r="A195" s="652">
        <v>5000</v>
      </c>
      <c r="B195" s="652" t="s">
        <v>211</v>
      </c>
      <c r="C195" s="609">
        <f t="shared" si="193"/>
        <v>0</v>
      </c>
      <c r="D195" s="610">
        <f>D196+D204</f>
        <v>0</v>
      </c>
      <c r="E195" s="611">
        <f t="shared" ref="E195:F195" si="260">E196+E204</f>
        <v>0</v>
      </c>
      <c r="F195" s="612">
        <f t="shared" si="260"/>
        <v>0</v>
      </c>
      <c r="G195" s="610">
        <f>G196+G204</f>
        <v>0</v>
      </c>
      <c r="H195" s="611">
        <f t="shared" ref="H195:I195" si="261">H196+H204</f>
        <v>0</v>
      </c>
      <c r="I195" s="612">
        <f t="shared" si="261"/>
        <v>0</v>
      </c>
      <c r="J195" s="610">
        <f>J196+J204</f>
        <v>0</v>
      </c>
      <c r="K195" s="611">
        <f t="shared" ref="K195:L195" si="262">K196+K204</f>
        <v>0</v>
      </c>
      <c r="L195" s="612">
        <f t="shared" si="262"/>
        <v>0</v>
      </c>
      <c r="M195" s="610">
        <f>M196+M204</f>
        <v>0</v>
      </c>
      <c r="N195" s="611">
        <f t="shared" ref="N195:O195" si="263">N196+N204</f>
        <v>0</v>
      </c>
      <c r="O195" s="612">
        <f t="shared" si="263"/>
        <v>0</v>
      </c>
      <c r="P195" s="613"/>
    </row>
    <row r="196" spans="1:16" hidden="1" x14ac:dyDescent="0.25">
      <c r="A196" s="653">
        <v>5100</v>
      </c>
      <c r="B196" s="685" t="s">
        <v>212</v>
      </c>
      <c r="C196" s="614">
        <f t="shared" si="193"/>
        <v>0</v>
      </c>
      <c r="D196" s="615">
        <f>D197+D198+D201+D202+D203</f>
        <v>0</v>
      </c>
      <c r="E196" s="616">
        <f t="shared" ref="E196:F196" si="264">E197+E198+E201+E202+E203</f>
        <v>0</v>
      </c>
      <c r="F196" s="617">
        <f t="shared" si="264"/>
        <v>0</v>
      </c>
      <c r="G196" s="615">
        <f>G197+G198+G201+G202+G203</f>
        <v>0</v>
      </c>
      <c r="H196" s="616">
        <f t="shared" ref="H196:I196" si="265">H197+H198+H201+H202+H203</f>
        <v>0</v>
      </c>
      <c r="I196" s="617">
        <f t="shared" si="265"/>
        <v>0</v>
      </c>
      <c r="J196" s="615">
        <f>J197+J198+J201+J202+J203</f>
        <v>0</v>
      </c>
      <c r="K196" s="616">
        <f t="shared" ref="K196:L196" si="266">K197+K198+K201+K202+K203</f>
        <v>0</v>
      </c>
      <c r="L196" s="617">
        <f t="shared" si="266"/>
        <v>0</v>
      </c>
      <c r="M196" s="615">
        <f>M197+M198+M201+M202+M203</f>
        <v>0</v>
      </c>
      <c r="N196" s="616">
        <f t="shared" ref="N196:O196" si="267">N197+N198+N201+N202+N203</f>
        <v>0</v>
      </c>
      <c r="O196" s="617">
        <f t="shared" si="267"/>
        <v>0</v>
      </c>
      <c r="P196" s="618"/>
    </row>
    <row r="197" spans="1:16" ht="12" hidden="1" customHeight="1" x14ac:dyDescent="0.25">
      <c r="A197" s="655">
        <v>5110</v>
      </c>
      <c r="B197" s="656" t="s">
        <v>213</v>
      </c>
      <c r="C197" s="624">
        <f t="shared" si="193"/>
        <v>0</v>
      </c>
      <c r="D197" s="681"/>
      <c r="E197" s="682"/>
      <c r="F197" s="627">
        <f>D197+E197</f>
        <v>0</v>
      </c>
      <c r="G197" s="625"/>
      <c r="H197" s="626"/>
      <c r="I197" s="627">
        <f>G197+H197</f>
        <v>0</v>
      </c>
      <c r="J197" s="625"/>
      <c r="K197" s="626"/>
      <c r="L197" s="627">
        <f>K197+J197</f>
        <v>0</v>
      </c>
      <c r="M197" s="625"/>
      <c r="N197" s="626"/>
      <c r="O197" s="627">
        <f>N197+M197</f>
        <v>0</v>
      </c>
      <c r="P197" s="628"/>
    </row>
    <row r="198" spans="1:16" ht="24" hidden="1" x14ac:dyDescent="0.25">
      <c r="A198" s="686">
        <v>5120</v>
      </c>
      <c r="B198" s="660" t="s">
        <v>214</v>
      </c>
      <c r="C198" s="629">
        <f t="shared" si="193"/>
        <v>0</v>
      </c>
      <c r="D198" s="634">
        <f>D199+D200</f>
        <v>0</v>
      </c>
      <c r="E198" s="635">
        <f t="shared" ref="E198:F198" si="268">E199+E200</f>
        <v>0</v>
      </c>
      <c r="F198" s="632">
        <f t="shared" si="268"/>
        <v>0</v>
      </c>
      <c r="G198" s="634">
        <f>G199+G200</f>
        <v>0</v>
      </c>
      <c r="H198" s="635">
        <f t="shared" ref="H198:I198" si="269">H199+H200</f>
        <v>0</v>
      </c>
      <c r="I198" s="632">
        <f t="shared" si="269"/>
        <v>0</v>
      </c>
      <c r="J198" s="634">
        <f>J199+J200</f>
        <v>0</v>
      </c>
      <c r="K198" s="635">
        <f t="shared" ref="K198:L198" si="270">K199+K200</f>
        <v>0</v>
      </c>
      <c r="L198" s="632">
        <f t="shared" si="270"/>
        <v>0</v>
      </c>
      <c r="M198" s="634">
        <f>M199+M200</f>
        <v>0</v>
      </c>
      <c r="N198" s="635">
        <f t="shared" ref="N198:O198" si="271">N199+N200</f>
        <v>0</v>
      </c>
      <c r="O198" s="632">
        <f t="shared" si="271"/>
        <v>0</v>
      </c>
      <c r="P198" s="633"/>
    </row>
    <row r="199" spans="1:16" ht="12" hidden="1" customHeight="1" x14ac:dyDescent="0.25">
      <c r="A199" s="659">
        <v>5121</v>
      </c>
      <c r="B199" s="660" t="s">
        <v>215</v>
      </c>
      <c r="C199" s="629">
        <f t="shared" si="193"/>
        <v>0</v>
      </c>
      <c r="D199" s="661"/>
      <c r="E199" s="662"/>
      <c r="F199" s="632">
        <f t="shared" ref="F199:F203" si="272">D199+E199</f>
        <v>0</v>
      </c>
      <c r="G199" s="630"/>
      <c r="H199" s="631"/>
      <c r="I199" s="632">
        <f t="shared" ref="I199:I203" si="273">G199+H199</f>
        <v>0</v>
      </c>
      <c r="J199" s="630"/>
      <c r="K199" s="631"/>
      <c r="L199" s="632">
        <f t="shared" ref="L199:L203" si="274">K199+J199</f>
        <v>0</v>
      </c>
      <c r="M199" s="630"/>
      <c r="N199" s="631"/>
      <c r="O199" s="632">
        <f t="shared" ref="O199:O203" si="275">N199+M199</f>
        <v>0</v>
      </c>
      <c r="P199" s="633"/>
    </row>
    <row r="200" spans="1:16" ht="24" hidden="1" customHeight="1" x14ac:dyDescent="0.25">
      <c r="A200" s="659">
        <v>5129</v>
      </c>
      <c r="B200" s="660" t="s">
        <v>216</v>
      </c>
      <c r="C200" s="629">
        <f t="shared" si="193"/>
        <v>0</v>
      </c>
      <c r="D200" s="661"/>
      <c r="E200" s="662"/>
      <c r="F200" s="632">
        <f t="shared" si="272"/>
        <v>0</v>
      </c>
      <c r="G200" s="630"/>
      <c r="H200" s="631"/>
      <c r="I200" s="632">
        <f t="shared" si="273"/>
        <v>0</v>
      </c>
      <c r="J200" s="630"/>
      <c r="K200" s="631"/>
      <c r="L200" s="632">
        <f t="shared" si="274"/>
        <v>0</v>
      </c>
      <c r="M200" s="630"/>
      <c r="N200" s="631"/>
      <c r="O200" s="632">
        <f t="shared" si="275"/>
        <v>0</v>
      </c>
      <c r="P200" s="633"/>
    </row>
    <row r="201" spans="1:16" ht="12" hidden="1" customHeight="1" x14ac:dyDescent="0.25">
      <c r="A201" s="686">
        <v>5130</v>
      </c>
      <c r="B201" s="660" t="s">
        <v>217</v>
      </c>
      <c r="C201" s="629">
        <f t="shared" si="193"/>
        <v>0</v>
      </c>
      <c r="D201" s="661"/>
      <c r="E201" s="662"/>
      <c r="F201" s="632">
        <f t="shared" si="272"/>
        <v>0</v>
      </c>
      <c r="G201" s="630"/>
      <c r="H201" s="631"/>
      <c r="I201" s="632">
        <f t="shared" si="273"/>
        <v>0</v>
      </c>
      <c r="J201" s="630"/>
      <c r="K201" s="631"/>
      <c r="L201" s="632">
        <f t="shared" si="274"/>
        <v>0</v>
      </c>
      <c r="M201" s="630"/>
      <c r="N201" s="631"/>
      <c r="O201" s="632">
        <f t="shared" si="275"/>
        <v>0</v>
      </c>
      <c r="P201" s="633"/>
    </row>
    <row r="202" spans="1:16" ht="12" hidden="1" customHeight="1" x14ac:dyDescent="0.25">
      <c r="A202" s="686">
        <v>5140</v>
      </c>
      <c r="B202" s="660" t="s">
        <v>218</v>
      </c>
      <c r="C202" s="629">
        <f t="shared" si="193"/>
        <v>0</v>
      </c>
      <c r="D202" s="661"/>
      <c r="E202" s="662"/>
      <c r="F202" s="632">
        <f t="shared" si="272"/>
        <v>0</v>
      </c>
      <c r="G202" s="630"/>
      <c r="H202" s="631"/>
      <c r="I202" s="632">
        <f t="shared" si="273"/>
        <v>0</v>
      </c>
      <c r="J202" s="630"/>
      <c r="K202" s="631"/>
      <c r="L202" s="632">
        <f t="shared" si="274"/>
        <v>0</v>
      </c>
      <c r="M202" s="630"/>
      <c r="N202" s="631"/>
      <c r="O202" s="632">
        <f t="shared" si="275"/>
        <v>0</v>
      </c>
      <c r="P202" s="633"/>
    </row>
    <row r="203" spans="1:16" ht="24" hidden="1" customHeight="1" x14ac:dyDescent="0.25">
      <c r="A203" s="686">
        <v>5170</v>
      </c>
      <c r="B203" s="660" t="s">
        <v>219</v>
      </c>
      <c r="C203" s="629">
        <f t="shared" si="193"/>
        <v>0</v>
      </c>
      <c r="D203" s="661"/>
      <c r="E203" s="662"/>
      <c r="F203" s="632">
        <f t="shared" si="272"/>
        <v>0</v>
      </c>
      <c r="G203" s="630"/>
      <c r="H203" s="631"/>
      <c r="I203" s="632">
        <f t="shared" si="273"/>
        <v>0</v>
      </c>
      <c r="J203" s="630"/>
      <c r="K203" s="631"/>
      <c r="L203" s="632">
        <f t="shared" si="274"/>
        <v>0</v>
      </c>
      <c r="M203" s="630"/>
      <c r="N203" s="631"/>
      <c r="O203" s="632">
        <f t="shared" si="275"/>
        <v>0</v>
      </c>
      <c r="P203" s="633"/>
    </row>
    <row r="204" spans="1:16" hidden="1" x14ac:dyDescent="0.25">
      <c r="A204" s="653">
        <v>5200</v>
      </c>
      <c r="B204" s="685" t="s">
        <v>220</v>
      </c>
      <c r="C204" s="614">
        <f t="shared" si="193"/>
        <v>0</v>
      </c>
      <c r="D204" s="615">
        <f>D205+D215+D216+D225+D226+D227+D229</f>
        <v>0</v>
      </c>
      <c r="E204" s="616">
        <f t="shared" ref="E204:F204" si="276">E205+E215+E216+E225+E226+E227+E229</f>
        <v>0</v>
      </c>
      <c r="F204" s="617">
        <f t="shared" si="276"/>
        <v>0</v>
      </c>
      <c r="G204" s="615">
        <f>G205+G215+G216+G225+G226+G227+G229</f>
        <v>0</v>
      </c>
      <c r="H204" s="616">
        <f t="shared" ref="H204:I204" si="277">H205+H215+H216+H225+H226+H227+H229</f>
        <v>0</v>
      </c>
      <c r="I204" s="617">
        <f t="shared" si="277"/>
        <v>0</v>
      </c>
      <c r="J204" s="615">
        <f>J205+J215+J216+J225+J226+J227+J229</f>
        <v>0</v>
      </c>
      <c r="K204" s="616">
        <f t="shared" ref="K204:L204" si="278">K205+K215+K216+K225+K226+K227+K229</f>
        <v>0</v>
      </c>
      <c r="L204" s="617">
        <f t="shared" si="278"/>
        <v>0</v>
      </c>
      <c r="M204" s="615">
        <f>M205+M215+M216+M225+M226+M227+M229</f>
        <v>0</v>
      </c>
      <c r="N204" s="616">
        <f t="shared" ref="N204:O204" si="279">N205+N215+N216+N225+N226+N227+N229</f>
        <v>0</v>
      </c>
      <c r="O204" s="617">
        <f t="shared" si="279"/>
        <v>0</v>
      </c>
      <c r="P204" s="618"/>
    </row>
    <row r="205" spans="1:16" hidden="1" x14ac:dyDescent="0.25">
      <c r="A205" s="694">
        <v>5210</v>
      </c>
      <c r="B205" s="677" t="s">
        <v>221</v>
      </c>
      <c r="C205" s="619">
        <f t="shared" si="193"/>
        <v>0</v>
      </c>
      <c r="D205" s="620">
        <f>SUM(D206:D214)</f>
        <v>0</v>
      </c>
      <c r="E205" s="621">
        <f t="shared" ref="E205:F205" si="280">SUM(E206:E214)</f>
        <v>0</v>
      </c>
      <c r="F205" s="622">
        <f t="shared" si="280"/>
        <v>0</v>
      </c>
      <c r="G205" s="620">
        <f>SUM(G206:G214)</f>
        <v>0</v>
      </c>
      <c r="H205" s="621">
        <f t="shared" ref="H205:I205" si="281">SUM(H206:H214)</f>
        <v>0</v>
      </c>
      <c r="I205" s="622">
        <f t="shared" si="281"/>
        <v>0</v>
      </c>
      <c r="J205" s="620">
        <f>SUM(J206:J214)</f>
        <v>0</v>
      </c>
      <c r="K205" s="621">
        <f t="shared" ref="K205:L205" si="282">SUM(K206:K214)</f>
        <v>0</v>
      </c>
      <c r="L205" s="622">
        <f t="shared" si="282"/>
        <v>0</v>
      </c>
      <c r="M205" s="620">
        <f>SUM(M206:M214)</f>
        <v>0</v>
      </c>
      <c r="N205" s="621">
        <f t="shared" ref="N205:O205" si="283">SUM(N206:N214)</f>
        <v>0</v>
      </c>
      <c r="O205" s="622">
        <f t="shared" si="283"/>
        <v>0</v>
      </c>
      <c r="P205" s="623"/>
    </row>
    <row r="206" spans="1:16" ht="12" hidden="1" customHeight="1" x14ac:dyDescent="0.25">
      <c r="A206" s="680">
        <v>5211</v>
      </c>
      <c r="B206" s="656" t="s">
        <v>222</v>
      </c>
      <c r="C206" s="624">
        <f t="shared" si="193"/>
        <v>0</v>
      </c>
      <c r="D206" s="681"/>
      <c r="E206" s="682"/>
      <c r="F206" s="627">
        <f t="shared" ref="F206:F215" si="284">D206+E206</f>
        <v>0</v>
      </c>
      <c r="G206" s="625"/>
      <c r="H206" s="626"/>
      <c r="I206" s="627">
        <f t="shared" ref="I206:I215" si="285">G206+H206</f>
        <v>0</v>
      </c>
      <c r="J206" s="625"/>
      <c r="K206" s="626"/>
      <c r="L206" s="627">
        <f t="shared" ref="L206:L215" si="286">K206+J206</f>
        <v>0</v>
      </c>
      <c r="M206" s="625"/>
      <c r="N206" s="626"/>
      <c r="O206" s="627">
        <f t="shared" ref="O206:O215" si="287">N206+M206</f>
        <v>0</v>
      </c>
      <c r="P206" s="628"/>
    </row>
    <row r="207" spans="1:16" ht="12" hidden="1" customHeight="1" x14ac:dyDescent="0.25">
      <c r="A207" s="659">
        <v>5212</v>
      </c>
      <c r="B207" s="660" t="s">
        <v>223</v>
      </c>
      <c r="C207" s="629">
        <f t="shared" si="193"/>
        <v>0</v>
      </c>
      <c r="D207" s="661"/>
      <c r="E207" s="662"/>
      <c r="F207" s="632">
        <f t="shared" si="284"/>
        <v>0</v>
      </c>
      <c r="G207" s="630"/>
      <c r="H207" s="631"/>
      <c r="I207" s="632">
        <f t="shared" si="285"/>
        <v>0</v>
      </c>
      <c r="J207" s="630"/>
      <c r="K207" s="631"/>
      <c r="L207" s="632">
        <f t="shared" si="286"/>
        <v>0</v>
      </c>
      <c r="M207" s="630"/>
      <c r="N207" s="631"/>
      <c r="O207" s="632">
        <f t="shared" si="287"/>
        <v>0</v>
      </c>
      <c r="P207" s="633"/>
    </row>
    <row r="208" spans="1:16" ht="12" hidden="1" customHeight="1" x14ac:dyDescent="0.25">
      <c r="A208" s="659">
        <v>5213</v>
      </c>
      <c r="B208" s="660" t="s">
        <v>224</v>
      </c>
      <c r="C208" s="629">
        <f t="shared" si="193"/>
        <v>0</v>
      </c>
      <c r="D208" s="661"/>
      <c r="E208" s="662"/>
      <c r="F208" s="632">
        <f t="shared" si="284"/>
        <v>0</v>
      </c>
      <c r="G208" s="630"/>
      <c r="H208" s="631"/>
      <c r="I208" s="632">
        <f t="shared" si="285"/>
        <v>0</v>
      </c>
      <c r="J208" s="630"/>
      <c r="K208" s="631"/>
      <c r="L208" s="632">
        <f t="shared" si="286"/>
        <v>0</v>
      </c>
      <c r="M208" s="630"/>
      <c r="N208" s="631"/>
      <c r="O208" s="632">
        <f t="shared" si="287"/>
        <v>0</v>
      </c>
      <c r="P208" s="633"/>
    </row>
    <row r="209" spans="1:16" ht="12" hidden="1" customHeight="1" x14ac:dyDescent="0.25">
      <c r="A209" s="659">
        <v>5214</v>
      </c>
      <c r="B209" s="660" t="s">
        <v>225</v>
      </c>
      <c r="C209" s="629">
        <f t="shared" si="193"/>
        <v>0</v>
      </c>
      <c r="D209" s="661"/>
      <c r="E209" s="662"/>
      <c r="F209" s="632">
        <f t="shared" si="284"/>
        <v>0</v>
      </c>
      <c r="G209" s="630"/>
      <c r="H209" s="631"/>
      <c r="I209" s="632">
        <f t="shared" si="285"/>
        <v>0</v>
      </c>
      <c r="J209" s="630"/>
      <c r="K209" s="631"/>
      <c r="L209" s="632">
        <f t="shared" si="286"/>
        <v>0</v>
      </c>
      <c r="M209" s="630"/>
      <c r="N209" s="631"/>
      <c r="O209" s="632">
        <f t="shared" si="287"/>
        <v>0</v>
      </c>
      <c r="P209" s="633"/>
    </row>
    <row r="210" spans="1:16" ht="12" hidden="1" customHeight="1" x14ac:dyDescent="0.25">
      <c r="A210" s="659">
        <v>5215</v>
      </c>
      <c r="B210" s="660" t="s">
        <v>226</v>
      </c>
      <c r="C210" s="629">
        <f t="shared" si="193"/>
        <v>0</v>
      </c>
      <c r="D210" s="661"/>
      <c r="E210" s="662"/>
      <c r="F210" s="632">
        <f t="shared" si="284"/>
        <v>0</v>
      </c>
      <c r="G210" s="630"/>
      <c r="H210" s="631"/>
      <c r="I210" s="632">
        <f t="shared" si="285"/>
        <v>0</v>
      </c>
      <c r="J210" s="630"/>
      <c r="K210" s="631"/>
      <c r="L210" s="632">
        <f t="shared" si="286"/>
        <v>0</v>
      </c>
      <c r="M210" s="630"/>
      <c r="N210" s="631"/>
      <c r="O210" s="632">
        <f t="shared" si="287"/>
        <v>0</v>
      </c>
      <c r="P210" s="633"/>
    </row>
    <row r="211" spans="1:16" ht="14.25" hidden="1" customHeight="1" x14ac:dyDescent="0.25">
      <c r="A211" s="659">
        <v>5216</v>
      </c>
      <c r="B211" s="660" t="s">
        <v>227</v>
      </c>
      <c r="C211" s="629">
        <f t="shared" si="193"/>
        <v>0</v>
      </c>
      <c r="D211" s="661"/>
      <c r="E211" s="662"/>
      <c r="F211" s="632">
        <f t="shared" si="284"/>
        <v>0</v>
      </c>
      <c r="G211" s="630"/>
      <c r="H211" s="631"/>
      <c r="I211" s="632">
        <f t="shared" si="285"/>
        <v>0</v>
      </c>
      <c r="J211" s="630"/>
      <c r="K211" s="631"/>
      <c r="L211" s="632">
        <f t="shared" si="286"/>
        <v>0</v>
      </c>
      <c r="M211" s="630"/>
      <c r="N211" s="631"/>
      <c r="O211" s="632">
        <f t="shared" si="287"/>
        <v>0</v>
      </c>
      <c r="P211" s="633"/>
    </row>
    <row r="212" spans="1:16" ht="12" hidden="1" customHeight="1" x14ac:dyDescent="0.25">
      <c r="A212" s="659">
        <v>5217</v>
      </c>
      <c r="B212" s="660" t="s">
        <v>228</v>
      </c>
      <c r="C212" s="629">
        <f t="shared" ref="C212:C275" si="288">F212+I212+L212+O212</f>
        <v>0</v>
      </c>
      <c r="D212" s="661"/>
      <c r="E212" s="662"/>
      <c r="F212" s="632">
        <f t="shared" si="284"/>
        <v>0</v>
      </c>
      <c r="G212" s="630"/>
      <c r="H212" s="631"/>
      <c r="I212" s="632">
        <f t="shared" si="285"/>
        <v>0</v>
      </c>
      <c r="J212" s="630"/>
      <c r="K212" s="631"/>
      <c r="L212" s="632">
        <f t="shared" si="286"/>
        <v>0</v>
      </c>
      <c r="M212" s="630"/>
      <c r="N212" s="631"/>
      <c r="O212" s="632">
        <f t="shared" si="287"/>
        <v>0</v>
      </c>
      <c r="P212" s="633"/>
    </row>
    <row r="213" spans="1:16" ht="12" hidden="1" customHeight="1" x14ac:dyDescent="0.25">
      <c r="A213" s="659">
        <v>5218</v>
      </c>
      <c r="B213" s="660" t="s">
        <v>229</v>
      </c>
      <c r="C213" s="629">
        <f t="shared" si="288"/>
        <v>0</v>
      </c>
      <c r="D213" s="661"/>
      <c r="E213" s="662"/>
      <c r="F213" s="632">
        <f t="shared" si="284"/>
        <v>0</v>
      </c>
      <c r="G213" s="630"/>
      <c r="H213" s="631"/>
      <c r="I213" s="632">
        <f t="shared" si="285"/>
        <v>0</v>
      </c>
      <c r="J213" s="630"/>
      <c r="K213" s="631"/>
      <c r="L213" s="632">
        <f t="shared" si="286"/>
        <v>0</v>
      </c>
      <c r="M213" s="630"/>
      <c r="N213" s="631"/>
      <c r="O213" s="632">
        <f t="shared" si="287"/>
        <v>0</v>
      </c>
      <c r="P213" s="633"/>
    </row>
    <row r="214" spans="1:16" ht="12" hidden="1" customHeight="1" x14ac:dyDescent="0.25">
      <c r="A214" s="659">
        <v>5219</v>
      </c>
      <c r="B214" s="660" t="s">
        <v>230</v>
      </c>
      <c r="C214" s="629">
        <f t="shared" si="288"/>
        <v>0</v>
      </c>
      <c r="D214" s="661"/>
      <c r="E214" s="662"/>
      <c r="F214" s="632">
        <f t="shared" si="284"/>
        <v>0</v>
      </c>
      <c r="G214" s="630"/>
      <c r="H214" s="631"/>
      <c r="I214" s="632">
        <f t="shared" si="285"/>
        <v>0</v>
      </c>
      <c r="J214" s="630"/>
      <c r="K214" s="631"/>
      <c r="L214" s="632">
        <f t="shared" si="286"/>
        <v>0</v>
      </c>
      <c r="M214" s="630"/>
      <c r="N214" s="631"/>
      <c r="O214" s="632">
        <f t="shared" si="287"/>
        <v>0</v>
      </c>
      <c r="P214" s="633"/>
    </row>
    <row r="215" spans="1:16" ht="13.5" hidden="1" customHeight="1" x14ac:dyDescent="0.25">
      <c r="A215" s="686">
        <v>5220</v>
      </c>
      <c r="B215" s="660" t="s">
        <v>231</v>
      </c>
      <c r="C215" s="629">
        <f t="shared" si="288"/>
        <v>0</v>
      </c>
      <c r="D215" s="661"/>
      <c r="E215" s="662"/>
      <c r="F215" s="632">
        <f t="shared" si="284"/>
        <v>0</v>
      </c>
      <c r="G215" s="630"/>
      <c r="H215" s="631"/>
      <c r="I215" s="632">
        <f t="shared" si="285"/>
        <v>0</v>
      </c>
      <c r="J215" s="630"/>
      <c r="K215" s="631"/>
      <c r="L215" s="632">
        <f t="shared" si="286"/>
        <v>0</v>
      </c>
      <c r="M215" s="630"/>
      <c r="N215" s="631"/>
      <c r="O215" s="632">
        <f t="shared" si="287"/>
        <v>0</v>
      </c>
      <c r="P215" s="633"/>
    </row>
    <row r="216" spans="1:16" hidden="1" x14ac:dyDescent="0.25">
      <c r="A216" s="686">
        <v>5230</v>
      </c>
      <c r="B216" s="660" t="s">
        <v>232</v>
      </c>
      <c r="C216" s="629">
        <f t="shared" si="288"/>
        <v>0</v>
      </c>
      <c r="D216" s="634">
        <f>SUM(D217:D224)</f>
        <v>0</v>
      </c>
      <c r="E216" s="635">
        <f t="shared" ref="E216:F216" si="289">SUM(E217:E224)</f>
        <v>0</v>
      </c>
      <c r="F216" s="632">
        <f t="shared" si="289"/>
        <v>0</v>
      </c>
      <c r="G216" s="634">
        <f>SUM(G217:G224)</f>
        <v>0</v>
      </c>
      <c r="H216" s="635">
        <f t="shared" ref="H216:I216" si="290">SUM(H217:H224)</f>
        <v>0</v>
      </c>
      <c r="I216" s="632">
        <f t="shared" si="290"/>
        <v>0</v>
      </c>
      <c r="J216" s="634">
        <f>SUM(J217:J224)</f>
        <v>0</v>
      </c>
      <c r="K216" s="635">
        <f t="shared" ref="K216:L216" si="291">SUM(K217:K224)</f>
        <v>0</v>
      </c>
      <c r="L216" s="632">
        <f t="shared" si="291"/>
        <v>0</v>
      </c>
      <c r="M216" s="634">
        <f>SUM(M217:M224)</f>
        <v>0</v>
      </c>
      <c r="N216" s="635">
        <f t="shared" ref="N216:O216" si="292">SUM(N217:N224)</f>
        <v>0</v>
      </c>
      <c r="O216" s="632">
        <f t="shared" si="292"/>
        <v>0</v>
      </c>
      <c r="P216" s="633"/>
    </row>
    <row r="217" spans="1:16" ht="12" hidden="1" customHeight="1" x14ac:dyDescent="0.25">
      <c r="A217" s="659">
        <v>5231</v>
      </c>
      <c r="B217" s="660" t="s">
        <v>233</v>
      </c>
      <c r="C217" s="629">
        <f t="shared" si="288"/>
        <v>0</v>
      </c>
      <c r="D217" s="661"/>
      <c r="E217" s="662"/>
      <c r="F217" s="632">
        <f t="shared" ref="F217:F226" si="293">D217+E217</f>
        <v>0</v>
      </c>
      <c r="G217" s="630"/>
      <c r="H217" s="631"/>
      <c r="I217" s="632">
        <f t="shared" ref="I217:I226" si="294">G217+H217</f>
        <v>0</v>
      </c>
      <c r="J217" s="630"/>
      <c r="K217" s="631"/>
      <c r="L217" s="632">
        <f t="shared" ref="L217:L226" si="295">K217+J217</f>
        <v>0</v>
      </c>
      <c r="M217" s="630"/>
      <c r="N217" s="631"/>
      <c r="O217" s="632">
        <f t="shared" ref="O217:O226" si="296">N217+M217</f>
        <v>0</v>
      </c>
      <c r="P217" s="633"/>
    </row>
    <row r="218" spans="1:16" ht="12" hidden="1" customHeight="1" x14ac:dyDescent="0.25">
      <c r="A218" s="659">
        <v>5232</v>
      </c>
      <c r="B218" s="660" t="s">
        <v>234</v>
      </c>
      <c r="C218" s="629">
        <f t="shared" si="288"/>
        <v>0</v>
      </c>
      <c r="D218" s="661"/>
      <c r="E218" s="662"/>
      <c r="F218" s="632">
        <f t="shared" si="293"/>
        <v>0</v>
      </c>
      <c r="G218" s="630"/>
      <c r="H218" s="631"/>
      <c r="I218" s="632">
        <f t="shared" si="294"/>
        <v>0</v>
      </c>
      <c r="J218" s="630"/>
      <c r="K218" s="631"/>
      <c r="L218" s="632">
        <f t="shared" si="295"/>
        <v>0</v>
      </c>
      <c r="M218" s="630"/>
      <c r="N218" s="631"/>
      <c r="O218" s="632">
        <f t="shared" si="296"/>
        <v>0</v>
      </c>
      <c r="P218" s="633"/>
    </row>
    <row r="219" spans="1:16" ht="12" hidden="1" customHeight="1" x14ac:dyDescent="0.25">
      <c r="A219" s="659">
        <v>5233</v>
      </c>
      <c r="B219" s="660" t="s">
        <v>235</v>
      </c>
      <c r="C219" s="629">
        <f t="shared" si="288"/>
        <v>0</v>
      </c>
      <c r="D219" s="661"/>
      <c r="E219" s="662"/>
      <c r="F219" s="632">
        <f t="shared" si="293"/>
        <v>0</v>
      </c>
      <c r="G219" s="630"/>
      <c r="H219" s="631"/>
      <c r="I219" s="632">
        <f t="shared" si="294"/>
        <v>0</v>
      </c>
      <c r="J219" s="630"/>
      <c r="K219" s="631"/>
      <c r="L219" s="632">
        <f t="shared" si="295"/>
        <v>0</v>
      </c>
      <c r="M219" s="630"/>
      <c r="N219" s="631"/>
      <c r="O219" s="632">
        <f t="shared" si="296"/>
        <v>0</v>
      </c>
      <c r="P219" s="633"/>
    </row>
    <row r="220" spans="1:16" ht="24" hidden="1" customHeight="1" x14ac:dyDescent="0.25">
      <c r="A220" s="659">
        <v>5234</v>
      </c>
      <c r="B220" s="660" t="s">
        <v>236</v>
      </c>
      <c r="C220" s="629">
        <f t="shared" si="288"/>
        <v>0</v>
      </c>
      <c r="D220" s="661"/>
      <c r="E220" s="662"/>
      <c r="F220" s="632">
        <f t="shared" si="293"/>
        <v>0</v>
      </c>
      <c r="G220" s="630"/>
      <c r="H220" s="631"/>
      <c r="I220" s="632">
        <f t="shared" si="294"/>
        <v>0</v>
      </c>
      <c r="J220" s="630"/>
      <c r="K220" s="631"/>
      <c r="L220" s="632">
        <f t="shared" si="295"/>
        <v>0</v>
      </c>
      <c r="M220" s="630"/>
      <c r="N220" s="631"/>
      <c r="O220" s="632">
        <f t="shared" si="296"/>
        <v>0</v>
      </c>
      <c r="P220" s="633"/>
    </row>
    <row r="221" spans="1:16" ht="14.25" hidden="1" customHeight="1" x14ac:dyDescent="0.25">
      <c r="A221" s="659">
        <v>5236</v>
      </c>
      <c r="B221" s="660" t="s">
        <v>237</v>
      </c>
      <c r="C221" s="629">
        <f t="shared" si="288"/>
        <v>0</v>
      </c>
      <c r="D221" s="661"/>
      <c r="E221" s="662"/>
      <c r="F221" s="632">
        <f t="shared" si="293"/>
        <v>0</v>
      </c>
      <c r="G221" s="630"/>
      <c r="H221" s="631"/>
      <c r="I221" s="632">
        <f t="shared" si="294"/>
        <v>0</v>
      </c>
      <c r="J221" s="630"/>
      <c r="K221" s="631"/>
      <c r="L221" s="632">
        <f t="shared" si="295"/>
        <v>0</v>
      </c>
      <c r="M221" s="630"/>
      <c r="N221" s="631"/>
      <c r="O221" s="632">
        <f t="shared" si="296"/>
        <v>0</v>
      </c>
      <c r="P221" s="633"/>
    </row>
    <row r="222" spans="1:16" ht="14.25" hidden="1" customHeight="1" x14ac:dyDescent="0.25">
      <c r="A222" s="659">
        <v>5237</v>
      </c>
      <c r="B222" s="660" t="s">
        <v>238</v>
      </c>
      <c r="C222" s="629">
        <f t="shared" si="288"/>
        <v>0</v>
      </c>
      <c r="D222" s="661"/>
      <c r="E222" s="662"/>
      <c r="F222" s="632">
        <f t="shared" si="293"/>
        <v>0</v>
      </c>
      <c r="G222" s="630"/>
      <c r="H222" s="631"/>
      <c r="I222" s="632">
        <f t="shared" si="294"/>
        <v>0</v>
      </c>
      <c r="J222" s="630"/>
      <c r="K222" s="631"/>
      <c r="L222" s="632">
        <f t="shared" si="295"/>
        <v>0</v>
      </c>
      <c r="M222" s="630"/>
      <c r="N222" s="631"/>
      <c r="O222" s="632">
        <f t="shared" si="296"/>
        <v>0</v>
      </c>
      <c r="P222" s="633"/>
    </row>
    <row r="223" spans="1:16" ht="24" hidden="1" customHeight="1" x14ac:dyDescent="0.25">
      <c r="A223" s="659">
        <v>5238</v>
      </c>
      <c r="B223" s="660" t="s">
        <v>239</v>
      </c>
      <c r="C223" s="629">
        <f t="shared" si="288"/>
        <v>0</v>
      </c>
      <c r="D223" s="661"/>
      <c r="E223" s="662"/>
      <c r="F223" s="632">
        <f t="shared" si="293"/>
        <v>0</v>
      </c>
      <c r="G223" s="630"/>
      <c r="H223" s="631"/>
      <c r="I223" s="632">
        <f t="shared" si="294"/>
        <v>0</v>
      </c>
      <c r="J223" s="630"/>
      <c r="K223" s="631"/>
      <c r="L223" s="632">
        <f t="shared" si="295"/>
        <v>0</v>
      </c>
      <c r="M223" s="630"/>
      <c r="N223" s="631"/>
      <c r="O223" s="632">
        <f t="shared" si="296"/>
        <v>0</v>
      </c>
      <c r="P223" s="633"/>
    </row>
    <row r="224" spans="1:16" ht="24" hidden="1" customHeight="1" x14ac:dyDescent="0.25">
      <c r="A224" s="659">
        <v>5239</v>
      </c>
      <c r="B224" s="660" t="s">
        <v>240</v>
      </c>
      <c r="C224" s="629">
        <f t="shared" si="288"/>
        <v>0</v>
      </c>
      <c r="D224" s="661"/>
      <c r="E224" s="662"/>
      <c r="F224" s="632">
        <f t="shared" si="293"/>
        <v>0</v>
      </c>
      <c r="G224" s="630"/>
      <c r="H224" s="631"/>
      <c r="I224" s="632">
        <f t="shared" si="294"/>
        <v>0</v>
      </c>
      <c r="J224" s="630"/>
      <c r="K224" s="631"/>
      <c r="L224" s="632">
        <f t="shared" si="295"/>
        <v>0</v>
      </c>
      <c r="M224" s="630"/>
      <c r="N224" s="631"/>
      <c r="O224" s="632">
        <f t="shared" si="296"/>
        <v>0</v>
      </c>
      <c r="P224" s="633"/>
    </row>
    <row r="225" spans="1:16" ht="24" hidden="1" customHeight="1" x14ac:dyDescent="0.25">
      <c r="A225" s="686">
        <v>5240</v>
      </c>
      <c r="B225" s="660" t="s">
        <v>241</v>
      </c>
      <c r="C225" s="629">
        <f t="shared" si="288"/>
        <v>0</v>
      </c>
      <c r="D225" s="661"/>
      <c r="E225" s="662"/>
      <c r="F225" s="632">
        <f t="shared" si="293"/>
        <v>0</v>
      </c>
      <c r="G225" s="630"/>
      <c r="H225" s="631"/>
      <c r="I225" s="632">
        <f t="shared" si="294"/>
        <v>0</v>
      </c>
      <c r="J225" s="630"/>
      <c r="K225" s="631"/>
      <c r="L225" s="632">
        <f t="shared" si="295"/>
        <v>0</v>
      </c>
      <c r="M225" s="630"/>
      <c r="N225" s="631"/>
      <c r="O225" s="632">
        <f t="shared" si="296"/>
        <v>0</v>
      </c>
      <c r="P225" s="633"/>
    </row>
    <row r="226" spans="1:16" ht="12" hidden="1" customHeight="1" x14ac:dyDescent="0.25">
      <c r="A226" s="686">
        <v>5250</v>
      </c>
      <c r="B226" s="660" t="s">
        <v>242</v>
      </c>
      <c r="C226" s="629">
        <f t="shared" si="288"/>
        <v>0</v>
      </c>
      <c r="D226" s="661"/>
      <c r="E226" s="662"/>
      <c r="F226" s="632">
        <f t="shared" si="293"/>
        <v>0</v>
      </c>
      <c r="G226" s="630"/>
      <c r="H226" s="631"/>
      <c r="I226" s="632">
        <f t="shared" si="294"/>
        <v>0</v>
      </c>
      <c r="J226" s="630"/>
      <c r="K226" s="631"/>
      <c r="L226" s="632">
        <f t="shared" si="295"/>
        <v>0</v>
      </c>
      <c r="M226" s="630"/>
      <c r="N226" s="631"/>
      <c r="O226" s="632">
        <f t="shared" si="296"/>
        <v>0</v>
      </c>
      <c r="P226" s="633"/>
    </row>
    <row r="227" spans="1:16" hidden="1" x14ac:dyDescent="0.25">
      <c r="A227" s="686">
        <v>5260</v>
      </c>
      <c r="B227" s="660" t="s">
        <v>243</v>
      </c>
      <c r="C227" s="629">
        <f t="shared" si="288"/>
        <v>0</v>
      </c>
      <c r="D227" s="634">
        <f>SUM(D228)</f>
        <v>0</v>
      </c>
      <c r="E227" s="635">
        <f t="shared" ref="E227:F227" si="297">SUM(E228)</f>
        <v>0</v>
      </c>
      <c r="F227" s="632">
        <f t="shared" si="297"/>
        <v>0</v>
      </c>
      <c r="G227" s="634">
        <f>SUM(G228)</f>
        <v>0</v>
      </c>
      <c r="H227" s="635">
        <f t="shared" ref="H227:I227" si="298">SUM(H228)</f>
        <v>0</v>
      </c>
      <c r="I227" s="632">
        <f t="shared" si="298"/>
        <v>0</v>
      </c>
      <c r="J227" s="634">
        <f>SUM(J228)</f>
        <v>0</v>
      </c>
      <c r="K227" s="635">
        <f t="shared" ref="K227:L227" si="299">SUM(K228)</f>
        <v>0</v>
      </c>
      <c r="L227" s="632">
        <f t="shared" si="299"/>
        <v>0</v>
      </c>
      <c r="M227" s="634">
        <f>SUM(M228)</f>
        <v>0</v>
      </c>
      <c r="N227" s="635">
        <f t="shared" ref="N227:O227" si="300">SUM(N228)</f>
        <v>0</v>
      </c>
      <c r="O227" s="632">
        <f t="shared" si="300"/>
        <v>0</v>
      </c>
      <c r="P227" s="633"/>
    </row>
    <row r="228" spans="1:16" ht="24" hidden="1" customHeight="1" x14ac:dyDescent="0.25">
      <c r="A228" s="659">
        <v>5269</v>
      </c>
      <c r="B228" s="660" t="s">
        <v>244</v>
      </c>
      <c r="C228" s="629">
        <f t="shared" si="288"/>
        <v>0</v>
      </c>
      <c r="D228" s="661"/>
      <c r="E228" s="662"/>
      <c r="F228" s="632">
        <f t="shared" ref="F228:F229" si="301">D228+E228</f>
        <v>0</v>
      </c>
      <c r="G228" s="630"/>
      <c r="H228" s="631"/>
      <c r="I228" s="632">
        <f t="shared" ref="I228:I229" si="302">G228+H228</f>
        <v>0</v>
      </c>
      <c r="J228" s="630"/>
      <c r="K228" s="631"/>
      <c r="L228" s="632">
        <f t="shared" ref="L228:L229" si="303">K228+J228</f>
        <v>0</v>
      </c>
      <c r="M228" s="630"/>
      <c r="N228" s="631"/>
      <c r="O228" s="632">
        <f t="shared" ref="O228:O229" si="304">N228+M228</f>
        <v>0</v>
      </c>
      <c r="P228" s="633"/>
    </row>
    <row r="229" spans="1:16" ht="24" hidden="1" customHeight="1" x14ac:dyDescent="0.25">
      <c r="A229" s="694">
        <v>5270</v>
      </c>
      <c r="B229" s="677" t="s">
        <v>245</v>
      </c>
      <c r="C229" s="619">
        <f t="shared" si="288"/>
        <v>0</v>
      </c>
      <c r="D229" s="678"/>
      <c r="E229" s="679"/>
      <c r="F229" s="622">
        <f t="shared" si="301"/>
        <v>0</v>
      </c>
      <c r="G229" s="636"/>
      <c r="H229" s="637"/>
      <c r="I229" s="622">
        <f t="shared" si="302"/>
        <v>0</v>
      </c>
      <c r="J229" s="636"/>
      <c r="K229" s="637"/>
      <c r="L229" s="622">
        <f t="shared" si="303"/>
        <v>0</v>
      </c>
      <c r="M229" s="636"/>
      <c r="N229" s="637"/>
      <c r="O229" s="622">
        <f t="shared" si="304"/>
        <v>0</v>
      </c>
      <c r="P229" s="623"/>
    </row>
    <row r="230" spans="1:16" hidden="1" x14ac:dyDescent="0.25">
      <c r="A230" s="652">
        <v>6000</v>
      </c>
      <c r="B230" s="652" t="s">
        <v>246</v>
      </c>
      <c r="C230" s="609">
        <f t="shared" si="288"/>
        <v>0</v>
      </c>
      <c r="D230" s="610">
        <f>D231+D251+D259</f>
        <v>0</v>
      </c>
      <c r="E230" s="611">
        <f t="shared" ref="E230:F230" si="305">E231+E251+E259</f>
        <v>0</v>
      </c>
      <c r="F230" s="612">
        <f t="shared" si="305"/>
        <v>0</v>
      </c>
      <c r="G230" s="610">
        <f>G231+G251+G259</f>
        <v>0</v>
      </c>
      <c r="H230" s="611">
        <f t="shared" ref="H230:I230" si="306">H231+H251+H259</f>
        <v>0</v>
      </c>
      <c r="I230" s="612">
        <f t="shared" si="306"/>
        <v>0</v>
      </c>
      <c r="J230" s="610">
        <f>J231+J251+J259</f>
        <v>0</v>
      </c>
      <c r="K230" s="611">
        <f t="shared" ref="K230:L230" si="307">K231+K251+K259</f>
        <v>0</v>
      </c>
      <c r="L230" s="612">
        <f t="shared" si="307"/>
        <v>0</v>
      </c>
      <c r="M230" s="610">
        <f>M231+M251+M259</f>
        <v>0</v>
      </c>
      <c r="N230" s="611">
        <f t="shared" ref="N230:O230" si="308">N231+N251+N259</f>
        <v>0</v>
      </c>
      <c r="O230" s="612">
        <f t="shared" si="308"/>
        <v>0</v>
      </c>
      <c r="P230" s="613"/>
    </row>
    <row r="231" spans="1:16" ht="14.25" hidden="1" customHeight="1" x14ac:dyDescent="0.25">
      <c r="A231" s="652">
        <v>6200</v>
      </c>
      <c r="B231" s="654" t="s">
        <v>247</v>
      </c>
      <c r="C231" s="671">
        <f t="shared" si="288"/>
        <v>0</v>
      </c>
      <c r="D231" s="672">
        <f>SUM(D232,D233,D235,D238,D244,D245,D246)</f>
        <v>0</v>
      </c>
      <c r="E231" s="673">
        <f t="shared" ref="E231:F231" si="309">SUM(E232,E233,E235,E238,E244,E245,E246)</f>
        <v>0</v>
      </c>
      <c r="F231" s="674">
        <f t="shared" si="309"/>
        <v>0</v>
      </c>
      <c r="G231" s="672">
        <f>SUM(G232,G233,G235,G238,G244,G245,G246)</f>
        <v>0</v>
      </c>
      <c r="H231" s="673">
        <f t="shared" ref="H231:I231" si="310">SUM(H232,H233,H235,H238,H244,H245,H246)</f>
        <v>0</v>
      </c>
      <c r="I231" s="674">
        <f t="shared" si="310"/>
        <v>0</v>
      </c>
      <c r="J231" s="672">
        <f>SUM(J232,J233,J235,J238,J244,J245,J246)</f>
        <v>0</v>
      </c>
      <c r="K231" s="673">
        <f t="shared" ref="K231:L231" si="311">SUM(K232,K233,K235,K238,K244,K245,K246)</f>
        <v>0</v>
      </c>
      <c r="L231" s="674">
        <f t="shared" si="311"/>
        <v>0</v>
      </c>
      <c r="M231" s="672">
        <f>SUM(M232,M233,M235,M238,M244,M245,M246)</f>
        <v>0</v>
      </c>
      <c r="N231" s="673">
        <f t="shared" ref="N231:O231" si="312">SUM(N232,N233,N235,N238,N244,N245,N246)</f>
        <v>0</v>
      </c>
      <c r="O231" s="674">
        <f t="shared" si="312"/>
        <v>0</v>
      </c>
      <c r="P231" s="675"/>
    </row>
    <row r="232" spans="1:16" ht="24" hidden="1" customHeight="1" x14ac:dyDescent="0.25">
      <c r="A232" s="655">
        <v>6220</v>
      </c>
      <c r="B232" s="656" t="s">
        <v>248</v>
      </c>
      <c r="C232" s="624">
        <f t="shared" si="288"/>
        <v>0</v>
      </c>
      <c r="D232" s="681"/>
      <c r="E232" s="682"/>
      <c r="F232" s="627">
        <f>D232+E232</f>
        <v>0</v>
      </c>
      <c r="G232" s="625"/>
      <c r="H232" s="626"/>
      <c r="I232" s="627">
        <f>G232+H232</f>
        <v>0</v>
      </c>
      <c r="J232" s="625"/>
      <c r="K232" s="626"/>
      <c r="L232" s="627">
        <f>K232+J232</f>
        <v>0</v>
      </c>
      <c r="M232" s="625"/>
      <c r="N232" s="626"/>
      <c r="O232" s="627">
        <f>N232+M232</f>
        <v>0</v>
      </c>
      <c r="P232" s="628"/>
    </row>
    <row r="233" spans="1:16" hidden="1" x14ac:dyDescent="0.25">
      <c r="A233" s="686">
        <v>6230</v>
      </c>
      <c r="B233" s="660" t="s">
        <v>249</v>
      </c>
      <c r="C233" s="629">
        <f t="shared" si="288"/>
        <v>0</v>
      </c>
      <c r="D233" s="634">
        <f t="shared" ref="D233:O233" si="313">SUM(D234)</f>
        <v>0</v>
      </c>
      <c r="E233" s="635">
        <f t="shared" si="313"/>
        <v>0</v>
      </c>
      <c r="F233" s="632">
        <f t="shared" si="313"/>
        <v>0</v>
      </c>
      <c r="G233" s="634">
        <f t="shared" si="313"/>
        <v>0</v>
      </c>
      <c r="H233" s="635">
        <f t="shared" si="313"/>
        <v>0</v>
      </c>
      <c r="I233" s="632">
        <f t="shared" si="313"/>
        <v>0</v>
      </c>
      <c r="J233" s="634">
        <f t="shared" si="313"/>
        <v>0</v>
      </c>
      <c r="K233" s="635">
        <f t="shared" si="313"/>
        <v>0</v>
      </c>
      <c r="L233" s="632">
        <f t="shared" si="313"/>
        <v>0</v>
      </c>
      <c r="M233" s="634">
        <f t="shared" si="313"/>
        <v>0</v>
      </c>
      <c r="N233" s="635">
        <f t="shared" si="313"/>
        <v>0</v>
      </c>
      <c r="O233" s="632">
        <f t="shared" si="313"/>
        <v>0</v>
      </c>
      <c r="P233" s="633"/>
    </row>
    <row r="234" spans="1:16" ht="24" hidden="1" customHeight="1" x14ac:dyDescent="0.25">
      <c r="A234" s="659">
        <v>6239</v>
      </c>
      <c r="B234" s="656" t="s">
        <v>250</v>
      </c>
      <c r="C234" s="629">
        <f t="shared" si="288"/>
        <v>0</v>
      </c>
      <c r="D234" s="681"/>
      <c r="E234" s="682"/>
      <c r="F234" s="627">
        <f>D234+E234</f>
        <v>0</v>
      </c>
      <c r="G234" s="625"/>
      <c r="H234" s="626"/>
      <c r="I234" s="627">
        <f>G234+H234</f>
        <v>0</v>
      </c>
      <c r="J234" s="625"/>
      <c r="K234" s="626"/>
      <c r="L234" s="627">
        <f>K234+J234</f>
        <v>0</v>
      </c>
      <c r="M234" s="625"/>
      <c r="N234" s="626"/>
      <c r="O234" s="627">
        <f>N234+M234</f>
        <v>0</v>
      </c>
      <c r="P234" s="628"/>
    </row>
    <row r="235" spans="1:16" ht="24" hidden="1" x14ac:dyDescent="0.25">
      <c r="A235" s="686">
        <v>6240</v>
      </c>
      <c r="B235" s="660" t="s">
        <v>251</v>
      </c>
      <c r="C235" s="629">
        <f t="shared" si="288"/>
        <v>0</v>
      </c>
      <c r="D235" s="634">
        <f>SUM(D236:D237)</f>
        <v>0</v>
      </c>
      <c r="E235" s="635">
        <f t="shared" ref="E235:F235" si="314">SUM(E236:E237)</f>
        <v>0</v>
      </c>
      <c r="F235" s="632">
        <f t="shared" si="314"/>
        <v>0</v>
      </c>
      <c r="G235" s="634">
        <f>SUM(G236:G237)</f>
        <v>0</v>
      </c>
      <c r="H235" s="635">
        <f t="shared" ref="H235:I235" si="315">SUM(H236:H237)</f>
        <v>0</v>
      </c>
      <c r="I235" s="632">
        <f t="shared" si="315"/>
        <v>0</v>
      </c>
      <c r="J235" s="634">
        <f>SUM(J236:J237)</f>
        <v>0</v>
      </c>
      <c r="K235" s="635">
        <f t="shared" ref="K235:L235" si="316">SUM(K236:K237)</f>
        <v>0</v>
      </c>
      <c r="L235" s="632">
        <f t="shared" si="316"/>
        <v>0</v>
      </c>
      <c r="M235" s="634">
        <f>SUM(M236:M237)</f>
        <v>0</v>
      </c>
      <c r="N235" s="635">
        <f t="shared" ref="N235:O235" si="317">SUM(N236:N237)</f>
        <v>0</v>
      </c>
      <c r="O235" s="632">
        <f t="shared" si="317"/>
        <v>0</v>
      </c>
      <c r="P235" s="633"/>
    </row>
    <row r="236" spans="1:16" ht="12" hidden="1" customHeight="1" x14ac:dyDescent="0.25">
      <c r="A236" s="659">
        <v>6241</v>
      </c>
      <c r="B236" s="660" t="s">
        <v>252</v>
      </c>
      <c r="C236" s="629">
        <f t="shared" si="288"/>
        <v>0</v>
      </c>
      <c r="D236" s="661"/>
      <c r="E236" s="662"/>
      <c r="F236" s="632">
        <f t="shared" ref="F236:F237" si="318">D236+E236</f>
        <v>0</v>
      </c>
      <c r="G236" s="630"/>
      <c r="H236" s="631"/>
      <c r="I236" s="632">
        <f t="shared" ref="I236:I237" si="319">G236+H236</f>
        <v>0</v>
      </c>
      <c r="J236" s="630"/>
      <c r="K236" s="631"/>
      <c r="L236" s="632">
        <f t="shared" ref="L236:L237" si="320">K236+J236</f>
        <v>0</v>
      </c>
      <c r="M236" s="630"/>
      <c r="N236" s="631"/>
      <c r="O236" s="632">
        <f t="shared" ref="O236:O237" si="321">N236+M236</f>
        <v>0</v>
      </c>
      <c r="P236" s="633"/>
    </row>
    <row r="237" spans="1:16" ht="12" hidden="1" customHeight="1" x14ac:dyDescent="0.25">
      <c r="A237" s="659">
        <v>6242</v>
      </c>
      <c r="B237" s="660" t="s">
        <v>253</v>
      </c>
      <c r="C237" s="629">
        <f t="shared" si="288"/>
        <v>0</v>
      </c>
      <c r="D237" s="661"/>
      <c r="E237" s="662"/>
      <c r="F237" s="632">
        <f t="shared" si="318"/>
        <v>0</v>
      </c>
      <c r="G237" s="630"/>
      <c r="H237" s="631"/>
      <c r="I237" s="632">
        <f t="shared" si="319"/>
        <v>0</v>
      </c>
      <c r="J237" s="630"/>
      <c r="K237" s="631"/>
      <c r="L237" s="632">
        <f t="shared" si="320"/>
        <v>0</v>
      </c>
      <c r="M237" s="630"/>
      <c r="N237" s="631"/>
      <c r="O237" s="632">
        <f t="shared" si="321"/>
        <v>0</v>
      </c>
      <c r="P237" s="633"/>
    </row>
    <row r="238" spans="1:16" ht="25.5" hidden="1" customHeight="1" x14ac:dyDescent="0.25">
      <c r="A238" s="686">
        <v>6250</v>
      </c>
      <c r="B238" s="660" t="s">
        <v>254</v>
      </c>
      <c r="C238" s="629">
        <f t="shared" si="288"/>
        <v>0</v>
      </c>
      <c r="D238" s="634">
        <f>SUM(D239:D243)</f>
        <v>0</v>
      </c>
      <c r="E238" s="635">
        <f t="shared" ref="E238:F238" si="322">SUM(E239:E243)</f>
        <v>0</v>
      </c>
      <c r="F238" s="632">
        <f t="shared" si="322"/>
        <v>0</v>
      </c>
      <c r="G238" s="634">
        <f>SUM(G239:G243)</f>
        <v>0</v>
      </c>
      <c r="H238" s="635">
        <f t="shared" ref="H238:I238" si="323">SUM(H239:H243)</f>
        <v>0</v>
      </c>
      <c r="I238" s="632">
        <f t="shared" si="323"/>
        <v>0</v>
      </c>
      <c r="J238" s="634">
        <f>SUM(J239:J243)</f>
        <v>0</v>
      </c>
      <c r="K238" s="635">
        <f t="shared" ref="K238:L238" si="324">SUM(K239:K243)</f>
        <v>0</v>
      </c>
      <c r="L238" s="632">
        <f t="shared" si="324"/>
        <v>0</v>
      </c>
      <c r="M238" s="634">
        <f>SUM(M239:M243)</f>
        <v>0</v>
      </c>
      <c r="N238" s="635">
        <f t="shared" ref="N238:O238" si="325">SUM(N239:N243)</f>
        <v>0</v>
      </c>
      <c r="O238" s="632">
        <f t="shared" si="325"/>
        <v>0</v>
      </c>
      <c r="P238" s="633"/>
    </row>
    <row r="239" spans="1:16" ht="14.25" hidden="1" customHeight="1" x14ac:dyDescent="0.25">
      <c r="A239" s="659">
        <v>6252</v>
      </c>
      <c r="B239" s="660" t="s">
        <v>255</v>
      </c>
      <c r="C239" s="629">
        <f t="shared" si="288"/>
        <v>0</v>
      </c>
      <c r="D239" s="661"/>
      <c r="E239" s="662"/>
      <c r="F239" s="632">
        <f t="shared" ref="F239:F245" si="326">D239+E239</f>
        <v>0</v>
      </c>
      <c r="G239" s="630"/>
      <c r="H239" s="631"/>
      <c r="I239" s="632">
        <f t="shared" ref="I239:I245" si="327">G239+H239</f>
        <v>0</v>
      </c>
      <c r="J239" s="630"/>
      <c r="K239" s="631"/>
      <c r="L239" s="632">
        <f t="shared" ref="L239:L245" si="328">K239+J239</f>
        <v>0</v>
      </c>
      <c r="M239" s="630"/>
      <c r="N239" s="631"/>
      <c r="O239" s="632">
        <f t="shared" ref="O239:O245" si="329">N239+M239</f>
        <v>0</v>
      </c>
      <c r="P239" s="633"/>
    </row>
    <row r="240" spans="1:16" ht="14.25" hidden="1" customHeight="1" x14ac:dyDescent="0.25">
      <c r="A240" s="659">
        <v>6253</v>
      </c>
      <c r="B240" s="660" t="s">
        <v>256</v>
      </c>
      <c r="C240" s="629">
        <f t="shared" si="288"/>
        <v>0</v>
      </c>
      <c r="D240" s="661"/>
      <c r="E240" s="662"/>
      <c r="F240" s="632">
        <f t="shared" si="326"/>
        <v>0</v>
      </c>
      <c r="G240" s="630"/>
      <c r="H240" s="631"/>
      <c r="I240" s="632">
        <f t="shared" si="327"/>
        <v>0</v>
      </c>
      <c r="J240" s="630"/>
      <c r="K240" s="631"/>
      <c r="L240" s="632">
        <f t="shared" si="328"/>
        <v>0</v>
      </c>
      <c r="M240" s="630"/>
      <c r="N240" s="631"/>
      <c r="O240" s="632">
        <f t="shared" si="329"/>
        <v>0</v>
      </c>
      <c r="P240" s="633"/>
    </row>
    <row r="241" spans="1:16" ht="24" hidden="1" customHeight="1" x14ac:dyDescent="0.25">
      <c r="A241" s="659">
        <v>6254</v>
      </c>
      <c r="B241" s="660" t="s">
        <v>257</v>
      </c>
      <c r="C241" s="629">
        <f t="shared" si="288"/>
        <v>0</v>
      </c>
      <c r="D241" s="661"/>
      <c r="E241" s="662"/>
      <c r="F241" s="632">
        <f t="shared" si="326"/>
        <v>0</v>
      </c>
      <c r="G241" s="630"/>
      <c r="H241" s="631"/>
      <c r="I241" s="632">
        <f t="shared" si="327"/>
        <v>0</v>
      </c>
      <c r="J241" s="630"/>
      <c r="K241" s="631"/>
      <c r="L241" s="632">
        <f t="shared" si="328"/>
        <v>0</v>
      </c>
      <c r="M241" s="630"/>
      <c r="N241" s="631"/>
      <c r="O241" s="632">
        <f t="shared" si="329"/>
        <v>0</v>
      </c>
      <c r="P241" s="633"/>
    </row>
    <row r="242" spans="1:16" ht="24" hidden="1" customHeight="1" x14ac:dyDescent="0.25">
      <c r="A242" s="659">
        <v>6255</v>
      </c>
      <c r="B242" s="660" t="s">
        <v>258</v>
      </c>
      <c r="C242" s="629">
        <f t="shared" si="288"/>
        <v>0</v>
      </c>
      <c r="D242" s="661"/>
      <c r="E242" s="662"/>
      <c r="F242" s="632">
        <f t="shared" si="326"/>
        <v>0</v>
      </c>
      <c r="G242" s="630"/>
      <c r="H242" s="631"/>
      <c r="I242" s="632">
        <f t="shared" si="327"/>
        <v>0</v>
      </c>
      <c r="J242" s="630"/>
      <c r="K242" s="631"/>
      <c r="L242" s="632">
        <f t="shared" si="328"/>
        <v>0</v>
      </c>
      <c r="M242" s="630"/>
      <c r="N242" s="631"/>
      <c r="O242" s="632">
        <f t="shared" si="329"/>
        <v>0</v>
      </c>
      <c r="P242" s="633"/>
    </row>
    <row r="243" spans="1:16" ht="12" hidden="1" customHeight="1" x14ac:dyDescent="0.25">
      <c r="A243" s="659">
        <v>6259</v>
      </c>
      <c r="B243" s="660" t="s">
        <v>259</v>
      </c>
      <c r="C243" s="629">
        <f t="shared" si="288"/>
        <v>0</v>
      </c>
      <c r="D243" s="661"/>
      <c r="E243" s="662"/>
      <c r="F243" s="632">
        <f t="shared" si="326"/>
        <v>0</v>
      </c>
      <c r="G243" s="630"/>
      <c r="H243" s="631"/>
      <c r="I243" s="632">
        <f t="shared" si="327"/>
        <v>0</v>
      </c>
      <c r="J243" s="630"/>
      <c r="K243" s="631"/>
      <c r="L243" s="632">
        <f t="shared" si="328"/>
        <v>0</v>
      </c>
      <c r="M243" s="630"/>
      <c r="N243" s="631"/>
      <c r="O243" s="632">
        <f t="shared" si="329"/>
        <v>0</v>
      </c>
      <c r="P243" s="633"/>
    </row>
    <row r="244" spans="1:16" ht="24" hidden="1" customHeight="1" x14ac:dyDescent="0.25">
      <c r="A244" s="686">
        <v>6260</v>
      </c>
      <c r="B244" s="660" t="s">
        <v>260</v>
      </c>
      <c r="C244" s="629">
        <f t="shared" si="288"/>
        <v>0</v>
      </c>
      <c r="D244" s="661"/>
      <c r="E244" s="662"/>
      <c r="F244" s="632">
        <f t="shared" si="326"/>
        <v>0</v>
      </c>
      <c r="G244" s="630"/>
      <c r="H244" s="631"/>
      <c r="I244" s="632">
        <f t="shared" si="327"/>
        <v>0</v>
      </c>
      <c r="J244" s="630"/>
      <c r="K244" s="631"/>
      <c r="L244" s="632">
        <f t="shared" si="328"/>
        <v>0</v>
      </c>
      <c r="M244" s="630"/>
      <c r="N244" s="631"/>
      <c r="O244" s="632">
        <f t="shared" si="329"/>
        <v>0</v>
      </c>
      <c r="P244" s="633"/>
    </row>
    <row r="245" spans="1:16" ht="12" hidden="1" customHeight="1" x14ac:dyDescent="0.25">
      <c r="A245" s="686">
        <v>6270</v>
      </c>
      <c r="B245" s="660" t="s">
        <v>261</v>
      </c>
      <c r="C245" s="629">
        <f t="shared" si="288"/>
        <v>0</v>
      </c>
      <c r="D245" s="661"/>
      <c r="E245" s="662"/>
      <c r="F245" s="632">
        <f t="shared" si="326"/>
        <v>0</v>
      </c>
      <c r="G245" s="630"/>
      <c r="H245" s="631"/>
      <c r="I245" s="632">
        <f t="shared" si="327"/>
        <v>0</v>
      </c>
      <c r="J245" s="630"/>
      <c r="K245" s="631"/>
      <c r="L245" s="632">
        <f t="shared" si="328"/>
        <v>0</v>
      </c>
      <c r="M245" s="630"/>
      <c r="N245" s="631"/>
      <c r="O245" s="632">
        <f t="shared" si="329"/>
        <v>0</v>
      </c>
      <c r="P245" s="633"/>
    </row>
    <row r="246" spans="1:16" ht="24" hidden="1" x14ac:dyDescent="0.25">
      <c r="A246" s="655">
        <v>6290</v>
      </c>
      <c r="B246" s="656" t="s">
        <v>262</v>
      </c>
      <c r="C246" s="663">
        <f t="shared" si="288"/>
        <v>0</v>
      </c>
      <c r="D246" s="657">
        <f>SUM(D247:D250)</f>
        <v>0</v>
      </c>
      <c r="E246" s="658">
        <f t="shared" ref="E246:O246" si="330">SUM(E247:E250)</f>
        <v>0</v>
      </c>
      <c r="F246" s="627">
        <f t="shared" si="330"/>
        <v>0</v>
      </c>
      <c r="G246" s="657">
        <f t="shared" si="330"/>
        <v>0</v>
      </c>
      <c r="H246" s="658">
        <f t="shared" si="330"/>
        <v>0</v>
      </c>
      <c r="I246" s="627">
        <f t="shared" si="330"/>
        <v>0</v>
      </c>
      <c r="J246" s="657">
        <f t="shared" si="330"/>
        <v>0</v>
      </c>
      <c r="K246" s="658">
        <f t="shared" si="330"/>
        <v>0</v>
      </c>
      <c r="L246" s="627">
        <f t="shared" si="330"/>
        <v>0</v>
      </c>
      <c r="M246" s="657">
        <f t="shared" si="330"/>
        <v>0</v>
      </c>
      <c r="N246" s="658">
        <f t="shared" si="330"/>
        <v>0</v>
      </c>
      <c r="O246" s="627">
        <f t="shared" si="330"/>
        <v>0</v>
      </c>
      <c r="P246" s="628"/>
    </row>
    <row r="247" spans="1:16" ht="12" hidden="1" customHeight="1" x14ac:dyDescent="0.25">
      <c r="A247" s="659">
        <v>6291</v>
      </c>
      <c r="B247" s="660" t="s">
        <v>263</v>
      </c>
      <c r="C247" s="629">
        <f t="shared" si="288"/>
        <v>0</v>
      </c>
      <c r="D247" s="661"/>
      <c r="E247" s="662"/>
      <c r="F247" s="632">
        <f t="shared" ref="F247:F250" si="331">D247+E247</f>
        <v>0</v>
      </c>
      <c r="G247" s="630"/>
      <c r="H247" s="631"/>
      <c r="I247" s="632">
        <f t="shared" ref="I247:I250" si="332">G247+H247</f>
        <v>0</v>
      </c>
      <c r="J247" s="630"/>
      <c r="K247" s="631"/>
      <c r="L247" s="632">
        <f t="shared" ref="L247:L250" si="333">K247+J247</f>
        <v>0</v>
      </c>
      <c r="M247" s="630"/>
      <c r="N247" s="631"/>
      <c r="O247" s="632">
        <f t="shared" ref="O247:O250" si="334">N247+M247</f>
        <v>0</v>
      </c>
      <c r="P247" s="633"/>
    </row>
    <row r="248" spans="1:16" ht="12" hidden="1" customHeight="1" x14ac:dyDescent="0.25">
      <c r="A248" s="659">
        <v>6292</v>
      </c>
      <c r="B248" s="660" t="s">
        <v>264</v>
      </c>
      <c r="C248" s="629">
        <f t="shared" si="288"/>
        <v>0</v>
      </c>
      <c r="D248" s="661"/>
      <c r="E248" s="662"/>
      <c r="F248" s="632">
        <f t="shared" si="331"/>
        <v>0</v>
      </c>
      <c r="G248" s="630"/>
      <c r="H248" s="631"/>
      <c r="I248" s="632">
        <f t="shared" si="332"/>
        <v>0</v>
      </c>
      <c r="J248" s="630"/>
      <c r="K248" s="631"/>
      <c r="L248" s="632">
        <f t="shared" si="333"/>
        <v>0</v>
      </c>
      <c r="M248" s="630"/>
      <c r="N248" s="631"/>
      <c r="O248" s="632">
        <f t="shared" si="334"/>
        <v>0</v>
      </c>
      <c r="P248" s="633"/>
    </row>
    <row r="249" spans="1:16" ht="72" hidden="1" customHeight="1" x14ac:dyDescent="0.25">
      <c r="A249" s="659">
        <v>6296</v>
      </c>
      <c r="B249" s="660" t="s">
        <v>265</v>
      </c>
      <c r="C249" s="629">
        <f t="shared" si="288"/>
        <v>0</v>
      </c>
      <c r="D249" s="661"/>
      <c r="E249" s="662"/>
      <c r="F249" s="632">
        <f t="shared" si="331"/>
        <v>0</v>
      </c>
      <c r="G249" s="630"/>
      <c r="H249" s="631"/>
      <c r="I249" s="632">
        <f t="shared" si="332"/>
        <v>0</v>
      </c>
      <c r="J249" s="630"/>
      <c r="K249" s="631"/>
      <c r="L249" s="632">
        <f t="shared" si="333"/>
        <v>0</v>
      </c>
      <c r="M249" s="630"/>
      <c r="N249" s="631"/>
      <c r="O249" s="632">
        <f t="shared" si="334"/>
        <v>0</v>
      </c>
      <c r="P249" s="633"/>
    </row>
    <row r="250" spans="1:16" ht="39.75" hidden="1" customHeight="1" x14ac:dyDescent="0.25">
      <c r="A250" s="659">
        <v>6299</v>
      </c>
      <c r="B250" s="660" t="s">
        <v>266</v>
      </c>
      <c r="C250" s="629">
        <f t="shared" si="288"/>
        <v>0</v>
      </c>
      <c r="D250" s="661"/>
      <c r="E250" s="662"/>
      <c r="F250" s="632">
        <f t="shared" si="331"/>
        <v>0</v>
      </c>
      <c r="G250" s="630"/>
      <c r="H250" s="631"/>
      <c r="I250" s="632">
        <f t="shared" si="332"/>
        <v>0</v>
      </c>
      <c r="J250" s="630"/>
      <c r="K250" s="631"/>
      <c r="L250" s="632">
        <f t="shared" si="333"/>
        <v>0</v>
      </c>
      <c r="M250" s="630"/>
      <c r="N250" s="631"/>
      <c r="O250" s="632">
        <f t="shared" si="334"/>
        <v>0</v>
      </c>
      <c r="P250" s="633"/>
    </row>
    <row r="251" spans="1:16" hidden="1" x14ac:dyDescent="0.25">
      <c r="A251" s="653">
        <v>6300</v>
      </c>
      <c r="B251" s="685" t="s">
        <v>267</v>
      </c>
      <c r="C251" s="614">
        <f t="shared" si="288"/>
        <v>0</v>
      </c>
      <c r="D251" s="615">
        <f>SUM(D252,D257,D258)</f>
        <v>0</v>
      </c>
      <c r="E251" s="616">
        <f t="shared" ref="E251:O251" si="335">SUM(E252,E257,E258)</f>
        <v>0</v>
      </c>
      <c r="F251" s="617">
        <f t="shared" si="335"/>
        <v>0</v>
      </c>
      <c r="G251" s="615">
        <f t="shared" si="335"/>
        <v>0</v>
      </c>
      <c r="H251" s="616">
        <f t="shared" si="335"/>
        <v>0</v>
      </c>
      <c r="I251" s="617">
        <f t="shared" si="335"/>
        <v>0</v>
      </c>
      <c r="J251" s="615">
        <f t="shared" si="335"/>
        <v>0</v>
      </c>
      <c r="K251" s="616">
        <f t="shared" si="335"/>
        <v>0</v>
      </c>
      <c r="L251" s="617">
        <f t="shared" si="335"/>
        <v>0</v>
      </c>
      <c r="M251" s="615">
        <f t="shared" si="335"/>
        <v>0</v>
      </c>
      <c r="N251" s="616">
        <f t="shared" si="335"/>
        <v>0</v>
      </c>
      <c r="O251" s="617">
        <f t="shared" si="335"/>
        <v>0</v>
      </c>
      <c r="P251" s="618"/>
    </row>
    <row r="252" spans="1:16" ht="24" hidden="1" x14ac:dyDescent="0.25">
      <c r="A252" s="655">
        <v>6320</v>
      </c>
      <c r="B252" s="656" t="s">
        <v>268</v>
      </c>
      <c r="C252" s="663">
        <f t="shared" si="288"/>
        <v>0</v>
      </c>
      <c r="D252" s="657">
        <f>SUM(D253:D256)</f>
        <v>0</v>
      </c>
      <c r="E252" s="658">
        <f t="shared" ref="E252:O252" si="336">SUM(E253:E256)</f>
        <v>0</v>
      </c>
      <c r="F252" s="627">
        <f t="shared" si="336"/>
        <v>0</v>
      </c>
      <c r="G252" s="657">
        <f t="shared" si="336"/>
        <v>0</v>
      </c>
      <c r="H252" s="658">
        <f t="shared" si="336"/>
        <v>0</v>
      </c>
      <c r="I252" s="627">
        <f t="shared" si="336"/>
        <v>0</v>
      </c>
      <c r="J252" s="657">
        <f t="shared" si="336"/>
        <v>0</v>
      </c>
      <c r="K252" s="658">
        <f t="shared" si="336"/>
        <v>0</v>
      </c>
      <c r="L252" s="627">
        <f t="shared" si="336"/>
        <v>0</v>
      </c>
      <c r="M252" s="657">
        <f t="shared" si="336"/>
        <v>0</v>
      </c>
      <c r="N252" s="658">
        <f t="shared" si="336"/>
        <v>0</v>
      </c>
      <c r="O252" s="627">
        <f t="shared" si="336"/>
        <v>0</v>
      </c>
      <c r="P252" s="628"/>
    </row>
    <row r="253" spans="1:16" ht="12" hidden="1" customHeight="1" x14ac:dyDescent="0.25">
      <c r="A253" s="659">
        <v>6322</v>
      </c>
      <c r="B253" s="660" t="s">
        <v>269</v>
      </c>
      <c r="C253" s="629">
        <f t="shared" si="288"/>
        <v>0</v>
      </c>
      <c r="D253" s="661"/>
      <c r="E253" s="662"/>
      <c r="F253" s="632">
        <f t="shared" ref="F253:F258" si="337">D253+E253</f>
        <v>0</v>
      </c>
      <c r="G253" s="630"/>
      <c r="H253" s="631"/>
      <c r="I253" s="632">
        <f t="shared" ref="I253:I258" si="338">G253+H253</f>
        <v>0</v>
      </c>
      <c r="J253" s="630"/>
      <c r="K253" s="631"/>
      <c r="L253" s="632">
        <f t="shared" ref="L253:L258" si="339">K253+J253</f>
        <v>0</v>
      </c>
      <c r="M253" s="630"/>
      <c r="N253" s="631"/>
      <c r="O253" s="632">
        <f t="shared" ref="O253:O258" si="340">N253+M253</f>
        <v>0</v>
      </c>
      <c r="P253" s="633"/>
    </row>
    <row r="254" spans="1:16" ht="24" hidden="1" customHeight="1" x14ac:dyDescent="0.25">
      <c r="A254" s="659">
        <v>6323</v>
      </c>
      <c r="B254" s="660" t="s">
        <v>270</v>
      </c>
      <c r="C254" s="629">
        <f t="shared" si="288"/>
        <v>0</v>
      </c>
      <c r="D254" s="661"/>
      <c r="E254" s="662"/>
      <c r="F254" s="632">
        <f t="shared" si="337"/>
        <v>0</v>
      </c>
      <c r="G254" s="630"/>
      <c r="H254" s="631"/>
      <c r="I254" s="632">
        <f t="shared" si="338"/>
        <v>0</v>
      </c>
      <c r="J254" s="630"/>
      <c r="K254" s="631"/>
      <c r="L254" s="632">
        <f t="shared" si="339"/>
        <v>0</v>
      </c>
      <c r="M254" s="630"/>
      <c r="N254" s="631"/>
      <c r="O254" s="632">
        <f t="shared" si="340"/>
        <v>0</v>
      </c>
      <c r="P254" s="633"/>
    </row>
    <row r="255" spans="1:16" ht="24" hidden="1" customHeight="1" x14ac:dyDescent="0.25">
      <c r="A255" s="659">
        <v>6324</v>
      </c>
      <c r="B255" s="660" t="s">
        <v>271</v>
      </c>
      <c r="C255" s="629">
        <f t="shared" si="288"/>
        <v>0</v>
      </c>
      <c r="D255" s="661"/>
      <c r="E255" s="662"/>
      <c r="F255" s="632">
        <f t="shared" si="337"/>
        <v>0</v>
      </c>
      <c r="G255" s="630"/>
      <c r="H255" s="631"/>
      <c r="I255" s="632">
        <f t="shared" si="338"/>
        <v>0</v>
      </c>
      <c r="J255" s="630"/>
      <c r="K255" s="631"/>
      <c r="L255" s="632">
        <f t="shared" si="339"/>
        <v>0</v>
      </c>
      <c r="M255" s="630"/>
      <c r="N255" s="631"/>
      <c r="O255" s="632">
        <f t="shared" si="340"/>
        <v>0</v>
      </c>
      <c r="P255" s="633"/>
    </row>
    <row r="256" spans="1:16" ht="12" hidden="1" customHeight="1" x14ac:dyDescent="0.25">
      <c r="A256" s="680">
        <v>6329</v>
      </c>
      <c r="B256" s="656" t="s">
        <v>272</v>
      </c>
      <c r="C256" s="624">
        <f t="shared" si="288"/>
        <v>0</v>
      </c>
      <c r="D256" s="681"/>
      <c r="E256" s="682"/>
      <c r="F256" s="627">
        <f t="shared" si="337"/>
        <v>0</v>
      </c>
      <c r="G256" s="625"/>
      <c r="H256" s="626"/>
      <c r="I256" s="627">
        <f t="shared" si="338"/>
        <v>0</v>
      </c>
      <c r="J256" s="625"/>
      <c r="K256" s="626"/>
      <c r="L256" s="627">
        <f t="shared" si="339"/>
        <v>0</v>
      </c>
      <c r="M256" s="625"/>
      <c r="N256" s="626"/>
      <c r="O256" s="627">
        <f t="shared" si="340"/>
        <v>0</v>
      </c>
      <c r="P256" s="628"/>
    </row>
    <row r="257" spans="1:16" ht="24" hidden="1" customHeight="1" x14ac:dyDescent="0.25">
      <c r="A257" s="695">
        <v>6330</v>
      </c>
      <c r="B257" s="696" t="s">
        <v>273</v>
      </c>
      <c r="C257" s="663">
        <f t="shared" si="288"/>
        <v>0</v>
      </c>
      <c r="D257" s="665"/>
      <c r="E257" s="666"/>
      <c r="F257" s="667">
        <f t="shared" si="337"/>
        <v>0</v>
      </c>
      <c r="G257" s="668"/>
      <c r="H257" s="669"/>
      <c r="I257" s="667">
        <f t="shared" si="338"/>
        <v>0</v>
      </c>
      <c r="J257" s="668"/>
      <c r="K257" s="669"/>
      <c r="L257" s="667">
        <f t="shared" si="339"/>
        <v>0</v>
      </c>
      <c r="M257" s="668"/>
      <c r="N257" s="669"/>
      <c r="O257" s="667">
        <f t="shared" si="340"/>
        <v>0</v>
      </c>
      <c r="P257" s="670"/>
    </row>
    <row r="258" spans="1:16" ht="12" hidden="1" customHeight="1" x14ac:dyDescent="0.25">
      <c r="A258" s="686">
        <v>6360</v>
      </c>
      <c r="B258" s="660" t="s">
        <v>274</v>
      </c>
      <c r="C258" s="629">
        <f t="shared" si="288"/>
        <v>0</v>
      </c>
      <c r="D258" s="661"/>
      <c r="E258" s="662"/>
      <c r="F258" s="632">
        <f t="shared" si="337"/>
        <v>0</v>
      </c>
      <c r="G258" s="630"/>
      <c r="H258" s="631"/>
      <c r="I258" s="632">
        <f t="shared" si="338"/>
        <v>0</v>
      </c>
      <c r="J258" s="630"/>
      <c r="K258" s="631"/>
      <c r="L258" s="632">
        <f t="shared" si="339"/>
        <v>0</v>
      </c>
      <c r="M258" s="630"/>
      <c r="N258" s="631"/>
      <c r="O258" s="632">
        <f t="shared" si="340"/>
        <v>0</v>
      </c>
      <c r="P258" s="633"/>
    </row>
    <row r="259" spans="1:16" ht="36" hidden="1" x14ac:dyDescent="0.25">
      <c r="A259" s="653">
        <v>6400</v>
      </c>
      <c r="B259" s="685" t="s">
        <v>275</v>
      </c>
      <c r="C259" s="614">
        <f t="shared" si="288"/>
        <v>0</v>
      </c>
      <c r="D259" s="615">
        <f>SUM(D260,D264)</f>
        <v>0</v>
      </c>
      <c r="E259" s="616">
        <f t="shared" ref="E259:O259" si="341">SUM(E260,E264)</f>
        <v>0</v>
      </c>
      <c r="F259" s="617">
        <f t="shared" si="341"/>
        <v>0</v>
      </c>
      <c r="G259" s="615">
        <f t="shared" si="341"/>
        <v>0</v>
      </c>
      <c r="H259" s="616">
        <f t="shared" si="341"/>
        <v>0</v>
      </c>
      <c r="I259" s="617">
        <f t="shared" si="341"/>
        <v>0</v>
      </c>
      <c r="J259" s="615">
        <f t="shared" si="341"/>
        <v>0</v>
      </c>
      <c r="K259" s="616">
        <f t="shared" si="341"/>
        <v>0</v>
      </c>
      <c r="L259" s="617">
        <f t="shared" si="341"/>
        <v>0</v>
      </c>
      <c r="M259" s="615">
        <f t="shared" si="341"/>
        <v>0</v>
      </c>
      <c r="N259" s="616">
        <f t="shared" si="341"/>
        <v>0</v>
      </c>
      <c r="O259" s="617">
        <f t="shared" si="341"/>
        <v>0</v>
      </c>
      <c r="P259" s="618"/>
    </row>
    <row r="260" spans="1:16" ht="24" hidden="1" x14ac:dyDescent="0.25">
      <c r="A260" s="655">
        <v>6410</v>
      </c>
      <c r="B260" s="656" t="s">
        <v>276</v>
      </c>
      <c r="C260" s="624">
        <f t="shared" si="288"/>
        <v>0</v>
      </c>
      <c r="D260" s="657">
        <f>SUM(D261:D263)</f>
        <v>0</v>
      </c>
      <c r="E260" s="658">
        <f t="shared" ref="E260:O260" si="342">SUM(E261:E263)</f>
        <v>0</v>
      </c>
      <c r="F260" s="627">
        <f t="shared" si="342"/>
        <v>0</v>
      </c>
      <c r="G260" s="657">
        <f t="shared" si="342"/>
        <v>0</v>
      </c>
      <c r="H260" s="658">
        <f t="shared" si="342"/>
        <v>0</v>
      </c>
      <c r="I260" s="627">
        <f t="shared" si="342"/>
        <v>0</v>
      </c>
      <c r="J260" s="657">
        <f t="shared" si="342"/>
        <v>0</v>
      </c>
      <c r="K260" s="658">
        <f t="shared" si="342"/>
        <v>0</v>
      </c>
      <c r="L260" s="627">
        <f t="shared" si="342"/>
        <v>0</v>
      </c>
      <c r="M260" s="657">
        <f t="shared" si="342"/>
        <v>0</v>
      </c>
      <c r="N260" s="658">
        <f t="shared" si="342"/>
        <v>0</v>
      </c>
      <c r="O260" s="627">
        <f t="shared" si="342"/>
        <v>0</v>
      </c>
      <c r="P260" s="628"/>
    </row>
    <row r="261" spans="1:16" ht="12" hidden="1" customHeight="1" x14ac:dyDescent="0.25">
      <c r="A261" s="659">
        <v>6411</v>
      </c>
      <c r="B261" s="697" t="s">
        <v>277</v>
      </c>
      <c r="C261" s="629">
        <f t="shared" si="288"/>
        <v>0</v>
      </c>
      <c r="D261" s="661"/>
      <c r="E261" s="662"/>
      <c r="F261" s="632">
        <f t="shared" ref="F261:F263" si="343">D261+E261</f>
        <v>0</v>
      </c>
      <c r="G261" s="630"/>
      <c r="H261" s="631"/>
      <c r="I261" s="632">
        <f t="shared" ref="I261:I263" si="344">G261+H261</f>
        <v>0</v>
      </c>
      <c r="J261" s="630"/>
      <c r="K261" s="631"/>
      <c r="L261" s="632">
        <f t="shared" ref="L261:L263" si="345">K261+J261</f>
        <v>0</v>
      </c>
      <c r="M261" s="630"/>
      <c r="N261" s="631"/>
      <c r="O261" s="632">
        <f t="shared" ref="O261:O263" si="346">N261+M261</f>
        <v>0</v>
      </c>
      <c r="P261" s="633"/>
    </row>
    <row r="262" spans="1:16" ht="36" hidden="1" customHeight="1" x14ac:dyDescent="0.25">
      <c r="A262" s="659">
        <v>6412</v>
      </c>
      <c r="B262" s="660" t="s">
        <v>278</v>
      </c>
      <c r="C262" s="629">
        <f t="shared" si="288"/>
        <v>0</v>
      </c>
      <c r="D262" s="661"/>
      <c r="E262" s="662"/>
      <c r="F262" s="632">
        <f t="shared" si="343"/>
        <v>0</v>
      </c>
      <c r="G262" s="630"/>
      <c r="H262" s="631"/>
      <c r="I262" s="632">
        <f t="shared" si="344"/>
        <v>0</v>
      </c>
      <c r="J262" s="630"/>
      <c r="K262" s="631"/>
      <c r="L262" s="632">
        <f t="shared" si="345"/>
        <v>0</v>
      </c>
      <c r="M262" s="630"/>
      <c r="N262" s="631"/>
      <c r="O262" s="632">
        <f t="shared" si="346"/>
        <v>0</v>
      </c>
      <c r="P262" s="633"/>
    </row>
    <row r="263" spans="1:16" ht="36" hidden="1" customHeight="1" x14ac:dyDescent="0.25">
      <c r="A263" s="659">
        <v>6419</v>
      </c>
      <c r="B263" s="660" t="s">
        <v>279</v>
      </c>
      <c r="C263" s="629">
        <f t="shared" si="288"/>
        <v>0</v>
      </c>
      <c r="D263" s="661"/>
      <c r="E263" s="662"/>
      <c r="F263" s="632">
        <f t="shared" si="343"/>
        <v>0</v>
      </c>
      <c r="G263" s="630"/>
      <c r="H263" s="631"/>
      <c r="I263" s="632">
        <f t="shared" si="344"/>
        <v>0</v>
      </c>
      <c r="J263" s="630"/>
      <c r="K263" s="631"/>
      <c r="L263" s="632">
        <f t="shared" si="345"/>
        <v>0</v>
      </c>
      <c r="M263" s="630"/>
      <c r="N263" s="631"/>
      <c r="O263" s="632">
        <f t="shared" si="346"/>
        <v>0</v>
      </c>
      <c r="P263" s="633"/>
    </row>
    <row r="264" spans="1:16" ht="48" hidden="1" x14ac:dyDescent="0.25">
      <c r="A264" s="686">
        <v>6420</v>
      </c>
      <c r="B264" s="660" t="s">
        <v>280</v>
      </c>
      <c r="C264" s="629">
        <f t="shared" si="288"/>
        <v>0</v>
      </c>
      <c r="D264" s="634">
        <f>SUM(D265:D268)</f>
        <v>0</v>
      </c>
      <c r="E264" s="635">
        <f t="shared" ref="E264:F264" si="347">SUM(E265:E268)</f>
        <v>0</v>
      </c>
      <c r="F264" s="632">
        <f t="shared" si="347"/>
        <v>0</v>
      </c>
      <c r="G264" s="634">
        <f>SUM(G265:G268)</f>
        <v>0</v>
      </c>
      <c r="H264" s="635">
        <f t="shared" ref="H264:I264" si="348">SUM(H265:H268)</f>
        <v>0</v>
      </c>
      <c r="I264" s="632">
        <f t="shared" si="348"/>
        <v>0</v>
      </c>
      <c r="J264" s="634">
        <f>SUM(J265:J268)</f>
        <v>0</v>
      </c>
      <c r="K264" s="635">
        <f t="shared" ref="K264:L264" si="349">SUM(K265:K268)</f>
        <v>0</v>
      </c>
      <c r="L264" s="632">
        <f t="shared" si="349"/>
        <v>0</v>
      </c>
      <c r="M264" s="634">
        <f>SUM(M265:M268)</f>
        <v>0</v>
      </c>
      <c r="N264" s="635">
        <f t="shared" ref="N264:O264" si="350">SUM(N265:N268)</f>
        <v>0</v>
      </c>
      <c r="O264" s="632">
        <f t="shared" si="350"/>
        <v>0</v>
      </c>
      <c r="P264" s="633"/>
    </row>
    <row r="265" spans="1:16" ht="36" hidden="1" customHeight="1" x14ac:dyDescent="0.25">
      <c r="A265" s="659">
        <v>6421</v>
      </c>
      <c r="B265" s="660" t="s">
        <v>281</v>
      </c>
      <c r="C265" s="629">
        <f t="shared" si="288"/>
        <v>0</v>
      </c>
      <c r="D265" s="661"/>
      <c r="E265" s="662"/>
      <c r="F265" s="632">
        <f t="shared" ref="F265:F268" si="351">D265+E265</f>
        <v>0</v>
      </c>
      <c r="G265" s="630"/>
      <c r="H265" s="631"/>
      <c r="I265" s="632">
        <f t="shared" ref="I265:I268" si="352">G265+H265</f>
        <v>0</v>
      </c>
      <c r="J265" s="630"/>
      <c r="K265" s="631"/>
      <c r="L265" s="632">
        <f t="shared" ref="L265:L268" si="353">K265+J265</f>
        <v>0</v>
      </c>
      <c r="M265" s="630"/>
      <c r="N265" s="631"/>
      <c r="O265" s="632">
        <f t="shared" ref="O265:O268" si="354">N265+M265</f>
        <v>0</v>
      </c>
      <c r="P265" s="633"/>
    </row>
    <row r="266" spans="1:16" ht="12" hidden="1" customHeight="1" x14ac:dyDescent="0.25">
      <c r="A266" s="659">
        <v>6422</v>
      </c>
      <c r="B266" s="660" t="s">
        <v>282</v>
      </c>
      <c r="C266" s="629">
        <f t="shared" si="288"/>
        <v>0</v>
      </c>
      <c r="D266" s="661"/>
      <c r="E266" s="662"/>
      <c r="F266" s="632">
        <f t="shared" si="351"/>
        <v>0</v>
      </c>
      <c r="G266" s="630"/>
      <c r="H266" s="631"/>
      <c r="I266" s="632">
        <f t="shared" si="352"/>
        <v>0</v>
      </c>
      <c r="J266" s="630"/>
      <c r="K266" s="631"/>
      <c r="L266" s="632">
        <f t="shared" si="353"/>
        <v>0</v>
      </c>
      <c r="M266" s="630"/>
      <c r="N266" s="631"/>
      <c r="O266" s="632">
        <f t="shared" si="354"/>
        <v>0</v>
      </c>
      <c r="P266" s="633"/>
    </row>
    <row r="267" spans="1:16" ht="13.5" hidden="1" customHeight="1" x14ac:dyDescent="0.25">
      <c r="A267" s="659">
        <v>6423</v>
      </c>
      <c r="B267" s="660" t="s">
        <v>283</v>
      </c>
      <c r="C267" s="629">
        <f t="shared" si="288"/>
        <v>0</v>
      </c>
      <c r="D267" s="661"/>
      <c r="E267" s="662"/>
      <c r="F267" s="632">
        <f t="shared" si="351"/>
        <v>0</v>
      </c>
      <c r="G267" s="630"/>
      <c r="H267" s="631"/>
      <c r="I267" s="632">
        <f t="shared" si="352"/>
        <v>0</v>
      </c>
      <c r="J267" s="630"/>
      <c r="K267" s="631"/>
      <c r="L267" s="632">
        <f t="shared" si="353"/>
        <v>0</v>
      </c>
      <c r="M267" s="630"/>
      <c r="N267" s="631"/>
      <c r="O267" s="632">
        <f t="shared" si="354"/>
        <v>0</v>
      </c>
      <c r="P267" s="633"/>
    </row>
    <row r="268" spans="1:16" ht="36" hidden="1" customHeight="1" x14ac:dyDescent="0.25">
      <c r="A268" s="659">
        <v>6424</v>
      </c>
      <c r="B268" s="660" t="s">
        <v>284</v>
      </c>
      <c r="C268" s="629">
        <f t="shared" si="288"/>
        <v>0</v>
      </c>
      <c r="D268" s="661"/>
      <c r="E268" s="662"/>
      <c r="F268" s="632">
        <f t="shared" si="351"/>
        <v>0</v>
      </c>
      <c r="G268" s="630"/>
      <c r="H268" s="631"/>
      <c r="I268" s="632">
        <f t="shared" si="352"/>
        <v>0</v>
      </c>
      <c r="J268" s="630"/>
      <c r="K268" s="631"/>
      <c r="L268" s="632">
        <f t="shared" si="353"/>
        <v>0</v>
      </c>
      <c r="M268" s="630"/>
      <c r="N268" s="631"/>
      <c r="O268" s="632">
        <f t="shared" si="354"/>
        <v>0</v>
      </c>
      <c r="P268" s="633"/>
    </row>
    <row r="269" spans="1:16" ht="48" hidden="1" x14ac:dyDescent="0.25">
      <c r="A269" s="653">
        <v>7000</v>
      </c>
      <c r="B269" s="653" t="s">
        <v>285</v>
      </c>
      <c r="C269" s="698">
        <f t="shared" si="288"/>
        <v>0</v>
      </c>
      <c r="D269" s="699">
        <f>SUM(D270,D281)</f>
        <v>0</v>
      </c>
      <c r="E269" s="700">
        <f t="shared" ref="E269:F269" si="355">SUM(E270,E281)</f>
        <v>0</v>
      </c>
      <c r="F269" s="701">
        <f t="shared" si="355"/>
        <v>0</v>
      </c>
      <c r="G269" s="699">
        <f>SUM(G270,G281)</f>
        <v>0</v>
      </c>
      <c r="H269" s="700">
        <f t="shared" ref="H269:I269" si="356">SUM(H270,H281)</f>
        <v>0</v>
      </c>
      <c r="I269" s="701">
        <f t="shared" si="356"/>
        <v>0</v>
      </c>
      <c r="J269" s="699">
        <f>SUM(J270,J281)</f>
        <v>0</v>
      </c>
      <c r="K269" s="700">
        <f t="shared" ref="K269:L269" si="357">SUM(K270,K281)</f>
        <v>0</v>
      </c>
      <c r="L269" s="701">
        <f t="shared" si="357"/>
        <v>0</v>
      </c>
      <c r="M269" s="699">
        <f>SUM(M270,M281)</f>
        <v>0</v>
      </c>
      <c r="N269" s="700">
        <f t="shared" ref="N269:O269" si="358">SUM(N270,N281)</f>
        <v>0</v>
      </c>
      <c r="O269" s="701">
        <f t="shared" si="358"/>
        <v>0</v>
      </c>
      <c r="P269" s="702"/>
    </row>
    <row r="270" spans="1:16" ht="24" hidden="1" x14ac:dyDescent="0.25">
      <c r="A270" s="653">
        <v>7200</v>
      </c>
      <c r="B270" s="685" t="s">
        <v>286</v>
      </c>
      <c r="C270" s="614">
        <f t="shared" si="288"/>
        <v>0</v>
      </c>
      <c r="D270" s="615">
        <f>SUM(D271,D272,D275,D276,D280)</f>
        <v>0</v>
      </c>
      <c r="E270" s="616">
        <f t="shared" ref="E270:F270" si="359">SUM(E271,E272,E275,E276,E280)</f>
        <v>0</v>
      </c>
      <c r="F270" s="617">
        <f t="shared" si="359"/>
        <v>0</v>
      </c>
      <c r="G270" s="615">
        <f>SUM(G271,G272,G275,G276,G280)</f>
        <v>0</v>
      </c>
      <c r="H270" s="616">
        <f t="shared" ref="H270:I270" si="360">SUM(H271,H272,H275,H276,H280)</f>
        <v>0</v>
      </c>
      <c r="I270" s="617">
        <f t="shared" si="360"/>
        <v>0</v>
      </c>
      <c r="J270" s="615">
        <f>SUM(J271,J272,J275,J276,J280)</f>
        <v>0</v>
      </c>
      <c r="K270" s="616">
        <f t="shared" ref="K270:L270" si="361">SUM(K271,K272,K275,K276,K280)</f>
        <v>0</v>
      </c>
      <c r="L270" s="617">
        <f t="shared" si="361"/>
        <v>0</v>
      </c>
      <c r="M270" s="615">
        <f>SUM(M271,M272,M275,M276,M280)</f>
        <v>0</v>
      </c>
      <c r="N270" s="616">
        <f t="shared" ref="N270:O270" si="362">SUM(N271,N272,N275,N276,N280)</f>
        <v>0</v>
      </c>
      <c r="O270" s="617">
        <f t="shared" si="362"/>
        <v>0</v>
      </c>
      <c r="P270" s="618"/>
    </row>
    <row r="271" spans="1:16" ht="24" hidden="1" customHeight="1" x14ac:dyDescent="0.25">
      <c r="A271" s="655">
        <v>7210</v>
      </c>
      <c r="B271" s="656" t="s">
        <v>287</v>
      </c>
      <c r="C271" s="624">
        <f t="shared" si="288"/>
        <v>0</v>
      </c>
      <c r="D271" s="681"/>
      <c r="E271" s="682"/>
      <c r="F271" s="627">
        <f>D271+E271</f>
        <v>0</v>
      </c>
      <c r="G271" s="625"/>
      <c r="H271" s="626"/>
      <c r="I271" s="627">
        <f>G271+H271</f>
        <v>0</v>
      </c>
      <c r="J271" s="625"/>
      <c r="K271" s="626"/>
      <c r="L271" s="627">
        <f>K271+J271</f>
        <v>0</v>
      </c>
      <c r="M271" s="625"/>
      <c r="N271" s="626"/>
      <c r="O271" s="627">
        <f>N271+M271</f>
        <v>0</v>
      </c>
      <c r="P271" s="628"/>
    </row>
    <row r="272" spans="1:16" s="234" customFormat="1" ht="24" hidden="1" x14ac:dyDescent="0.25">
      <c r="A272" s="686">
        <v>7220</v>
      </c>
      <c r="B272" s="660" t="s">
        <v>288</v>
      </c>
      <c r="C272" s="629">
        <f t="shared" si="288"/>
        <v>0</v>
      </c>
      <c r="D272" s="634">
        <f>SUM(D273:D274)</f>
        <v>0</v>
      </c>
      <c r="E272" s="635">
        <f t="shared" ref="E272:F272" si="363">SUM(E273:E274)</f>
        <v>0</v>
      </c>
      <c r="F272" s="632">
        <f t="shared" si="363"/>
        <v>0</v>
      </c>
      <c r="G272" s="634">
        <f>SUM(G273:G274)</f>
        <v>0</v>
      </c>
      <c r="H272" s="635">
        <f t="shared" ref="H272:I272" si="364">SUM(H273:H274)</f>
        <v>0</v>
      </c>
      <c r="I272" s="632">
        <f t="shared" si="364"/>
        <v>0</v>
      </c>
      <c r="J272" s="634">
        <f>SUM(J273:J274)</f>
        <v>0</v>
      </c>
      <c r="K272" s="635">
        <f t="shared" ref="K272:L272" si="365">SUM(K273:K274)</f>
        <v>0</v>
      </c>
      <c r="L272" s="632">
        <f t="shared" si="365"/>
        <v>0</v>
      </c>
      <c r="M272" s="634">
        <f>SUM(M273:M274)</f>
        <v>0</v>
      </c>
      <c r="N272" s="635">
        <f t="shared" ref="N272:O272" si="366">SUM(N273:N274)</f>
        <v>0</v>
      </c>
      <c r="O272" s="632">
        <f t="shared" si="366"/>
        <v>0</v>
      </c>
      <c r="P272" s="633"/>
    </row>
    <row r="273" spans="1:16" s="234" customFormat="1" ht="36" hidden="1" customHeight="1" x14ac:dyDescent="0.25">
      <c r="A273" s="659">
        <v>7221</v>
      </c>
      <c r="B273" s="660" t="s">
        <v>289</v>
      </c>
      <c r="C273" s="629">
        <f t="shared" si="288"/>
        <v>0</v>
      </c>
      <c r="D273" s="661"/>
      <c r="E273" s="662"/>
      <c r="F273" s="632">
        <f t="shared" ref="F273:F275" si="367">D273+E273</f>
        <v>0</v>
      </c>
      <c r="G273" s="630"/>
      <c r="H273" s="631"/>
      <c r="I273" s="632">
        <f t="shared" ref="I273:I275" si="368">G273+H273</f>
        <v>0</v>
      </c>
      <c r="J273" s="630"/>
      <c r="K273" s="631"/>
      <c r="L273" s="632">
        <f t="shared" ref="L273:L275" si="369">K273+J273</f>
        <v>0</v>
      </c>
      <c r="M273" s="630"/>
      <c r="N273" s="631"/>
      <c r="O273" s="632">
        <f t="shared" ref="O273:O275" si="370">N273+M273</f>
        <v>0</v>
      </c>
      <c r="P273" s="633"/>
    </row>
    <row r="274" spans="1:16" s="234" customFormat="1" ht="36" hidden="1" customHeight="1" x14ac:dyDescent="0.25">
      <c r="A274" s="659">
        <v>7222</v>
      </c>
      <c r="B274" s="660" t="s">
        <v>290</v>
      </c>
      <c r="C274" s="629">
        <f t="shared" si="288"/>
        <v>0</v>
      </c>
      <c r="D274" s="661"/>
      <c r="E274" s="662"/>
      <c r="F274" s="632">
        <f t="shared" si="367"/>
        <v>0</v>
      </c>
      <c r="G274" s="630"/>
      <c r="H274" s="631"/>
      <c r="I274" s="632">
        <f t="shared" si="368"/>
        <v>0</v>
      </c>
      <c r="J274" s="630"/>
      <c r="K274" s="631"/>
      <c r="L274" s="632">
        <f t="shared" si="369"/>
        <v>0</v>
      </c>
      <c r="M274" s="630"/>
      <c r="N274" s="631"/>
      <c r="O274" s="632">
        <f t="shared" si="370"/>
        <v>0</v>
      </c>
      <c r="P274" s="633"/>
    </row>
    <row r="275" spans="1:16" ht="24" hidden="1" customHeight="1" x14ac:dyDescent="0.25">
      <c r="A275" s="686">
        <v>7230</v>
      </c>
      <c r="B275" s="660" t="s">
        <v>291</v>
      </c>
      <c r="C275" s="629">
        <f t="shared" si="288"/>
        <v>0</v>
      </c>
      <c r="D275" s="661"/>
      <c r="E275" s="662"/>
      <c r="F275" s="632">
        <f t="shared" si="367"/>
        <v>0</v>
      </c>
      <c r="G275" s="630"/>
      <c r="H275" s="631"/>
      <c r="I275" s="632">
        <f t="shared" si="368"/>
        <v>0</v>
      </c>
      <c r="J275" s="630"/>
      <c r="K275" s="631"/>
      <c r="L275" s="632">
        <f t="shared" si="369"/>
        <v>0</v>
      </c>
      <c r="M275" s="630"/>
      <c r="N275" s="631"/>
      <c r="O275" s="632">
        <f t="shared" si="370"/>
        <v>0</v>
      </c>
      <c r="P275" s="633"/>
    </row>
    <row r="276" spans="1:16" ht="24" hidden="1" x14ac:dyDescent="0.25">
      <c r="A276" s="686">
        <v>7240</v>
      </c>
      <c r="B276" s="660" t="s">
        <v>292</v>
      </c>
      <c r="C276" s="629">
        <f t="shared" ref="C276:C301" si="371">F276+I276+L276+O276</f>
        <v>0</v>
      </c>
      <c r="D276" s="634">
        <f t="shared" ref="D276:O276" si="372">SUM(D277:D279)</f>
        <v>0</v>
      </c>
      <c r="E276" s="635">
        <f t="shared" si="372"/>
        <v>0</v>
      </c>
      <c r="F276" s="632">
        <f t="shared" si="372"/>
        <v>0</v>
      </c>
      <c r="G276" s="634">
        <f t="shared" si="372"/>
        <v>0</v>
      </c>
      <c r="H276" s="635">
        <f t="shared" si="372"/>
        <v>0</v>
      </c>
      <c r="I276" s="632">
        <f t="shared" si="372"/>
        <v>0</v>
      </c>
      <c r="J276" s="634">
        <f>SUM(J277:J279)</f>
        <v>0</v>
      </c>
      <c r="K276" s="635">
        <f t="shared" ref="K276:L276" si="373">SUM(K277:K279)</f>
        <v>0</v>
      </c>
      <c r="L276" s="632">
        <f t="shared" si="373"/>
        <v>0</v>
      </c>
      <c r="M276" s="634">
        <f t="shared" si="372"/>
        <v>0</v>
      </c>
      <c r="N276" s="635">
        <f t="shared" si="372"/>
        <v>0</v>
      </c>
      <c r="O276" s="632">
        <f t="shared" si="372"/>
        <v>0</v>
      </c>
      <c r="P276" s="633"/>
    </row>
    <row r="277" spans="1:16" ht="48" hidden="1" customHeight="1" x14ac:dyDescent="0.25">
      <c r="A277" s="659">
        <v>7245</v>
      </c>
      <c r="B277" s="660" t="s">
        <v>293</v>
      </c>
      <c r="C277" s="629">
        <f t="shared" si="371"/>
        <v>0</v>
      </c>
      <c r="D277" s="661"/>
      <c r="E277" s="662"/>
      <c r="F277" s="632">
        <f t="shared" ref="F277:F280" si="374">D277+E277</f>
        <v>0</v>
      </c>
      <c r="G277" s="630"/>
      <c r="H277" s="631"/>
      <c r="I277" s="632">
        <f t="shared" ref="I277:I280" si="375">G277+H277</f>
        <v>0</v>
      </c>
      <c r="J277" s="630"/>
      <c r="K277" s="631"/>
      <c r="L277" s="632">
        <f t="shared" ref="L277:L280" si="376">K277+J277</f>
        <v>0</v>
      </c>
      <c r="M277" s="630"/>
      <c r="N277" s="631"/>
      <c r="O277" s="632">
        <f t="shared" ref="O277:O280" si="377">N277+M277</f>
        <v>0</v>
      </c>
      <c r="P277" s="633"/>
    </row>
    <row r="278" spans="1:16" ht="84.75" hidden="1" customHeight="1" x14ac:dyDescent="0.25">
      <c r="A278" s="659">
        <v>7246</v>
      </c>
      <c r="B278" s="660" t="s">
        <v>294</v>
      </c>
      <c r="C278" s="629">
        <f t="shared" si="371"/>
        <v>0</v>
      </c>
      <c r="D278" s="661"/>
      <c r="E278" s="662"/>
      <c r="F278" s="632">
        <f t="shared" si="374"/>
        <v>0</v>
      </c>
      <c r="G278" s="630"/>
      <c r="H278" s="631"/>
      <c r="I278" s="632">
        <f t="shared" si="375"/>
        <v>0</v>
      </c>
      <c r="J278" s="630"/>
      <c r="K278" s="631"/>
      <c r="L278" s="632">
        <f t="shared" si="376"/>
        <v>0</v>
      </c>
      <c r="M278" s="630"/>
      <c r="N278" s="631"/>
      <c r="O278" s="632">
        <f t="shared" si="377"/>
        <v>0</v>
      </c>
      <c r="P278" s="633"/>
    </row>
    <row r="279" spans="1:16" ht="36" hidden="1" customHeight="1" x14ac:dyDescent="0.25">
      <c r="A279" s="659">
        <v>7247</v>
      </c>
      <c r="B279" s="660" t="s">
        <v>295</v>
      </c>
      <c r="C279" s="629">
        <f t="shared" si="371"/>
        <v>0</v>
      </c>
      <c r="D279" s="661"/>
      <c r="E279" s="662"/>
      <c r="F279" s="632">
        <f t="shared" si="374"/>
        <v>0</v>
      </c>
      <c r="G279" s="630"/>
      <c r="H279" s="631"/>
      <c r="I279" s="632">
        <f t="shared" si="375"/>
        <v>0</v>
      </c>
      <c r="J279" s="630"/>
      <c r="K279" s="631"/>
      <c r="L279" s="632">
        <f t="shared" si="376"/>
        <v>0</v>
      </c>
      <c r="M279" s="630"/>
      <c r="N279" s="631"/>
      <c r="O279" s="632">
        <f t="shared" si="377"/>
        <v>0</v>
      </c>
      <c r="P279" s="633"/>
    </row>
    <row r="280" spans="1:16" ht="24" hidden="1" customHeight="1" x14ac:dyDescent="0.25">
      <c r="A280" s="655">
        <v>7260</v>
      </c>
      <c r="B280" s="656" t="s">
        <v>296</v>
      </c>
      <c r="C280" s="624">
        <f t="shared" si="371"/>
        <v>0</v>
      </c>
      <c r="D280" s="681"/>
      <c r="E280" s="682"/>
      <c r="F280" s="627">
        <f t="shared" si="374"/>
        <v>0</v>
      </c>
      <c r="G280" s="625"/>
      <c r="H280" s="626"/>
      <c r="I280" s="627">
        <f t="shared" si="375"/>
        <v>0</v>
      </c>
      <c r="J280" s="625"/>
      <c r="K280" s="626"/>
      <c r="L280" s="627">
        <f t="shared" si="376"/>
        <v>0</v>
      </c>
      <c r="M280" s="625"/>
      <c r="N280" s="626"/>
      <c r="O280" s="627">
        <f t="shared" si="377"/>
        <v>0</v>
      </c>
      <c r="P280" s="628"/>
    </row>
    <row r="281" spans="1:16" hidden="1" x14ac:dyDescent="0.25">
      <c r="A281" s="703">
        <v>7700</v>
      </c>
      <c r="B281" s="704" t="s">
        <v>297</v>
      </c>
      <c r="C281" s="705">
        <f t="shared" si="371"/>
        <v>0</v>
      </c>
      <c r="D281" s="706">
        <f t="shared" ref="D281:O281" si="378">D282</f>
        <v>0</v>
      </c>
      <c r="E281" s="707">
        <f t="shared" si="378"/>
        <v>0</v>
      </c>
      <c r="F281" s="708">
        <f t="shared" si="378"/>
        <v>0</v>
      </c>
      <c r="G281" s="706">
        <f t="shared" si="378"/>
        <v>0</v>
      </c>
      <c r="H281" s="707">
        <f t="shared" si="378"/>
        <v>0</v>
      </c>
      <c r="I281" s="708">
        <f t="shared" si="378"/>
        <v>0</v>
      </c>
      <c r="J281" s="706">
        <f t="shared" si="378"/>
        <v>0</v>
      </c>
      <c r="K281" s="707">
        <f t="shared" si="378"/>
        <v>0</v>
      </c>
      <c r="L281" s="708">
        <f t="shared" si="378"/>
        <v>0</v>
      </c>
      <c r="M281" s="706">
        <f t="shared" si="378"/>
        <v>0</v>
      </c>
      <c r="N281" s="707">
        <f t="shared" si="378"/>
        <v>0</v>
      </c>
      <c r="O281" s="708">
        <f t="shared" si="378"/>
        <v>0</v>
      </c>
      <c r="P281" s="709"/>
    </row>
    <row r="282" spans="1:16" ht="12" hidden="1" customHeight="1" x14ac:dyDescent="0.25">
      <c r="A282" s="694">
        <v>7720</v>
      </c>
      <c r="B282" s="656" t="s">
        <v>298</v>
      </c>
      <c r="C282" s="710">
        <f t="shared" si="371"/>
        <v>0</v>
      </c>
      <c r="D282" s="711"/>
      <c r="E282" s="712"/>
      <c r="F282" s="713">
        <f>D282+E282</f>
        <v>0</v>
      </c>
      <c r="G282" s="714"/>
      <c r="H282" s="715"/>
      <c r="I282" s="713">
        <f>G282+H282</f>
        <v>0</v>
      </c>
      <c r="J282" s="714"/>
      <c r="K282" s="715"/>
      <c r="L282" s="713">
        <f>K282+J282</f>
        <v>0</v>
      </c>
      <c r="M282" s="714"/>
      <c r="N282" s="715"/>
      <c r="O282" s="713">
        <f>N282+M282</f>
        <v>0</v>
      </c>
      <c r="P282" s="716"/>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10708</v>
      </c>
      <c r="D286" s="190">
        <f>SUM(D287:D288)</f>
        <v>0</v>
      </c>
      <c r="E286" s="191">
        <f t="shared" ref="E286:F286" si="381">SUM(E287:E288)</f>
        <v>10708</v>
      </c>
      <c r="F286" s="55">
        <f t="shared" si="381"/>
        <v>10708</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1" t="s">
        <v>303</v>
      </c>
      <c r="B287" s="51" t="s">
        <v>304</v>
      </c>
      <c r="C287" s="90">
        <f t="shared" si="371"/>
        <v>10708</v>
      </c>
      <c r="D287" s="196"/>
      <c r="E287" s="197">
        <v>10708</v>
      </c>
      <c r="F287" s="55">
        <f t="shared" ref="F287:F288" si="385">D287+E287</f>
        <v>10708</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13192</v>
      </c>
      <c r="D289" s="252">
        <f t="shared" ref="D289:O289" si="389">SUM(D286,D269,D230,D195,D187,D173,D75,D53,D283)</f>
        <v>0</v>
      </c>
      <c r="E289" s="253">
        <f t="shared" si="389"/>
        <v>13192</v>
      </c>
      <c r="F289" s="254">
        <f t="shared" si="389"/>
        <v>13192</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10708</v>
      </c>
      <c r="D290" s="257">
        <f>SUM(D24,D25,D41)-D51</f>
        <v>0</v>
      </c>
      <c r="E290" s="258">
        <f t="shared" ref="E290:F290" si="390">SUM(E24,E25,E41)-E51</f>
        <v>10708</v>
      </c>
      <c r="F290" s="259">
        <f t="shared" si="390"/>
        <v>10708</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-10708</v>
      </c>
      <c r="D291" s="262">
        <f t="shared" ref="D291:O291" si="394">SUM(D292,D293)-D300+D301</f>
        <v>0</v>
      </c>
      <c r="E291" s="263">
        <f t="shared" si="394"/>
        <v>-10708</v>
      </c>
      <c r="F291" s="264">
        <f t="shared" si="394"/>
        <v>-10708</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-10708</v>
      </c>
      <c r="D292" s="159">
        <f t="shared" ref="D292:O292" si="395">D21-D286</f>
        <v>0</v>
      </c>
      <c r="E292" s="160">
        <f t="shared" si="395"/>
        <v>-10708</v>
      </c>
      <c r="F292" s="161">
        <f t="shared" si="395"/>
        <v>-10708</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sheetData>
  <sheetProtection algorithmName="SHA-512" hashValue="CY9RebIQsnvZ8A/lpG/ZO4UCWGKEPiHGfcuVPglP0ojkGLh1/FHBtDuUCpKbjuBV36IM7ELeHosic9M/QjiRnQ==" saltValue="AvgufvMBQH1fIEV8uZTlLQ==" spinCount="100000" sheet="1" objects="1" scenarios="1" formatCells="0" formatColumns="0" formatRows="0" deleteColumns="0"/>
  <autoFilter ref="A18:P301">
    <filterColumn colId="2">
      <filters>
        <filter val="1 774"/>
        <filter val="10 708"/>
        <filter val="-10 708"/>
        <filter val="13 192"/>
        <filter val="150"/>
        <filter val="2 334"/>
        <filter val="2 484"/>
        <filter val="56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2019.gada 31.oktobra saistošajiem noteikumiem Nr.46
(protokols Nr.14, 28.punkts)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830</v>
      </c>
      <c r="D6" s="1512"/>
      <c r="E6" s="1512"/>
      <c r="F6" s="1512"/>
      <c r="G6" s="1512"/>
      <c r="H6" s="1512"/>
      <c r="I6" s="1512"/>
      <c r="J6" s="1512"/>
      <c r="K6" s="1512"/>
      <c r="L6" s="1512"/>
      <c r="M6" s="1512"/>
      <c r="N6" s="1512"/>
      <c r="O6" s="1512"/>
      <c r="P6" s="1513"/>
      <c r="Q6" s="277"/>
    </row>
    <row r="7" spans="1:17" ht="24" customHeight="1" x14ac:dyDescent="0.25">
      <c r="A7" s="7" t="s">
        <v>10</v>
      </c>
      <c r="B7" s="8"/>
      <c r="C7" s="1517" t="s">
        <v>831</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695237</v>
      </c>
      <c r="D20" s="32">
        <f>SUM(D21,D24,D25,D41,D43)</f>
        <v>680168</v>
      </c>
      <c r="E20" s="33">
        <f t="shared" ref="E20:F20" si="1">SUM(E21,E24,E25,E41,E43)</f>
        <v>15069</v>
      </c>
      <c r="F20" s="34">
        <f t="shared" si="1"/>
        <v>695237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695237</v>
      </c>
      <c r="D24" s="60">
        <v>680168</v>
      </c>
      <c r="E24" s="717">
        <v>15069</v>
      </c>
      <c r="F24" s="62">
        <f t="shared" si="9"/>
        <v>695237</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695237</v>
      </c>
      <c r="D50" s="159">
        <f>SUM(D51,D286)</f>
        <v>680168</v>
      </c>
      <c r="E50" s="160">
        <f t="shared" ref="E50:F50" si="26">SUM(E51,E286)</f>
        <v>15069</v>
      </c>
      <c r="F50" s="161">
        <f t="shared" si="26"/>
        <v>695237</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695237</v>
      </c>
      <c r="D51" s="165">
        <f>SUM(D52,D194)</f>
        <v>680168</v>
      </c>
      <c r="E51" s="166">
        <f t="shared" ref="E51:F51" si="30">SUM(E52,E194)</f>
        <v>15069</v>
      </c>
      <c r="F51" s="167">
        <f t="shared" si="30"/>
        <v>695237</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hidden="1" x14ac:dyDescent="0.25">
      <c r="A52" s="24"/>
      <c r="B52" s="22" t="s">
        <v>70</v>
      </c>
      <c r="C52" s="172">
        <f t="shared" si="0"/>
        <v>0</v>
      </c>
      <c r="D52" s="173">
        <f>SUM(D53,D75,D173,D187)</f>
        <v>0</v>
      </c>
      <c r="E52" s="174">
        <f t="shared" ref="E52:F52" si="34">SUM(E53,E75,E173,E187)</f>
        <v>0</v>
      </c>
      <c r="F52" s="175">
        <f t="shared" si="34"/>
        <v>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605">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93</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05">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605">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605">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605">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05">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05">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05">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05">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695237</v>
      </c>
      <c r="D194" s="173">
        <f t="shared" ref="D194:O194" si="259">SUM(D195,D230,D269,D283)</f>
        <v>680168</v>
      </c>
      <c r="E194" s="174">
        <f t="shared" si="259"/>
        <v>15069</v>
      </c>
      <c r="F194" s="175">
        <f t="shared" si="259"/>
        <v>695237</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05">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605">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05">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05">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05">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84.75" customHeight="1" x14ac:dyDescent="0.25">
      <c r="A269" s="228">
        <v>7000</v>
      </c>
      <c r="B269" s="228" t="s">
        <v>285</v>
      </c>
      <c r="C269" s="229">
        <f t="shared" si="288"/>
        <v>695237</v>
      </c>
      <c r="D269" s="230">
        <f>SUM(D270,D281)</f>
        <v>680168</v>
      </c>
      <c r="E269" s="231">
        <f t="shared" ref="E269:F269" si="355">SUM(E270,E281)</f>
        <v>15069</v>
      </c>
      <c r="F269" s="232">
        <f t="shared" si="355"/>
        <v>695237</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718" t="s">
        <v>832</v>
      </c>
    </row>
    <row r="270" spans="1:16" ht="24" x14ac:dyDescent="0.25">
      <c r="A270" s="69">
        <v>7200</v>
      </c>
      <c r="B270" s="183" t="s">
        <v>286</v>
      </c>
      <c r="C270" s="70">
        <f t="shared" si="288"/>
        <v>695237</v>
      </c>
      <c r="D270" s="184">
        <f>SUM(D271,D272,D275,D276,D280)</f>
        <v>680168</v>
      </c>
      <c r="E270" s="185">
        <f t="shared" ref="E270:F270" si="359">SUM(E271,E272,E275,E276,E280)</f>
        <v>15069</v>
      </c>
      <c r="F270" s="73">
        <f t="shared" si="359"/>
        <v>695237</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customHeight="1" x14ac:dyDescent="0.25">
      <c r="A271" s="605">
        <v>7210</v>
      </c>
      <c r="B271" s="82" t="s">
        <v>287</v>
      </c>
      <c r="C271" s="83">
        <f t="shared" si="288"/>
        <v>695237</v>
      </c>
      <c r="D271" s="199">
        <v>680168</v>
      </c>
      <c r="E271" s="719">
        <v>15069</v>
      </c>
      <c r="F271" s="134">
        <f>D271+E271</f>
        <v>695237</v>
      </c>
      <c r="G271" s="46"/>
      <c r="H271" s="47"/>
      <c r="I271" s="134">
        <f>G271+H271</f>
        <v>0</v>
      </c>
      <c r="J271" s="46"/>
      <c r="K271" s="47"/>
      <c r="L271" s="134">
        <f>K271+J271</f>
        <v>0</v>
      </c>
      <c r="M271" s="46"/>
      <c r="N271" s="47"/>
      <c r="O271" s="134">
        <f>N271+M271</f>
        <v>0</v>
      </c>
      <c r="P271" s="463"/>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05">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695237</v>
      </c>
      <c r="D289" s="252">
        <f t="shared" ref="D289:O289" si="389">SUM(D286,D269,D230,D195,D187,D173,D75,D53,D283)</f>
        <v>680168</v>
      </c>
      <c r="E289" s="253">
        <f t="shared" si="389"/>
        <v>15069</v>
      </c>
      <c r="F289" s="254">
        <f t="shared" si="389"/>
        <v>695237</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z7xMwiKnUwVKHlpZ/5e6++k5cHlcrHk+T6RdkgDDo5ukeVzpJCA9P3TfpuVoFSTy8eZ7y71CN0gUn+hGBGWZHg==" saltValue="+nl+YpyKqgtaMaHC5VRNuQ==" spinCount="100000" sheet="1" objects="1" scenarios="1" formatCells="0" formatColumns="0" formatRows="0" deleteColumns="0"/>
  <autoFilter ref="A18:P301">
    <filterColumn colId="2">
      <filters>
        <filter val="695 23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2019.gada 31.oktobra saistošajiem noteikumiem Nr.46
(protokols Nr.14, 28.punkts)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8"/>
  <sheetViews>
    <sheetView showGridLines="0" view="pageLayout" zoomScaleNormal="100" workbookViewId="0">
      <selection activeCell="U2" sqref="U2"/>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800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801</v>
      </c>
      <c r="D3" s="1517"/>
      <c r="E3" s="1517"/>
      <c r="F3" s="1517"/>
      <c r="G3" s="1517"/>
      <c r="H3" s="1517"/>
      <c r="I3" s="1517"/>
      <c r="J3" s="1517"/>
      <c r="K3" s="1517"/>
      <c r="L3" s="1517"/>
      <c r="M3" s="1517"/>
      <c r="N3" s="1517"/>
      <c r="O3" s="1517"/>
      <c r="P3" s="1518"/>
      <c r="Q3" s="277"/>
    </row>
    <row r="4" spans="1:17" ht="12.75" customHeight="1" x14ac:dyDescent="0.25">
      <c r="A4" s="5" t="s">
        <v>4</v>
      </c>
      <c r="B4" s="6"/>
      <c r="C4" s="1517" t="s">
        <v>802</v>
      </c>
      <c r="D4" s="1517"/>
      <c r="E4" s="1517"/>
      <c r="F4" s="1517"/>
      <c r="G4" s="1517"/>
      <c r="H4" s="1517"/>
      <c r="I4" s="1517"/>
      <c r="J4" s="1517"/>
      <c r="K4" s="1517"/>
      <c r="L4" s="1517"/>
      <c r="M4" s="1517"/>
      <c r="N4" s="1517"/>
      <c r="O4" s="1517"/>
      <c r="P4" s="1518"/>
      <c r="Q4" s="277"/>
    </row>
    <row r="5" spans="1:17" ht="12.75" customHeight="1" x14ac:dyDescent="0.25">
      <c r="A5" s="7" t="s">
        <v>6</v>
      </c>
      <c r="B5" s="8"/>
      <c r="C5" s="1512" t="s">
        <v>803</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805</v>
      </c>
      <c r="D9" s="1512"/>
      <c r="E9" s="1512"/>
      <c r="F9" s="1512"/>
      <c r="G9" s="1512"/>
      <c r="H9" s="1512"/>
      <c r="I9" s="1512"/>
      <c r="J9" s="1512"/>
      <c r="K9" s="1512"/>
      <c r="L9" s="1512"/>
      <c r="M9" s="1512"/>
      <c r="N9" s="1512"/>
      <c r="O9" s="1512"/>
      <c r="P9" s="1513"/>
      <c r="Q9" s="277"/>
    </row>
    <row r="10" spans="1:17" ht="12.75" customHeight="1" x14ac:dyDescent="0.25">
      <c r="A10" s="7"/>
      <c r="B10" s="8" t="s">
        <v>15</v>
      </c>
      <c r="C10" s="1512" t="s">
        <v>806</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807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t="s">
        <v>808</v>
      </c>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724282</v>
      </c>
      <c r="D20" s="32">
        <f>SUM(D21,D24,D25,D41,D43)</f>
        <v>481090</v>
      </c>
      <c r="E20" s="33">
        <f t="shared" ref="E20:F20" si="1">SUM(E21,E24,E25,E41,E43)</f>
        <v>0</v>
      </c>
      <c r="F20" s="34">
        <f t="shared" si="1"/>
        <v>481090</v>
      </c>
      <c r="G20" s="32">
        <f>SUM(G21,G24,G43)</f>
        <v>218666</v>
      </c>
      <c r="H20" s="33">
        <f t="shared" ref="H20:I20" si="2">SUM(H21,H24,H43)</f>
        <v>-6066</v>
      </c>
      <c r="I20" s="34">
        <f t="shared" si="2"/>
        <v>212600</v>
      </c>
      <c r="J20" s="32">
        <f>SUM(J21,J26,J43)</f>
        <v>28742</v>
      </c>
      <c r="K20" s="33">
        <f t="shared" ref="K20:L20" si="3">SUM(K21,K26,K43)</f>
        <v>1850</v>
      </c>
      <c r="L20" s="34">
        <f t="shared" si="3"/>
        <v>30592</v>
      </c>
      <c r="M20" s="32">
        <f>SUM(M21,M45)</f>
        <v>0</v>
      </c>
      <c r="N20" s="33">
        <f t="shared" ref="N20:O20" si="4">SUM(N21,N45)</f>
        <v>0</v>
      </c>
      <c r="O20" s="34">
        <f t="shared" si="4"/>
        <v>0</v>
      </c>
      <c r="P20" s="35"/>
    </row>
    <row r="21" spans="1:16" ht="12.75" thickTop="1" x14ac:dyDescent="0.25">
      <c r="A21" s="36"/>
      <c r="B21" s="37" t="s">
        <v>39</v>
      </c>
      <c r="C21" s="38">
        <f t="shared" si="0"/>
        <v>166</v>
      </c>
      <c r="D21" s="39">
        <f>SUM(D22:D23)</f>
        <v>0</v>
      </c>
      <c r="E21" s="40">
        <f t="shared" ref="E21:F21" si="5">SUM(E22:E23)</f>
        <v>0</v>
      </c>
      <c r="F21" s="41">
        <f t="shared" si="5"/>
        <v>0</v>
      </c>
      <c r="G21" s="39">
        <f>SUM(G22:G23)</f>
        <v>0</v>
      </c>
      <c r="H21" s="40">
        <f t="shared" ref="H21:I21" si="6">SUM(H22:H23)</f>
        <v>0</v>
      </c>
      <c r="I21" s="41">
        <f t="shared" si="6"/>
        <v>0</v>
      </c>
      <c r="J21" s="39">
        <f>SUM(J22:J23)</f>
        <v>166</v>
      </c>
      <c r="K21" s="40">
        <f t="shared" ref="K21:L21" si="7">SUM(K22:K23)</f>
        <v>0</v>
      </c>
      <c r="L21" s="41">
        <f t="shared" si="7"/>
        <v>166</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166</v>
      </c>
      <c r="D23" s="53"/>
      <c r="E23" s="54"/>
      <c r="F23" s="55">
        <f t="shared" ref="F23:F25" si="9">D23+E23</f>
        <v>0</v>
      </c>
      <c r="G23" s="53"/>
      <c r="H23" s="54"/>
      <c r="I23" s="55">
        <f t="shared" ref="I23:I24" si="10">G23+H23</f>
        <v>0</v>
      </c>
      <c r="J23" s="53">
        <v>166</v>
      </c>
      <c r="K23" s="54"/>
      <c r="L23" s="56">
        <f>K23+J23</f>
        <v>166</v>
      </c>
      <c r="M23" s="53"/>
      <c r="N23" s="54"/>
      <c r="O23" s="55">
        <f>N23+M23</f>
        <v>0</v>
      </c>
      <c r="P23" s="57"/>
    </row>
    <row r="24" spans="1:16" s="28" customFormat="1" ht="33.75" customHeight="1" thickBot="1" x14ac:dyDescent="0.3">
      <c r="A24" s="58">
        <v>19300</v>
      </c>
      <c r="B24" s="58" t="s">
        <v>42</v>
      </c>
      <c r="C24" s="59">
        <f>F24+I24</f>
        <v>693690</v>
      </c>
      <c r="D24" s="60">
        <v>481090</v>
      </c>
      <c r="E24" s="63"/>
      <c r="F24" s="62">
        <f t="shared" si="9"/>
        <v>481090</v>
      </c>
      <c r="G24" s="60">
        <v>218666</v>
      </c>
      <c r="H24" s="63">
        <v>-6066</v>
      </c>
      <c r="I24" s="62">
        <f t="shared" si="10"/>
        <v>212600</v>
      </c>
      <c r="J24" s="64" t="s">
        <v>43</v>
      </c>
      <c r="K24" s="65" t="s">
        <v>43</v>
      </c>
      <c r="L24" s="66" t="s">
        <v>43</v>
      </c>
      <c r="M24" s="64" t="s">
        <v>43</v>
      </c>
      <c r="N24" s="65" t="s">
        <v>43</v>
      </c>
      <c r="O24" s="66" t="s">
        <v>43</v>
      </c>
      <c r="P24" s="67" t="s">
        <v>809</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14314</v>
      </c>
      <c r="D26" s="74" t="s">
        <v>43</v>
      </c>
      <c r="E26" s="75" t="s">
        <v>43</v>
      </c>
      <c r="F26" s="76" t="s">
        <v>43</v>
      </c>
      <c r="G26" s="74" t="s">
        <v>43</v>
      </c>
      <c r="H26" s="75" t="s">
        <v>43</v>
      </c>
      <c r="I26" s="76" t="s">
        <v>43</v>
      </c>
      <c r="J26" s="78">
        <f>SUM(J27,J31,J33,J36)</f>
        <v>14014</v>
      </c>
      <c r="K26" s="79">
        <f t="shared" ref="K26:L26" si="11">SUM(K27,K31,K33,K36)</f>
        <v>300</v>
      </c>
      <c r="L26" s="80">
        <f t="shared" si="11"/>
        <v>14314</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1600</v>
      </c>
      <c r="D33" s="74" t="s">
        <v>43</v>
      </c>
      <c r="E33" s="75" t="s">
        <v>43</v>
      </c>
      <c r="F33" s="76" t="s">
        <v>43</v>
      </c>
      <c r="G33" s="74" t="s">
        <v>43</v>
      </c>
      <c r="H33" s="75" t="s">
        <v>43</v>
      </c>
      <c r="I33" s="76" t="s">
        <v>43</v>
      </c>
      <c r="J33" s="78">
        <f>SUM(J34:J35)</f>
        <v>1300</v>
      </c>
      <c r="K33" s="79">
        <f t="shared" ref="K33:L33" si="17">SUM(K34:K35)</f>
        <v>300</v>
      </c>
      <c r="L33" s="80">
        <f t="shared" si="17"/>
        <v>1600</v>
      </c>
      <c r="M33" s="78" t="s">
        <v>43</v>
      </c>
      <c r="N33" s="79" t="s">
        <v>43</v>
      </c>
      <c r="O33" s="80" t="s">
        <v>43</v>
      </c>
      <c r="P33" s="77"/>
    </row>
    <row r="34" spans="1:16" ht="28.5" customHeight="1" x14ac:dyDescent="0.25">
      <c r="A34" s="44">
        <v>21381</v>
      </c>
      <c r="B34" s="82" t="s">
        <v>53</v>
      </c>
      <c r="C34" s="83">
        <f t="shared" si="16"/>
        <v>1600</v>
      </c>
      <c r="D34" s="84" t="s">
        <v>43</v>
      </c>
      <c r="E34" s="85" t="s">
        <v>43</v>
      </c>
      <c r="F34" s="86" t="s">
        <v>43</v>
      </c>
      <c r="G34" s="84" t="s">
        <v>43</v>
      </c>
      <c r="H34" s="85" t="s">
        <v>43</v>
      </c>
      <c r="I34" s="86" t="s">
        <v>43</v>
      </c>
      <c r="J34" s="46">
        <v>1300</v>
      </c>
      <c r="K34" s="47">
        <v>300</v>
      </c>
      <c r="L34" s="48">
        <f t="shared" ref="L34:L35" si="18">K34+J34</f>
        <v>1600</v>
      </c>
      <c r="M34" s="87" t="s">
        <v>43</v>
      </c>
      <c r="N34" s="88" t="s">
        <v>43</v>
      </c>
      <c r="O34" s="48" t="s">
        <v>43</v>
      </c>
      <c r="P34" s="49" t="s">
        <v>810</v>
      </c>
    </row>
    <row r="35" spans="1:16" ht="24" hidden="1" customHeight="1" x14ac:dyDescent="0.25">
      <c r="A35" s="210">
        <v>21383</v>
      </c>
      <c r="B35" s="227" t="s">
        <v>54</v>
      </c>
      <c r="C35" s="209">
        <f t="shared" si="16"/>
        <v>0</v>
      </c>
      <c r="D35" s="1015" t="s">
        <v>43</v>
      </c>
      <c r="E35" s="1016" t="s">
        <v>43</v>
      </c>
      <c r="F35" s="1017" t="s">
        <v>43</v>
      </c>
      <c r="G35" s="1015" t="s">
        <v>43</v>
      </c>
      <c r="H35" s="1016" t="s">
        <v>43</v>
      </c>
      <c r="I35" s="1017" t="s">
        <v>43</v>
      </c>
      <c r="J35" s="214"/>
      <c r="K35" s="215"/>
      <c r="L35" s="1003">
        <f t="shared" si="18"/>
        <v>0</v>
      </c>
      <c r="M35" s="1001" t="s">
        <v>43</v>
      </c>
      <c r="N35" s="1002" t="s">
        <v>43</v>
      </c>
      <c r="O35" s="1003" t="s">
        <v>43</v>
      </c>
      <c r="P35" s="216"/>
    </row>
    <row r="36" spans="1:16" s="28" customFormat="1" ht="25.5" customHeight="1" x14ac:dyDescent="0.25">
      <c r="A36" s="1004">
        <v>21390</v>
      </c>
      <c r="B36" s="217" t="s">
        <v>55</v>
      </c>
      <c r="C36" s="218">
        <f t="shared" si="16"/>
        <v>12714</v>
      </c>
      <c r="D36" s="1018" t="s">
        <v>43</v>
      </c>
      <c r="E36" s="1019" t="s">
        <v>43</v>
      </c>
      <c r="F36" s="1020" t="s">
        <v>43</v>
      </c>
      <c r="G36" s="1018" t="s">
        <v>43</v>
      </c>
      <c r="H36" s="1019" t="s">
        <v>43</v>
      </c>
      <c r="I36" s="1020" t="s">
        <v>43</v>
      </c>
      <c r="J36" s="1011">
        <f>SUM(J37:J40)</f>
        <v>12714</v>
      </c>
      <c r="K36" s="1012">
        <f t="shared" ref="K36:L36" si="19">SUM(K37:K40)</f>
        <v>0</v>
      </c>
      <c r="L36" s="1013">
        <f t="shared" si="19"/>
        <v>12714</v>
      </c>
      <c r="M36" s="1011" t="s">
        <v>43</v>
      </c>
      <c r="N36" s="1012" t="s">
        <v>43</v>
      </c>
      <c r="O36" s="1013" t="s">
        <v>43</v>
      </c>
      <c r="P36" s="222"/>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12714</v>
      </c>
      <c r="D40" s="111" t="s">
        <v>43</v>
      </c>
      <c r="E40" s="112" t="s">
        <v>43</v>
      </c>
      <c r="F40" s="113" t="s">
        <v>43</v>
      </c>
      <c r="G40" s="111" t="s">
        <v>43</v>
      </c>
      <c r="H40" s="112" t="s">
        <v>43</v>
      </c>
      <c r="I40" s="113" t="s">
        <v>43</v>
      </c>
      <c r="J40" s="114">
        <v>12714</v>
      </c>
      <c r="K40" s="115"/>
      <c r="L40" s="116">
        <f t="shared" si="20"/>
        <v>12714</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16112</v>
      </c>
      <c r="D43" s="78">
        <f>D44</f>
        <v>0</v>
      </c>
      <c r="E43" s="79">
        <f t="shared" ref="E43:L43" si="22">E44</f>
        <v>0</v>
      </c>
      <c r="F43" s="80">
        <f t="shared" si="22"/>
        <v>0</v>
      </c>
      <c r="G43" s="78">
        <f t="shared" si="22"/>
        <v>0</v>
      </c>
      <c r="H43" s="79">
        <f t="shared" si="22"/>
        <v>0</v>
      </c>
      <c r="I43" s="80">
        <f t="shared" si="22"/>
        <v>0</v>
      </c>
      <c r="J43" s="78">
        <f t="shared" si="22"/>
        <v>14562</v>
      </c>
      <c r="K43" s="79">
        <f t="shared" si="22"/>
        <v>1550</v>
      </c>
      <c r="L43" s="80">
        <f t="shared" si="22"/>
        <v>16112</v>
      </c>
      <c r="M43" s="78" t="s">
        <v>43</v>
      </c>
      <c r="N43" s="79" t="s">
        <v>43</v>
      </c>
      <c r="O43" s="80" t="s">
        <v>43</v>
      </c>
      <c r="P43" s="77"/>
    </row>
    <row r="44" spans="1:16" s="28" customFormat="1" ht="32.25" customHeight="1" x14ac:dyDescent="0.25">
      <c r="A44" s="51">
        <v>21499</v>
      </c>
      <c r="B44" s="89" t="s">
        <v>63</v>
      </c>
      <c r="C44" s="133">
        <f>F44+I44+L44</f>
        <v>16112</v>
      </c>
      <c r="D44" s="46"/>
      <c r="E44" s="47"/>
      <c r="F44" s="134">
        <f>D44+E44</f>
        <v>0</v>
      </c>
      <c r="G44" s="46"/>
      <c r="H44" s="47"/>
      <c r="I44" s="134">
        <f>G44+H44</f>
        <v>0</v>
      </c>
      <c r="J44" s="46">
        <v>14562</v>
      </c>
      <c r="K44" s="47">
        <v>1550</v>
      </c>
      <c r="L44" s="48">
        <f>K44+J44</f>
        <v>16112</v>
      </c>
      <c r="M44" s="87" t="s">
        <v>43</v>
      </c>
      <c r="N44" s="88" t="s">
        <v>43</v>
      </c>
      <c r="O44" s="48" t="s">
        <v>43</v>
      </c>
      <c r="P44" s="49" t="s">
        <v>811</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724282</v>
      </c>
      <c r="D50" s="159">
        <f>SUM(D51,D286)</f>
        <v>481090</v>
      </c>
      <c r="E50" s="160">
        <f t="shared" ref="E50:F50" si="26">SUM(E51,E286)</f>
        <v>0</v>
      </c>
      <c r="F50" s="161">
        <f t="shared" si="26"/>
        <v>481090</v>
      </c>
      <c r="G50" s="159">
        <f>SUM(G51,G286)</f>
        <v>218666</v>
      </c>
      <c r="H50" s="160">
        <f>SUM(H51,H286)</f>
        <v>-6066</v>
      </c>
      <c r="I50" s="161">
        <f t="shared" ref="I50" si="27">SUM(I51,I286)</f>
        <v>212600</v>
      </c>
      <c r="J50" s="32">
        <f>SUM(J51,J286)</f>
        <v>28742</v>
      </c>
      <c r="K50" s="33">
        <f t="shared" ref="K50:L50" si="28">SUM(K51,K286)</f>
        <v>1850</v>
      </c>
      <c r="L50" s="34">
        <f t="shared" si="28"/>
        <v>30592</v>
      </c>
      <c r="M50" s="32">
        <f>SUM(M51,M286)</f>
        <v>0</v>
      </c>
      <c r="N50" s="33">
        <f t="shared" ref="N50:O50" si="29">SUM(N51,N286)</f>
        <v>0</v>
      </c>
      <c r="O50" s="34">
        <f t="shared" si="29"/>
        <v>0</v>
      </c>
      <c r="P50" s="35"/>
    </row>
    <row r="51" spans="1:16" s="28" customFormat="1" ht="36.75" thickTop="1" x14ac:dyDescent="0.25">
      <c r="A51" s="162"/>
      <c r="B51" s="163" t="s">
        <v>69</v>
      </c>
      <c r="C51" s="164">
        <f t="shared" si="0"/>
        <v>724282</v>
      </c>
      <c r="D51" s="165">
        <f>SUM(D52,D194)</f>
        <v>481090</v>
      </c>
      <c r="E51" s="166">
        <f t="shared" ref="E51:F51" si="30">SUM(E52,E194)</f>
        <v>0</v>
      </c>
      <c r="F51" s="167">
        <f t="shared" si="30"/>
        <v>481090</v>
      </c>
      <c r="G51" s="165">
        <f>SUM(G52,G194)</f>
        <v>218666</v>
      </c>
      <c r="H51" s="166">
        <f t="shared" ref="H51:I51" si="31">SUM(H52,H194)</f>
        <v>-6066</v>
      </c>
      <c r="I51" s="167">
        <f t="shared" si="31"/>
        <v>212600</v>
      </c>
      <c r="J51" s="168">
        <f>SUM(J52,J194)</f>
        <v>28742</v>
      </c>
      <c r="K51" s="169">
        <f t="shared" ref="K51:L51" si="32">SUM(K52,K194)</f>
        <v>1850</v>
      </c>
      <c r="L51" s="170">
        <f t="shared" si="32"/>
        <v>30592</v>
      </c>
      <c r="M51" s="168">
        <f>SUM(M52,M194)</f>
        <v>0</v>
      </c>
      <c r="N51" s="169">
        <f t="shared" ref="N51:O51" si="33">SUM(N52,N194)</f>
        <v>0</v>
      </c>
      <c r="O51" s="170">
        <f t="shared" si="33"/>
        <v>0</v>
      </c>
      <c r="P51" s="171"/>
    </row>
    <row r="52" spans="1:16" s="28" customFormat="1" ht="24" x14ac:dyDescent="0.25">
      <c r="A52" s="24"/>
      <c r="B52" s="22" t="s">
        <v>70</v>
      </c>
      <c r="C52" s="172">
        <f t="shared" si="0"/>
        <v>714611</v>
      </c>
      <c r="D52" s="173">
        <f>SUM(D53,D75,D173,D187)</f>
        <v>472719</v>
      </c>
      <c r="E52" s="174">
        <f t="shared" ref="E52:F52" si="34">SUM(E53,E75,E173,E187)</f>
        <v>0</v>
      </c>
      <c r="F52" s="175">
        <f t="shared" si="34"/>
        <v>472719</v>
      </c>
      <c r="G52" s="173">
        <f>SUM(G53,G75,G173,G187)</f>
        <v>217366</v>
      </c>
      <c r="H52" s="174">
        <f t="shared" ref="H52:I52" si="35">SUM(H53,H75,H173,H187)</f>
        <v>-6066</v>
      </c>
      <c r="I52" s="175">
        <f t="shared" si="35"/>
        <v>211300</v>
      </c>
      <c r="J52" s="173">
        <f>SUM(J53,J75,J173,J187)</f>
        <v>28742</v>
      </c>
      <c r="K52" s="174">
        <f t="shared" ref="K52:L52" si="36">SUM(K53,K75,K173,K187)</f>
        <v>1850</v>
      </c>
      <c r="L52" s="175">
        <f t="shared" si="36"/>
        <v>30592</v>
      </c>
      <c r="M52" s="173">
        <f>SUM(M53,M75,M173,M187)</f>
        <v>0</v>
      </c>
      <c r="N52" s="174">
        <f t="shared" ref="N52:O52" si="37">SUM(N53,N75,N173,N187)</f>
        <v>0</v>
      </c>
      <c r="O52" s="175">
        <f t="shared" si="37"/>
        <v>0</v>
      </c>
      <c r="P52" s="176"/>
    </row>
    <row r="53" spans="1:16" s="28" customFormat="1" x14ac:dyDescent="0.25">
      <c r="A53" s="177">
        <v>1000</v>
      </c>
      <c r="B53" s="177" t="s">
        <v>71</v>
      </c>
      <c r="C53" s="178">
        <f t="shared" si="0"/>
        <v>615952</v>
      </c>
      <c r="D53" s="179">
        <f>SUM(D54,D67)</f>
        <v>408756</v>
      </c>
      <c r="E53" s="180">
        <f t="shared" ref="E53:F53" si="38">SUM(E54,E67)</f>
        <v>0</v>
      </c>
      <c r="F53" s="181">
        <f t="shared" si="38"/>
        <v>408756</v>
      </c>
      <c r="G53" s="179">
        <f>SUM(G54,G67)</f>
        <v>214249</v>
      </c>
      <c r="H53" s="180">
        <f t="shared" ref="H53:I53" si="39">SUM(H54,H67)</f>
        <v>-7053</v>
      </c>
      <c r="I53" s="181">
        <f t="shared" si="39"/>
        <v>207196</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462663</v>
      </c>
      <c r="D54" s="184">
        <f>SUM(D55,D58,D66)</f>
        <v>299391</v>
      </c>
      <c r="E54" s="185">
        <f t="shared" ref="E54:F54" si="42">SUM(E55,E58,E66)</f>
        <v>0</v>
      </c>
      <c r="F54" s="73">
        <f t="shared" si="42"/>
        <v>299391</v>
      </c>
      <c r="G54" s="184">
        <f>SUM(G55,G58,G66)</f>
        <v>170856</v>
      </c>
      <c r="H54" s="185">
        <f t="shared" ref="H54:I54" si="43">SUM(H55,H58,H66)</f>
        <v>-7584</v>
      </c>
      <c r="I54" s="73">
        <f t="shared" si="43"/>
        <v>163272</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435492</v>
      </c>
      <c r="D55" s="187">
        <f>SUM(D56:D57)</f>
        <v>272220</v>
      </c>
      <c r="E55" s="188">
        <f t="shared" ref="E55:F55" si="46">SUM(E56:E57)</f>
        <v>0</v>
      </c>
      <c r="F55" s="141">
        <f t="shared" si="46"/>
        <v>272220</v>
      </c>
      <c r="G55" s="187">
        <f>SUM(G56:G57)</f>
        <v>170856</v>
      </c>
      <c r="H55" s="188">
        <f t="shared" ref="H55:I55" si="47">SUM(H56:H57)</f>
        <v>-7584</v>
      </c>
      <c r="I55" s="141">
        <f t="shared" si="47"/>
        <v>163272</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9.25" customHeight="1" x14ac:dyDescent="0.25">
      <c r="A57" s="51">
        <v>1119</v>
      </c>
      <c r="B57" s="89" t="s">
        <v>75</v>
      </c>
      <c r="C57" s="90">
        <f t="shared" si="0"/>
        <v>435492</v>
      </c>
      <c r="D57" s="53">
        <v>272220</v>
      </c>
      <c r="E57" s="54"/>
      <c r="F57" s="55">
        <f t="shared" si="50"/>
        <v>272220</v>
      </c>
      <c r="G57" s="53">
        <v>170856</v>
      </c>
      <c r="H57" s="54">
        <v>-7584</v>
      </c>
      <c r="I57" s="55">
        <f t="shared" si="51"/>
        <v>163272</v>
      </c>
      <c r="J57" s="53"/>
      <c r="K57" s="54"/>
      <c r="L57" s="55">
        <f t="shared" si="52"/>
        <v>0</v>
      </c>
      <c r="M57" s="53"/>
      <c r="N57" s="54"/>
      <c r="O57" s="55">
        <f t="shared" si="53"/>
        <v>0</v>
      </c>
      <c r="P57" s="57" t="s">
        <v>812</v>
      </c>
    </row>
    <row r="58" spans="1:16" x14ac:dyDescent="0.25">
      <c r="A58" s="189">
        <v>1140</v>
      </c>
      <c r="B58" s="89" t="s">
        <v>76</v>
      </c>
      <c r="C58" s="90">
        <f t="shared" si="0"/>
        <v>27171</v>
      </c>
      <c r="D58" s="190">
        <f>SUM(D59:D65)</f>
        <v>27171</v>
      </c>
      <c r="E58" s="191">
        <f>SUM(E59:E65)</f>
        <v>0</v>
      </c>
      <c r="F58" s="55">
        <f t="shared" ref="F58" si="54">SUM(F59:F65)</f>
        <v>27171</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3807</v>
      </c>
      <c r="D63" s="53">
        <v>3807</v>
      </c>
      <c r="E63" s="54"/>
      <c r="F63" s="55">
        <f t="shared" si="58"/>
        <v>3807</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23364</v>
      </c>
      <c r="D64" s="53">
        <v>23364</v>
      </c>
      <c r="E64" s="54"/>
      <c r="F64" s="55">
        <f t="shared" si="58"/>
        <v>23364</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153289</v>
      </c>
      <c r="D67" s="184">
        <f>SUM(D68:D69)</f>
        <v>109365</v>
      </c>
      <c r="E67" s="185">
        <f t="shared" ref="E67:F67" si="62">SUM(E68:E69)</f>
        <v>0</v>
      </c>
      <c r="F67" s="73">
        <f t="shared" si="62"/>
        <v>109365</v>
      </c>
      <c r="G67" s="184">
        <f>SUM(G68:G69)</f>
        <v>43393</v>
      </c>
      <c r="H67" s="185">
        <f t="shared" ref="H67:I67" si="63">SUM(H68:H69)</f>
        <v>531</v>
      </c>
      <c r="I67" s="73">
        <f t="shared" si="63"/>
        <v>43924</v>
      </c>
      <c r="J67" s="184">
        <f>SUM(J68:J69)</f>
        <v>0</v>
      </c>
      <c r="K67" s="185">
        <f t="shared" ref="K67:L67" si="64">SUM(K68:K69)</f>
        <v>0</v>
      </c>
      <c r="L67" s="73">
        <f t="shared" si="64"/>
        <v>0</v>
      </c>
      <c r="M67" s="184">
        <f>SUM(M68:M69)</f>
        <v>0</v>
      </c>
      <c r="N67" s="185">
        <f t="shared" ref="N67:O67" si="65">SUM(N68:N69)</f>
        <v>0</v>
      </c>
      <c r="O67" s="73">
        <f t="shared" si="65"/>
        <v>0</v>
      </c>
      <c r="P67" s="77"/>
    </row>
    <row r="68" spans="1:16" ht="29.25" customHeight="1" x14ac:dyDescent="0.25">
      <c r="A68" s="600">
        <v>1210</v>
      </c>
      <c r="B68" s="82" t="s">
        <v>86</v>
      </c>
      <c r="C68" s="83">
        <f t="shared" si="0"/>
        <v>117118</v>
      </c>
      <c r="D68" s="46">
        <v>76894</v>
      </c>
      <c r="E68" s="47"/>
      <c r="F68" s="134">
        <f>D68+E68</f>
        <v>76894</v>
      </c>
      <c r="G68" s="46">
        <v>41593</v>
      </c>
      <c r="H68" s="47">
        <v>-1369</v>
      </c>
      <c r="I68" s="134">
        <f>G68+H68</f>
        <v>40224</v>
      </c>
      <c r="J68" s="46"/>
      <c r="K68" s="47"/>
      <c r="L68" s="134">
        <f>K68+J68</f>
        <v>0</v>
      </c>
      <c r="M68" s="46"/>
      <c r="N68" s="47"/>
      <c r="O68" s="134">
        <f>N68+M68</f>
        <v>0</v>
      </c>
      <c r="P68" s="57" t="s">
        <v>813</v>
      </c>
    </row>
    <row r="69" spans="1:16" ht="24" x14ac:dyDescent="0.25">
      <c r="A69" s="189">
        <v>1220</v>
      </c>
      <c r="B69" s="89" t="s">
        <v>87</v>
      </c>
      <c r="C69" s="90">
        <f t="shared" si="0"/>
        <v>36171</v>
      </c>
      <c r="D69" s="190">
        <f>SUM(D70:D74)</f>
        <v>32471</v>
      </c>
      <c r="E69" s="191">
        <f t="shared" ref="E69:F69" si="66">SUM(E70:E74)</f>
        <v>0</v>
      </c>
      <c r="F69" s="55">
        <f t="shared" si="66"/>
        <v>32471</v>
      </c>
      <c r="G69" s="190">
        <f>SUM(G70:G74)</f>
        <v>1800</v>
      </c>
      <c r="H69" s="191">
        <f t="shared" ref="H69:I69" si="67">SUM(H70:H74)</f>
        <v>1900</v>
      </c>
      <c r="I69" s="55">
        <f t="shared" si="67"/>
        <v>3700</v>
      </c>
      <c r="J69" s="190">
        <f>SUM(J70:J74)</f>
        <v>0</v>
      </c>
      <c r="K69" s="191">
        <f t="shared" ref="K69:L69" si="68">SUM(K70:K74)</f>
        <v>0</v>
      </c>
      <c r="L69" s="55">
        <f t="shared" si="68"/>
        <v>0</v>
      </c>
      <c r="M69" s="190">
        <f>SUM(M70:M74)</f>
        <v>0</v>
      </c>
      <c r="N69" s="191">
        <f t="shared" ref="N69:O69" si="69">SUM(N70:N74)</f>
        <v>0</v>
      </c>
      <c r="O69" s="55">
        <f t="shared" si="69"/>
        <v>0</v>
      </c>
      <c r="P69" s="57"/>
    </row>
    <row r="70" spans="1:16" ht="57.75" customHeight="1" x14ac:dyDescent="0.25">
      <c r="A70" s="51">
        <v>1221</v>
      </c>
      <c r="B70" s="89" t="s">
        <v>88</v>
      </c>
      <c r="C70" s="90">
        <f t="shared" si="0"/>
        <v>23505</v>
      </c>
      <c r="D70" s="53">
        <v>19805</v>
      </c>
      <c r="E70" s="54"/>
      <c r="F70" s="55">
        <f t="shared" ref="F70:F74" si="70">D70+E70</f>
        <v>19805</v>
      </c>
      <c r="G70" s="53">
        <v>1800</v>
      </c>
      <c r="H70" s="54">
        <v>1900</v>
      </c>
      <c r="I70" s="55">
        <f t="shared" ref="I70:I74" si="71">G70+H70</f>
        <v>3700</v>
      </c>
      <c r="J70" s="53"/>
      <c r="K70" s="54"/>
      <c r="L70" s="55">
        <f t="shared" ref="L70:L74" si="72">K70+J70</f>
        <v>0</v>
      </c>
      <c r="M70" s="53"/>
      <c r="N70" s="54"/>
      <c r="O70" s="55">
        <f t="shared" ref="O70:O74" si="73">N70+M70</f>
        <v>0</v>
      </c>
      <c r="P70" s="57" t="s">
        <v>814</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12166</v>
      </c>
      <c r="D73" s="53">
        <v>12166</v>
      </c>
      <c r="E73" s="54"/>
      <c r="F73" s="55">
        <f t="shared" si="70"/>
        <v>12166</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98659</v>
      </c>
      <c r="D75" s="179">
        <f>SUM(D76,D83,D130,D164,D165,D172)</f>
        <v>63963</v>
      </c>
      <c r="E75" s="180">
        <f t="shared" ref="E75:F75" si="74">SUM(E76,E83,E130,E164,E165,E172)</f>
        <v>0</v>
      </c>
      <c r="F75" s="181">
        <f t="shared" si="74"/>
        <v>63963</v>
      </c>
      <c r="G75" s="179">
        <f>SUM(G76,G83,G130,G164,G165,G172)</f>
        <v>3117</v>
      </c>
      <c r="H75" s="180">
        <f t="shared" ref="H75:I75" si="75">SUM(H76,H83,H130,H164,H165,H172)</f>
        <v>987</v>
      </c>
      <c r="I75" s="181">
        <f t="shared" si="75"/>
        <v>4104</v>
      </c>
      <c r="J75" s="179">
        <f>SUM(J76,J83,J130,J164,J165,J172)</f>
        <v>28742</v>
      </c>
      <c r="K75" s="180">
        <f t="shared" ref="K75:L75" si="76">SUM(K76,K83,K130,K164,K165,K172)</f>
        <v>1850</v>
      </c>
      <c r="L75" s="181">
        <f t="shared" si="76"/>
        <v>30592</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00">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65696</v>
      </c>
      <c r="D83" s="184">
        <f>SUM(D84,D89,D95,D103,D112,D116,D122,D128)</f>
        <v>46260</v>
      </c>
      <c r="E83" s="185">
        <f t="shared" ref="E83:F83" si="98">SUM(E84,E89,E95,E103,E112,E116,E122,E128)</f>
        <v>0</v>
      </c>
      <c r="F83" s="73">
        <f t="shared" si="98"/>
        <v>46260</v>
      </c>
      <c r="G83" s="184">
        <f>SUM(G84,G89,G95,G103,G112,G116,G122,G128)</f>
        <v>987</v>
      </c>
      <c r="H83" s="185">
        <f t="shared" ref="H83:I83" si="99">SUM(H84,H89,H95,H103,H112,H116,H122,H128)</f>
        <v>987</v>
      </c>
      <c r="I83" s="73">
        <f t="shared" si="99"/>
        <v>1974</v>
      </c>
      <c r="J83" s="184">
        <f>SUM(J84,J89,J95,J103,J112,J116,J122,J128)</f>
        <v>15912</v>
      </c>
      <c r="K83" s="185">
        <f t="shared" ref="K83:L83" si="100">SUM(K84,K89,K95,K103,K112,K116,K122,K128)</f>
        <v>1550</v>
      </c>
      <c r="L83" s="73">
        <f t="shared" si="100"/>
        <v>17462</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1894</v>
      </c>
      <c r="D84" s="187">
        <f>SUM(D85:D88)</f>
        <v>1109</v>
      </c>
      <c r="E84" s="188">
        <f t="shared" ref="E84:F84" si="103">SUM(E85:E88)</f>
        <v>0</v>
      </c>
      <c r="F84" s="141">
        <f t="shared" si="103"/>
        <v>1109</v>
      </c>
      <c r="G84" s="187">
        <f>SUM(G85:G88)</f>
        <v>0</v>
      </c>
      <c r="H84" s="188">
        <f t="shared" ref="H84:I84" si="104">SUM(H85:H88)</f>
        <v>0</v>
      </c>
      <c r="I84" s="141">
        <f t="shared" si="104"/>
        <v>0</v>
      </c>
      <c r="J84" s="187">
        <f>SUM(J85:J88)</f>
        <v>785</v>
      </c>
      <c r="K84" s="188">
        <f t="shared" ref="K84:L84" si="105">SUM(K85:K88)</f>
        <v>0</v>
      </c>
      <c r="L84" s="141">
        <f t="shared" si="105"/>
        <v>785</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1672</v>
      </c>
      <c r="D86" s="196">
        <v>887</v>
      </c>
      <c r="E86" s="197"/>
      <c r="F86" s="55">
        <f t="shared" si="107"/>
        <v>887</v>
      </c>
      <c r="G86" s="53"/>
      <c r="H86" s="54"/>
      <c r="I86" s="55">
        <f t="shared" si="108"/>
        <v>0</v>
      </c>
      <c r="J86" s="53">
        <v>785</v>
      </c>
      <c r="K86" s="54"/>
      <c r="L86" s="55">
        <f t="shared" si="109"/>
        <v>785</v>
      </c>
      <c r="M86" s="53"/>
      <c r="N86" s="54"/>
      <c r="O86" s="55">
        <f t="shared" si="110"/>
        <v>0</v>
      </c>
      <c r="P86" s="57"/>
    </row>
    <row r="87" spans="1:16" ht="24" customHeight="1" x14ac:dyDescent="0.25">
      <c r="A87" s="51">
        <v>2214</v>
      </c>
      <c r="B87" s="89" t="s">
        <v>103</v>
      </c>
      <c r="C87" s="90">
        <f t="shared" si="102"/>
        <v>102</v>
      </c>
      <c r="D87" s="196">
        <v>102</v>
      </c>
      <c r="E87" s="197"/>
      <c r="F87" s="55">
        <f t="shared" si="107"/>
        <v>102</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120</v>
      </c>
      <c r="D88" s="196">
        <v>120</v>
      </c>
      <c r="E88" s="197"/>
      <c r="F88" s="55">
        <f t="shared" si="107"/>
        <v>120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52584</v>
      </c>
      <c r="D89" s="190">
        <f>SUM(D90:D94)</f>
        <v>36307</v>
      </c>
      <c r="E89" s="191">
        <f t="shared" ref="E89:F89" si="111">SUM(E90:E94)</f>
        <v>0</v>
      </c>
      <c r="F89" s="55">
        <f t="shared" si="111"/>
        <v>36307</v>
      </c>
      <c r="G89" s="190">
        <f>SUM(G90:G94)</f>
        <v>0</v>
      </c>
      <c r="H89" s="191">
        <f t="shared" ref="H89:I89" si="112">SUM(H90:H94)</f>
        <v>0</v>
      </c>
      <c r="I89" s="55">
        <f t="shared" si="112"/>
        <v>0</v>
      </c>
      <c r="J89" s="190">
        <f>SUM(J90:J94)</f>
        <v>14727</v>
      </c>
      <c r="K89" s="191">
        <f t="shared" ref="K89:L89" si="113">SUM(K90:K94)</f>
        <v>1550</v>
      </c>
      <c r="L89" s="55">
        <f t="shared" si="113"/>
        <v>16277</v>
      </c>
      <c r="M89" s="190">
        <f>SUM(M90:M94)</f>
        <v>0</v>
      </c>
      <c r="N89" s="191">
        <f t="shared" ref="N89:O89" si="114">SUM(N90:N94)</f>
        <v>0</v>
      </c>
      <c r="O89" s="55">
        <f t="shared" si="114"/>
        <v>0</v>
      </c>
      <c r="P89" s="57"/>
    </row>
    <row r="90" spans="1:16" ht="24" customHeight="1" x14ac:dyDescent="0.25">
      <c r="A90" s="51">
        <v>2221</v>
      </c>
      <c r="B90" s="89" t="s">
        <v>106</v>
      </c>
      <c r="C90" s="90">
        <f t="shared" si="102"/>
        <v>17825</v>
      </c>
      <c r="D90" s="196">
        <v>16875</v>
      </c>
      <c r="E90" s="197"/>
      <c r="F90" s="55">
        <f t="shared" ref="F90:F94" si="115">D90+E90</f>
        <v>16875</v>
      </c>
      <c r="G90" s="53"/>
      <c r="H90" s="54"/>
      <c r="I90" s="55">
        <f t="shared" ref="I90:I94" si="116">G90+H90</f>
        <v>0</v>
      </c>
      <c r="J90" s="53">
        <v>950</v>
      </c>
      <c r="K90" s="54"/>
      <c r="L90" s="55">
        <f t="shared" ref="L90:L94" si="117">K90+J90</f>
        <v>950</v>
      </c>
      <c r="M90" s="53"/>
      <c r="N90" s="54"/>
      <c r="O90" s="55">
        <f t="shared" ref="O90:O94" si="118">N90+M90</f>
        <v>0</v>
      </c>
      <c r="P90" s="57"/>
    </row>
    <row r="91" spans="1:16" ht="30" customHeight="1" x14ac:dyDescent="0.25">
      <c r="A91" s="51">
        <v>2222</v>
      </c>
      <c r="B91" s="89" t="s">
        <v>107</v>
      </c>
      <c r="C91" s="90">
        <f t="shared" si="102"/>
        <v>5111</v>
      </c>
      <c r="D91" s="196">
        <v>4372</v>
      </c>
      <c r="E91" s="197">
        <v>474</v>
      </c>
      <c r="F91" s="55">
        <f t="shared" si="115"/>
        <v>4846</v>
      </c>
      <c r="G91" s="53"/>
      <c r="H91" s="54"/>
      <c r="I91" s="55">
        <f t="shared" si="116"/>
        <v>0</v>
      </c>
      <c r="J91" s="53">
        <v>215</v>
      </c>
      <c r="K91" s="54">
        <v>50</v>
      </c>
      <c r="L91" s="55">
        <f t="shared" si="117"/>
        <v>265</v>
      </c>
      <c r="M91" s="53"/>
      <c r="N91" s="54"/>
      <c r="O91" s="55">
        <f t="shared" si="118"/>
        <v>0</v>
      </c>
      <c r="P91" s="57" t="s">
        <v>815</v>
      </c>
    </row>
    <row r="92" spans="1:16" ht="24" customHeight="1" x14ac:dyDescent="0.25">
      <c r="A92" s="51">
        <v>2223</v>
      </c>
      <c r="B92" s="89" t="s">
        <v>108</v>
      </c>
      <c r="C92" s="90">
        <f t="shared" si="102"/>
        <v>27864</v>
      </c>
      <c r="D92" s="196">
        <v>13276</v>
      </c>
      <c r="E92" s="197">
        <v>-474</v>
      </c>
      <c r="F92" s="55">
        <f t="shared" si="115"/>
        <v>12802</v>
      </c>
      <c r="G92" s="53"/>
      <c r="H92" s="54"/>
      <c r="I92" s="55">
        <f t="shared" si="116"/>
        <v>0</v>
      </c>
      <c r="J92" s="53">
        <v>13562</v>
      </c>
      <c r="K92" s="54">
        <v>1500</v>
      </c>
      <c r="L92" s="55">
        <f t="shared" si="117"/>
        <v>15062</v>
      </c>
      <c r="M92" s="53"/>
      <c r="N92" s="54"/>
      <c r="O92" s="55">
        <f t="shared" si="118"/>
        <v>0</v>
      </c>
      <c r="P92" s="57" t="s">
        <v>816</v>
      </c>
    </row>
    <row r="93" spans="1:16" ht="48" customHeight="1" x14ac:dyDescent="0.25">
      <c r="A93" s="51">
        <v>2224</v>
      </c>
      <c r="B93" s="89" t="s">
        <v>109</v>
      </c>
      <c r="C93" s="90">
        <f t="shared" si="102"/>
        <v>1784</v>
      </c>
      <c r="D93" s="196">
        <v>1784</v>
      </c>
      <c r="E93" s="197"/>
      <c r="F93" s="55">
        <f t="shared" si="115"/>
        <v>1784</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1761</v>
      </c>
      <c r="D95" s="190">
        <f>SUM(D96:D102)</f>
        <v>1761</v>
      </c>
      <c r="E95" s="191">
        <f t="shared" ref="E95:F95" si="119">SUM(E96:E102)</f>
        <v>0</v>
      </c>
      <c r="F95" s="55">
        <f t="shared" si="119"/>
        <v>1761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32</v>
      </c>
      <c r="D100" s="196">
        <v>32</v>
      </c>
      <c r="E100" s="197"/>
      <c r="F100" s="55">
        <f t="shared" si="123"/>
        <v>32</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1729</v>
      </c>
      <c r="D102" s="196">
        <v>1729</v>
      </c>
      <c r="E102" s="197"/>
      <c r="F102" s="55">
        <f t="shared" si="123"/>
        <v>1729</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4704</v>
      </c>
      <c r="D103" s="190">
        <f>SUM(D104:D111)</f>
        <v>4704</v>
      </c>
      <c r="E103" s="191">
        <f t="shared" ref="E103:F103" si="127">SUM(E104:E111)</f>
        <v>0</v>
      </c>
      <c r="F103" s="55">
        <f t="shared" si="127"/>
        <v>4704</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5.5" customHeight="1" x14ac:dyDescent="0.25">
      <c r="A106" s="51">
        <v>2243</v>
      </c>
      <c r="B106" s="89" t="s">
        <v>122</v>
      </c>
      <c r="C106" s="90">
        <f t="shared" si="102"/>
        <v>853</v>
      </c>
      <c r="D106" s="196">
        <v>800</v>
      </c>
      <c r="E106" s="197">
        <v>53</v>
      </c>
      <c r="F106" s="55">
        <f t="shared" si="131"/>
        <v>853</v>
      </c>
      <c r="G106" s="53"/>
      <c r="H106" s="54"/>
      <c r="I106" s="55">
        <f t="shared" si="132"/>
        <v>0</v>
      </c>
      <c r="J106" s="53"/>
      <c r="K106" s="54"/>
      <c r="L106" s="55">
        <f t="shared" si="133"/>
        <v>0</v>
      </c>
      <c r="M106" s="53"/>
      <c r="N106" s="54"/>
      <c r="O106" s="55">
        <f t="shared" si="134"/>
        <v>0</v>
      </c>
      <c r="P106" s="57" t="s">
        <v>817</v>
      </c>
    </row>
    <row r="107" spans="1:16" ht="21" customHeight="1" x14ac:dyDescent="0.25">
      <c r="A107" s="51">
        <v>2244</v>
      </c>
      <c r="B107" s="89" t="s">
        <v>123</v>
      </c>
      <c r="C107" s="90">
        <f t="shared" si="102"/>
        <v>3741</v>
      </c>
      <c r="D107" s="196">
        <v>3794</v>
      </c>
      <c r="E107" s="197">
        <v>-53</v>
      </c>
      <c r="F107" s="55">
        <f t="shared" si="131"/>
        <v>3741</v>
      </c>
      <c r="G107" s="53"/>
      <c r="H107" s="54"/>
      <c r="I107" s="55">
        <f t="shared" si="132"/>
        <v>0</v>
      </c>
      <c r="J107" s="53"/>
      <c r="K107" s="54"/>
      <c r="L107" s="55">
        <f t="shared" si="133"/>
        <v>0</v>
      </c>
      <c r="M107" s="53"/>
      <c r="N107" s="54"/>
      <c r="O107" s="55">
        <f t="shared" si="134"/>
        <v>0</v>
      </c>
      <c r="P107" s="57" t="s">
        <v>818</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110</v>
      </c>
      <c r="D111" s="196">
        <v>110</v>
      </c>
      <c r="E111" s="197"/>
      <c r="F111" s="55">
        <f t="shared" si="131"/>
        <v>110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2083</v>
      </c>
      <c r="D112" s="190">
        <f>SUM(D113:D115)</f>
        <v>2083</v>
      </c>
      <c r="E112" s="191">
        <f t="shared" ref="E112:F112" si="135">SUM(E113:E115)</f>
        <v>0</v>
      </c>
      <c r="F112" s="55">
        <f t="shared" si="135"/>
        <v>2083</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251</v>
      </c>
      <c r="D113" s="196">
        <v>251</v>
      </c>
      <c r="E113" s="197"/>
      <c r="F113" s="55">
        <f t="shared" ref="F113:F115" si="139">D113+E113</f>
        <v>251</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1396</v>
      </c>
      <c r="D114" s="196">
        <v>1396</v>
      </c>
      <c r="E114" s="197"/>
      <c r="F114" s="55">
        <f t="shared" si="139"/>
        <v>1396</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436</v>
      </c>
      <c r="D115" s="196">
        <v>436</v>
      </c>
      <c r="E115" s="197"/>
      <c r="F115" s="55">
        <f t="shared" si="139"/>
        <v>436</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526</v>
      </c>
      <c r="D116" s="190">
        <f>SUM(D117:D121)</f>
        <v>226</v>
      </c>
      <c r="E116" s="191">
        <f t="shared" ref="E116:F116" si="143">SUM(E117:E121)</f>
        <v>0</v>
      </c>
      <c r="F116" s="55">
        <f t="shared" si="143"/>
        <v>226</v>
      </c>
      <c r="G116" s="190">
        <f>SUM(G117:G121)</f>
        <v>0</v>
      </c>
      <c r="H116" s="191">
        <f t="shared" ref="H116:I116" si="144">SUM(H117:H121)</f>
        <v>0</v>
      </c>
      <c r="I116" s="55">
        <f t="shared" si="144"/>
        <v>0</v>
      </c>
      <c r="J116" s="190">
        <f>SUM(J117:J121)</f>
        <v>300</v>
      </c>
      <c r="K116" s="191">
        <f t="shared" ref="K116:L116" si="145">SUM(K117:K121)</f>
        <v>0</v>
      </c>
      <c r="L116" s="55">
        <f t="shared" si="145"/>
        <v>300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300</v>
      </c>
      <c r="D118" s="196"/>
      <c r="E118" s="197"/>
      <c r="F118" s="55">
        <f t="shared" si="147"/>
        <v>0</v>
      </c>
      <c r="G118" s="53"/>
      <c r="H118" s="54"/>
      <c r="I118" s="55">
        <f t="shared" si="148"/>
        <v>0</v>
      </c>
      <c r="J118" s="53">
        <v>300</v>
      </c>
      <c r="K118" s="54"/>
      <c r="L118" s="55">
        <f t="shared" si="149"/>
        <v>300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200</v>
      </c>
      <c r="D120" s="196">
        <v>200</v>
      </c>
      <c r="E120" s="197"/>
      <c r="F120" s="55">
        <f t="shared" si="147"/>
        <v>200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2144</v>
      </c>
      <c r="D122" s="190">
        <f>SUM(D123:D127)</f>
        <v>70</v>
      </c>
      <c r="E122" s="191">
        <f t="shared" ref="E122:F122" si="151">SUM(E123:E127)</f>
        <v>0</v>
      </c>
      <c r="F122" s="55">
        <f t="shared" si="151"/>
        <v>70</v>
      </c>
      <c r="G122" s="190">
        <f>SUM(G123:G127)</f>
        <v>987</v>
      </c>
      <c r="H122" s="191">
        <f t="shared" ref="H122:I122" si="152">SUM(H123:H127)</f>
        <v>987</v>
      </c>
      <c r="I122" s="55">
        <f t="shared" si="152"/>
        <v>1974</v>
      </c>
      <c r="J122" s="190">
        <f>SUM(J123:J127)</f>
        <v>100</v>
      </c>
      <c r="K122" s="191">
        <f t="shared" ref="K122:L122" si="153">SUM(K123:K127)</f>
        <v>0</v>
      </c>
      <c r="L122" s="55">
        <f t="shared" si="153"/>
        <v>100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0.75" customHeight="1" x14ac:dyDescent="0.25">
      <c r="A127" s="51">
        <v>2279</v>
      </c>
      <c r="B127" s="89" t="s">
        <v>143</v>
      </c>
      <c r="C127" s="90">
        <f t="shared" si="102"/>
        <v>2144</v>
      </c>
      <c r="D127" s="196">
        <v>70</v>
      </c>
      <c r="E127" s="197"/>
      <c r="F127" s="55">
        <f t="shared" si="155"/>
        <v>70</v>
      </c>
      <c r="G127" s="53">
        <v>987</v>
      </c>
      <c r="H127" s="54">
        <v>987</v>
      </c>
      <c r="I127" s="55">
        <f t="shared" si="156"/>
        <v>1974</v>
      </c>
      <c r="J127" s="53">
        <v>100</v>
      </c>
      <c r="K127" s="54"/>
      <c r="L127" s="55">
        <f t="shared" si="157"/>
        <v>100</v>
      </c>
      <c r="M127" s="53"/>
      <c r="N127" s="54"/>
      <c r="O127" s="55">
        <f t="shared" si="158"/>
        <v>0</v>
      </c>
      <c r="P127" s="57" t="s">
        <v>819</v>
      </c>
    </row>
    <row r="128" spans="1:16" ht="48" hidden="1" x14ac:dyDescent="0.25">
      <c r="A128" s="600">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32963</v>
      </c>
      <c r="D130" s="184">
        <f>SUM(D131,D136,D140,D141,D144,D151,D159,D160,D163)</f>
        <v>17703</v>
      </c>
      <c r="E130" s="185">
        <f t="shared" ref="E130:F130" si="160">SUM(E131,E136,E140,E141,E144,E151,E159,E160,E163)</f>
        <v>0</v>
      </c>
      <c r="F130" s="73">
        <f t="shared" si="160"/>
        <v>17703</v>
      </c>
      <c r="G130" s="184">
        <f>SUM(G131,G136,G140,G141,G144,G151,G159,G160,G163)</f>
        <v>2130</v>
      </c>
      <c r="H130" s="185">
        <f t="shared" ref="H130:I130" si="161">SUM(H131,H136,H140,H141,H144,H151,H159,H160,H163)</f>
        <v>0</v>
      </c>
      <c r="I130" s="73">
        <f t="shared" si="161"/>
        <v>2130</v>
      </c>
      <c r="J130" s="184">
        <f>SUM(J131,J136,J140,J141,J144,J151,J159,J160,J163)</f>
        <v>12830</v>
      </c>
      <c r="K130" s="185">
        <f t="shared" ref="K130:L130" si="162">SUM(K131,K136,K140,K141,K144,K151,K159,K160,K163)</f>
        <v>300</v>
      </c>
      <c r="L130" s="73">
        <f t="shared" si="162"/>
        <v>13130</v>
      </c>
      <c r="M130" s="184">
        <f>SUM(M131,M136,M140,M141,M144,M151,M159,M160,M163)</f>
        <v>0</v>
      </c>
      <c r="N130" s="185">
        <f t="shared" ref="N130:O130" si="163">SUM(N131,N136,N140,N141,N144,N151,N159,N160,N163)</f>
        <v>0</v>
      </c>
      <c r="O130" s="73">
        <f t="shared" si="163"/>
        <v>0</v>
      </c>
      <c r="P130" s="77"/>
    </row>
    <row r="131" spans="1:16" ht="24" x14ac:dyDescent="0.25">
      <c r="A131" s="600">
        <v>2310</v>
      </c>
      <c r="B131" s="82" t="s">
        <v>147</v>
      </c>
      <c r="C131" s="83">
        <f t="shared" si="102"/>
        <v>6841</v>
      </c>
      <c r="D131" s="194">
        <f t="shared" ref="D131:O131" si="164">SUM(D132:D135)</f>
        <v>6491</v>
      </c>
      <c r="E131" s="195">
        <f t="shared" si="164"/>
        <v>0</v>
      </c>
      <c r="F131" s="134">
        <f t="shared" si="164"/>
        <v>6491</v>
      </c>
      <c r="G131" s="194">
        <f t="shared" si="164"/>
        <v>0</v>
      </c>
      <c r="H131" s="195">
        <f t="shared" si="164"/>
        <v>0</v>
      </c>
      <c r="I131" s="134">
        <f t="shared" si="164"/>
        <v>0</v>
      </c>
      <c r="J131" s="194">
        <f t="shared" si="164"/>
        <v>350</v>
      </c>
      <c r="K131" s="195">
        <f t="shared" si="164"/>
        <v>0</v>
      </c>
      <c r="L131" s="134">
        <f t="shared" si="164"/>
        <v>350</v>
      </c>
      <c r="M131" s="194">
        <f t="shared" si="164"/>
        <v>0</v>
      </c>
      <c r="N131" s="195">
        <f t="shared" si="164"/>
        <v>0</v>
      </c>
      <c r="O131" s="134">
        <f t="shared" si="164"/>
        <v>0</v>
      </c>
      <c r="P131" s="49"/>
    </row>
    <row r="132" spans="1:16" ht="12" customHeight="1" x14ac:dyDescent="0.25">
      <c r="A132" s="51">
        <v>2311</v>
      </c>
      <c r="B132" s="89" t="s">
        <v>148</v>
      </c>
      <c r="C132" s="90">
        <f t="shared" si="102"/>
        <v>1000</v>
      </c>
      <c r="D132" s="196">
        <v>1000</v>
      </c>
      <c r="E132" s="197"/>
      <c r="F132" s="55">
        <f t="shared" ref="F132:F135" si="165">D132+E132</f>
        <v>1000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5321</v>
      </c>
      <c r="D133" s="196">
        <v>4971</v>
      </c>
      <c r="E133" s="197"/>
      <c r="F133" s="55">
        <f t="shared" si="165"/>
        <v>4971</v>
      </c>
      <c r="G133" s="53"/>
      <c r="H133" s="54"/>
      <c r="I133" s="55">
        <f t="shared" si="166"/>
        <v>0</v>
      </c>
      <c r="J133" s="53">
        <v>350</v>
      </c>
      <c r="K133" s="54"/>
      <c r="L133" s="55">
        <f t="shared" si="167"/>
        <v>350</v>
      </c>
      <c r="M133" s="53"/>
      <c r="N133" s="54"/>
      <c r="O133" s="55">
        <f t="shared" si="168"/>
        <v>0</v>
      </c>
      <c r="P133" s="57"/>
    </row>
    <row r="134" spans="1:16" ht="12" customHeight="1" x14ac:dyDescent="0.25">
      <c r="A134" s="51">
        <v>2313</v>
      </c>
      <c r="B134" s="89" t="s">
        <v>150</v>
      </c>
      <c r="C134" s="90">
        <f t="shared" si="102"/>
        <v>400</v>
      </c>
      <c r="D134" s="196">
        <v>400</v>
      </c>
      <c r="E134" s="197"/>
      <c r="F134" s="55">
        <f t="shared" si="165"/>
        <v>400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120</v>
      </c>
      <c r="D135" s="196">
        <v>120</v>
      </c>
      <c r="E135" s="197"/>
      <c r="F135" s="55">
        <f t="shared" si="165"/>
        <v>120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322</v>
      </c>
      <c r="D136" s="190">
        <f>SUM(D137:D139)</f>
        <v>322</v>
      </c>
      <c r="E136" s="191">
        <f t="shared" ref="E136:F136" si="169">SUM(E137:E139)</f>
        <v>0</v>
      </c>
      <c r="F136" s="55">
        <f t="shared" si="169"/>
        <v>322</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322</v>
      </c>
      <c r="D138" s="196">
        <v>322</v>
      </c>
      <c r="E138" s="197"/>
      <c r="F138" s="55">
        <f t="shared" si="173"/>
        <v>322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200</v>
      </c>
      <c r="D141" s="190">
        <f>SUM(D142:D143)</f>
        <v>200</v>
      </c>
      <c r="E141" s="191">
        <f t="shared" ref="E141:F141" si="177">SUM(E142:E143)</f>
        <v>0</v>
      </c>
      <c r="F141" s="55">
        <f t="shared" si="177"/>
        <v>200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200</v>
      </c>
      <c r="D142" s="196">
        <v>200</v>
      </c>
      <c r="E142" s="197"/>
      <c r="F142" s="55">
        <f t="shared" ref="F142:F143" si="181">D142+E142</f>
        <v>200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4340</v>
      </c>
      <c r="D144" s="187">
        <f>SUM(D145:D150)</f>
        <v>4040</v>
      </c>
      <c r="E144" s="188">
        <f t="shared" ref="E144:F144" si="185">SUM(E145:E150)</f>
        <v>0</v>
      </c>
      <c r="F144" s="141">
        <f t="shared" si="185"/>
        <v>4040</v>
      </c>
      <c r="G144" s="187">
        <f>SUM(G145:G150)</f>
        <v>0</v>
      </c>
      <c r="H144" s="188">
        <f t="shared" ref="H144:I144" si="186">SUM(H145:H150)</f>
        <v>0</v>
      </c>
      <c r="I144" s="141">
        <f t="shared" si="186"/>
        <v>0</v>
      </c>
      <c r="J144" s="187">
        <f>SUM(J145:J150)</f>
        <v>0</v>
      </c>
      <c r="K144" s="188">
        <f t="shared" ref="K144:L144" si="187">SUM(K145:K150)</f>
        <v>300</v>
      </c>
      <c r="L144" s="141">
        <f t="shared" si="187"/>
        <v>300</v>
      </c>
      <c r="M144" s="187">
        <f>SUM(M145:M150)</f>
        <v>0</v>
      </c>
      <c r="N144" s="188">
        <f t="shared" ref="N144:O144" si="188">SUM(N145:N150)</f>
        <v>0</v>
      </c>
      <c r="O144" s="141">
        <f t="shared" si="188"/>
        <v>0</v>
      </c>
      <c r="P144" s="129"/>
    </row>
    <row r="145" spans="1:16" ht="12" customHeight="1" x14ac:dyDescent="0.25">
      <c r="A145" s="44">
        <v>2351</v>
      </c>
      <c r="B145" s="82" t="s">
        <v>161</v>
      </c>
      <c r="C145" s="83">
        <f t="shared" si="102"/>
        <v>1450</v>
      </c>
      <c r="D145" s="199">
        <v>1450</v>
      </c>
      <c r="E145" s="200"/>
      <c r="F145" s="134">
        <f t="shared" ref="F145:F150" si="189">D145+E145</f>
        <v>1450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7.25" customHeight="1" x14ac:dyDescent="0.25">
      <c r="A146" s="51">
        <v>2352</v>
      </c>
      <c r="B146" s="89" t="s">
        <v>162</v>
      </c>
      <c r="C146" s="90">
        <f t="shared" si="102"/>
        <v>2790</v>
      </c>
      <c r="D146" s="196">
        <v>2490</v>
      </c>
      <c r="E146" s="197"/>
      <c r="F146" s="55">
        <f t="shared" si="189"/>
        <v>2490</v>
      </c>
      <c r="G146" s="53"/>
      <c r="H146" s="54"/>
      <c r="I146" s="55">
        <f t="shared" si="190"/>
        <v>0</v>
      </c>
      <c r="J146" s="53"/>
      <c r="K146" s="54">
        <v>300</v>
      </c>
      <c r="L146" s="55">
        <f t="shared" si="191"/>
        <v>300</v>
      </c>
      <c r="M146" s="53"/>
      <c r="N146" s="54"/>
      <c r="O146" s="55">
        <f t="shared" si="192"/>
        <v>0</v>
      </c>
      <c r="P146" s="57" t="s">
        <v>820</v>
      </c>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100</v>
      </c>
      <c r="D149" s="196">
        <v>100</v>
      </c>
      <c r="E149" s="197"/>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14180</v>
      </c>
      <c r="D151" s="190">
        <f>SUM(D152:D158)</f>
        <v>1700</v>
      </c>
      <c r="E151" s="191">
        <f t="shared" ref="E151:F151" si="194">SUM(E152:E158)</f>
        <v>0</v>
      </c>
      <c r="F151" s="55">
        <f t="shared" si="194"/>
        <v>1700</v>
      </c>
      <c r="G151" s="190">
        <f>SUM(G152:G158)</f>
        <v>0</v>
      </c>
      <c r="H151" s="191">
        <f t="shared" ref="H151:I151" si="195">SUM(H152:H158)</f>
        <v>0</v>
      </c>
      <c r="I151" s="55">
        <f t="shared" si="195"/>
        <v>0</v>
      </c>
      <c r="J151" s="190">
        <f>SUM(J152:J158)</f>
        <v>12480</v>
      </c>
      <c r="K151" s="191">
        <f t="shared" ref="K151:L151" si="196">SUM(K152:K158)</f>
        <v>0</v>
      </c>
      <c r="L151" s="55">
        <f t="shared" si="196"/>
        <v>12480</v>
      </c>
      <c r="M151" s="190">
        <f>SUM(M152:M158)</f>
        <v>0</v>
      </c>
      <c r="N151" s="191">
        <f t="shared" ref="N151:O151" si="197">SUM(N152:N158)</f>
        <v>0</v>
      </c>
      <c r="O151" s="55">
        <f t="shared" si="197"/>
        <v>0</v>
      </c>
      <c r="P151" s="57"/>
    </row>
    <row r="152" spans="1:16" ht="12" customHeight="1" x14ac:dyDescent="0.25">
      <c r="A152" s="50">
        <v>2361</v>
      </c>
      <c r="B152" s="89" t="s">
        <v>168</v>
      </c>
      <c r="C152" s="90">
        <f t="shared" si="193"/>
        <v>900</v>
      </c>
      <c r="D152" s="196">
        <v>900</v>
      </c>
      <c r="E152" s="197"/>
      <c r="F152" s="55">
        <f t="shared" ref="F152:F159" si="198">D152+E152</f>
        <v>900</v>
      </c>
      <c r="G152" s="53"/>
      <c r="H152" s="54"/>
      <c r="I152" s="55">
        <f t="shared" ref="I152:I159" si="199">G152+H152</f>
        <v>0</v>
      </c>
      <c r="J152" s="53"/>
      <c r="K152" s="54"/>
      <c r="L152" s="55">
        <f t="shared" ref="L152:L159" si="200">K152+J152</f>
        <v>0</v>
      </c>
      <c r="M152" s="53"/>
      <c r="N152" s="54"/>
      <c r="O152" s="55">
        <f t="shared" ref="O152:O159" si="201">N152+M152</f>
        <v>0</v>
      </c>
      <c r="P152" s="57"/>
    </row>
    <row r="153" spans="1:16" ht="32.25" customHeight="1" x14ac:dyDescent="0.25">
      <c r="A153" s="50">
        <v>2362</v>
      </c>
      <c r="B153" s="89" t="s">
        <v>169</v>
      </c>
      <c r="C153" s="90">
        <f t="shared" si="193"/>
        <v>916</v>
      </c>
      <c r="D153" s="196">
        <v>800</v>
      </c>
      <c r="E153" s="197"/>
      <c r="F153" s="55">
        <f t="shared" si="198"/>
        <v>800</v>
      </c>
      <c r="G153" s="53"/>
      <c r="H153" s="54"/>
      <c r="I153" s="55">
        <f t="shared" si="199"/>
        <v>0</v>
      </c>
      <c r="J153" s="53">
        <v>116</v>
      </c>
      <c r="K153" s="54"/>
      <c r="L153" s="55">
        <f t="shared" si="200"/>
        <v>116</v>
      </c>
      <c r="M153" s="53"/>
      <c r="N153" s="54"/>
      <c r="O153" s="55">
        <f t="shared" si="201"/>
        <v>0</v>
      </c>
      <c r="P153" s="57"/>
    </row>
    <row r="154" spans="1:16" ht="12" customHeight="1" x14ac:dyDescent="0.25">
      <c r="A154" s="50">
        <v>2363</v>
      </c>
      <c r="B154" s="89" t="s">
        <v>170</v>
      </c>
      <c r="C154" s="90">
        <f t="shared" si="193"/>
        <v>12364</v>
      </c>
      <c r="D154" s="196"/>
      <c r="E154" s="197"/>
      <c r="F154" s="55">
        <f t="shared" si="198"/>
        <v>0</v>
      </c>
      <c r="G154" s="53"/>
      <c r="H154" s="54"/>
      <c r="I154" s="55">
        <f t="shared" si="199"/>
        <v>0</v>
      </c>
      <c r="J154" s="53">
        <v>12364</v>
      </c>
      <c r="K154" s="54"/>
      <c r="L154" s="55">
        <f t="shared" si="200"/>
        <v>12364</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6.5" customHeight="1" x14ac:dyDescent="0.25">
      <c r="A159" s="186">
        <v>2370</v>
      </c>
      <c r="B159" s="138" t="s">
        <v>175</v>
      </c>
      <c r="C159" s="143">
        <f t="shared" si="193"/>
        <v>7080</v>
      </c>
      <c r="D159" s="203">
        <v>4950</v>
      </c>
      <c r="E159" s="204"/>
      <c r="F159" s="141">
        <f t="shared" si="198"/>
        <v>4950</v>
      </c>
      <c r="G159" s="144">
        <v>2130</v>
      </c>
      <c r="H159" s="145"/>
      <c r="I159" s="141">
        <f t="shared" si="199"/>
        <v>2130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600">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00">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00">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00">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00">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9671</v>
      </c>
      <c r="D194" s="173">
        <f t="shared" ref="D194:O194" si="259">SUM(D195,D230,D269,D283)</f>
        <v>8371</v>
      </c>
      <c r="E194" s="174">
        <f t="shared" si="259"/>
        <v>0</v>
      </c>
      <c r="F194" s="175">
        <f t="shared" si="259"/>
        <v>8371</v>
      </c>
      <c r="G194" s="173">
        <f t="shared" si="259"/>
        <v>1300</v>
      </c>
      <c r="H194" s="174">
        <f t="shared" si="259"/>
        <v>0</v>
      </c>
      <c r="I194" s="175">
        <f t="shared" si="259"/>
        <v>1300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9671</v>
      </c>
      <c r="D195" s="179">
        <f>D196+D204</f>
        <v>8371</v>
      </c>
      <c r="E195" s="180">
        <f t="shared" ref="E195:F195" si="260">E196+E204</f>
        <v>0</v>
      </c>
      <c r="F195" s="181">
        <f t="shared" si="260"/>
        <v>8371</v>
      </c>
      <c r="G195" s="179">
        <f>G196+G204</f>
        <v>1300</v>
      </c>
      <c r="H195" s="180">
        <f t="shared" ref="H195:I195" si="261">H196+H204</f>
        <v>0</v>
      </c>
      <c r="I195" s="181">
        <f t="shared" si="261"/>
        <v>1300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00">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9671</v>
      </c>
      <c r="D204" s="184">
        <f>D205+D215+D216+D225+D226+D227+D229</f>
        <v>8371</v>
      </c>
      <c r="E204" s="185">
        <f t="shared" ref="E204:F204" si="276">E205+E215+E216+E225+E226+E227+E229</f>
        <v>0</v>
      </c>
      <c r="F204" s="73">
        <f t="shared" si="276"/>
        <v>8371</v>
      </c>
      <c r="G204" s="184">
        <f>G205+G215+G216+G225+G226+G227+G229</f>
        <v>1300</v>
      </c>
      <c r="H204" s="185">
        <f t="shared" ref="H204:I204" si="277">H205+H215+H216+H225+H226+H227+H229</f>
        <v>0</v>
      </c>
      <c r="I204" s="73">
        <f t="shared" si="277"/>
        <v>1300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9671</v>
      </c>
      <c r="D216" s="190">
        <f>SUM(D217:D224)</f>
        <v>8371</v>
      </c>
      <c r="E216" s="191">
        <f t="shared" ref="E216:F216" si="289">SUM(E217:E224)</f>
        <v>0</v>
      </c>
      <c r="F216" s="55">
        <f t="shared" si="289"/>
        <v>8371</v>
      </c>
      <c r="G216" s="190">
        <f>SUM(G217:G224)</f>
        <v>1300</v>
      </c>
      <c r="H216" s="191">
        <f t="shared" ref="H216:I216" si="290">SUM(H217:H224)</f>
        <v>0</v>
      </c>
      <c r="I216" s="55">
        <f t="shared" si="290"/>
        <v>1300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25.5" customHeight="1" x14ac:dyDescent="0.25">
      <c r="A219" s="51">
        <v>5233</v>
      </c>
      <c r="B219" s="89" t="s">
        <v>235</v>
      </c>
      <c r="C219" s="90">
        <f t="shared" si="288"/>
        <v>1871</v>
      </c>
      <c r="D219" s="196">
        <v>571</v>
      </c>
      <c r="E219" s="197"/>
      <c r="F219" s="55">
        <f t="shared" si="293"/>
        <v>571</v>
      </c>
      <c r="G219" s="53">
        <v>1300</v>
      </c>
      <c r="H219" s="54"/>
      <c r="I219" s="55">
        <f t="shared" si="294"/>
        <v>1300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7800</v>
      </c>
      <c r="D223" s="196">
        <v>7800</v>
      </c>
      <c r="E223" s="197"/>
      <c r="F223" s="55">
        <f t="shared" si="293"/>
        <v>7800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600">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00">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00">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00">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600">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00">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724282</v>
      </c>
      <c r="D289" s="252">
        <f t="shared" ref="D289:O289" si="389">SUM(D286,D269,D230,D195,D187,D173,D75,D53,D283)</f>
        <v>481090</v>
      </c>
      <c r="E289" s="253">
        <f t="shared" si="389"/>
        <v>0</v>
      </c>
      <c r="F289" s="254">
        <f t="shared" si="389"/>
        <v>481090</v>
      </c>
      <c r="G289" s="252">
        <f t="shared" si="389"/>
        <v>218666</v>
      </c>
      <c r="H289" s="253">
        <f t="shared" si="389"/>
        <v>-6066</v>
      </c>
      <c r="I289" s="254">
        <f t="shared" si="389"/>
        <v>212600</v>
      </c>
      <c r="J289" s="252">
        <f t="shared" si="389"/>
        <v>28742</v>
      </c>
      <c r="K289" s="253">
        <f t="shared" si="389"/>
        <v>1850</v>
      </c>
      <c r="L289" s="254">
        <f t="shared" si="389"/>
        <v>30592</v>
      </c>
      <c r="M289" s="252">
        <f t="shared" si="389"/>
        <v>0</v>
      </c>
      <c r="N289" s="253">
        <f t="shared" si="389"/>
        <v>0</v>
      </c>
      <c r="O289" s="254">
        <f t="shared" si="389"/>
        <v>0</v>
      </c>
      <c r="P289" s="255"/>
    </row>
    <row r="290" spans="1:16" s="28" customFormat="1" ht="13.5" thickTop="1" thickBot="1" x14ac:dyDescent="0.3">
      <c r="A290" s="1544" t="s">
        <v>308</v>
      </c>
      <c r="B290" s="1545"/>
      <c r="C290" s="256">
        <f t="shared" si="371"/>
        <v>-166</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-166</v>
      </c>
      <c r="K290" s="258">
        <f t="shared" ref="K290:L290" si="392">(K26+K43)-K51</f>
        <v>0</v>
      </c>
      <c r="L290" s="259">
        <f t="shared" si="392"/>
        <v>-166</v>
      </c>
      <c r="M290" s="257">
        <f>M45-M51</f>
        <v>0</v>
      </c>
      <c r="N290" s="258">
        <f t="shared" ref="N290:O290" si="393">N45-N51</f>
        <v>0</v>
      </c>
      <c r="O290" s="259">
        <f t="shared" si="393"/>
        <v>0</v>
      </c>
      <c r="P290" s="260"/>
    </row>
    <row r="291" spans="1:16" s="28" customFormat="1" ht="12.75" thickTop="1" x14ac:dyDescent="0.25">
      <c r="A291" s="1546" t="s">
        <v>309</v>
      </c>
      <c r="B291" s="1547"/>
      <c r="C291" s="261">
        <f t="shared" si="371"/>
        <v>166</v>
      </c>
      <c r="D291" s="262">
        <f t="shared" ref="D291:O291" si="394">SUM(D292,D293)-D300+D301</f>
        <v>0</v>
      </c>
      <c r="E291" s="263">
        <f t="shared" si="394"/>
        <v>0</v>
      </c>
      <c r="F291" s="264">
        <f t="shared" si="394"/>
        <v>0</v>
      </c>
      <c r="G291" s="262">
        <f t="shared" si="394"/>
        <v>0</v>
      </c>
      <c r="H291" s="263">
        <f t="shared" si="394"/>
        <v>0</v>
      </c>
      <c r="I291" s="264">
        <f t="shared" si="394"/>
        <v>0</v>
      </c>
      <c r="J291" s="262">
        <f t="shared" si="394"/>
        <v>166</v>
      </c>
      <c r="K291" s="263">
        <f t="shared" si="394"/>
        <v>0</v>
      </c>
      <c r="L291" s="264">
        <f t="shared" si="394"/>
        <v>166</v>
      </c>
      <c r="M291" s="262">
        <f t="shared" si="394"/>
        <v>0</v>
      </c>
      <c r="N291" s="263">
        <f t="shared" si="394"/>
        <v>0</v>
      </c>
      <c r="O291" s="264">
        <f t="shared" si="394"/>
        <v>0</v>
      </c>
      <c r="P291" s="265"/>
    </row>
    <row r="292" spans="1:16" s="28" customFormat="1" ht="12.75" thickBot="1" x14ac:dyDescent="0.3">
      <c r="A292" s="157" t="s">
        <v>310</v>
      </c>
      <c r="B292" s="157" t="s">
        <v>311</v>
      </c>
      <c r="C292" s="158">
        <f t="shared" si="371"/>
        <v>166</v>
      </c>
      <c r="D292" s="159">
        <f t="shared" ref="D292:O292" si="395">D21-D286</f>
        <v>0</v>
      </c>
      <c r="E292" s="160">
        <f t="shared" si="395"/>
        <v>0</v>
      </c>
      <c r="F292" s="161">
        <f t="shared" si="395"/>
        <v>0</v>
      </c>
      <c r="G292" s="159">
        <f t="shared" si="395"/>
        <v>0</v>
      </c>
      <c r="H292" s="160">
        <f t="shared" si="395"/>
        <v>0</v>
      </c>
      <c r="I292" s="161">
        <f t="shared" si="395"/>
        <v>0</v>
      </c>
      <c r="J292" s="159">
        <f t="shared" si="395"/>
        <v>166</v>
      </c>
      <c r="K292" s="160">
        <f t="shared" si="395"/>
        <v>0</v>
      </c>
      <c r="L292" s="161">
        <f t="shared" si="395"/>
        <v>166</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sheetData>
  <sheetProtection algorithmName="SHA-512" hashValue="ShT0Q3ZVo9uSHcm6o6Kq91jPJ/sC1DoFccxBEgxUr2diyA4L46fUlzpbsV42CrWECPoc2OynWeO3dSsIQ3x8VQ==" saltValue="0iCyoU9ikkIgH8pRbFM3nA==" spinCount="100000" sheet="1" objects="1" scenarios="1" formatCells="0" formatColumns="0" formatRows="0" deleteColumns="0"/>
  <autoFilter ref="A18:P301">
    <filterColumn colId="2">
      <filters>
        <filter val="1 000"/>
        <filter val="1 396"/>
        <filter val="1 450"/>
        <filter val="1 600"/>
        <filter val="1 672"/>
        <filter val="1 729"/>
        <filter val="1 761"/>
        <filter val="1 784"/>
        <filter val="1 871"/>
        <filter val="1 894"/>
        <filter val="100"/>
        <filter val="102"/>
        <filter val="110"/>
        <filter val="117 118"/>
        <filter val="12 166"/>
        <filter val="12 364"/>
        <filter val="12 714"/>
        <filter val="120"/>
        <filter val="14 180"/>
        <filter val="14 314"/>
        <filter val="153 289"/>
        <filter val="16 112"/>
        <filter val="166"/>
        <filter val="-166"/>
        <filter val="17 825"/>
        <filter val="2 083"/>
        <filter val="2 144"/>
        <filter val="2 790"/>
        <filter val="200"/>
        <filter val="23 364"/>
        <filter val="23 505"/>
        <filter val="251"/>
        <filter val="26"/>
        <filter val="27 171"/>
        <filter val="27 864"/>
        <filter val="3 741"/>
        <filter val="3 807"/>
        <filter val="300"/>
        <filter val="32"/>
        <filter val="32 963"/>
        <filter val="322"/>
        <filter val="36 171"/>
        <filter val="4 340"/>
        <filter val="4 704"/>
        <filter val="400"/>
        <filter val="435 492"/>
        <filter val="436"/>
        <filter val="462 663"/>
        <filter val="5 111"/>
        <filter val="5 321"/>
        <filter val="500"/>
        <filter val="52 584"/>
        <filter val="526"/>
        <filter val="6 841"/>
        <filter val="615 952"/>
        <filter val="65 696"/>
        <filter val="693 690"/>
        <filter val="7 080"/>
        <filter val="7 800"/>
        <filter val="714 611"/>
        <filter val="724 282"/>
        <filter val="853"/>
        <filter val="9 671"/>
        <filter val="900"/>
        <filter val="916"/>
        <filter val="98 65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22.pielikums Jūrmalas pilsētas domes
2019.gada 31.oktobra saistošajiem noteikumiem Nr.46
(protokols Nr.14, 28.punkts)</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00" workbookViewId="0">
      <selection activeCell="U7" sqref="U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591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592</v>
      </c>
      <c r="D3" s="1517"/>
      <c r="E3" s="1517"/>
      <c r="F3" s="1517"/>
      <c r="G3" s="1517"/>
      <c r="H3" s="1517"/>
      <c r="I3" s="1517"/>
      <c r="J3" s="1517"/>
      <c r="K3" s="1517"/>
      <c r="L3" s="1517"/>
      <c r="M3" s="1517"/>
      <c r="N3" s="1517"/>
      <c r="O3" s="1517"/>
      <c r="P3" s="1518"/>
      <c r="Q3" s="277"/>
    </row>
    <row r="4" spans="1:17" ht="12.75" customHeight="1" x14ac:dyDescent="0.25">
      <c r="A4" s="5" t="s">
        <v>4</v>
      </c>
      <c r="B4" s="6"/>
      <c r="C4" s="1517" t="s">
        <v>593</v>
      </c>
      <c r="D4" s="1517"/>
      <c r="E4" s="1517"/>
      <c r="F4" s="1517"/>
      <c r="G4" s="1517"/>
      <c r="H4" s="1517"/>
      <c r="I4" s="1517"/>
      <c r="J4" s="1517"/>
      <c r="K4" s="1517"/>
      <c r="L4" s="1517"/>
      <c r="M4" s="1517"/>
      <c r="N4" s="1517"/>
      <c r="O4" s="1517"/>
      <c r="P4" s="1518"/>
      <c r="Q4" s="277"/>
    </row>
    <row r="5" spans="1:17" ht="12.75" customHeight="1" x14ac:dyDescent="0.25">
      <c r="A5" s="7" t="s">
        <v>6</v>
      </c>
      <c r="B5" s="8"/>
      <c r="C5" s="1512" t="s">
        <v>594</v>
      </c>
      <c r="D5" s="1512"/>
      <c r="E5" s="1512"/>
      <c r="F5" s="1512"/>
      <c r="G5" s="1512"/>
      <c r="H5" s="1512"/>
      <c r="I5" s="1512"/>
      <c r="J5" s="1512"/>
      <c r="K5" s="1512"/>
      <c r="L5" s="1512"/>
      <c r="M5" s="1512"/>
      <c r="N5" s="1512"/>
      <c r="O5" s="1512"/>
      <c r="P5" s="1513"/>
      <c r="Q5" s="277"/>
    </row>
    <row r="6" spans="1:17" ht="12.75" customHeight="1" x14ac:dyDescent="0.25">
      <c r="A6" s="7" t="s">
        <v>8</v>
      </c>
      <c r="B6" s="8"/>
      <c r="C6" s="1512" t="s">
        <v>595</v>
      </c>
      <c r="D6" s="1512"/>
      <c r="E6" s="1512"/>
      <c r="F6" s="1512"/>
      <c r="G6" s="1512"/>
      <c r="H6" s="1512"/>
      <c r="I6" s="1512"/>
      <c r="J6" s="1512"/>
      <c r="K6" s="1512"/>
      <c r="L6" s="1512"/>
      <c r="M6" s="1512"/>
      <c r="N6" s="1512"/>
      <c r="O6" s="1512"/>
      <c r="P6" s="1513"/>
      <c r="Q6" s="277"/>
    </row>
    <row r="7" spans="1:17" ht="26.25" customHeight="1" x14ac:dyDescent="0.25">
      <c r="A7" s="7" t="s">
        <v>10</v>
      </c>
      <c r="B7" s="8"/>
      <c r="C7" s="1517" t="s">
        <v>596</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597</v>
      </c>
      <c r="D9" s="1512"/>
      <c r="E9" s="1512"/>
      <c r="F9" s="1512"/>
      <c r="G9" s="1512"/>
      <c r="H9" s="1512"/>
      <c r="I9" s="1512"/>
      <c r="J9" s="1512"/>
      <c r="K9" s="1512"/>
      <c r="L9" s="1512"/>
      <c r="M9" s="1512"/>
      <c r="N9" s="1512"/>
      <c r="O9" s="1512"/>
      <c r="P9" s="1513"/>
      <c r="Q9" s="277"/>
    </row>
    <row r="10" spans="1:17" ht="12.75" customHeight="1" x14ac:dyDescent="0.25">
      <c r="A10" s="7"/>
      <c r="B10" s="8" t="s">
        <v>15</v>
      </c>
      <c r="C10" s="1512" t="s">
        <v>598</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599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t="s">
        <v>600</v>
      </c>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1511605</v>
      </c>
      <c r="D20" s="32">
        <f>SUM(D21,D24,D25,D41,D43)</f>
        <v>1002015</v>
      </c>
      <c r="E20" s="33">
        <f t="shared" ref="E20:F20" si="1">SUM(E21,E24,E25,E41,E43)</f>
        <v>0</v>
      </c>
      <c r="F20" s="34">
        <f t="shared" si="1"/>
        <v>1002015</v>
      </c>
      <c r="G20" s="32">
        <f>SUM(G21,G24,G43)</f>
        <v>474151</v>
      </c>
      <c r="H20" s="33">
        <f t="shared" ref="H20:I20" si="2">SUM(H21,H24,H43)</f>
        <v>10547</v>
      </c>
      <c r="I20" s="34">
        <f t="shared" si="2"/>
        <v>484698</v>
      </c>
      <c r="J20" s="32">
        <f>SUM(J21,J26,J43)</f>
        <v>19892</v>
      </c>
      <c r="K20" s="33">
        <f t="shared" ref="K20:L20" si="3">SUM(K21,K26,K43)</f>
        <v>5000</v>
      </c>
      <c r="L20" s="34">
        <f t="shared" si="3"/>
        <v>24892</v>
      </c>
      <c r="M20" s="32">
        <f>SUM(M21,M45)</f>
        <v>0</v>
      </c>
      <c r="N20" s="33">
        <f t="shared" ref="N20:O20" si="4">SUM(N21,N45)</f>
        <v>0</v>
      </c>
      <c r="O20" s="34">
        <f t="shared" si="4"/>
        <v>0</v>
      </c>
      <c r="P20" s="35"/>
    </row>
    <row r="21" spans="1:16" ht="12.75" thickTop="1" x14ac:dyDescent="0.25">
      <c r="A21" s="36"/>
      <c r="B21" s="37" t="s">
        <v>39</v>
      </c>
      <c r="C21" s="38">
        <f t="shared" si="0"/>
        <v>1257</v>
      </c>
      <c r="D21" s="39">
        <f>SUM(D22:D23)</f>
        <v>0</v>
      </c>
      <c r="E21" s="40">
        <f t="shared" ref="E21:F21" si="5">SUM(E22:E23)</f>
        <v>0</v>
      </c>
      <c r="F21" s="41">
        <f t="shared" si="5"/>
        <v>0</v>
      </c>
      <c r="G21" s="39">
        <f>SUM(G22:G23)</f>
        <v>0</v>
      </c>
      <c r="H21" s="40">
        <f t="shared" ref="H21:I21" si="6">SUM(H22:H23)</f>
        <v>0</v>
      </c>
      <c r="I21" s="41">
        <f t="shared" si="6"/>
        <v>0</v>
      </c>
      <c r="J21" s="39">
        <f>SUM(J22:J23)</f>
        <v>1257</v>
      </c>
      <c r="K21" s="40">
        <f t="shared" ref="K21:L21" si="7">SUM(K22:K23)</f>
        <v>0</v>
      </c>
      <c r="L21" s="41">
        <f t="shared" si="7"/>
        <v>1257</v>
      </c>
      <c r="M21" s="39">
        <f>SUM(M22:M23)</f>
        <v>0</v>
      </c>
      <c r="N21" s="40">
        <f t="shared" ref="N21:O21" si="8">SUM(N22:N23)</f>
        <v>0</v>
      </c>
      <c r="O21" s="41">
        <f t="shared" si="8"/>
        <v>0</v>
      </c>
      <c r="P21" s="42"/>
    </row>
    <row r="22" spans="1:16" ht="27.75" customHeight="1" x14ac:dyDescent="0.25">
      <c r="A22" s="457"/>
      <c r="B22" s="458" t="s">
        <v>40</v>
      </c>
      <c r="C22" s="459">
        <f t="shared" si="0"/>
        <v>134</v>
      </c>
      <c r="D22" s="460"/>
      <c r="E22" s="461"/>
      <c r="F22" s="462">
        <f>D22+E22</f>
        <v>0</v>
      </c>
      <c r="G22" s="460"/>
      <c r="H22" s="461"/>
      <c r="I22" s="462">
        <f>G22+H22</f>
        <v>0</v>
      </c>
      <c r="J22" s="460">
        <v>134</v>
      </c>
      <c r="K22" s="461"/>
      <c r="L22" s="462">
        <f>K22+J22</f>
        <v>134</v>
      </c>
      <c r="M22" s="460"/>
      <c r="N22" s="461"/>
      <c r="O22" s="462">
        <f>N22+M22</f>
        <v>0</v>
      </c>
      <c r="P22" s="463"/>
    </row>
    <row r="23" spans="1:16" x14ac:dyDescent="0.25">
      <c r="A23" s="464"/>
      <c r="B23" s="345" t="s">
        <v>41</v>
      </c>
      <c r="C23" s="465">
        <f t="shared" si="0"/>
        <v>1123</v>
      </c>
      <c r="D23" s="348"/>
      <c r="E23" s="349"/>
      <c r="F23" s="350">
        <f t="shared" ref="F23:F25" si="9">D23+E23</f>
        <v>0</v>
      </c>
      <c r="G23" s="348"/>
      <c r="H23" s="349"/>
      <c r="I23" s="350">
        <f t="shared" ref="I23:I24" si="10">G23+H23</f>
        <v>0</v>
      </c>
      <c r="J23" s="348">
        <v>1123</v>
      </c>
      <c r="K23" s="349"/>
      <c r="L23" s="466">
        <f>K23+J23</f>
        <v>1123</v>
      </c>
      <c r="M23" s="348"/>
      <c r="N23" s="349"/>
      <c r="O23" s="350">
        <f>N23+M23</f>
        <v>0</v>
      </c>
      <c r="P23" s="354"/>
    </row>
    <row r="24" spans="1:16" s="28" customFormat="1" ht="39" customHeight="1" thickBot="1" x14ac:dyDescent="0.3">
      <c r="A24" s="58">
        <v>19300</v>
      </c>
      <c r="B24" s="58" t="s">
        <v>42</v>
      </c>
      <c r="C24" s="59">
        <f>F24+I24</f>
        <v>1486713</v>
      </c>
      <c r="D24" s="60">
        <v>1002015</v>
      </c>
      <c r="E24" s="63"/>
      <c r="F24" s="62">
        <f t="shared" si="9"/>
        <v>1002015</v>
      </c>
      <c r="G24" s="60">
        <v>474151</v>
      </c>
      <c r="H24" s="598">
        <v>10547</v>
      </c>
      <c r="I24" s="62">
        <f t="shared" si="10"/>
        <v>484698</v>
      </c>
      <c r="J24" s="64" t="s">
        <v>43</v>
      </c>
      <c r="K24" s="65" t="s">
        <v>43</v>
      </c>
      <c r="L24" s="66" t="s">
        <v>43</v>
      </c>
      <c r="M24" s="64" t="s">
        <v>43</v>
      </c>
      <c r="N24" s="65" t="s">
        <v>43</v>
      </c>
      <c r="O24" s="66" t="s">
        <v>43</v>
      </c>
      <c r="P24" s="599" t="s">
        <v>601</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18585</v>
      </c>
      <c r="D26" s="74" t="s">
        <v>43</v>
      </c>
      <c r="E26" s="75" t="s">
        <v>43</v>
      </c>
      <c r="F26" s="76" t="s">
        <v>43</v>
      </c>
      <c r="G26" s="74" t="s">
        <v>43</v>
      </c>
      <c r="H26" s="75" t="s">
        <v>43</v>
      </c>
      <c r="I26" s="76" t="s">
        <v>43</v>
      </c>
      <c r="J26" s="78">
        <f>SUM(J27,J31,J33,J36)</f>
        <v>18585</v>
      </c>
      <c r="K26" s="79">
        <f t="shared" ref="K26:L26" si="11">SUM(K27,K31,K33,K36)</f>
        <v>0</v>
      </c>
      <c r="L26" s="80">
        <f t="shared" si="11"/>
        <v>18585</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4960</v>
      </c>
      <c r="D33" s="74" t="s">
        <v>43</v>
      </c>
      <c r="E33" s="75" t="s">
        <v>43</v>
      </c>
      <c r="F33" s="76" t="s">
        <v>43</v>
      </c>
      <c r="G33" s="74" t="s">
        <v>43</v>
      </c>
      <c r="H33" s="75" t="s">
        <v>43</v>
      </c>
      <c r="I33" s="76" t="s">
        <v>43</v>
      </c>
      <c r="J33" s="78">
        <f>SUM(J34:J35)</f>
        <v>4960</v>
      </c>
      <c r="K33" s="79">
        <f t="shared" ref="K33:L33" si="17">SUM(K34:K35)</f>
        <v>0</v>
      </c>
      <c r="L33" s="80">
        <f t="shared" si="17"/>
        <v>4960</v>
      </c>
      <c r="M33" s="78" t="s">
        <v>43</v>
      </c>
      <c r="N33" s="79" t="s">
        <v>43</v>
      </c>
      <c r="O33" s="80" t="s">
        <v>43</v>
      </c>
      <c r="P33" s="467"/>
    </row>
    <row r="34" spans="1:16" ht="24" customHeight="1" x14ac:dyDescent="0.25">
      <c r="A34" s="458">
        <v>21381</v>
      </c>
      <c r="B34" s="468" t="s">
        <v>53</v>
      </c>
      <c r="C34" s="469">
        <f t="shared" si="16"/>
        <v>4960</v>
      </c>
      <c r="D34" s="470" t="s">
        <v>43</v>
      </c>
      <c r="E34" s="471" t="s">
        <v>43</v>
      </c>
      <c r="F34" s="472" t="s">
        <v>43</v>
      </c>
      <c r="G34" s="470" t="s">
        <v>43</v>
      </c>
      <c r="H34" s="471" t="s">
        <v>43</v>
      </c>
      <c r="I34" s="472" t="s">
        <v>43</v>
      </c>
      <c r="J34" s="460">
        <v>4960</v>
      </c>
      <c r="K34" s="461"/>
      <c r="L34" s="462">
        <f t="shared" ref="L34:L35" si="18">K34+J34</f>
        <v>4960</v>
      </c>
      <c r="M34" s="473" t="s">
        <v>43</v>
      </c>
      <c r="N34" s="474" t="s">
        <v>43</v>
      </c>
      <c r="O34" s="462" t="s">
        <v>43</v>
      </c>
      <c r="P34" s="475"/>
    </row>
    <row r="35" spans="1:16" ht="24" hidden="1" customHeight="1" x14ac:dyDescent="0.25">
      <c r="A35" s="210">
        <v>21383</v>
      </c>
      <c r="B35" s="227" t="s">
        <v>54</v>
      </c>
      <c r="C35" s="209">
        <f t="shared" si="16"/>
        <v>0</v>
      </c>
      <c r="D35" s="1015" t="s">
        <v>43</v>
      </c>
      <c r="E35" s="1016" t="s">
        <v>43</v>
      </c>
      <c r="F35" s="1017" t="s">
        <v>43</v>
      </c>
      <c r="G35" s="1015" t="s">
        <v>43</v>
      </c>
      <c r="H35" s="1016" t="s">
        <v>43</v>
      </c>
      <c r="I35" s="1017" t="s">
        <v>43</v>
      </c>
      <c r="J35" s="214"/>
      <c r="K35" s="215"/>
      <c r="L35" s="1003">
        <f t="shared" si="18"/>
        <v>0</v>
      </c>
      <c r="M35" s="1001" t="s">
        <v>43</v>
      </c>
      <c r="N35" s="1002" t="s">
        <v>43</v>
      </c>
      <c r="O35" s="1003" t="s">
        <v>43</v>
      </c>
      <c r="P35" s="216"/>
    </row>
    <row r="36" spans="1:16" s="28" customFormat="1" ht="25.5" customHeight="1" x14ac:dyDescent="0.25">
      <c r="A36" s="1004">
        <v>21390</v>
      </c>
      <c r="B36" s="217" t="s">
        <v>55</v>
      </c>
      <c r="C36" s="218">
        <f t="shared" si="16"/>
        <v>13625</v>
      </c>
      <c r="D36" s="1018" t="s">
        <v>43</v>
      </c>
      <c r="E36" s="1019" t="s">
        <v>43</v>
      </c>
      <c r="F36" s="1020" t="s">
        <v>43</v>
      </c>
      <c r="G36" s="1018" t="s">
        <v>43</v>
      </c>
      <c r="H36" s="1019" t="s">
        <v>43</v>
      </c>
      <c r="I36" s="1020" t="s">
        <v>43</v>
      </c>
      <c r="J36" s="1011">
        <f>SUM(J37:J40)</f>
        <v>13625</v>
      </c>
      <c r="K36" s="1012">
        <f t="shared" ref="K36:L36" si="19">SUM(K37:K40)</f>
        <v>0</v>
      </c>
      <c r="L36" s="1013">
        <f t="shared" si="19"/>
        <v>13625</v>
      </c>
      <c r="M36" s="1011" t="s">
        <v>43</v>
      </c>
      <c r="N36" s="1012" t="s">
        <v>43</v>
      </c>
      <c r="O36" s="1013" t="s">
        <v>43</v>
      </c>
      <c r="P36" s="222"/>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30.75" customHeight="1" x14ac:dyDescent="0.25">
      <c r="A40" s="476">
        <v>21399</v>
      </c>
      <c r="B40" s="477" t="s">
        <v>59</v>
      </c>
      <c r="C40" s="478">
        <f t="shared" si="16"/>
        <v>13625</v>
      </c>
      <c r="D40" s="479" t="s">
        <v>43</v>
      </c>
      <c r="E40" s="480" t="s">
        <v>43</v>
      </c>
      <c r="F40" s="481" t="s">
        <v>43</v>
      </c>
      <c r="G40" s="479" t="s">
        <v>43</v>
      </c>
      <c r="H40" s="480" t="s">
        <v>43</v>
      </c>
      <c r="I40" s="481" t="s">
        <v>43</v>
      </c>
      <c r="J40" s="482">
        <v>13625</v>
      </c>
      <c r="K40" s="483"/>
      <c r="L40" s="484">
        <f t="shared" si="20"/>
        <v>13625</v>
      </c>
      <c r="M40" s="485" t="s">
        <v>43</v>
      </c>
      <c r="N40" s="486" t="s">
        <v>43</v>
      </c>
      <c r="O40" s="484" t="s">
        <v>43</v>
      </c>
      <c r="P40" s="487"/>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5050</v>
      </c>
      <c r="D43" s="78">
        <f>D44</f>
        <v>0</v>
      </c>
      <c r="E43" s="79">
        <f t="shared" ref="E43:L43" si="22">E44</f>
        <v>0</v>
      </c>
      <c r="F43" s="80">
        <f t="shared" si="22"/>
        <v>0</v>
      </c>
      <c r="G43" s="78">
        <f t="shared" si="22"/>
        <v>0</v>
      </c>
      <c r="H43" s="79">
        <f t="shared" si="22"/>
        <v>0</v>
      </c>
      <c r="I43" s="80">
        <f t="shared" si="22"/>
        <v>0</v>
      </c>
      <c r="J43" s="78">
        <f t="shared" si="22"/>
        <v>50</v>
      </c>
      <c r="K43" s="79">
        <f t="shared" si="22"/>
        <v>5000</v>
      </c>
      <c r="L43" s="80">
        <f t="shared" si="22"/>
        <v>5050</v>
      </c>
      <c r="M43" s="78" t="s">
        <v>43</v>
      </c>
      <c r="N43" s="79" t="s">
        <v>43</v>
      </c>
      <c r="O43" s="80" t="s">
        <v>43</v>
      </c>
      <c r="P43" s="77"/>
    </row>
    <row r="44" spans="1:16" s="28" customFormat="1" ht="27" customHeight="1" x14ac:dyDescent="0.25">
      <c r="A44" s="51">
        <v>21499</v>
      </c>
      <c r="B44" s="89" t="s">
        <v>63</v>
      </c>
      <c r="C44" s="133">
        <f>F44+I44+L44</f>
        <v>5050</v>
      </c>
      <c r="D44" s="46"/>
      <c r="E44" s="47"/>
      <c r="F44" s="134">
        <f>D44+E44</f>
        <v>0</v>
      </c>
      <c r="G44" s="46"/>
      <c r="H44" s="47"/>
      <c r="I44" s="134">
        <f>G44+H44</f>
        <v>0</v>
      </c>
      <c r="J44" s="46">
        <v>50</v>
      </c>
      <c r="K44" s="47">
        <v>5000</v>
      </c>
      <c r="L44" s="48">
        <f>K44+J44</f>
        <v>5050</v>
      </c>
      <c r="M44" s="87" t="s">
        <v>43</v>
      </c>
      <c r="N44" s="88" t="s">
        <v>43</v>
      </c>
      <c r="O44" s="48" t="s">
        <v>43</v>
      </c>
      <c r="P44" s="49" t="s">
        <v>602</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1511605</v>
      </c>
      <c r="D50" s="159">
        <f>SUM(D51,D286)</f>
        <v>1002015</v>
      </c>
      <c r="E50" s="160">
        <f t="shared" ref="E50:F50" si="26">SUM(E51,E286)</f>
        <v>0</v>
      </c>
      <c r="F50" s="161">
        <f t="shared" si="26"/>
        <v>1002015</v>
      </c>
      <c r="G50" s="159">
        <f>SUM(G51,G286)</f>
        <v>474151</v>
      </c>
      <c r="H50" s="160">
        <f>SUM(H51,H286)</f>
        <v>10547</v>
      </c>
      <c r="I50" s="161">
        <f t="shared" ref="I50" si="27">SUM(I51,I286)</f>
        <v>484698</v>
      </c>
      <c r="J50" s="32">
        <f>SUM(J51,J286)</f>
        <v>19892</v>
      </c>
      <c r="K50" s="33">
        <f t="shared" ref="K50:L50" si="28">SUM(K51,K286)</f>
        <v>5000</v>
      </c>
      <c r="L50" s="34">
        <f t="shared" si="28"/>
        <v>24892</v>
      </c>
      <c r="M50" s="32">
        <f>SUM(M51,M286)</f>
        <v>0</v>
      </c>
      <c r="N50" s="33">
        <f t="shared" ref="N50:O50" si="29">SUM(N51,N286)</f>
        <v>0</v>
      </c>
      <c r="O50" s="34">
        <f t="shared" si="29"/>
        <v>0</v>
      </c>
      <c r="P50" s="35"/>
    </row>
    <row r="51" spans="1:16" s="28" customFormat="1" ht="36.75" thickTop="1" x14ac:dyDescent="0.25">
      <c r="A51" s="162"/>
      <c r="B51" s="163" t="s">
        <v>69</v>
      </c>
      <c r="C51" s="164">
        <f t="shared" si="0"/>
        <v>1511605</v>
      </c>
      <c r="D51" s="165">
        <f>SUM(D52,D194)</f>
        <v>1002015</v>
      </c>
      <c r="E51" s="166">
        <f t="shared" ref="E51:F51" si="30">SUM(E52,E194)</f>
        <v>0</v>
      </c>
      <c r="F51" s="167">
        <f t="shared" si="30"/>
        <v>1002015</v>
      </c>
      <c r="G51" s="165">
        <f>SUM(G52,G194)</f>
        <v>474151</v>
      </c>
      <c r="H51" s="166">
        <f t="shared" ref="H51:I51" si="31">SUM(H52,H194)</f>
        <v>10547</v>
      </c>
      <c r="I51" s="167">
        <f t="shared" si="31"/>
        <v>484698</v>
      </c>
      <c r="J51" s="168">
        <f>SUM(J52,J194)</f>
        <v>19892</v>
      </c>
      <c r="K51" s="169">
        <f t="shared" ref="K51:L51" si="32">SUM(K52,K194)</f>
        <v>5000</v>
      </c>
      <c r="L51" s="170">
        <f t="shared" si="32"/>
        <v>24892</v>
      </c>
      <c r="M51" s="168">
        <f>SUM(M52,M194)</f>
        <v>0</v>
      </c>
      <c r="N51" s="169">
        <f t="shared" ref="N51:O51" si="33">SUM(N52,N194)</f>
        <v>0</v>
      </c>
      <c r="O51" s="170">
        <f t="shared" si="33"/>
        <v>0</v>
      </c>
      <c r="P51" s="171"/>
    </row>
    <row r="52" spans="1:16" s="28" customFormat="1" ht="24" x14ac:dyDescent="0.25">
      <c r="A52" s="24"/>
      <c r="B52" s="22" t="s">
        <v>70</v>
      </c>
      <c r="C52" s="172">
        <f t="shared" si="0"/>
        <v>1496605</v>
      </c>
      <c r="D52" s="173">
        <f>SUM(D53,D75,D173,D187)</f>
        <v>987015</v>
      </c>
      <c r="E52" s="174">
        <f t="shared" ref="E52:F52" si="34">SUM(E53,E75,E173,E187)</f>
        <v>0</v>
      </c>
      <c r="F52" s="175">
        <f t="shared" si="34"/>
        <v>987015</v>
      </c>
      <c r="G52" s="173">
        <f>SUM(G53,G75,G173,G187)</f>
        <v>474151</v>
      </c>
      <c r="H52" s="174">
        <f t="shared" ref="H52:I52" si="35">SUM(H53,H75,H173,H187)</f>
        <v>10547</v>
      </c>
      <c r="I52" s="175">
        <f t="shared" si="35"/>
        <v>484698</v>
      </c>
      <c r="J52" s="173">
        <f>SUM(J53,J75,J173,J187)</f>
        <v>19892</v>
      </c>
      <c r="K52" s="174">
        <f t="shared" ref="K52:L52" si="36">SUM(K53,K75,K173,K187)</f>
        <v>5000</v>
      </c>
      <c r="L52" s="175">
        <f t="shared" si="36"/>
        <v>24892</v>
      </c>
      <c r="M52" s="173">
        <f>SUM(M53,M75,M173,M187)</f>
        <v>0</v>
      </c>
      <c r="N52" s="174">
        <f t="shared" ref="N52:O52" si="37">SUM(N53,N75,N173,N187)</f>
        <v>0</v>
      </c>
      <c r="O52" s="175">
        <f t="shared" si="37"/>
        <v>0</v>
      </c>
      <c r="P52" s="176"/>
    </row>
    <row r="53" spans="1:16" s="28" customFormat="1" x14ac:dyDescent="0.25">
      <c r="A53" s="177">
        <v>1000</v>
      </c>
      <c r="B53" s="177" t="s">
        <v>71</v>
      </c>
      <c r="C53" s="178">
        <f t="shared" si="0"/>
        <v>1169886</v>
      </c>
      <c r="D53" s="179">
        <f>SUM(D54,D67)</f>
        <v>682644</v>
      </c>
      <c r="E53" s="180">
        <f t="shared" ref="E53:F53" si="38">SUM(E54,E67)</f>
        <v>-3</v>
      </c>
      <c r="F53" s="181">
        <f t="shared" si="38"/>
        <v>682641</v>
      </c>
      <c r="G53" s="179">
        <f>SUM(G54,G67)</f>
        <v>471790</v>
      </c>
      <c r="H53" s="180">
        <f t="shared" ref="H53:I53" si="39">SUM(H54,H67)</f>
        <v>12908</v>
      </c>
      <c r="I53" s="181">
        <f t="shared" si="39"/>
        <v>484698</v>
      </c>
      <c r="J53" s="179">
        <f>SUM(J54,J67)</f>
        <v>2547</v>
      </c>
      <c r="K53" s="180">
        <f t="shared" ref="K53:L53" si="40">SUM(K54,K67)</f>
        <v>0</v>
      </c>
      <c r="L53" s="181">
        <f t="shared" si="40"/>
        <v>2547</v>
      </c>
      <c r="M53" s="179">
        <f>SUM(M54,M67)</f>
        <v>0</v>
      </c>
      <c r="N53" s="180">
        <f t="shared" ref="N53:O53" si="41">SUM(N54,N67)</f>
        <v>0</v>
      </c>
      <c r="O53" s="181">
        <f t="shared" si="41"/>
        <v>0</v>
      </c>
      <c r="P53" s="182"/>
    </row>
    <row r="54" spans="1:16" x14ac:dyDescent="0.25">
      <c r="A54" s="69">
        <v>1100</v>
      </c>
      <c r="B54" s="183" t="s">
        <v>72</v>
      </c>
      <c r="C54" s="70">
        <f t="shared" si="0"/>
        <v>887603</v>
      </c>
      <c r="D54" s="184">
        <f>SUM(D55,D58,D66)</f>
        <v>497697</v>
      </c>
      <c r="E54" s="185">
        <f t="shared" ref="E54:F54" si="42">SUM(E55,E58,E66)</f>
        <v>-3</v>
      </c>
      <c r="F54" s="73">
        <f t="shared" si="42"/>
        <v>497694</v>
      </c>
      <c r="G54" s="184">
        <f>SUM(G55,G58,G66)</f>
        <v>377100</v>
      </c>
      <c r="H54" s="185">
        <f t="shared" ref="H54:I54" si="43">SUM(H55,H58,H66)</f>
        <v>10757</v>
      </c>
      <c r="I54" s="73">
        <f t="shared" si="43"/>
        <v>387857</v>
      </c>
      <c r="J54" s="184">
        <f>SUM(J55,J58,J66)</f>
        <v>2052</v>
      </c>
      <c r="K54" s="185">
        <f t="shared" ref="K54:L54" si="44">SUM(K55,K58,K66)</f>
        <v>0</v>
      </c>
      <c r="L54" s="73">
        <f t="shared" si="44"/>
        <v>2052</v>
      </c>
      <c r="M54" s="184">
        <f>SUM(M55,M58,M66)</f>
        <v>0</v>
      </c>
      <c r="N54" s="185">
        <f t="shared" ref="N54:O54" si="45">SUM(N55,N58,N66)</f>
        <v>0</v>
      </c>
      <c r="O54" s="73">
        <f t="shared" si="45"/>
        <v>0</v>
      </c>
      <c r="P54" s="77"/>
    </row>
    <row r="55" spans="1:16" x14ac:dyDescent="0.25">
      <c r="A55" s="186">
        <v>1110</v>
      </c>
      <c r="B55" s="138" t="s">
        <v>73</v>
      </c>
      <c r="C55" s="143">
        <f t="shared" si="0"/>
        <v>812396</v>
      </c>
      <c r="D55" s="187">
        <f>SUM(D56:D57)</f>
        <v>442009</v>
      </c>
      <c r="E55" s="188">
        <f t="shared" ref="E55:F55" si="46">SUM(E56:E57)</f>
        <v>-1890</v>
      </c>
      <c r="F55" s="141">
        <f t="shared" si="46"/>
        <v>440119</v>
      </c>
      <c r="G55" s="187">
        <f>SUM(G56:G57)</f>
        <v>359830</v>
      </c>
      <c r="H55" s="188">
        <f t="shared" ref="H55:I55" si="47">SUM(H56:H57)</f>
        <v>10395</v>
      </c>
      <c r="I55" s="141">
        <f t="shared" si="47"/>
        <v>370225</v>
      </c>
      <c r="J55" s="187">
        <f>SUM(J56:J57)</f>
        <v>2052</v>
      </c>
      <c r="K55" s="188">
        <f t="shared" ref="K55:L55" si="48">SUM(K56:K57)</f>
        <v>0</v>
      </c>
      <c r="L55" s="141">
        <f t="shared" si="48"/>
        <v>2052</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9.25" customHeight="1" x14ac:dyDescent="0.25">
      <c r="A57" s="51">
        <v>1119</v>
      </c>
      <c r="B57" s="89" t="s">
        <v>75</v>
      </c>
      <c r="C57" s="90">
        <f t="shared" si="0"/>
        <v>812396</v>
      </c>
      <c r="D57" s="53">
        <v>442009</v>
      </c>
      <c r="E57" s="54">
        <v>-1890</v>
      </c>
      <c r="F57" s="55">
        <f t="shared" si="50"/>
        <v>440119</v>
      </c>
      <c r="G57" s="53">
        <v>359830</v>
      </c>
      <c r="H57" s="54">
        <f>6026+2434+32+1903</f>
        <v>10395</v>
      </c>
      <c r="I57" s="55">
        <f t="shared" si="51"/>
        <v>370225</v>
      </c>
      <c r="J57" s="53">
        <v>2052</v>
      </c>
      <c r="K57" s="54"/>
      <c r="L57" s="55">
        <f t="shared" si="52"/>
        <v>2052</v>
      </c>
      <c r="M57" s="53"/>
      <c r="N57" s="54"/>
      <c r="O57" s="55">
        <f t="shared" si="53"/>
        <v>0</v>
      </c>
      <c r="P57" s="57" t="s">
        <v>603</v>
      </c>
    </row>
    <row r="58" spans="1:16" x14ac:dyDescent="0.25">
      <c r="A58" s="189">
        <v>1140</v>
      </c>
      <c r="B58" s="89" t="s">
        <v>76</v>
      </c>
      <c r="C58" s="90">
        <f t="shared" si="0"/>
        <v>75207</v>
      </c>
      <c r="D58" s="190">
        <f>SUM(D59:D65)</f>
        <v>55688</v>
      </c>
      <c r="E58" s="191">
        <f>SUM(E59:E65)</f>
        <v>1887</v>
      </c>
      <c r="F58" s="55">
        <f t="shared" ref="F58" si="54">SUM(F59:F65)</f>
        <v>57575</v>
      </c>
      <c r="G58" s="190">
        <f>SUM(G59:G65)</f>
        <v>17270</v>
      </c>
      <c r="H58" s="191">
        <f t="shared" ref="H58:I58" si="55">SUM(H59:H65)</f>
        <v>362</v>
      </c>
      <c r="I58" s="55">
        <f t="shared" si="55"/>
        <v>17632</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5261</v>
      </c>
      <c r="D59" s="53">
        <v>5261</v>
      </c>
      <c r="E59" s="54"/>
      <c r="F59" s="55">
        <f t="shared" ref="F59:F66" si="58">D59+E59</f>
        <v>5261</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5895</v>
      </c>
      <c r="D60" s="53">
        <v>5895</v>
      </c>
      <c r="E60" s="54"/>
      <c r="F60" s="55">
        <f t="shared" si="58"/>
        <v>5895</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2.5" customHeight="1" x14ac:dyDescent="0.25">
      <c r="A63" s="51">
        <v>1147</v>
      </c>
      <c r="B63" s="89" t="s">
        <v>81</v>
      </c>
      <c r="C63" s="90">
        <f t="shared" si="0"/>
        <v>22206</v>
      </c>
      <c r="D63" s="53">
        <v>16499</v>
      </c>
      <c r="E63" s="54"/>
      <c r="F63" s="55">
        <f t="shared" si="58"/>
        <v>16499</v>
      </c>
      <c r="G63" s="53">
        <v>13213</v>
      </c>
      <c r="H63" s="54">
        <f>-5072-2434</f>
        <v>-7506</v>
      </c>
      <c r="I63" s="55">
        <f t="shared" si="59"/>
        <v>5707</v>
      </c>
      <c r="J63" s="53"/>
      <c r="K63" s="54"/>
      <c r="L63" s="55">
        <f t="shared" si="60"/>
        <v>0</v>
      </c>
      <c r="M63" s="53"/>
      <c r="N63" s="54"/>
      <c r="O63" s="55">
        <f t="shared" si="61"/>
        <v>0</v>
      </c>
      <c r="P63" s="57" t="s">
        <v>604</v>
      </c>
    </row>
    <row r="64" spans="1:16" ht="21.75" customHeight="1" x14ac:dyDescent="0.25">
      <c r="A64" s="51">
        <v>1148</v>
      </c>
      <c r="B64" s="89" t="s">
        <v>82</v>
      </c>
      <c r="C64" s="90">
        <f t="shared" si="0"/>
        <v>28520</v>
      </c>
      <c r="D64" s="53">
        <v>26633</v>
      </c>
      <c r="E64" s="54">
        <v>1887</v>
      </c>
      <c r="F64" s="55">
        <f t="shared" si="58"/>
        <v>28520</v>
      </c>
      <c r="G64" s="53"/>
      <c r="H64" s="54"/>
      <c r="I64" s="55">
        <f t="shared" si="59"/>
        <v>0</v>
      </c>
      <c r="J64" s="53"/>
      <c r="K64" s="54"/>
      <c r="L64" s="55">
        <f t="shared" si="60"/>
        <v>0</v>
      </c>
      <c r="M64" s="53"/>
      <c r="N64" s="54"/>
      <c r="O64" s="55">
        <f t="shared" si="61"/>
        <v>0</v>
      </c>
      <c r="P64" s="57" t="s">
        <v>605</v>
      </c>
    </row>
    <row r="65" spans="1:16" ht="36" customHeight="1" x14ac:dyDescent="0.25">
      <c r="A65" s="51">
        <v>1149</v>
      </c>
      <c r="B65" s="89" t="s">
        <v>83</v>
      </c>
      <c r="C65" s="90">
        <f t="shared" si="0"/>
        <v>13325</v>
      </c>
      <c r="D65" s="53">
        <v>1400</v>
      </c>
      <c r="E65" s="54"/>
      <c r="F65" s="55">
        <f t="shared" si="58"/>
        <v>1400</v>
      </c>
      <c r="G65" s="53">
        <v>4057</v>
      </c>
      <c r="H65" s="54">
        <f>7546+322</f>
        <v>7868</v>
      </c>
      <c r="I65" s="55">
        <f t="shared" si="59"/>
        <v>11925</v>
      </c>
      <c r="J65" s="53"/>
      <c r="K65" s="54"/>
      <c r="L65" s="55">
        <f t="shared" si="60"/>
        <v>0</v>
      </c>
      <c r="M65" s="53"/>
      <c r="N65" s="54"/>
      <c r="O65" s="55">
        <f t="shared" si="61"/>
        <v>0</v>
      </c>
      <c r="P65" s="57" t="s">
        <v>606</v>
      </c>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282283</v>
      </c>
      <c r="D67" s="184">
        <f>SUM(D68:D69)</f>
        <v>184947</v>
      </c>
      <c r="E67" s="185">
        <f t="shared" ref="E67:F67" si="62">SUM(E68:E69)</f>
        <v>0</v>
      </c>
      <c r="F67" s="73">
        <f t="shared" si="62"/>
        <v>184947</v>
      </c>
      <c r="G67" s="184">
        <f>SUM(G68:G69)</f>
        <v>94690</v>
      </c>
      <c r="H67" s="185">
        <f t="shared" ref="H67:I67" si="63">SUM(H68:H69)</f>
        <v>2151</v>
      </c>
      <c r="I67" s="73">
        <f t="shared" si="63"/>
        <v>96841</v>
      </c>
      <c r="J67" s="184">
        <f>SUM(J68:J69)</f>
        <v>495</v>
      </c>
      <c r="K67" s="185">
        <f t="shared" ref="K67:L67" si="64">SUM(K68:K69)</f>
        <v>0</v>
      </c>
      <c r="L67" s="73">
        <f t="shared" si="64"/>
        <v>495</v>
      </c>
      <c r="M67" s="184">
        <f>SUM(M68:M69)</f>
        <v>0</v>
      </c>
      <c r="N67" s="185">
        <f t="shared" ref="N67:O67" si="65">SUM(N68:N69)</f>
        <v>0</v>
      </c>
      <c r="O67" s="73">
        <f t="shared" si="65"/>
        <v>0</v>
      </c>
      <c r="P67" s="77"/>
    </row>
    <row r="68" spans="1:16" ht="32.25" customHeight="1" x14ac:dyDescent="0.25">
      <c r="A68" s="439">
        <v>1210</v>
      </c>
      <c r="B68" s="82" t="s">
        <v>86</v>
      </c>
      <c r="C68" s="83">
        <f t="shared" si="0"/>
        <v>223702</v>
      </c>
      <c r="D68" s="46">
        <v>129112</v>
      </c>
      <c r="E68" s="47"/>
      <c r="F68" s="134">
        <f>D68+E68</f>
        <v>129112</v>
      </c>
      <c r="G68" s="46">
        <v>91590</v>
      </c>
      <c r="H68" s="47">
        <f>2047+458</f>
        <v>2505</v>
      </c>
      <c r="I68" s="134">
        <f>G68+H68</f>
        <v>94095</v>
      </c>
      <c r="J68" s="46">
        <v>495</v>
      </c>
      <c r="K68" s="47"/>
      <c r="L68" s="134">
        <f>K68+J68</f>
        <v>495</v>
      </c>
      <c r="M68" s="46"/>
      <c r="N68" s="47"/>
      <c r="O68" s="134">
        <f>N68+M68</f>
        <v>0</v>
      </c>
      <c r="P68" s="49" t="s">
        <v>607</v>
      </c>
    </row>
    <row r="69" spans="1:16" ht="24" x14ac:dyDescent="0.25">
      <c r="A69" s="189">
        <v>1220</v>
      </c>
      <c r="B69" s="89" t="s">
        <v>87</v>
      </c>
      <c r="C69" s="90">
        <f t="shared" si="0"/>
        <v>58581</v>
      </c>
      <c r="D69" s="190">
        <f>SUM(D70:D74)</f>
        <v>55835</v>
      </c>
      <c r="E69" s="191">
        <f t="shared" ref="E69:F69" si="66">SUM(E70:E74)</f>
        <v>0</v>
      </c>
      <c r="F69" s="55">
        <f t="shared" si="66"/>
        <v>55835</v>
      </c>
      <c r="G69" s="190">
        <f>SUM(G70:G74)</f>
        <v>3100</v>
      </c>
      <c r="H69" s="191">
        <f t="shared" ref="H69:I69" si="67">SUM(H70:H74)</f>
        <v>-354</v>
      </c>
      <c r="I69" s="55">
        <f t="shared" si="67"/>
        <v>2746</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41006</v>
      </c>
      <c r="D70" s="53">
        <v>38260</v>
      </c>
      <c r="E70" s="54"/>
      <c r="F70" s="55">
        <f t="shared" ref="F70:F74" si="70">D70+E70</f>
        <v>38260</v>
      </c>
      <c r="G70" s="53">
        <v>3100</v>
      </c>
      <c r="H70" s="54">
        <v>-354</v>
      </c>
      <c r="I70" s="55">
        <f t="shared" ref="I70:I74" si="71">G70+H70</f>
        <v>2746</v>
      </c>
      <c r="J70" s="53"/>
      <c r="K70" s="54"/>
      <c r="L70" s="55">
        <f t="shared" ref="L70:L74" si="72">K70+J70</f>
        <v>0</v>
      </c>
      <c r="M70" s="53"/>
      <c r="N70" s="54"/>
      <c r="O70" s="55">
        <f t="shared" ref="O70:O74" si="73">N70+M70</f>
        <v>0</v>
      </c>
      <c r="P70" s="57" t="s">
        <v>608</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17075</v>
      </c>
      <c r="D73" s="53">
        <v>17075</v>
      </c>
      <c r="E73" s="54"/>
      <c r="F73" s="55">
        <f t="shared" si="70"/>
        <v>17075</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326719</v>
      </c>
      <c r="D75" s="179">
        <f>SUM(D76,D83,D130,D164,D165,D172)</f>
        <v>304371</v>
      </c>
      <c r="E75" s="180">
        <f t="shared" ref="E75:F75" si="74">SUM(E76,E83,E130,E164,E165,E172)</f>
        <v>3</v>
      </c>
      <c r="F75" s="181">
        <f t="shared" si="74"/>
        <v>304374</v>
      </c>
      <c r="G75" s="179">
        <f>SUM(G76,G83,G130,G164,G165,G172)</f>
        <v>2361</v>
      </c>
      <c r="H75" s="180">
        <f t="shared" ref="H75:I75" si="75">SUM(H76,H83,H130,H164,H165,H172)</f>
        <v>-2361</v>
      </c>
      <c r="I75" s="181">
        <f t="shared" si="75"/>
        <v>0</v>
      </c>
      <c r="J75" s="179">
        <f>SUM(J76,J83,J130,J164,J165,J172)</f>
        <v>17345</v>
      </c>
      <c r="K75" s="180">
        <f t="shared" ref="K75:L75" si="76">SUM(K76,K83,K130,K164,K165,K172)</f>
        <v>5000</v>
      </c>
      <c r="L75" s="181">
        <f t="shared" si="76"/>
        <v>22345</v>
      </c>
      <c r="M75" s="179">
        <f>SUM(M76,M83,M130,M164,M165,M172)</f>
        <v>0</v>
      </c>
      <c r="N75" s="180">
        <f t="shared" ref="N75:O75" si="77">SUM(N76,N83,N130,N164,N165,N172)</f>
        <v>0</v>
      </c>
      <c r="O75" s="181">
        <f t="shared" si="77"/>
        <v>0</v>
      </c>
      <c r="P75" s="182"/>
    </row>
    <row r="76" spans="1:16" ht="24" x14ac:dyDescent="0.25">
      <c r="A76" s="69">
        <v>2100</v>
      </c>
      <c r="B76" s="183" t="s">
        <v>94</v>
      </c>
      <c r="C76" s="70">
        <f t="shared" si="0"/>
        <v>2736</v>
      </c>
      <c r="D76" s="184">
        <f>SUM(D77,D80)</f>
        <v>2736</v>
      </c>
      <c r="E76" s="185">
        <f t="shared" ref="E76:F76" si="78">SUM(E77,E80)</f>
        <v>0</v>
      </c>
      <c r="F76" s="73">
        <f t="shared" si="78"/>
        <v>2736</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439">
        <v>2110</v>
      </c>
      <c r="B77" s="82" t="s">
        <v>95</v>
      </c>
      <c r="C77" s="83">
        <f t="shared" si="0"/>
        <v>2736</v>
      </c>
      <c r="D77" s="194">
        <f>SUM(D78:D79)</f>
        <v>2736</v>
      </c>
      <c r="E77" s="195">
        <f t="shared" ref="E77:F77" si="82">SUM(E78:E79)</f>
        <v>0</v>
      </c>
      <c r="F77" s="134">
        <f t="shared" si="82"/>
        <v>2736</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customHeight="1" x14ac:dyDescent="0.25">
      <c r="A78" s="51">
        <v>2111</v>
      </c>
      <c r="B78" s="89" t="s">
        <v>96</v>
      </c>
      <c r="C78" s="90">
        <f t="shared" si="0"/>
        <v>2136</v>
      </c>
      <c r="D78" s="196">
        <v>2136</v>
      </c>
      <c r="E78" s="197"/>
      <c r="F78" s="55">
        <f t="shared" ref="F78:F79" si="86">D78+E78</f>
        <v>2136</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600</v>
      </c>
      <c r="D79" s="196">
        <v>600</v>
      </c>
      <c r="E79" s="197"/>
      <c r="F79" s="55">
        <f t="shared" si="86"/>
        <v>600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310869</v>
      </c>
      <c r="D83" s="184">
        <f>SUM(D84,D89,D95,D103,D112,D116,D122,D128)</f>
        <v>295838</v>
      </c>
      <c r="E83" s="185">
        <f t="shared" ref="E83:F83" si="98">SUM(E84,E89,E95,E103,E112,E116,E122,E128)</f>
        <v>3</v>
      </c>
      <c r="F83" s="73">
        <f t="shared" si="98"/>
        <v>295841</v>
      </c>
      <c r="G83" s="184">
        <f>SUM(G84,G89,G95,G103,G112,G116,G122,G128)</f>
        <v>2361</v>
      </c>
      <c r="H83" s="185">
        <f t="shared" ref="H83:I83" si="99">SUM(H84,H89,H95,H103,H112,H116,H122,H128)</f>
        <v>-2361</v>
      </c>
      <c r="I83" s="73">
        <f t="shared" si="99"/>
        <v>0</v>
      </c>
      <c r="J83" s="184">
        <f>SUM(J84,J89,J95,J103,J112,J116,J122,J128)</f>
        <v>10028</v>
      </c>
      <c r="K83" s="185">
        <f t="shared" ref="K83:L83" si="100">SUM(K84,K89,K95,K103,K112,K116,K122,K128)</f>
        <v>5000</v>
      </c>
      <c r="L83" s="73">
        <f t="shared" si="100"/>
        <v>15028</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1605</v>
      </c>
      <c r="D84" s="187">
        <f>SUM(D85:D88)</f>
        <v>1487</v>
      </c>
      <c r="E84" s="188">
        <f t="shared" ref="E84:F84" si="103">SUM(E85:E88)</f>
        <v>3</v>
      </c>
      <c r="F84" s="141">
        <f t="shared" si="103"/>
        <v>1490</v>
      </c>
      <c r="G84" s="187">
        <f>SUM(G85:G88)</f>
        <v>0</v>
      </c>
      <c r="H84" s="188">
        <f t="shared" ref="H84:I84" si="104">SUM(H85:H88)</f>
        <v>0</v>
      </c>
      <c r="I84" s="141">
        <f t="shared" si="104"/>
        <v>0</v>
      </c>
      <c r="J84" s="187">
        <f>SUM(J85:J88)</f>
        <v>115</v>
      </c>
      <c r="K84" s="188">
        <f t="shared" ref="K84:L84" si="105">SUM(K85:K88)</f>
        <v>0</v>
      </c>
      <c r="L84" s="141">
        <f t="shared" si="105"/>
        <v>115</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1040</v>
      </c>
      <c r="D86" s="196">
        <v>975</v>
      </c>
      <c r="E86" s="197"/>
      <c r="F86" s="55">
        <f t="shared" si="107"/>
        <v>975</v>
      </c>
      <c r="G86" s="53"/>
      <c r="H86" s="54"/>
      <c r="I86" s="55">
        <f t="shared" si="108"/>
        <v>0</v>
      </c>
      <c r="J86" s="53">
        <v>65</v>
      </c>
      <c r="K86" s="54"/>
      <c r="L86" s="55">
        <f t="shared" si="109"/>
        <v>65</v>
      </c>
      <c r="M86" s="53"/>
      <c r="N86" s="54"/>
      <c r="O86" s="55">
        <f t="shared" si="110"/>
        <v>0</v>
      </c>
      <c r="P86" s="57"/>
    </row>
    <row r="87" spans="1:16" ht="34.5" customHeight="1" x14ac:dyDescent="0.25">
      <c r="A87" s="51">
        <v>2214</v>
      </c>
      <c r="B87" s="89" t="s">
        <v>103</v>
      </c>
      <c r="C87" s="90">
        <f t="shared" si="102"/>
        <v>328</v>
      </c>
      <c r="D87" s="196">
        <v>275</v>
      </c>
      <c r="E87" s="197">
        <v>3</v>
      </c>
      <c r="F87" s="55">
        <f t="shared" si="107"/>
        <v>278</v>
      </c>
      <c r="G87" s="53"/>
      <c r="H87" s="54"/>
      <c r="I87" s="55">
        <f t="shared" si="108"/>
        <v>0</v>
      </c>
      <c r="J87" s="53">
        <v>50</v>
      </c>
      <c r="K87" s="54"/>
      <c r="L87" s="55">
        <f t="shared" si="109"/>
        <v>50</v>
      </c>
      <c r="M87" s="53"/>
      <c r="N87" s="54"/>
      <c r="O87" s="55">
        <f t="shared" si="110"/>
        <v>0</v>
      </c>
      <c r="P87" s="57" t="s">
        <v>609</v>
      </c>
    </row>
    <row r="88" spans="1:16" ht="12" customHeight="1" x14ac:dyDescent="0.25">
      <c r="A88" s="51">
        <v>2219</v>
      </c>
      <c r="B88" s="89" t="s">
        <v>104</v>
      </c>
      <c r="C88" s="90">
        <f t="shared" si="102"/>
        <v>237</v>
      </c>
      <c r="D88" s="196">
        <v>237</v>
      </c>
      <c r="E88" s="197"/>
      <c r="F88" s="55">
        <f t="shared" si="107"/>
        <v>237</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98730</v>
      </c>
      <c r="D89" s="190">
        <f>SUM(D90:D94)</f>
        <v>87267</v>
      </c>
      <c r="E89" s="191">
        <f t="shared" ref="E89:F89" si="111">SUM(E90:E94)</f>
        <v>0</v>
      </c>
      <c r="F89" s="55">
        <f t="shared" si="111"/>
        <v>87267</v>
      </c>
      <c r="G89" s="190">
        <f>SUM(G90:G94)</f>
        <v>0</v>
      </c>
      <c r="H89" s="191">
        <f t="shared" ref="H89:I89" si="112">SUM(H90:H94)</f>
        <v>0</v>
      </c>
      <c r="I89" s="55">
        <f t="shared" si="112"/>
        <v>0</v>
      </c>
      <c r="J89" s="190">
        <f>SUM(J90:J94)</f>
        <v>6463</v>
      </c>
      <c r="K89" s="191">
        <f t="shared" ref="K89:L89" si="113">SUM(K90:K94)</f>
        <v>5000</v>
      </c>
      <c r="L89" s="55">
        <f t="shared" si="113"/>
        <v>11463</v>
      </c>
      <c r="M89" s="190">
        <f>SUM(M90:M94)</f>
        <v>0</v>
      </c>
      <c r="N89" s="191">
        <f t="shared" ref="N89:O89" si="114">SUM(N90:N94)</f>
        <v>0</v>
      </c>
      <c r="O89" s="55">
        <f t="shared" si="114"/>
        <v>0</v>
      </c>
      <c r="P89" s="57"/>
    </row>
    <row r="90" spans="1:16" ht="36" customHeight="1" x14ac:dyDescent="0.25">
      <c r="A90" s="51">
        <v>2221</v>
      </c>
      <c r="B90" s="89" t="s">
        <v>106</v>
      </c>
      <c r="C90" s="90">
        <f t="shared" si="102"/>
        <v>60063</v>
      </c>
      <c r="D90" s="196">
        <v>56980</v>
      </c>
      <c r="E90" s="197"/>
      <c r="F90" s="55">
        <f t="shared" ref="F90:F94" si="115">D90+E90</f>
        <v>56980</v>
      </c>
      <c r="G90" s="53"/>
      <c r="H90" s="54"/>
      <c r="I90" s="55">
        <f t="shared" ref="I90:I94" si="116">G90+H90</f>
        <v>0</v>
      </c>
      <c r="J90" s="53">
        <v>1583</v>
      </c>
      <c r="K90" s="54">
        <v>1500</v>
      </c>
      <c r="L90" s="55">
        <f t="shared" ref="L90:L94" si="117">K90+J90</f>
        <v>3083</v>
      </c>
      <c r="M90" s="53"/>
      <c r="N90" s="54"/>
      <c r="O90" s="55">
        <f t="shared" ref="O90:O94" si="118">N90+M90</f>
        <v>0</v>
      </c>
      <c r="P90" s="57" t="s">
        <v>610</v>
      </c>
    </row>
    <row r="91" spans="1:16" ht="25.5" customHeight="1" x14ac:dyDescent="0.25">
      <c r="A91" s="51">
        <v>2222</v>
      </c>
      <c r="B91" s="89" t="s">
        <v>107</v>
      </c>
      <c r="C91" s="90">
        <f t="shared" si="102"/>
        <v>21737</v>
      </c>
      <c r="D91" s="196">
        <v>18735</v>
      </c>
      <c r="E91" s="197"/>
      <c r="F91" s="55">
        <f t="shared" si="115"/>
        <v>18735</v>
      </c>
      <c r="G91" s="53"/>
      <c r="H91" s="54"/>
      <c r="I91" s="55">
        <f t="shared" si="116"/>
        <v>0</v>
      </c>
      <c r="J91" s="53">
        <v>2502</v>
      </c>
      <c r="K91" s="54">
        <v>500</v>
      </c>
      <c r="L91" s="55">
        <f t="shared" si="117"/>
        <v>3002</v>
      </c>
      <c r="M91" s="53"/>
      <c r="N91" s="54"/>
      <c r="O91" s="55">
        <f t="shared" si="118"/>
        <v>0</v>
      </c>
      <c r="P91" s="57" t="s">
        <v>611</v>
      </c>
    </row>
    <row r="92" spans="1:16" ht="25.5" customHeight="1" x14ac:dyDescent="0.25">
      <c r="A92" s="51">
        <v>2223</v>
      </c>
      <c r="B92" s="89" t="s">
        <v>108</v>
      </c>
      <c r="C92" s="90">
        <f t="shared" si="102"/>
        <v>16430</v>
      </c>
      <c r="D92" s="196">
        <v>11352</v>
      </c>
      <c r="E92" s="197"/>
      <c r="F92" s="55">
        <f t="shared" si="115"/>
        <v>11352</v>
      </c>
      <c r="G92" s="53"/>
      <c r="H92" s="54"/>
      <c r="I92" s="55">
        <f t="shared" si="116"/>
        <v>0</v>
      </c>
      <c r="J92" s="53">
        <v>2078</v>
      </c>
      <c r="K92" s="54">
        <v>3000</v>
      </c>
      <c r="L92" s="55">
        <f t="shared" si="117"/>
        <v>5078</v>
      </c>
      <c r="M92" s="53"/>
      <c r="N92" s="54"/>
      <c r="O92" s="55">
        <f t="shared" si="118"/>
        <v>0</v>
      </c>
      <c r="P92" s="57" t="s">
        <v>612</v>
      </c>
    </row>
    <row r="93" spans="1:16" ht="48" customHeight="1" x14ac:dyDescent="0.25">
      <c r="A93" s="51">
        <v>2224</v>
      </c>
      <c r="B93" s="89" t="s">
        <v>109</v>
      </c>
      <c r="C93" s="90">
        <f t="shared" si="102"/>
        <v>500</v>
      </c>
      <c r="D93" s="196">
        <v>200</v>
      </c>
      <c r="E93" s="197"/>
      <c r="F93" s="55">
        <f t="shared" si="115"/>
        <v>200</v>
      </c>
      <c r="G93" s="53"/>
      <c r="H93" s="54"/>
      <c r="I93" s="55">
        <f t="shared" si="116"/>
        <v>0</v>
      </c>
      <c r="J93" s="53">
        <v>300</v>
      </c>
      <c r="K93" s="54"/>
      <c r="L93" s="55">
        <f t="shared" si="117"/>
        <v>300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2340</v>
      </c>
      <c r="D95" s="190">
        <f>SUM(D96:D102)</f>
        <v>1320</v>
      </c>
      <c r="E95" s="191">
        <f t="shared" ref="E95:F95" si="119">SUM(E96:E102)</f>
        <v>0</v>
      </c>
      <c r="F95" s="55">
        <f t="shared" si="119"/>
        <v>1320</v>
      </c>
      <c r="G95" s="190">
        <f>SUM(G96:G102)</f>
        <v>0</v>
      </c>
      <c r="H95" s="191">
        <f t="shared" ref="H95:I95" si="120">SUM(H96:H102)</f>
        <v>0</v>
      </c>
      <c r="I95" s="55">
        <f t="shared" si="120"/>
        <v>0</v>
      </c>
      <c r="J95" s="190">
        <f>SUM(J96:J102)</f>
        <v>1020</v>
      </c>
      <c r="K95" s="191">
        <f t="shared" ref="K95:L95" si="121">SUM(K96:K102)</f>
        <v>0</v>
      </c>
      <c r="L95" s="55">
        <f t="shared" si="121"/>
        <v>1020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customHeight="1" x14ac:dyDescent="0.25">
      <c r="A99" s="51">
        <v>2234</v>
      </c>
      <c r="B99" s="89" t="s">
        <v>115</v>
      </c>
      <c r="C99" s="90">
        <f t="shared" si="102"/>
        <v>84</v>
      </c>
      <c r="D99" s="196">
        <v>84</v>
      </c>
      <c r="E99" s="197"/>
      <c r="F99" s="55">
        <f t="shared" si="123"/>
        <v>84</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250</v>
      </c>
      <c r="D100" s="196"/>
      <c r="E100" s="197"/>
      <c r="F100" s="55">
        <f t="shared" si="123"/>
        <v>0</v>
      </c>
      <c r="G100" s="53"/>
      <c r="H100" s="54"/>
      <c r="I100" s="55">
        <f t="shared" si="124"/>
        <v>0</v>
      </c>
      <c r="J100" s="53">
        <v>250</v>
      </c>
      <c r="K100" s="54"/>
      <c r="L100" s="55">
        <f t="shared" si="125"/>
        <v>250</v>
      </c>
      <c r="M100" s="53"/>
      <c r="N100" s="54"/>
      <c r="O100" s="55">
        <f t="shared" si="126"/>
        <v>0</v>
      </c>
      <c r="P100" s="57"/>
    </row>
    <row r="101" spans="1:16" ht="28.5" customHeight="1" x14ac:dyDescent="0.25">
      <c r="A101" s="345">
        <v>2236</v>
      </c>
      <c r="B101" s="346" t="s">
        <v>117</v>
      </c>
      <c r="C101" s="347">
        <f t="shared" si="102"/>
        <v>139</v>
      </c>
      <c r="D101" s="352"/>
      <c r="E101" s="353"/>
      <c r="F101" s="350">
        <f t="shared" si="123"/>
        <v>0</v>
      </c>
      <c r="G101" s="348"/>
      <c r="H101" s="349"/>
      <c r="I101" s="350">
        <f t="shared" si="124"/>
        <v>0</v>
      </c>
      <c r="J101" s="348">
        <v>139</v>
      </c>
      <c r="K101" s="349"/>
      <c r="L101" s="350">
        <f t="shared" si="125"/>
        <v>139</v>
      </c>
      <c r="M101" s="348"/>
      <c r="N101" s="349"/>
      <c r="O101" s="350">
        <f t="shared" si="126"/>
        <v>0</v>
      </c>
      <c r="P101" s="354"/>
    </row>
    <row r="102" spans="1:16" ht="24" customHeight="1" x14ac:dyDescent="0.25">
      <c r="A102" s="51">
        <v>2239</v>
      </c>
      <c r="B102" s="89" t="s">
        <v>118</v>
      </c>
      <c r="C102" s="90">
        <f t="shared" si="102"/>
        <v>1867</v>
      </c>
      <c r="D102" s="196">
        <v>1236</v>
      </c>
      <c r="E102" s="197"/>
      <c r="F102" s="55">
        <f t="shared" si="123"/>
        <v>1236</v>
      </c>
      <c r="G102" s="53"/>
      <c r="H102" s="54"/>
      <c r="I102" s="55">
        <f t="shared" si="124"/>
        <v>0</v>
      </c>
      <c r="J102" s="53">
        <v>631</v>
      </c>
      <c r="K102" s="54"/>
      <c r="L102" s="55">
        <f t="shared" si="125"/>
        <v>631</v>
      </c>
      <c r="M102" s="53"/>
      <c r="N102" s="54"/>
      <c r="O102" s="55">
        <f t="shared" si="126"/>
        <v>0</v>
      </c>
      <c r="P102" s="57"/>
    </row>
    <row r="103" spans="1:16" ht="36" x14ac:dyDescent="0.25">
      <c r="A103" s="189">
        <v>2240</v>
      </c>
      <c r="B103" s="89" t="s">
        <v>119</v>
      </c>
      <c r="C103" s="90">
        <f t="shared" si="102"/>
        <v>4941</v>
      </c>
      <c r="D103" s="190">
        <f>SUM(D104:D111)</f>
        <v>2511</v>
      </c>
      <c r="E103" s="191">
        <f t="shared" ref="E103:F103" si="127">SUM(E104:E111)</f>
        <v>0</v>
      </c>
      <c r="F103" s="55">
        <f t="shared" si="127"/>
        <v>2511</v>
      </c>
      <c r="G103" s="190">
        <f>SUM(G104:G111)</f>
        <v>0</v>
      </c>
      <c r="H103" s="191">
        <f t="shared" ref="H103:I103" si="128">SUM(H104:H111)</f>
        <v>0</v>
      </c>
      <c r="I103" s="55">
        <f t="shared" si="128"/>
        <v>0</v>
      </c>
      <c r="J103" s="190">
        <f>SUM(J104:J111)</f>
        <v>2430</v>
      </c>
      <c r="K103" s="191">
        <f t="shared" ref="K103:L103" si="129">SUM(K104:K111)</f>
        <v>0</v>
      </c>
      <c r="L103" s="55">
        <f t="shared" si="129"/>
        <v>2430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1381</v>
      </c>
      <c r="D105" s="196">
        <v>211</v>
      </c>
      <c r="E105" s="197"/>
      <c r="F105" s="55">
        <f t="shared" si="131"/>
        <v>211</v>
      </c>
      <c r="G105" s="53"/>
      <c r="H105" s="54"/>
      <c r="I105" s="55">
        <f t="shared" si="132"/>
        <v>0</v>
      </c>
      <c r="J105" s="53">
        <v>1170</v>
      </c>
      <c r="K105" s="54"/>
      <c r="L105" s="55">
        <f t="shared" si="133"/>
        <v>1170</v>
      </c>
      <c r="M105" s="53"/>
      <c r="N105" s="54"/>
      <c r="O105" s="55">
        <f t="shared" si="134"/>
        <v>0</v>
      </c>
      <c r="P105" s="57"/>
    </row>
    <row r="106" spans="1:16" ht="24" customHeight="1" x14ac:dyDescent="0.25">
      <c r="A106" s="51">
        <v>2243</v>
      </c>
      <c r="B106" s="89" t="s">
        <v>122</v>
      </c>
      <c r="C106" s="90">
        <f t="shared" si="102"/>
        <v>860</v>
      </c>
      <c r="D106" s="196">
        <v>410</v>
      </c>
      <c r="E106" s="197"/>
      <c r="F106" s="55">
        <f t="shared" si="131"/>
        <v>410</v>
      </c>
      <c r="G106" s="53"/>
      <c r="H106" s="54"/>
      <c r="I106" s="55">
        <f t="shared" si="132"/>
        <v>0</v>
      </c>
      <c r="J106" s="53">
        <v>450</v>
      </c>
      <c r="K106" s="54"/>
      <c r="L106" s="55">
        <f t="shared" si="133"/>
        <v>450</v>
      </c>
      <c r="M106" s="53"/>
      <c r="N106" s="54"/>
      <c r="O106" s="55">
        <f t="shared" si="134"/>
        <v>0</v>
      </c>
      <c r="P106" s="57"/>
    </row>
    <row r="107" spans="1:16" x14ac:dyDescent="0.25">
      <c r="A107" s="345">
        <v>2244</v>
      </c>
      <c r="B107" s="346" t="s">
        <v>123</v>
      </c>
      <c r="C107" s="347">
        <f t="shared" si="102"/>
        <v>2700</v>
      </c>
      <c r="D107" s="352">
        <v>1890</v>
      </c>
      <c r="E107" s="353"/>
      <c r="F107" s="350">
        <f t="shared" si="131"/>
        <v>1890</v>
      </c>
      <c r="G107" s="348"/>
      <c r="H107" s="349"/>
      <c r="I107" s="350">
        <f t="shared" si="132"/>
        <v>0</v>
      </c>
      <c r="J107" s="348">
        <v>810</v>
      </c>
      <c r="K107" s="349"/>
      <c r="L107" s="350">
        <f t="shared" si="133"/>
        <v>810</v>
      </c>
      <c r="M107" s="348"/>
      <c r="N107" s="349"/>
      <c r="O107" s="350">
        <f t="shared" si="134"/>
        <v>0</v>
      </c>
      <c r="P107" s="354"/>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27" hidden="1" customHeight="1" x14ac:dyDescent="0.25">
      <c r="A109" s="345">
        <v>2247</v>
      </c>
      <c r="B109" s="346" t="s">
        <v>125</v>
      </c>
      <c r="C109" s="347">
        <f t="shared" si="102"/>
        <v>0</v>
      </c>
      <c r="D109" s="352"/>
      <c r="E109" s="353"/>
      <c r="F109" s="350">
        <f t="shared" si="131"/>
        <v>0</v>
      </c>
      <c r="G109" s="348"/>
      <c r="H109" s="349"/>
      <c r="I109" s="350">
        <f t="shared" si="132"/>
        <v>0</v>
      </c>
      <c r="J109" s="348"/>
      <c r="K109" s="349"/>
      <c r="L109" s="350">
        <f t="shared" si="133"/>
        <v>0</v>
      </c>
      <c r="M109" s="348"/>
      <c r="N109" s="349"/>
      <c r="O109" s="350">
        <f t="shared" si="134"/>
        <v>0</v>
      </c>
      <c r="P109" s="354"/>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1480</v>
      </c>
      <c r="D112" s="190">
        <f>SUM(D113:D115)</f>
        <v>1480</v>
      </c>
      <c r="E112" s="191">
        <f t="shared" ref="E112:F112" si="135">SUM(E113:E115)</f>
        <v>0</v>
      </c>
      <c r="F112" s="55">
        <f t="shared" si="135"/>
        <v>1480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8.5" customHeight="1" x14ac:dyDescent="0.25">
      <c r="A114" s="345">
        <v>2252</v>
      </c>
      <c r="B114" s="346" t="s">
        <v>130</v>
      </c>
      <c r="C114" s="347">
        <f t="shared" si="102"/>
        <v>1150</v>
      </c>
      <c r="D114" s="352">
        <v>1150</v>
      </c>
      <c r="E114" s="353"/>
      <c r="F114" s="350">
        <f t="shared" si="139"/>
        <v>1150</v>
      </c>
      <c r="G114" s="348"/>
      <c r="H114" s="349"/>
      <c r="I114" s="350">
        <f t="shared" si="140"/>
        <v>0</v>
      </c>
      <c r="J114" s="348"/>
      <c r="K114" s="349"/>
      <c r="L114" s="350">
        <f t="shared" si="141"/>
        <v>0</v>
      </c>
      <c r="M114" s="348"/>
      <c r="N114" s="349"/>
      <c r="O114" s="350">
        <f t="shared" si="142"/>
        <v>0</v>
      </c>
      <c r="P114" s="354"/>
    </row>
    <row r="115" spans="1:16" ht="24" customHeight="1" x14ac:dyDescent="0.25">
      <c r="A115" s="345">
        <v>2259</v>
      </c>
      <c r="B115" s="346" t="s">
        <v>131</v>
      </c>
      <c r="C115" s="347">
        <f t="shared" si="102"/>
        <v>330</v>
      </c>
      <c r="D115" s="352">
        <v>330</v>
      </c>
      <c r="E115" s="353"/>
      <c r="F115" s="350">
        <f t="shared" si="139"/>
        <v>330</v>
      </c>
      <c r="G115" s="348"/>
      <c r="H115" s="349"/>
      <c r="I115" s="350">
        <f t="shared" si="140"/>
        <v>0</v>
      </c>
      <c r="J115" s="348"/>
      <c r="K115" s="349"/>
      <c r="L115" s="350">
        <f t="shared" si="141"/>
        <v>0</v>
      </c>
      <c r="M115" s="348"/>
      <c r="N115" s="349"/>
      <c r="O115" s="350">
        <f t="shared" si="142"/>
        <v>0</v>
      </c>
      <c r="P115" s="354"/>
    </row>
    <row r="116" spans="1:16" x14ac:dyDescent="0.25">
      <c r="A116" s="189">
        <v>2260</v>
      </c>
      <c r="B116" s="89" t="s">
        <v>132</v>
      </c>
      <c r="C116" s="90">
        <f t="shared" si="102"/>
        <v>199163</v>
      </c>
      <c r="D116" s="190">
        <f>SUM(D117:D121)</f>
        <v>200423</v>
      </c>
      <c r="E116" s="191">
        <f t="shared" ref="E116:F116" si="143">SUM(E117:E121)</f>
        <v>-1260</v>
      </c>
      <c r="F116" s="55">
        <f t="shared" si="143"/>
        <v>199163</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22.5" customHeight="1" x14ac:dyDescent="0.25">
      <c r="A117" s="51">
        <v>2261</v>
      </c>
      <c r="B117" s="89" t="s">
        <v>133</v>
      </c>
      <c r="C117" s="90">
        <f t="shared" si="102"/>
        <v>199111</v>
      </c>
      <c r="D117" s="196">
        <v>200371</v>
      </c>
      <c r="E117" s="197">
        <v>-1260</v>
      </c>
      <c r="F117" s="55">
        <f t="shared" ref="F117:F121" si="147">D117+E117</f>
        <v>199111</v>
      </c>
      <c r="G117" s="53"/>
      <c r="H117" s="54"/>
      <c r="I117" s="55">
        <f t="shared" ref="I117:I121" si="148">G117+H117</f>
        <v>0</v>
      </c>
      <c r="J117" s="53"/>
      <c r="K117" s="54"/>
      <c r="L117" s="55">
        <f t="shared" ref="L117:L121" si="149">K117+J117</f>
        <v>0</v>
      </c>
      <c r="M117" s="53"/>
      <c r="N117" s="54"/>
      <c r="O117" s="55">
        <f t="shared" ref="O117:O121" si="150">N117+M117</f>
        <v>0</v>
      </c>
      <c r="P117" s="57" t="s">
        <v>613</v>
      </c>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2610</v>
      </c>
      <c r="D122" s="190">
        <f>SUM(D123:D127)</f>
        <v>1350</v>
      </c>
      <c r="E122" s="191">
        <f t="shared" ref="E122:F122" si="151">SUM(E123:E127)</f>
        <v>1260</v>
      </c>
      <c r="F122" s="55">
        <f t="shared" si="151"/>
        <v>2610</v>
      </c>
      <c r="G122" s="190">
        <f>SUM(G123:G127)</f>
        <v>2361</v>
      </c>
      <c r="H122" s="191">
        <f t="shared" ref="H122:I122" si="152">SUM(H123:H127)</f>
        <v>-2361</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9" t="s">
        <v>141</v>
      </c>
      <c r="C125" s="90">
        <f t="shared" si="102"/>
        <v>0</v>
      </c>
      <c r="D125" s="196"/>
      <c r="E125" s="197"/>
      <c r="F125" s="55">
        <f t="shared" si="155"/>
        <v>0</v>
      </c>
      <c r="G125" s="53">
        <v>2361</v>
      </c>
      <c r="H125" s="54">
        <f>-1903-458</f>
        <v>-2361</v>
      </c>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1.5" customHeight="1" x14ac:dyDescent="0.25">
      <c r="A127" s="51">
        <v>2279</v>
      </c>
      <c r="B127" s="89" t="s">
        <v>143</v>
      </c>
      <c r="C127" s="90">
        <f t="shared" si="102"/>
        <v>2610</v>
      </c>
      <c r="D127" s="196">
        <v>1350</v>
      </c>
      <c r="E127" s="197">
        <v>1260</v>
      </c>
      <c r="F127" s="55">
        <f t="shared" si="155"/>
        <v>2610</v>
      </c>
      <c r="G127" s="53"/>
      <c r="H127" s="54"/>
      <c r="I127" s="55">
        <f t="shared" si="156"/>
        <v>0</v>
      </c>
      <c r="J127" s="53"/>
      <c r="K127" s="54"/>
      <c r="L127" s="55">
        <f t="shared" si="157"/>
        <v>0</v>
      </c>
      <c r="M127" s="53"/>
      <c r="N127" s="54"/>
      <c r="O127" s="55">
        <f t="shared" si="158"/>
        <v>0</v>
      </c>
      <c r="P127" s="57" t="s">
        <v>614</v>
      </c>
    </row>
    <row r="128" spans="1:16" ht="48" hidden="1" x14ac:dyDescent="0.25">
      <c r="A128" s="43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9989</v>
      </c>
      <c r="D130" s="184">
        <f>SUM(D131,D136,D140,D141,D144,D151,D159,D160,D163)</f>
        <v>5672</v>
      </c>
      <c r="E130" s="185">
        <f t="shared" ref="E130:F130" si="160">SUM(E131,E136,E140,E141,E144,E151,E159,E160,E163)</f>
        <v>0</v>
      </c>
      <c r="F130" s="73">
        <f t="shared" si="160"/>
        <v>5672</v>
      </c>
      <c r="G130" s="184">
        <f>SUM(G131,G136,G140,G141,G144,G151,G159,G160,G163)</f>
        <v>0</v>
      </c>
      <c r="H130" s="185">
        <f t="shared" ref="H130:I130" si="161">SUM(H131,H136,H140,H141,H144,H151,H159,H160,H163)</f>
        <v>0</v>
      </c>
      <c r="I130" s="73">
        <f t="shared" si="161"/>
        <v>0</v>
      </c>
      <c r="J130" s="184">
        <f>SUM(J131,J136,J140,J141,J144,J151,J159,J160,J163)</f>
        <v>4317</v>
      </c>
      <c r="K130" s="185">
        <f t="shared" ref="K130:L130" si="162">SUM(K131,K136,K140,K141,K144,K151,K159,K160,K163)</f>
        <v>0</v>
      </c>
      <c r="L130" s="73">
        <f t="shared" si="162"/>
        <v>4317</v>
      </c>
      <c r="M130" s="184">
        <f>SUM(M131,M136,M140,M141,M144,M151,M159,M160,M163)</f>
        <v>0</v>
      </c>
      <c r="N130" s="185">
        <f t="shared" ref="N130:O130" si="163">SUM(N131,N136,N140,N141,N144,N151,N159,N160,N163)</f>
        <v>0</v>
      </c>
      <c r="O130" s="73">
        <f t="shared" si="163"/>
        <v>0</v>
      </c>
      <c r="P130" s="77"/>
    </row>
    <row r="131" spans="1:16" ht="24" x14ac:dyDescent="0.25">
      <c r="A131" s="439">
        <v>2310</v>
      </c>
      <c r="B131" s="82" t="s">
        <v>147</v>
      </c>
      <c r="C131" s="83">
        <f t="shared" si="102"/>
        <v>3233</v>
      </c>
      <c r="D131" s="194">
        <f t="shared" ref="D131:O131" si="164">SUM(D132:D135)</f>
        <v>1058</v>
      </c>
      <c r="E131" s="195">
        <f t="shared" si="164"/>
        <v>0</v>
      </c>
      <c r="F131" s="134">
        <f t="shared" si="164"/>
        <v>1058</v>
      </c>
      <c r="G131" s="194">
        <f t="shared" si="164"/>
        <v>0</v>
      </c>
      <c r="H131" s="195">
        <f t="shared" si="164"/>
        <v>0</v>
      </c>
      <c r="I131" s="134">
        <f t="shared" si="164"/>
        <v>0</v>
      </c>
      <c r="J131" s="194">
        <f t="shared" si="164"/>
        <v>2175</v>
      </c>
      <c r="K131" s="195">
        <f t="shared" si="164"/>
        <v>0</v>
      </c>
      <c r="L131" s="134">
        <f t="shared" si="164"/>
        <v>2175</v>
      </c>
      <c r="M131" s="194">
        <f t="shared" si="164"/>
        <v>0</v>
      </c>
      <c r="N131" s="195">
        <f t="shared" si="164"/>
        <v>0</v>
      </c>
      <c r="O131" s="134">
        <f t="shared" si="164"/>
        <v>0</v>
      </c>
      <c r="P131" s="49"/>
    </row>
    <row r="132" spans="1:16" ht="12" customHeight="1" x14ac:dyDescent="0.25">
      <c r="A132" s="51">
        <v>2311</v>
      </c>
      <c r="B132" s="89" t="s">
        <v>148</v>
      </c>
      <c r="C132" s="90">
        <f t="shared" si="102"/>
        <v>608</v>
      </c>
      <c r="D132" s="196">
        <v>458</v>
      </c>
      <c r="E132" s="197"/>
      <c r="F132" s="55">
        <f t="shared" ref="F132:F135" si="165">D132+E132</f>
        <v>458</v>
      </c>
      <c r="G132" s="53"/>
      <c r="H132" s="54"/>
      <c r="I132" s="55">
        <f t="shared" ref="I132:I135" si="166">G132+H132</f>
        <v>0</v>
      </c>
      <c r="J132" s="53">
        <v>150</v>
      </c>
      <c r="K132" s="54"/>
      <c r="L132" s="55">
        <f t="shared" ref="L132:L135" si="167">K132+J132</f>
        <v>150</v>
      </c>
      <c r="M132" s="53"/>
      <c r="N132" s="54"/>
      <c r="O132" s="55">
        <f t="shared" ref="O132:O135" si="168">N132+M132</f>
        <v>0</v>
      </c>
      <c r="P132" s="57"/>
    </row>
    <row r="133" spans="1:16" x14ac:dyDescent="0.25">
      <c r="A133" s="345">
        <v>2312</v>
      </c>
      <c r="B133" s="346" t="s">
        <v>149</v>
      </c>
      <c r="C133" s="347">
        <f t="shared" si="102"/>
        <v>1568</v>
      </c>
      <c r="D133" s="352"/>
      <c r="E133" s="353"/>
      <c r="F133" s="350">
        <f t="shared" si="165"/>
        <v>0</v>
      </c>
      <c r="G133" s="348"/>
      <c r="H133" s="349"/>
      <c r="I133" s="350">
        <f t="shared" si="166"/>
        <v>0</v>
      </c>
      <c r="J133" s="348">
        <v>1568</v>
      </c>
      <c r="K133" s="349"/>
      <c r="L133" s="350">
        <f t="shared" si="167"/>
        <v>1568</v>
      </c>
      <c r="M133" s="348"/>
      <c r="N133" s="349"/>
      <c r="O133" s="350">
        <f t="shared" si="168"/>
        <v>0</v>
      </c>
      <c r="P133" s="354"/>
    </row>
    <row r="134" spans="1:16" ht="26.25" hidden="1" customHeight="1" x14ac:dyDescent="0.25">
      <c r="A134" s="345">
        <v>2313</v>
      </c>
      <c r="B134" s="346" t="s">
        <v>150</v>
      </c>
      <c r="C134" s="347">
        <f t="shared" si="102"/>
        <v>0</v>
      </c>
      <c r="D134" s="352"/>
      <c r="E134" s="353"/>
      <c r="F134" s="350">
        <f t="shared" si="165"/>
        <v>0</v>
      </c>
      <c r="G134" s="348"/>
      <c r="H134" s="349"/>
      <c r="I134" s="350">
        <f t="shared" si="166"/>
        <v>0</v>
      </c>
      <c r="J134" s="348">
        <v>0</v>
      </c>
      <c r="K134" s="349"/>
      <c r="L134" s="350">
        <f t="shared" si="167"/>
        <v>0</v>
      </c>
      <c r="M134" s="348"/>
      <c r="N134" s="349"/>
      <c r="O134" s="350">
        <f t="shared" si="168"/>
        <v>0</v>
      </c>
      <c r="P134" s="354"/>
    </row>
    <row r="135" spans="1:16" ht="48" x14ac:dyDescent="0.25">
      <c r="A135" s="345">
        <v>2314</v>
      </c>
      <c r="B135" s="346" t="s">
        <v>151</v>
      </c>
      <c r="C135" s="347">
        <f t="shared" si="102"/>
        <v>1057</v>
      </c>
      <c r="D135" s="352">
        <v>600</v>
      </c>
      <c r="E135" s="353"/>
      <c r="F135" s="350">
        <f t="shared" si="165"/>
        <v>600</v>
      </c>
      <c r="G135" s="348"/>
      <c r="H135" s="349"/>
      <c r="I135" s="350">
        <f t="shared" si="166"/>
        <v>0</v>
      </c>
      <c r="J135" s="348">
        <v>457</v>
      </c>
      <c r="K135" s="349"/>
      <c r="L135" s="350">
        <f t="shared" si="167"/>
        <v>457</v>
      </c>
      <c r="M135" s="348"/>
      <c r="N135" s="349"/>
      <c r="O135" s="350">
        <f t="shared" si="168"/>
        <v>0</v>
      </c>
      <c r="P135" s="354"/>
    </row>
    <row r="136" spans="1:16" x14ac:dyDescent="0.25">
      <c r="A136" s="189">
        <v>2320</v>
      </c>
      <c r="B136" s="89" t="s">
        <v>152</v>
      </c>
      <c r="C136" s="90">
        <f t="shared" si="102"/>
        <v>1198</v>
      </c>
      <c r="D136" s="190">
        <f>SUM(D137:D139)</f>
        <v>634</v>
      </c>
      <c r="E136" s="191">
        <f t="shared" ref="E136:F136" si="169">SUM(E137:E139)</f>
        <v>0</v>
      </c>
      <c r="F136" s="55">
        <f t="shared" si="169"/>
        <v>634</v>
      </c>
      <c r="G136" s="190">
        <f>SUM(G137:G139)</f>
        <v>0</v>
      </c>
      <c r="H136" s="191">
        <f t="shared" ref="H136:I136" si="170">SUM(H137:H139)</f>
        <v>0</v>
      </c>
      <c r="I136" s="55">
        <f t="shared" si="170"/>
        <v>0</v>
      </c>
      <c r="J136" s="190">
        <f>SUM(J137:J139)</f>
        <v>564</v>
      </c>
      <c r="K136" s="191">
        <f t="shared" ref="K136:L136" si="171">SUM(K137:K139)</f>
        <v>0</v>
      </c>
      <c r="L136" s="55">
        <f t="shared" si="171"/>
        <v>564</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1198</v>
      </c>
      <c r="D138" s="196">
        <v>634</v>
      </c>
      <c r="E138" s="197"/>
      <c r="F138" s="55">
        <f t="shared" si="173"/>
        <v>634</v>
      </c>
      <c r="G138" s="53"/>
      <c r="H138" s="54"/>
      <c r="I138" s="55">
        <f t="shared" si="174"/>
        <v>0</v>
      </c>
      <c r="J138" s="53">
        <v>564</v>
      </c>
      <c r="K138" s="54"/>
      <c r="L138" s="55">
        <f t="shared" si="175"/>
        <v>564</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21.75" customHeight="1" x14ac:dyDescent="0.25">
      <c r="A140" s="488">
        <v>2330</v>
      </c>
      <c r="B140" s="346" t="s">
        <v>156</v>
      </c>
      <c r="C140" s="347">
        <f t="shared" si="102"/>
        <v>56</v>
      </c>
      <c r="D140" s="352"/>
      <c r="E140" s="353"/>
      <c r="F140" s="350">
        <f t="shared" si="173"/>
        <v>0</v>
      </c>
      <c r="G140" s="348"/>
      <c r="H140" s="349"/>
      <c r="I140" s="350">
        <f t="shared" si="174"/>
        <v>0</v>
      </c>
      <c r="J140" s="348">
        <v>56</v>
      </c>
      <c r="K140" s="349"/>
      <c r="L140" s="350">
        <f t="shared" si="175"/>
        <v>56</v>
      </c>
      <c r="M140" s="348"/>
      <c r="N140" s="349"/>
      <c r="O140" s="350">
        <f t="shared" si="176"/>
        <v>0</v>
      </c>
      <c r="P140" s="354"/>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5002</v>
      </c>
      <c r="D144" s="187">
        <f>SUM(D145:D150)</f>
        <v>3480</v>
      </c>
      <c r="E144" s="188">
        <f t="shared" ref="E144:F144" si="185">SUM(E145:E150)</f>
        <v>0</v>
      </c>
      <c r="F144" s="141">
        <f t="shared" si="185"/>
        <v>3480</v>
      </c>
      <c r="G144" s="187">
        <f>SUM(G145:G150)</f>
        <v>0</v>
      </c>
      <c r="H144" s="188">
        <f t="shared" ref="H144:I144" si="186">SUM(H145:H150)</f>
        <v>0</v>
      </c>
      <c r="I144" s="141">
        <f t="shared" si="186"/>
        <v>0</v>
      </c>
      <c r="J144" s="187">
        <f>SUM(J145:J150)</f>
        <v>1522</v>
      </c>
      <c r="K144" s="188">
        <f t="shared" ref="K144:L144" si="187">SUM(K145:K150)</f>
        <v>0</v>
      </c>
      <c r="L144" s="141">
        <f t="shared" si="187"/>
        <v>1522</v>
      </c>
      <c r="M144" s="187">
        <f>SUM(M145:M150)</f>
        <v>0</v>
      </c>
      <c r="N144" s="188">
        <f t="shared" ref="N144:O144" si="188">SUM(N145:N150)</f>
        <v>0</v>
      </c>
      <c r="O144" s="141">
        <f t="shared" si="188"/>
        <v>0</v>
      </c>
      <c r="P144" s="129"/>
    </row>
    <row r="145" spans="1:16" ht="15.75" customHeight="1" x14ac:dyDescent="0.25">
      <c r="A145" s="458">
        <v>2351</v>
      </c>
      <c r="B145" s="468" t="s">
        <v>161</v>
      </c>
      <c r="C145" s="469">
        <f t="shared" si="102"/>
        <v>709</v>
      </c>
      <c r="D145" s="489">
        <v>200</v>
      </c>
      <c r="E145" s="490"/>
      <c r="F145" s="491">
        <f t="shared" ref="F145:F150" si="189">D145+E145</f>
        <v>200</v>
      </c>
      <c r="G145" s="460"/>
      <c r="H145" s="461"/>
      <c r="I145" s="491">
        <f t="shared" ref="I145:I150" si="190">G145+H145</f>
        <v>0</v>
      </c>
      <c r="J145" s="460">
        <v>509</v>
      </c>
      <c r="K145" s="461"/>
      <c r="L145" s="491">
        <f t="shared" ref="L145:L150" si="191">K145+J145</f>
        <v>509</v>
      </c>
      <c r="M145" s="460"/>
      <c r="N145" s="461"/>
      <c r="O145" s="491">
        <f t="shared" ref="O145:O150" si="192">N145+M145</f>
        <v>0</v>
      </c>
      <c r="P145" s="354"/>
    </row>
    <row r="146" spans="1:16" ht="18" customHeight="1" x14ac:dyDescent="0.25">
      <c r="A146" s="345">
        <v>2352</v>
      </c>
      <c r="B146" s="346" t="s">
        <v>162</v>
      </c>
      <c r="C146" s="347">
        <f t="shared" si="102"/>
        <v>4133</v>
      </c>
      <c r="D146" s="352">
        <v>3120</v>
      </c>
      <c r="E146" s="353"/>
      <c r="F146" s="350">
        <f t="shared" si="189"/>
        <v>3120</v>
      </c>
      <c r="G146" s="348"/>
      <c r="H146" s="349"/>
      <c r="I146" s="350">
        <f t="shared" si="190"/>
        <v>0</v>
      </c>
      <c r="J146" s="348">
        <v>1013</v>
      </c>
      <c r="K146" s="349"/>
      <c r="L146" s="350">
        <f t="shared" si="191"/>
        <v>1013</v>
      </c>
      <c r="M146" s="348"/>
      <c r="N146" s="349"/>
      <c r="O146" s="350">
        <f t="shared" si="192"/>
        <v>0</v>
      </c>
      <c r="P146" s="354"/>
    </row>
    <row r="147" spans="1:16" ht="24" hidden="1" customHeight="1" x14ac:dyDescent="0.25">
      <c r="A147" s="345">
        <v>2353</v>
      </c>
      <c r="B147" s="346" t="s">
        <v>163</v>
      </c>
      <c r="C147" s="347">
        <f t="shared" si="102"/>
        <v>0</v>
      </c>
      <c r="D147" s="352"/>
      <c r="E147" s="353"/>
      <c r="F147" s="350">
        <f t="shared" si="189"/>
        <v>0</v>
      </c>
      <c r="G147" s="348"/>
      <c r="H147" s="349"/>
      <c r="I147" s="350">
        <f t="shared" si="190"/>
        <v>0</v>
      </c>
      <c r="J147" s="348"/>
      <c r="K147" s="349"/>
      <c r="L147" s="350">
        <f t="shared" si="191"/>
        <v>0</v>
      </c>
      <c r="M147" s="348"/>
      <c r="N147" s="349"/>
      <c r="O147" s="350">
        <f t="shared" si="192"/>
        <v>0</v>
      </c>
      <c r="P147" s="354"/>
    </row>
    <row r="148" spans="1:16" ht="24" customHeight="1" x14ac:dyDescent="0.25">
      <c r="A148" s="51">
        <v>2354</v>
      </c>
      <c r="B148" s="89" t="s">
        <v>164</v>
      </c>
      <c r="C148" s="90">
        <f t="shared" ref="C148:C211" si="193">F148+I148+L148+O148</f>
        <v>160</v>
      </c>
      <c r="D148" s="196">
        <v>160</v>
      </c>
      <c r="E148" s="197"/>
      <c r="F148" s="55">
        <f t="shared" si="189"/>
        <v>160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500</v>
      </c>
      <c r="D159" s="203">
        <v>500</v>
      </c>
      <c r="E159" s="204"/>
      <c r="F159" s="141">
        <f t="shared" si="198"/>
        <v>500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3125</v>
      </c>
      <c r="D165" s="184">
        <f>SUM(D166,D171)</f>
        <v>125</v>
      </c>
      <c r="E165" s="185">
        <f t="shared" ref="E165:O165" si="210">SUM(E166,E171)</f>
        <v>0</v>
      </c>
      <c r="F165" s="73">
        <f t="shared" si="210"/>
        <v>125</v>
      </c>
      <c r="G165" s="184">
        <f t="shared" si="210"/>
        <v>0</v>
      </c>
      <c r="H165" s="185">
        <f t="shared" si="210"/>
        <v>0</v>
      </c>
      <c r="I165" s="73">
        <f t="shared" si="210"/>
        <v>0</v>
      </c>
      <c r="J165" s="184">
        <f t="shared" si="210"/>
        <v>3000</v>
      </c>
      <c r="K165" s="185">
        <f t="shared" si="210"/>
        <v>0</v>
      </c>
      <c r="L165" s="73">
        <f t="shared" si="210"/>
        <v>3000</v>
      </c>
      <c r="M165" s="184">
        <f t="shared" si="210"/>
        <v>0</v>
      </c>
      <c r="N165" s="185">
        <f t="shared" si="210"/>
        <v>0</v>
      </c>
      <c r="O165" s="73">
        <f t="shared" si="210"/>
        <v>0</v>
      </c>
      <c r="P165" s="77"/>
    </row>
    <row r="166" spans="1:16" ht="25.5" customHeight="1" x14ac:dyDescent="0.25">
      <c r="A166" s="439">
        <v>2510</v>
      </c>
      <c r="B166" s="82" t="s">
        <v>182</v>
      </c>
      <c r="C166" s="83">
        <f t="shared" si="193"/>
        <v>3125</v>
      </c>
      <c r="D166" s="194">
        <f>SUM(D167:D170)</f>
        <v>125</v>
      </c>
      <c r="E166" s="195">
        <f t="shared" ref="E166:O166" si="211">SUM(E167:E170)</f>
        <v>0</v>
      </c>
      <c r="F166" s="134">
        <f t="shared" si="211"/>
        <v>125</v>
      </c>
      <c r="G166" s="194">
        <f t="shared" si="211"/>
        <v>0</v>
      </c>
      <c r="H166" s="195">
        <f t="shared" si="211"/>
        <v>0</v>
      </c>
      <c r="I166" s="134">
        <f t="shared" si="211"/>
        <v>0</v>
      </c>
      <c r="J166" s="194">
        <f t="shared" si="211"/>
        <v>3000</v>
      </c>
      <c r="K166" s="195">
        <f t="shared" si="211"/>
        <v>0</v>
      </c>
      <c r="L166" s="134">
        <f t="shared" si="211"/>
        <v>3000</v>
      </c>
      <c r="M166" s="194">
        <f t="shared" si="211"/>
        <v>0</v>
      </c>
      <c r="N166" s="195">
        <f t="shared" si="211"/>
        <v>0</v>
      </c>
      <c r="O166" s="134">
        <f t="shared" si="211"/>
        <v>0</v>
      </c>
      <c r="P166" s="49"/>
    </row>
    <row r="167" spans="1:16" ht="24" customHeight="1" x14ac:dyDescent="0.25">
      <c r="A167" s="51">
        <v>2512</v>
      </c>
      <c r="B167" s="89" t="s">
        <v>183</v>
      </c>
      <c r="C167" s="90">
        <f t="shared" si="193"/>
        <v>3000</v>
      </c>
      <c r="D167" s="196"/>
      <c r="E167" s="197"/>
      <c r="F167" s="55">
        <f t="shared" ref="F167:F172" si="212">D167+E167</f>
        <v>0</v>
      </c>
      <c r="G167" s="53"/>
      <c r="H167" s="54"/>
      <c r="I167" s="55">
        <f t="shared" ref="I167:I172" si="213">G167+H167</f>
        <v>0</v>
      </c>
      <c r="J167" s="53">
        <v>3000</v>
      </c>
      <c r="K167" s="54"/>
      <c r="L167" s="55">
        <f t="shared" ref="L167:L172" si="214">K167+J167</f>
        <v>3000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186</v>
      </c>
      <c r="C170" s="90">
        <f t="shared" si="193"/>
        <v>125</v>
      </c>
      <c r="D170" s="196">
        <v>125</v>
      </c>
      <c r="E170" s="197"/>
      <c r="F170" s="55">
        <f t="shared" si="212"/>
        <v>125</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43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3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43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43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15000</v>
      </c>
      <c r="D194" s="173">
        <f t="shared" ref="D194:O194" si="259">SUM(D195,D230,D269,D283)</f>
        <v>15000</v>
      </c>
      <c r="E194" s="174">
        <f t="shared" si="259"/>
        <v>0</v>
      </c>
      <c r="F194" s="175">
        <f t="shared" si="259"/>
        <v>15000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15000</v>
      </c>
      <c r="D195" s="179">
        <f>D196+D204</f>
        <v>15000</v>
      </c>
      <c r="E195" s="180">
        <f t="shared" ref="E195:F195" si="260">E196+E204</f>
        <v>0</v>
      </c>
      <c r="F195" s="181">
        <f t="shared" si="260"/>
        <v>15000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43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idden="1" x14ac:dyDescent="0.25">
      <c r="A199" s="345">
        <v>5121</v>
      </c>
      <c r="B199" s="346" t="s">
        <v>215</v>
      </c>
      <c r="C199" s="347">
        <f t="shared" si="193"/>
        <v>0</v>
      </c>
      <c r="D199" s="352"/>
      <c r="E199" s="353"/>
      <c r="F199" s="350">
        <f t="shared" ref="F199:F203" si="272">D199+E199</f>
        <v>0</v>
      </c>
      <c r="G199" s="348"/>
      <c r="H199" s="349"/>
      <c r="I199" s="350">
        <f t="shared" ref="I199:I203" si="273">G199+H199</f>
        <v>0</v>
      </c>
      <c r="J199" s="348"/>
      <c r="K199" s="349"/>
      <c r="L199" s="350">
        <f t="shared" ref="L199:L203" si="274">K199+J199</f>
        <v>0</v>
      </c>
      <c r="M199" s="348"/>
      <c r="N199" s="349"/>
      <c r="O199" s="350">
        <f t="shared" ref="O199:O203" si="275">N199+M199</f>
        <v>0</v>
      </c>
      <c r="P199" s="354"/>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15000</v>
      </c>
      <c r="D204" s="184">
        <f>D205+D215+D216+D225+D226+D227+D229</f>
        <v>15000</v>
      </c>
      <c r="E204" s="185">
        <f t="shared" ref="E204:F204" si="276">E205+E215+E216+E225+E226+E227+E229</f>
        <v>0</v>
      </c>
      <c r="F204" s="73">
        <f t="shared" si="276"/>
        <v>15000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15000</v>
      </c>
      <c r="D216" s="190">
        <f>SUM(D217:D224)</f>
        <v>15000</v>
      </c>
      <c r="E216" s="191">
        <f t="shared" ref="E216:F216" si="289">SUM(E217:E224)</f>
        <v>0</v>
      </c>
      <c r="F216" s="55">
        <f t="shared" si="289"/>
        <v>15000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15000</v>
      </c>
      <c r="D223" s="196">
        <v>15000</v>
      </c>
      <c r="E223" s="197"/>
      <c r="F223" s="55">
        <f t="shared" si="293"/>
        <v>15000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43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3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43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43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43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3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1511605</v>
      </c>
      <c r="D289" s="252">
        <f t="shared" ref="D289:O289" si="389">SUM(D286,D269,D230,D195,D187,D173,D75,D53,D283)</f>
        <v>1002015</v>
      </c>
      <c r="E289" s="253">
        <f t="shared" si="389"/>
        <v>0</v>
      </c>
      <c r="F289" s="254">
        <f t="shared" si="389"/>
        <v>1002015</v>
      </c>
      <c r="G289" s="252">
        <f t="shared" si="389"/>
        <v>474151</v>
      </c>
      <c r="H289" s="253">
        <f t="shared" si="389"/>
        <v>10547</v>
      </c>
      <c r="I289" s="254">
        <f t="shared" si="389"/>
        <v>484698</v>
      </c>
      <c r="J289" s="252">
        <f t="shared" si="389"/>
        <v>19892</v>
      </c>
      <c r="K289" s="253">
        <f t="shared" si="389"/>
        <v>5000</v>
      </c>
      <c r="L289" s="254">
        <f t="shared" si="389"/>
        <v>24892</v>
      </c>
      <c r="M289" s="252">
        <f t="shared" si="389"/>
        <v>0</v>
      </c>
      <c r="N289" s="253">
        <f t="shared" si="389"/>
        <v>0</v>
      </c>
      <c r="O289" s="254">
        <f t="shared" si="389"/>
        <v>0</v>
      </c>
      <c r="P289" s="255"/>
    </row>
    <row r="290" spans="1:16" s="28" customFormat="1" ht="13.5" thickTop="1" thickBot="1" x14ac:dyDescent="0.3">
      <c r="A290" s="1544" t="s">
        <v>308</v>
      </c>
      <c r="B290" s="1545"/>
      <c r="C290" s="256">
        <f t="shared" si="371"/>
        <v>-1257</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-1257</v>
      </c>
      <c r="K290" s="258">
        <f t="shared" ref="K290:L290" si="392">(K26+K43)-K51</f>
        <v>0</v>
      </c>
      <c r="L290" s="259">
        <f t="shared" si="392"/>
        <v>-1257</v>
      </c>
      <c r="M290" s="257">
        <f>M45-M51</f>
        <v>0</v>
      </c>
      <c r="N290" s="258">
        <f t="shared" ref="N290:O290" si="393">N45-N51</f>
        <v>0</v>
      </c>
      <c r="O290" s="259">
        <f t="shared" si="393"/>
        <v>0</v>
      </c>
      <c r="P290" s="260"/>
    </row>
    <row r="291" spans="1:16" s="28" customFormat="1" ht="12.75" thickTop="1" x14ac:dyDescent="0.25">
      <c r="A291" s="1546" t="s">
        <v>309</v>
      </c>
      <c r="B291" s="1547"/>
      <c r="C291" s="261">
        <f t="shared" si="371"/>
        <v>1257</v>
      </c>
      <c r="D291" s="262">
        <f t="shared" ref="D291:O291" si="394">SUM(D292,D293)-D300+D301</f>
        <v>0</v>
      </c>
      <c r="E291" s="263">
        <f t="shared" si="394"/>
        <v>0</v>
      </c>
      <c r="F291" s="264">
        <f t="shared" si="394"/>
        <v>0</v>
      </c>
      <c r="G291" s="262">
        <f t="shared" si="394"/>
        <v>0</v>
      </c>
      <c r="H291" s="263">
        <f t="shared" si="394"/>
        <v>0</v>
      </c>
      <c r="I291" s="264">
        <f t="shared" si="394"/>
        <v>0</v>
      </c>
      <c r="J291" s="262">
        <f t="shared" si="394"/>
        <v>1257</v>
      </c>
      <c r="K291" s="263">
        <f t="shared" si="394"/>
        <v>0</v>
      </c>
      <c r="L291" s="264">
        <f t="shared" si="394"/>
        <v>1257</v>
      </c>
      <c r="M291" s="262">
        <f t="shared" si="394"/>
        <v>0</v>
      </c>
      <c r="N291" s="263">
        <f t="shared" si="394"/>
        <v>0</v>
      </c>
      <c r="O291" s="264">
        <f t="shared" si="394"/>
        <v>0</v>
      </c>
      <c r="P291" s="265"/>
    </row>
    <row r="292" spans="1:16" s="28" customFormat="1" ht="12.75" thickBot="1" x14ac:dyDescent="0.3">
      <c r="A292" s="157" t="s">
        <v>310</v>
      </c>
      <c r="B292" s="157" t="s">
        <v>311</v>
      </c>
      <c r="C292" s="158">
        <f t="shared" si="371"/>
        <v>1257</v>
      </c>
      <c r="D292" s="159">
        <f t="shared" ref="D292:O292" si="395">D21-D286</f>
        <v>0</v>
      </c>
      <c r="E292" s="160">
        <f t="shared" si="395"/>
        <v>0</v>
      </c>
      <c r="F292" s="161">
        <f t="shared" si="395"/>
        <v>0</v>
      </c>
      <c r="G292" s="159">
        <f t="shared" si="395"/>
        <v>0</v>
      </c>
      <c r="H292" s="160">
        <f t="shared" si="395"/>
        <v>0</v>
      </c>
      <c r="I292" s="161">
        <f t="shared" si="395"/>
        <v>0</v>
      </c>
      <c r="J292" s="159">
        <f t="shared" si="395"/>
        <v>1257</v>
      </c>
      <c r="K292" s="160">
        <f t="shared" si="395"/>
        <v>0</v>
      </c>
      <c r="L292" s="161">
        <f t="shared" si="395"/>
        <v>1257</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8kXxQlJuG01Ga528jAMKi7V3RknJgq37V1K7K4hF2XvlrZmQ+kgoLNgTdcDuJWsHE2hSbYDKjX2twatYQX8+Hg==" saltValue="fT39dko+4AUKlNKlo3p3jg==" spinCount="100000" sheet="1" objects="1" scenarios="1" formatCells="0" formatColumns="0" formatRows="0" deleteColumns="0"/>
  <autoFilter ref="A18:P301">
    <filterColumn colId="2">
      <filters>
        <filter val="1 040"/>
        <filter val="1 057"/>
        <filter val="1 123"/>
        <filter val="1 150"/>
        <filter val="1 167 525"/>
        <filter val="1 198"/>
        <filter val="1 257"/>
        <filter val="-1 257"/>
        <filter val="1 381"/>
        <filter val="1 480"/>
        <filter val="1 486 713"/>
        <filter val="1 496 605"/>
        <filter val="1 511 605"/>
        <filter val="1 568"/>
        <filter val="1 605"/>
        <filter val="1 867"/>
        <filter val="125"/>
        <filter val="13 325"/>
        <filter val="13 625"/>
        <filter val="134"/>
        <filter val="139"/>
        <filter val="15 000"/>
        <filter val="16 430"/>
        <filter val="160"/>
        <filter val="17 075"/>
        <filter val="18 585"/>
        <filter val="199 111"/>
        <filter val="199 163"/>
        <filter val="2 136"/>
        <filter val="2 340"/>
        <filter val="2 361"/>
        <filter val="2 610"/>
        <filter val="2 700"/>
        <filter val="2 736"/>
        <filter val="21 737"/>
        <filter val="22 206"/>
        <filter val="223 244"/>
        <filter val="237"/>
        <filter val="250"/>
        <filter val="28 520"/>
        <filter val="281 825"/>
        <filter val="3 000"/>
        <filter val="3 125"/>
        <filter val="3 233"/>
        <filter val="313 230"/>
        <filter val="328"/>
        <filter val="329 080"/>
        <filter val="330"/>
        <filter val="4 133"/>
        <filter val="4 941"/>
        <filter val="4 960"/>
        <filter val="4 971"/>
        <filter val="41 006"/>
        <filter val="5 002"/>
        <filter val="5 050"/>
        <filter val="5 261"/>
        <filter val="5 895"/>
        <filter val="500"/>
        <filter val="52"/>
        <filter val="56"/>
        <filter val="58 581"/>
        <filter val="60 063"/>
        <filter val="600"/>
        <filter val="608"/>
        <filter val="709"/>
        <filter val="75 207"/>
        <filter val="810 493"/>
        <filter val="84"/>
        <filter val="860"/>
        <filter val="885 700"/>
        <filter val="9 989"/>
        <filter val="98 73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2019.gada 31.oktobra saistošajiem noteikumiem Nr.46
(protokols Nr.14, 28.punkts)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00" workbookViewId="0">
      <selection activeCell="S8" sqref="S8"/>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616</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592</v>
      </c>
      <c r="D3" s="1517"/>
      <c r="E3" s="1517"/>
      <c r="F3" s="1517"/>
      <c r="G3" s="1517"/>
      <c r="H3" s="1517"/>
      <c r="I3" s="1517"/>
      <c r="J3" s="1517"/>
      <c r="K3" s="1517"/>
      <c r="L3" s="1517"/>
      <c r="M3" s="1517"/>
      <c r="N3" s="1517"/>
      <c r="O3" s="1517"/>
      <c r="P3" s="1518"/>
      <c r="Q3" s="277"/>
    </row>
    <row r="4" spans="1:17" ht="12.75" customHeight="1" x14ac:dyDescent="0.25">
      <c r="A4" s="5" t="s">
        <v>4</v>
      </c>
      <c r="B4" s="6"/>
      <c r="C4" s="1517" t="s">
        <v>593</v>
      </c>
      <c r="D4" s="1517"/>
      <c r="E4" s="1517"/>
      <c r="F4" s="1517"/>
      <c r="G4" s="1517"/>
      <c r="H4" s="1517"/>
      <c r="I4" s="1517"/>
      <c r="J4" s="1517"/>
      <c r="K4" s="1517"/>
      <c r="L4" s="1517"/>
      <c r="M4" s="1517"/>
      <c r="N4" s="1517"/>
      <c r="O4" s="1517"/>
      <c r="P4" s="1518"/>
      <c r="Q4" s="277"/>
    </row>
    <row r="5" spans="1:17" ht="12.75" customHeight="1" x14ac:dyDescent="0.25">
      <c r="A5" s="7" t="s">
        <v>6</v>
      </c>
      <c r="B5" s="8"/>
      <c r="C5" s="1512" t="s">
        <v>594</v>
      </c>
      <c r="D5" s="1512"/>
      <c r="E5" s="1512"/>
      <c r="F5" s="1512"/>
      <c r="G5" s="1512"/>
      <c r="H5" s="1512"/>
      <c r="I5" s="1512"/>
      <c r="J5" s="1512"/>
      <c r="K5" s="1512"/>
      <c r="L5" s="1512"/>
      <c r="M5" s="1512"/>
      <c r="N5" s="1512"/>
      <c r="O5" s="1512"/>
      <c r="P5" s="1513"/>
      <c r="Q5" s="277"/>
    </row>
    <row r="6" spans="1:17" ht="12.75" customHeight="1" x14ac:dyDescent="0.25">
      <c r="A6" s="7" t="s">
        <v>8</v>
      </c>
      <c r="B6" s="8"/>
      <c r="C6" s="1512" t="s">
        <v>595</v>
      </c>
      <c r="D6" s="1512"/>
      <c r="E6" s="1512"/>
      <c r="F6" s="1512"/>
      <c r="G6" s="1512"/>
      <c r="H6" s="1512"/>
      <c r="I6" s="1512"/>
      <c r="J6" s="1512"/>
      <c r="K6" s="1512"/>
      <c r="L6" s="1512"/>
      <c r="M6" s="1512"/>
      <c r="N6" s="1512"/>
      <c r="O6" s="1512"/>
      <c r="P6" s="1513"/>
      <c r="Q6" s="277"/>
    </row>
    <row r="7" spans="1:17" x14ac:dyDescent="0.25">
      <c r="A7" s="7" t="s">
        <v>10</v>
      </c>
      <c r="B7" s="8"/>
      <c r="C7" s="1517" t="s">
        <v>617</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597</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599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274767</v>
      </c>
      <c r="D20" s="32">
        <f>SUM(D21,D24,D25,D41,D43)</f>
        <v>274767</v>
      </c>
      <c r="E20" s="33">
        <f t="shared" ref="E20:F20" si="1">SUM(E21,E24,E25,E41,E43)</f>
        <v>0</v>
      </c>
      <c r="F20" s="34">
        <f t="shared" si="1"/>
        <v>274767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3.5" customHeight="1" thickTop="1" thickBot="1" x14ac:dyDescent="0.3">
      <c r="A24" s="58">
        <v>19300</v>
      </c>
      <c r="B24" s="58" t="s">
        <v>42</v>
      </c>
      <c r="C24" s="59">
        <f>F24+I24</f>
        <v>274767</v>
      </c>
      <c r="D24" s="60">
        <v>274767</v>
      </c>
      <c r="E24" s="63"/>
      <c r="F24" s="62">
        <f t="shared" si="9"/>
        <v>274767</v>
      </c>
      <c r="G24" s="60"/>
      <c r="H24" s="63"/>
      <c r="I24" s="62">
        <f t="shared" si="10"/>
        <v>0</v>
      </c>
      <c r="J24" s="64" t="s">
        <v>43</v>
      </c>
      <c r="K24" s="65" t="s">
        <v>43</v>
      </c>
      <c r="L24" s="66" t="s">
        <v>43</v>
      </c>
      <c r="M24" s="64" t="s">
        <v>43</v>
      </c>
      <c r="N24" s="65" t="s">
        <v>43</v>
      </c>
      <c r="O24" s="66" t="s">
        <v>43</v>
      </c>
      <c r="P24" s="596"/>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35.25"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274767</v>
      </c>
      <c r="D50" s="159">
        <f>SUM(D51,D286)</f>
        <v>274767</v>
      </c>
      <c r="E50" s="160">
        <f t="shared" ref="E50:F50" si="26">SUM(E51,E286)</f>
        <v>0</v>
      </c>
      <c r="F50" s="161">
        <f t="shared" si="26"/>
        <v>274767</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274767</v>
      </c>
      <c r="D51" s="165">
        <f>SUM(D52,D194)</f>
        <v>274767</v>
      </c>
      <c r="E51" s="166">
        <f t="shared" ref="E51:F51" si="30">SUM(E52,E194)</f>
        <v>0</v>
      </c>
      <c r="F51" s="167">
        <f t="shared" si="30"/>
        <v>274767</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259404</v>
      </c>
      <c r="D52" s="173">
        <f>SUM(D53,D75,D173,D187)</f>
        <v>259267</v>
      </c>
      <c r="E52" s="174">
        <f t="shared" ref="E52:F52" si="34">SUM(E53,E75,E173,E187)</f>
        <v>137</v>
      </c>
      <c r="F52" s="175">
        <f t="shared" si="34"/>
        <v>259404</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4319</v>
      </c>
      <c r="D53" s="179">
        <f>SUM(D54,D67)</f>
        <v>4319</v>
      </c>
      <c r="E53" s="180">
        <f t="shared" ref="E53:F53" si="38">SUM(E54,E67)</f>
        <v>0</v>
      </c>
      <c r="F53" s="181">
        <f t="shared" si="38"/>
        <v>4319</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3480</v>
      </c>
      <c r="D54" s="184">
        <f>SUM(D55,D58,D66)</f>
        <v>3480</v>
      </c>
      <c r="E54" s="185">
        <f t="shared" ref="E54:F54" si="42">SUM(E55,E58,E66)</f>
        <v>0</v>
      </c>
      <c r="F54" s="73">
        <f t="shared" si="42"/>
        <v>3480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x14ac:dyDescent="0.25">
      <c r="A57" s="345">
        <v>1119</v>
      </c>
      <c r="B57" s="346" t="s">
        <v>75</v>
      </c>
      <c r="C57" s="347">
        <f t="shared" si="0"/>
        <v>0</v>
      </c>
      <c r="D57" s="348"/>
      <c r="E57" s="349"/>
      <c r="F57" s="350">
        <f t="shared" si="50"/>
        <v>0</v>
      </c>
      <c r="G57" s="348"/>
      <c r="H57" s="349"/>
      <c r="I57" s="350">
        <f t="shared" si="51"/>
        <v>0</v>
      </c>
      <c r="J57" s="348"/>
      <c r="K57" s="349"/>
      <c r="L57" s="350">
        <f t="shared" si="52"/>
        <v>0</v>
      </c>
      <c r="M57" s="348"/>
      <c r="N57" s="349"/>
      <c r="O57" s="350">
        <f t="shared" si="53"/>
        <v>0</v>
      </c>
      <c r="P57" s="492"/>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x14ac:dyDescent="0.25">
      <c r="A66" s="186">
        <v>1150</v>
      </c>
      <c r="B66" s="138" t="s">
        <v>84</v>
      </c>
      <c r="C66" s="143">
        <f t="shared" si="0"/>
        <v>3480</v>
      </c>
      <c r="D66" s="144">
        <v>3480</v>
      </c>
      <c r="E66" s="145"/>
      <c r="F66" s="141">
        <f t="shared" si="58"/>
        <v>3480</v>
      </c>
      <c r="G66" s="144"/>
      <c r="H66" s="145"/>
      <c r="I66" s="141">
        <f t="shared" si="59"/>
        <v>0</v>
      </c>
      <c r="J66" s="144"/>
      <c r="K66" s="145"/>
      <c r="L66" s="141">
        <f t="shared" si="60"/>
        <v>0</v>
      </c>
      <c r="M66" s="144"/>
      <c r="N66" s="145"/>
      <c r="O66" s="141">
        <f t="shared" si="61"/>
        <v>0</v>
      </c>
      <c r="P66" s="493"/>
    </row>
    <row r="67" spans="1:16" ht="24" x14ac:dyDescent="0.25">
      <c r="A67" s="69">
        <v>1200</v>
      </c>
      <c r="B67" s="183" t="s">
        <v>85</v>
      </c>
      <c r="C67" s="70">
        <f t="shared" si="0"/>
        <v>839</v>
      </c>
      <c r="D67" s="184">
        <f>SUM(D68:D69)</f>
        <v>839</v>
      </c>
      <c r="E67" s="185">
        <f t="shared" ref="E67:F67" si="62">SUM(E68:E69)</f>
        <v>0</v>
      </c>
      <c r="F67" s="73">
        <f t="shared" si="62"/>
        <v>839</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
      <c r="A68" s="439">
        <v>1210</v>
      </c>
      <c r="B68" s="82" t="s">
        <v>86</v>
      </c>
      <c r="C68" s="83">
        <f t="shared" si="0"/>
        <v>839</v>
      </c>
      <c r="D68" s="46">
        <v>839</v>
      </c>
      <c r="E68" s="47"/>
      <c r="F68" s="134">
        <f>D68+E68</f>
        <v>839</v>
      </c>
      <c r="G68" s="46"/>
      <c r="H68" s="47"/>
      <c r="I68" s="134">
        <f>G68+H68</f>
        <v>0</v>
      </c>
      <c r="J68" s="46"/>
      <c r="K68" s="47"/>
      <c r="L68" s="134">
        <f>K68+J68</f>
        <v>0</v>
      </c>
      <c r="M68" s="46"/>
      <c r="N68" s="47"/>
      <c r="O68" s="134">
        <f>N68+M68</f>
        <v>0</v>
      </c>
      <c r="P68" s="494"/>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255085</v>
      </c>
      <c r="D75" s="179">
        <f>SUM(D76,D83,D130,D164,D165,D172)</f>
        <v>254948</v>
      </c>
      <c r="E75" s="180">
        <f t="shared" ref="E75:F75" si="74">SUM(E76,E83,E130,E164,E165,E172)</f>
        <v>137</v>
      </c>
      <c r="F75" s="181">
        <f t="shared" si="74"/>
        <v>255085</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94</v>
      </c>
      <c r="C76" s="70">
        <f t="shared" si="0"/>
        <v>9263</v>
      </c>
      <c r="D76" s="184">
        <f>SUM(D77,D80)</f>
        <v>10051</v>
      </c>
      <c r="E76" s="185">
        <f t="shared" ref="E76:F76" si="78">SUM(E77,E80)</f>
        <v>-788</v>
      </c>
      <c r="F76" s="73">
        <f t="shared" si="78"/>
        <v>9263</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439">
        <v>2110</v>
      </c>
      <c r="B77" s="82" t="s">
        <v>95</v>
      </c>
      <c r="C77" s="83">
        <f t="shared" si="0"/>
        <v>828</v>
      </c>
      <c r="D77" s="194">
        <f>SUM(D78:D79)</f>
        <v>1212</v>
      </c>
      <c r="E77" s="195">
        <f t="shared" ref="E77:F77" si="82">SUM(E78:E79)</f>
        <v>-384</v>
      </c>
      <c r="F77" s="134">
        <f t="shared" si="82"/>
        <v>828</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24" x14ac:dyDescent="0.25">
      <c r="A78" s="51">
        <v>2111</v>
      </c>
      <c r="B78" s="89" t="s">
        <v>96</v>
      </c>
      <c r="C78" s="90">
        <f t="shared" si="0"/>
        <v>678</v>
      </c>
      <c r="D78" s="196">
        <v>1062</v>
      </c>
      <c r="E78" s="197">
        <v>-384</v>
      </c>
      <c r="F78" s="55">
        <f t="shared" ref="F78:F79" si="86">D78+E78</f>
        <v>678</v>
      </c>
      <c r="G78" s="53"/>
      <c r="H78" s="54"/>
      <c r="I78" s="55">
        <f t="shared" ref="I78:I79" si="87">G78+H78</f>
        <v>0</v>
      </c>
      <c r="J78" s="53"/>
      <c r="K78" s="54"/>
      <c r="L78" s="55">
        <f t="shared" ref="L78:L79" si="88">K78+J78</f>
        <v>0</v>
      </c>
      <c r="M78" s="53"/>
      <c r="N78" s="54"/>
      <c r="O78" s="55">
        <f t="shared" ref="O78:O79" si="89">N78+M78</f>
        <v>0</v>
      </c>
      <c r="P78" s="385" t="s">
        <v>618</v>
      </c>
    </row>
    <row r="79" spans="1:16" ht="24" x14ac:dyDescent="0.25">
      <c r="A79" s="51">
        <v>2112</v>
      </c>
      <c r="B79" s="89" t="s">
        <v>97</v>
      </c>
      <c r="C79" s="90">
        <f t="shared" si="0"/>
        <v>150</v>
      </c>
      <c r="D79" s="196">
        <v>150</v>
      </c>
      <c r="E79" s="197"/>
      <c r="F79" s="55">
        <f t="shared" si="86"/>
        <v>150</v>
      </c>
      <c r="G79" s="53"/>
      <c r="H79" s="54"/>
      <c r="I79" s="55">
        <f t="shared" si="87"/>
        <v>0</v>
      </c>
      <c r="J79" s="53"/>
      <c r="K79" s="54"/>
      <c r="L79" s="55">
        <f t="shared" si="88"/>
        <v>0</v>
      </c>
      <c r="M79" s="53"/>
      <c r="N79" s="54"/>
      <c r="O79" s="55">
        <f t="shared" si="89"/>
        <v>0</v>
      </c>
      <c r="P79" s="385"/>
    </row>
    <row r="80" spans="1:16" ht="24" x14ac:dyDescent="0.25">
      <c r="A80" s="189">
        <v>2120</v>
      </c>
      <c r="B80" s="89" t="s">
        <v>98</v>
      </c>
      <c r="C80" s="90">
        <f t="shared" si="0"/>
        <v>8435</v>
      </c>
      <c r="D80" s="190">
        <f>SUM(D81:D82)</f>
        <v>8839</v>
      </c>
      <c r="E80" s="191">
        <f t="shared" ref="E80:F80" si="90">SUM(E81:E82)</f>
        <v>-404</v>
      </c>
      <c r="F80" s="55">
        <f t="shared" si="90"/>
        <v>8435</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24" x14ac:dyDescent="0.25">
      <c r="A81" s="51">
        <v>2121</v>
      </c>
      <c r="B81" s="89" t="s">
        <v>96</v>
      </c>
      <c r="C81" s="90">
        <f t="shared" si="0"/>
        <v>4089</v>
      </c>
      <c r="D81" s="196">
        <v>4437</v>
      </c>
      <c r="E81" s="197">
        <v>-348</v>
      </c>
      <c r="F81" s="55">
        <f t="shared" ref="F81:F82" si="94">D81+E81</f>
        <v>4089</v>
      </c>
      <c r="G81" s="53"/>
      <c r="H81" s="54"/>
      <c r="I81" s="55">
        <f t="shared" ref="I81:I82" si="95">G81+H81</f>
        <v>0</v>
      </c>
      <c r="J81" s="53"/>
      <c r="K81" s="54"/>
      <c r="L81" s="55">
        <f t="shared" ref="L81:L82" si="96">K81+J81</f>
        <v>0</v>
      </c>
      <c r="M81" s="53"/>
      <c r="N81" s="54"/>
      <c r="O81" s="55">
        <f t="shared" ref="O81:O82" si="97">N81+M81</f>
        <v>0</v>
      </c>
      <c r="P81" s="385" t="s">
        <v>619</v>
      </c>
    </row>
    <row r="82" spans="1:16" ht="24" x14ac:dyDescent="0.25">
      <c r="A82" s="51">
        <v>2122</v>
      </c>
      <c r="B82" s="89" t="s">
        <v>97</v>
      </c>
      <c r="C82" s="90">
        <f t="shared" si="0"/>
        <v>4346</v>
      </c>
      <c r="D82" s="196">
        <v>4402</v>
      </c>
      <c r="E82" s="197">
        <v>-56</v>
      </c>
      <c r="F82" s="55">
        <f t="shared" si="94"/>
        <v>4346</v>
      </c>
      <c r="G82" s="53"/>
      <c r="H82" s="54"/>
      <c r="I82" s="55">
        <f t="shared" si="95"/>
        <v>0</v>
      </c>
      <c r="J82" s="53"/>
      <c r="K82" s="54"/>
      <c r="L82" s="55">
        <f t="shared" si="96"/>
        <v>0</v>
      </c>
      <c r="M82" s="53"/>
      <c r="N82" s="54"/>
      <c r="O82" s="55">
        <f t="shared" si="97"/>
        <v>0</v>
      </c>
      <c r="P82" s="385" t="s">
        <v>620</v>
      </c>
    </row>
    <row r="83" spans="1:16" x14ac:dyDescent="0.25">
      <c r="A83" s="69">
        <v>2200</v>
      </c>
      <c r="B83" s="183" t="s">
        <v>99</v>
      </c>
      <c r="C83" s="70">
        <f t="shared" si="0"/>
        <v>123189</v>
      </c>
      <c r="D83" s="184">
        <f>SUM(D84,D89,D95,D103,D112,D116,D122,D128)</f>
        <v>120630</v>
      </c>
      <c r="E83" s="185">
        <f t="shared" ref="E83:F83" si="98">SUM(E84,E89,E95,E103,E112,E116,E122,E128)</f>
        <v>2559</v>
      </c>
      <c r="F83" s="73">
        <f t="shared" si="98"/>
        <v>123189</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5047</v>
      </c>
      <c r="D95" s="190">
        <f>SUM(D96:D102)</f>
        <v>5047</v>
      </c>
      <c r="E95" s="191">
        <f t="shared" ref="E95:F95" si="119">SUM(E96:E102)</f>
        <v>0</v>
      </c>
      <c r="F95" s="55">
        <f t="shared" si="119"/>
        <v>5047</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3810</v>
      </c>
      <c r="D96" s="196">
        <v>3810</v>
      </c>
      <c r="E96" s="197"/>
      <c r="F96" s="55">
        <f t="shared" ref="F96:F102" si="123">D96+E96</f>
        <v>3810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1000</v>
      </c>
      <c r="D100" s="196">
        <v>1000</v>
      </c>
      <c r="E100" s="197"/>
      <c r="F100" s="55">
        <f t="shared" si="123"/>
        <v>1000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x14ac:dyDescent="0.25">
      <c r="A102" s="51">
        <v>2239</v>
      </c>
      <c r="B102" s="89" t="s">
        <v>118</v>
      </c>
      <c r="C102" s="90">
        <f t="shared" si="102"/>
        <v>237</v>
      </c>
      <c r="D102" s="196">
        <v>237</v>
      </c>
      <c r="E102" s="197"/>
      <c r="F102" s="55">
        <f t="shared" si="123"/>
        <v>237</v>
      </c>
      <c r="G102" s="53"/>
      <c r="H102" s="54"/>
      <c r="I102" s="55">
        <f t="shared" si="124"/>
        <v>0</v>
      </c>
      <c r="J102" s="53"/>
      <c r="K102" s="54"/>
      <c r="L102" s="55">
        <f t="shared" si="125"/>
        <v>0</v>
      </c>
      <c r="M102" s="53"/>
      <c r="N102" s="54"/>
      <c r="O102" s="55">
        <f t="shared" si="126"/>
        <v>0</v>
      </c>
      <c r="P102" s="385"/>
    </row>
    <row r="103" spans="1:16" ht="36" x14ac:dyDescent="0.25">
      <c r="A103" s="189">
        <v>2240</v>
      </c>
      <c r="B103" s="89" t="s">
        <v>119</v>
      </c>
      <c r="C103" s="90">
        <f t="shared" si="102"/>
        <v>365</v>
      </c>
      <c r="D103" s="190">
        <f>SUM(D104:D111)</f>
        <v>120</v>
      </c>
      <c r="E103" s="191">
        <f t="shared" ref="E103:F103" si="127">SUM(E104:E111)</f>
        <v>245</v>
      </c>
      <c r="F103" s="55">
        <f t="shared" si="127"/>
        <v>365</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36" x14ac:dyDescent="0.25">
      <c r="A105" s="51">
        <v>2242</v>
      </c>
      <c r="B105" s="89" t="s">
        <v>121</v>
      </c>
      <c r="C105" s="90">
        <f t="shared" si="102"/>
        <v>365</v>
      </c>
      <c r="D105" s="196">
        <v>120</v>
      </c>
      <c r="E105" s="197">
        <v>245</v>
      </c>
      <c r="F105" s="55">
        <f t="shared" si="131"/>
        <v>365</v>
      </c>
      <c r="G105" s="53"/>
      <c r="H105" s="54"/>
      <c r="I105" s="55">
        <f t="shared" si="132"/>
        <v>0</v>
      </c>
      <c r="J105" s="53"/>
      <c r="K105" s="54"/>
      <c r="L105" s="55">
        <f t="shared" si="133"/>
        <v>0</v>
      </c>
      <c r="M105" s="53"/>
      <c r="N105" s="54"/>
      <c r="O105" s="55">
        <f t="shared" si="134"/>
        <v>0</v>
      </c>
      <c r="P105" s="531" t="s">
        <v>621</v>
      </c>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84270</v>
      </c>
      <c r="D116" s="190">
        <f>SUM(D117:D121)</f>
        <v>82906</v>
      </c>
      <c r="E116" s="191">
        <f t="shared" ref="E116:F116" si="143">SUM(E117:E121)</f>
        <v>1364</v>
      </c>
      <c r="F116" s="55">
        <f t="shared" si="143"/>
        <v>84270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24" x14ac:dyDescent="0.25">
      <c r="A117" s="51">
        <v>2261</v>
      </c>
      <c r="B117" s="89" t="s">
        <v>133</v>
      </c>
      <c r="C117" s="90">
        <f t="shared" si="102"/>
        <v>32817</v>
      </c>
      <c r="D117" s="196">
        <v>40144</v>
      </c>
      <c r="E117" s="197">
        <v>-7327</v>
      </c>
      <c r="F117" s="55">
        <f t="shared" ref="F117:F121" si="147">D117+E117</f>
        <v>32817</v>
      </c>
      <c r="G117" s="53"/>
      <c r="H117" s="54"/>
      <c r="I117" s="55">
        <f t="shared" ref="I117:I121" si="148">G117+H117</f>
        <v>0</v>
      </c>
      <c r="J117" s="53"/>
      <c r="K117" s="54"/>
      <c r="L117" s="55">
        <f t="shared" ref="L117:L121" si="149">K117+J117</f>
        <v>0</v>
      </c>
      <c r="M117" s="53"/>
      <c r="N117" s="54"/>
      <c r="O117" s="55">
        <f t="shared" ref="O117:O121" si="150">N117+M117</f>
        <v>0</v>
      </c>
      <c r="P117" s="385" t="s">
        <v>622</v>
      </c>
    </row>
    <row r="118" spans="1:16" ht="21.75" customHeight="1" x14ac:dyDescent="0.25">
      <c r="A118" s="51">
        <v>2262</v>
      </c>
      <c r="B118" s="89" t="s">
        <v>134</v>
      </c>
      <c r="C118" s="90">
        <f t="shared" si="102"/>
        <v>51453</v>
      </c>
      <c r="D118" s="196">
        <v>42762</v>
      </c>
      <c r="E118" s="197">
        <v>8691</v>
      </c>
      <c r="F118" s="55">
        <f t="shared" si="147"/>
        <v>51453</v>
      </c>
      <c r="G118" s="53"/>
      <c r="H118" s="54"/>
      <c r="I118" s="55">
        <f t="shared" si="148"/>
        <v>0</v>
      </c>
      <c r="J118" s="53"/>
      <c r="K118" s="54"/>
      <c r="L118" s="55">
        <f t="shared" si="149"/>
        <v>0</v>
      </c>
      <c r="M118" s="53"/>
      <c r="N118" s="54"/>
      <c r="O118" s="55">
        <f t="shared" si="150"/>
        <v>0</v>
      </c>
      <c r="P118" s="531" t="s">
        <v>623</v>
      </c>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33507</v>
      </c>
      <c r="D122" s="190">
        <f>SUM(D123:D127)</f>
        <v>32557</v>
      </c>
      <c r="E122" s="191">
        <f t="shared" ref="E122:F122" si="151">SUM(E123:E127)</f>
        <v>950</v>
      </c>
      <c r="F122" s="55">
        <f t="shared" si="151"/>
        <v>33507</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9" t="s">
        <v>143</v>
      </c>
      <c r="C127" s="90">
        <f t="shared" si="102"/>
        <v>33507</v>
      </c>
      <c r="D127" s="196">
        <v>32557</v>
      </c>
      <c r="E127" s="197">
        <v>950</v>
      </c>
      <c r="F127" s="55">
        <f t="shared" si="155"/>
        <v>33507</v>
      </c>
      <c r="G127" s="53"/>
      <c r="H127" s="54"/>
      <c r="I127" s="55">
        <f t="shared" si="156"/>
        <v>0</v>
      </c>
      <c r="J127" s="53"/>
      <c r="K127" s="54"/>
      <c r="L127" s="55">
        <f t="shared" si="157"/>
        <v>0</v>
      </c>
      <c r="M127" s="53"/>
      <c r="N127" s="54"/>
      <c r="O127" s="55">
        <f t="shared" si="158"/>
        <v>0</v>
      </c>
      <c r="P127" s="385" t="s">
        <v>624</v>
      </c>
    </row>
    <row r="128" spans="1:16" ht="48" hidden="1" x14ac:dyDescent="0.25">
      <c r="A128" s="43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122633</v>
      </c>
      <c r="D130" s="184">
        <f>SUM(D131,D136,D140,D141,D144,D151,D159,D160,D163)</f>
        <v>124267</v>
      </c>
      <c r="E130" s="185">
        <f t="shared" ref="E130:F130" si="160">SUM(E131,E136,E140,E141,E144,E151,E159,E160,E163)</f>
        <v>-1634</v>
      </c>
      <c r="F130" s="73">
        <f t="shared" si="160"/>
        <v>122633</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439">
        <v>2310</v>
      </c>
      <c r="B131" s="82" t="s">
        <v>147</v>
      </c>
      <c r="C131" s="83">
        <f t="shared" si="102"/>
        <v>5150</v>
      </c>
      <c r="D131" s="194">
        <f t="shared" ref="D131:O131" si="164">SUM(D132:D135)</f>
        <v>5150</v>
      </c>
      <c r="E131" s="195">
        <f t="shared" si="164"/>
        <v>0</v>
      </c>
      <c r="F131" s="134">
        <f t="shared" si="164"/>
        <v>5150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x14ac:dyDescent="0.25">
      <c r="A133" s="51">
        <v>2312</v>
      </c>
      <c r="B133" s="89" t="s">
        <v>149</v>
      </c>
      <c r="C133" s="90">
        <f t="shared" si="102"/>
        <v>1280</v>
      </c>
      <c r="D133" s="196">
        <v>1280</v>
      </c>
      <c r="E133" s="197"/>
      <c r="F133" s="55">
        <f t="shared" si="165"/>
        <v>1280</v>
      </c>
      <c r="G133" s="53"/>
      <c r="H133" s="54"/>
      <c r="I133" s="55">
        <f t="shared" si="166"/>
        <v>0</v>
      </c>
      <c r="J133" s="53"/>
      <c r="K133" s="54"/>
      <c r="L133" s="55">
        <f t="shared" si="167"/>
        <v>0</v>
      </c>
      <c r="M133" s="53"/>
      <c r="N133" s="54"/>
      <c r="O133" s="55">
        <f t="shared" si="168"/>
        <v>0</v>
      </c>
      <c r="P133" s="385"/>
    </row>
    <row r="134" spans="1:16" hidden="1" x14ac:dyDescent="0.25">
      <c r="A134" s="51">
        <v>2313</v>
      </c>
      <c r="B134" s="89" t="s">
        <v>150</v>
      </c>
      <c r="C134" s="90">
        <f t="shared" si="102"/>
        <v>0</v>
      </c>
      <c r="D134" s="196"/>
      <c r="E134" s="197">
        <v>0</v>
      </c>
      <c r="F134" s="55">
        <f t="shared" si="165"/>
        <v>0</v>
      </c>
      <c r="G134" s="53"/>
      <c r="H134" s="54"/>
      <c r="I134" s="55">
        <f t="shared" si="166"/>
        <v>0</v>
      </c>
      <c r="J134" s="53"/>
      <c r="K134" s="54"/>
      <c r="L134" s="55">
        <f t="shared" si="167"/>
        <v>0</v>
      </c>
      <c r="M134" s="53"/>
      <c r="N134" s="54"/>
      <c r="O134" s="55">
        <f t="shared" si="168"/>
        <v>0</v>
      </c>
      <c r="P134" s="385"/>
    </row>
    <row r="135" spans="1:16" ht="48" x14ac:dyDescent="0.25">
      <c r="A135" s="51">
        <v>2314</v>
      </c>
      <c r="B135" s="89" t="s">
        <v>151</v>
      </c>
      <c r="C135" s="90">
        <f t="shared" si="102"/>
        <v>3870</v>
      </c>
      <c r="D135" s="196">
        <v>3870</v>
      </c>
      <c r="E135" s="197"/>
      <c r="F135" s="55">
        <f t="shared" si="165"/>
        <v>3870</v>
      </c>
      <c r="G135" s="53"/>
      <c r="H135" s="54"/>
      <c r="I135" s="55">
        <f t="shared" si="166"/>
        <v>0</v>
      </c>
      <c r="J135" s="53"/>
      <c r="K135" s="54"/>
      <c r="L135" s="55">
        <f t="shared" si="167"/>
        <v>0</v>
      </c>
      <c r="M135" s="53"/>
      <c r="N135" s="54"/>
      <c r="O135" s="55">
        <f t="shared" si="168"/>
        <v>0</v>
      </c>
      <c r="P135" s="385"/>
    </row>
    <row r="136" spans="1:16" x14ac:dyDescent="0.25">
      <c r="A136" s="189">
        <v>2320</v>
      </c>
      <c r="B136" s="89" t="s">
        <v>152</v>
      </c>
      <c r="C136" s="90">
        <f t="shared" si="102"/>
        <v>1333</v>
      </c>
      <c r="D136" s="190">
        <f>SUM(D137:D139)</f>
        <v>1200</v>
      </c>
      <c r="E136" s="191">
        <f t="shared" ref="E136:F136" si="169">SUM(E137:E139)</f>
        <v>133</v>
      </c>
      <c r="F136" s="55">
        <f t="shared" si="169"/>
        <v>1333</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8.75" customHeight="1" x14ac:dyDescent="0.25">
      <c r="A138" s="51">
        <v>2322</v>
      </c>
      <c r="B138" s="89" t="s">
        <v>154</v>
      </c>
      <c r="C138" s="90">
        <f t="shared" si="102"/>
        <v>1333</v>
      </c>
      <c r="D138" s="196">
        <v>1200</v>
      </c>
      <c r="E138" s="197">
        <v>133</v>
      </c>
      <c r="F138" s="55">
        <f t="shared" si="173"/>
        <v>1333</v>
      </c>
      <c r="G138" s="53"/>
      <c r="H138" s="54"/>
      <c r="I138" s="55">
        <f t="shared" si="174"/>
        <v>0</v>
      </c>
      <c r="J138" s="53"/>
      <c r="K138" s="54"/>
      <c r="L138" s="55">
        <f t="shared" si="175"/>
        <v>0</v>
      </c>
      <c r="M138" s="53"/>
      <c r="N138" s="54"/>
      <c r="O138" s="55">
        <f t="shared" si="176"/>
        <v>0</v>
      </c>
      <c r="P138" s="531" t="s">
        <v>625</v>
      </c>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2860</v>
      </c>
      <c r="D141" s="190">
        <f>SUM(D142:D143)</f>
        <v>2860</v>
      </c>
      <c r="E141" s="191">
        <f t="shared" ref="E141:F141" si="177">SUM(E142:E143)</f>
        <v>0</v>
      </c>
      <c r="F141" s="55">
        <f t="shared" si="177"/>
        <v>2860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x14ac:dyDescent="0.25">
      <c r="A142" s="51">
        <v>2341</v>
      </c>
      <c r="B142" s="89" t="s">
        <v>158</v>
      </c>
      <c r="C142" s="90">
        <f t="shared" si="102"/>
        <v>2860</v>
      </c>
      <c r="D142" s="196">
        <v>2860</v>
      </c>
      <c r="E142" s="197"/>
      <c r="F142" s="55">
        <f t="shared" ref="F142:F143" si="181">D142+E142</f>
        <v>2860</v>
      </c>
      <c r="G142" s="53"/>
      <c r="H142" s="54"/>
      <c r="I142" s="55">
        <f t="shared" ref="I142:I143" si="182">G142+H142</f>
        <v>0</v>
      </c>
      <c r="J142" s="53"/>
      <c r="K142" s="54"/>
      <c r="L142" s="55">
        <f t="shared" ref="L142:L143" si="183">K142+J142</f>
        <v>0</v>
      </c>
      <c r="M142" s="53"/>
      <c r="N142" s="54"/>
      <c r="O142" s="55">
        <f t="shared" ref="O142:O143" si="184">N142+M142</f>
        <v>0</v>
      </c>
      <c r="P142" s="385"/>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166</v>
      </c>
      <c r="D144" s="187">
        <f>SUM(D145:D150)</f>
        <v>166</v>
      </c>
      <c r="E144" s="188">
        <f t="shared" ref="E144:F144" si="185">SUM(E145:E150)</f>
        <v>0</v>
      </c>
      <c r="F144" s="141">
        <f t="shared" si="185"/>
        <v>166</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166</v>
      </c>
      <c r="D148" s="196">
        <v>166</v>
      </c>
      <c r="E148" s="197"/>
      <c r="F148" s="55">
        <f t="shared" si="189"/>
        <v>166</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98068</v>
      </c>
      <c r="D151" s="190">
        <f>SUM(D152:D158)</f>
        <v>100195</v>
      </c>
      <c r="E151" s="191">
        <f t="shared" ref="E151:F151" si="194">SUM(E152:E158)</f>
        <v>-2127</v>
      </c>
      <c r="F151" s="55">
        <f t="shared" si="194"/>
        <v>98068</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23.25" customHeight="1" x14ac:dyDescent="0.25">
      <c r="A152" s="50">
        <v>2361</v>
      </c>
      <c r="B152" s="89" t="s">
        <v>168</v>
      </c>
      <c r="C152" s="90">
        <f t="shared" si="193"/>
        <v>54130</v>
      </c>
      <c r="D152" s="196">
        <v>52870</v>
      </c>
      <c r="E152" s="197">
        <v>1260</v>
      </c>
      <c r="F152" s="55">
        <f t="shared" ref="F152:F159" si="198">D152+E152</f>
        <v>54130</v>
      </c>
      <c r="G152" s="53"/>
      <c r="H152" s="54"/>
      <c r="I152" s="55">
        <f t="shared" ref="I152:I159" si="199">G152+H152</f>
        <v>0</v>
      </c>
      <c r="J152" s="53"/>
      <c r="K152" s="54"/>
      <c r="L152" s="55">
        <f t="shared" ref="L152:L159" si="200">K152+J152</f>
        <v>0</v>
      </c>
      <c r="M152" s="53"/>
      <c r="N152" s="54"/>
      <c r="O152" s="55">
        <f t="shared" ref="O152:O159" si="201">N152+M152</f>
        <v>0</v>
      </c>
      <c r="P152" s="531" t="s">
        <v>626</v>
      </c>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4" x14ac:dyDescent="0.25">
      <c r="A154" s="50">
        <v>2363</v>
      </c>
      <c r="B154" s="89" t="s">
        <v>170</v>
      </c>
      <c r="C154" s="90">
        <f t="shared" si="193"/>
        <v>43938</v>
      </c>
      <c r="D154" s="196">
        <v>47325</v>
      </c>
      <c r="E154" s="197">
        <v>-3387</v>
      </c>
      <c r="F154" s="55">
        <f t="shared" si="198"/>
        <v>43938</v>
      </c>
      <c r="G154" s="53"/>
      <c r="H154" s="54"/>
      <c r="I154" s="55">
        <f t="shared" si="199"/>
        <v>0</v>
      </c>
      <c r="J154" s="53"/>
      <c r="K154" s="54"/>
      <c r="L154" s="55">
        <f t="shared" si="200"/>
        <v>0</v>
      </c>
      <c r="M154" s="53"/>
      <c r="N154" s="54"/>
      <c r="O154" s="55">
        <f t="shared" si="201"/>
        <v>0</v>
      </c>
      <c r="P154" s="385" t="s">
        <v>627</v>
      </c>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x14ac:dyDescent="0.2">
      <c r="A159" s="186">
        <v>2370</v>
      </c>
      <c r="B159" s="138" t="s">
        <v>175</v>
      </c>
      <c r="C159" s="143">
        <f t="shared" si="193"/>
        <v>15056</v>
      </c>
      <c r="D159" s="203">
        <v>14696</v>
      </c>
      <c r="E159" s="204">
        <v>360</v>
      </c>
      <c r="F159" s="141">
        <f t="shared" si="198"/>
        <v>15056</v>
      </c>
      <c r="G159" s="144"/>
      <c r="H159" s="145"/>
      <c r="I159" s="141">
        <f t="shared" si="199"/>
        <v>0</v>
      </c>
      <c r="J159" s="144"/>
      <c r="K159" s="145"/>
      <c r="L159" s="141">
        <f t="shared" si="200"/>
        <v>0</v>
      </c>
      <c r="M159" s="144"/>
      <c r="N159" s="145"/>
      <c r="O159" s="141">
        <f t="shared" si="201"/>
        <v>0</v>
      </c>
      <c r="P159" s="597" t="s">
        <v>628</v>
      </c>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43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43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3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43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43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15363</v>
      </c>
      <c r="D194" s="173">
        <f t="shared" ref="D194:O194" si="259">SUM(D195,D230,D269,D283)</f>
        <v>15500</v>
      </c>
      <c r="E194" s="174">
        <f t="shared" si="259"/>
        <v>-137</v>
      </c>
      <c r="F194" s="175">
        <f t="shared" si="259"/>
        <v>15363</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15363</v>
      </c>
      <c r="D195" s="179">
        <f>D196+D204</f>
        <v>15500</v>
      </c>
      <c r="E195" s="180">
        <f t="shared" ref="E195:F195" si="260">E196+E204</f>
        <v>-137</v>
      </c>
      <c r="F195" s="181">
        <f t="shared" si="260"/>
        <v>15363</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43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15363</v>
      </c>
      <c r="D204" s="184">
        <f>D205+D215+D216+D225+D226+D227+D229</f>
        <v>15500</v>
      </c>
      <c r="E204" s="185">
        <f t="shared" ref="E204:F204" si="276">E205+E215+E216+E225+E226+E227+E229</f>
        <v>-137</v>
      </c>
      <c r="F204" s="73">
        <f t="shared" si="276"/>
        <v>15363</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15363</v>
      </c>
      <c r="D216" s="190">
        <f>SUM(D217:D224)</f>
        <v>15500</v>
      </c>
      <c r="E216" s="191">
        <f t="shared" ref="E216:F216" si="289">SUM(E217:E224)</f>
        <v>-137</v>
      </c>
      <c r="F216" s="55">
        <f t="shared" si="289"/>
        <v>15363</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1000</v>
      </c>
      <c r="D223" s="196">
        <v>1000</v>
      </c>
      <c r="E223" s="197"/>
      <c r="F223" s="55">
        <f t="shared" si="293"/>
        <v>1000</v>
      </c>
      <c r="G223" s="53"/>
      <c r="H223" s="54"/>
      <c r="I223" s="55">
        <f t="shared" si="294"/>
        <v>0</v>
      </c>
      <c r="J223" s="53"/>
      <c r="K223" s="54"/>
      <c r="L223" s="55">
        <f t="shared" si="295"/>
        <v>0</v>
      </c>
      <c r="M223" s="53"/>
      <c r="N223" s="54"/>
      <c r="O223" s="55">
        <f t="shared" si="296"/>
        <v>0</v>
      </c>
      <c r="P223" s="385"/>
    </row>
    <row r="224" spans="1:16" ht="24" customHeight="1" x14ac:dyDescent="0.25">
      <c r="A224" s="51">
        <v>5239</v>
      </c>
      <c r="B224" s="89" t="s">
        <v>240</v>
      </c>
      <c r="C224" s="90">
        <f t="shared" si="288"/>
        <v>14363</v>
      </c>
      <c r="D224" s="196">
        <v>14500</v>
      </c>
      <c r="E224" s="197">
        <v>-137</v>
      </c>
      <c r="F224" s="55">
        <f t="shared" si="293"/>
        <v>14363</v>
      </c>
      <c r="G224" s="53"/>
      <c r="H224" s="54"/>
      <c r="I224" s="55">
        <f t="shared" si="294"/>
        <v>0</v>
      </c>
      <c r="J224" s="53"/>
      <c r="K224" s="54"/>
      <c r="L224" s="55">
        <f t="shared" si="295"/>
        <v>0</v>
      </c>
      <c r="M224" s="53"/>
      <c r="N224" s="54"/>
      <c r="O224" s="55">
        <f t="shared" si="296"/>
        <v>0</v>
      </c>
      <c r="P224" s="531" t="s">
        <v>629</v>
      </c>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43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3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43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43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43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3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274767</v>
      </c>
      <c r="D289" s="252">
        <f t="shared" ref="D289:O289" si="389">SUM(D286,D269,D230,D195,D187,D173,D75,D53,D283)</f>
        <v>274767</v>
      </c>
      <c r="E289" s="253">
        <f t="shared" si="389"/>
        <v>0</v>
      </c>
      <c r="F289" s="254">
        <f t="shared" si="389"/>
        <v>274767</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mx33PvE+d+f92XZHzjRDmc98ttAS1ZeZpzQM+Udh+y7DhXxXeXB2K/4hJ31R834s7Ea/OfKalWot60yMwtbIKQ==" saltValue="kUjVFxxZ4r0X+8GwcJc/Bg==" spinCount="100000" sheet="1" objects="1" scenarios="1" formatCells="0" formatColumns="0" formatRows="0" deleteColumns="0"/>
  <autoFilter ref="A18:P301">
    <filterColumn colId="2">
      <filters>
        <filter val="1 000"/>
        <filter val="1 280"/>
        <filter val="1 333"/>
        <filter val="122 633"/>
        <filter val="123 189"/>
        <filter val="14 363"/>
        <filter val="15 056"/>
        <filter val="15 363"/>
        <filter val="150"/>
        <filter val="166"/>
        <filter val="2 860"/>
        <filter val="237"/>
        <filter val="255 085"/>
        <filter val="259 404"/>
        <filter val="274 767"/>
        <filter val="3 480"/>
        <filter val="3 810"/>
        <filter val="3 870"/>
        <filter val="32 817"/>
        <filter val="33 507"/>
        <filter val="365"/>
        <filter val="4 089"/>
        <filter val="4 319"/>
        <filter val="4 346"/>
        <filter val="43 938"/>
        <filter val="5 047"/>
        <filter val="5 150"/>
        <filter val="51 453"/>
        <filter val="54 130"/>
        <filter val="678"/>
        <filter val="8 435"/>
        <filter val="828"/>
        <filter val="839"/>
        <filter val="84 270"/>
        <filter val="9 263"/>
        <filter val="98 06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2019.gada 31.oktobra saistošajiem noteikumiem Nr.46
(protokols Nr.14, 28.punkts)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8"/>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920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921</v>
      </c>
      <c r="D3" s="1517"/>
      <c r="E3" s="1517"/>
      <c r="F3" s="1517"/>
      <c r="G3" s="1517"/>
      <c r="H3" s="1517"/>
      <c r="I3" s="1517"/>
      <c r="J3" s="1517"/>
      <c r="K3" s="1517"/>
      <c r="L3" s="1517"/>
      <c r="M3" s="1517"/>
      <c r="N3" s="1517"/>
      <c r="O3" s="1517"/>
      <c r="P3" s="1518"/>
      <c r="Q3" s="277"/>
    </row>
    <row r="4" spans="1:17" ht="12.75" customHeight="1" x14ac:dyDescent="0.25">
      <c r="A4" s="5" t="s">
        <v>4</v>
      </c>
      <c r="B4" s="6"/>
      <c r="C4" s="1517" t="s">
        <v>922</v>
      </c>
      <c r="D4" s="1517"/>
      <c r="E4" s="1517"/>
      <c r="F4" s="1517"/>
      <c r="G4" s="1517"/>
      <c r="H4" s="1517"/>
      <c r="I4" s="1517"/>
      <c r="J4" s="1517"/>
      <c r="K4" s="1517"/>
      <c r="L4" s="1517"/>
      <c r="M4" s="1517"/>
      <c r="N4" s="1517"/>
      <c r="O4" s="1517"/>
      <c r="P4" s="1518"/>
      <c r="Q4" s="277"/>
    </row>
    <row r="5" spans="1:17" ht="12.75" customHeight="1" x14ac:dyDescent="0.25">
      <c r="A5" s="7" t="s">
        <v>6</v>
      </c>
      <c r="B5" s="8"/>
      <c r="C5" s="1512" t="s">
        <v>923</v>
      </c>
      <c r="D5" s="1512"/>
      <c r="E5" s="1512"/>
      <c r="F5" s="1512"/>
      <c r="G5" s="1512"/>
      <c r="H5" s="1512"/>
      <c r="I5" s="1512"/>
      <c r="J5" s="1512"/>
      <c r="K5" s="1512"/>
      <c r="L5" s="1512"/>
      <c r="M5" s="1512"/>
      <c r="N5" s="1512"/>
      <c r="O5" s="1512"/>
      <c r="P5" s="1513"/>
      <c r="Q5" s="277"/>
    </row>
    <row r="6" spans="1:17" ht="12.75" customHeight="1" x14ac:dyDescent="0.25">
      <c r="A6" s="7" t="s">
        <v>8</v>
      </c>
      <c r="B6" s="8"/>
      <c r="C6" s="1512" t="s">
        <v>924</v>
      </c>
      <c r="D6" s="1512"/>
      <c r="E6" s="1512"/>
      <c r="F6" s="1512"/>
      <c r="G6" s="1512"/>
      <c r="H6" s="1512"/>
      <c r="I6" s="1512"/>
      <c r="J6" s="1512"/>
      <c r="K6" s="1512"/>
      <c r="L6" s="1512"/>
      <c r="M6" s="1512"/>
      <c r="N6" s="1512"/>
      <c r="O6" s="1512"/>
      <c r="P6" s="1513"/>
      <c r="Q6" s="277"/>
    </row>
    <row r="7" spans="1:17" x14ac:dyDescent="0.25">
      <c r="A7" s="7" t="s">
        <v>10</v>
      </c>
      <c r="B7" s="8"/>
      <c r="C7" s="1517" t="s">
        <v>925</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926</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5476</v>
      </c>
      <c r="D20" s="32">
        <f>SUM(D21,D24,D25,D41,D43)</f>
        <v>45000</v>
      </c>
      <c r="E20" s="33">
        <f t="shared" ref="E20:F20" si="1">SUM(E21,E24,E25,E41,E43)</f>
        <v>-39524</v>
      </c>
      <c r="F20" s="34">
        <f t="shared" si="1"/>
        <v>5476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5476</v>
      </c>
      <c r="D24" s="60">
        <v>45000</v>
      </c>
      <c r="E24" s="63">
        <v>-39524</v>
      </c>
      <c r="F24" s="62">
        <f t="shared" si="9"/>
        <v>5476</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5476</v>
      </c>
      <c r="D50" s="159">
        <f>SUM(D51,D286)</f>
        <v>45000</v>
      </c>
      <c r="E50" s="160">
        <f t="shared" ref="E50:F50" si="26">SUM(E51,E286)</f>
        <v>-39524</v>
      </c>
      <c r="F50" s="161">
        <f t="shared" si="26"/>
        <v>5476</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5476</v>
      </c>
      <c r="D51" s="165">
        <f>SUM(D52,D194)</f>
        <v>45000</v>
      </c>
      <c r="E51" s="166">
        <f t="shared" ref="E51:F51" si="30">SUM(E52,E194)</f>
        <v>-39524</v>
      </c>
      <c r="F51" s="167">
        <f t="shared" si="30"/>
        <v>5476</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5476</v>
      </c>
      <c r="D52" s="173">
        <f>SUM(D53,D75,D173,D187)</f>
        <v>45000</v>
      </c>
      <c r="E52" s="174">
        <f t="shared" ref="E52:F52" si="34">SUM(E53,E75,E173,E187)</f>
        <v>-39524</v>
      </c>
      <c r="F52" s="175">
        <f t="shared" si="34"/>
        <v>5476</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720">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5476</v>
      </c>
      <c r="D75" s="179">
        <f>SUM(D76,D83,D130,D164,D165,D172)</f>
        <v>45000</v>
      </c>
      <c r="E75" s="180">
        <f t="shared" ref="E75:F75" si="74">SUM(E76,E83,E130,E164,E165,E172)</f>
        <v>-39524</v>
      </c>
      <c r="F75" s="181">
        <f t="shared" si="74"/>
        <v>5476</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720">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720">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5476</v>
      </c>
      <c r="D130" s="184">
        <f>SUM(D131,D136,D140,D141,D144,D151,D159,D160,D163)</f>
        <v>45000</v>
      </c>
      <c r="E130" s="185">
        <f t="shared" ref="E130:F130" si="160">SUM(E131,E136,E140,E141,E144,E151,E159,E160,E163)</f>
        <v>-39524</v>
      </c>
      <c r="F130" s="73">
        <f t="shared" si="160"/>
        <v>5476</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720">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5476</v>
      </c>
      <c r="D151" s="190">
        <f>SUM(D152:D158)</f>
        <v>45000</v>
      </c>
      <c r="E151" s="191">
        <f t="shared" ref="E151:F151" si="194">SUM(E152:E158)</f>
        <v>-39524</v>
      </c>
      <c r="F151" s="55">
        <f t="shared" si="194"/>
        <v>5476</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x14ac:dyDescent="0.25">
      <c r="A154" s="50">
        <v>2363</v>
      </c>
      <c r="B154" s="89" t="s">
        <v>170</v>
      </c>
      <c r="C154" s="90">
        <f t="shared" si="193"/>
        <v>5476</v>
      </c>
      <c r="D154" s="196">
        <v>45000</v>
      </c>
      <c r="E154" s="197">
        <v>-39524</v>
      </c>
      <c r="F154" s="55">
        <f t="shared" si="198"/>
        <v>5476</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720">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720">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20">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720">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720">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720">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720">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20">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720">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720">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720">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20">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5476</v>
      </c>
      <c r="D289" s="252">
        <f t="shared" ref="D289:O289" si="389">SUM(D286,D269,D230,D195,D187,D173,D75,D53,D283)</f>
        <v>45000</v>
      </c>
      <c r="E289" s="253">
        <f t="shared" si="389"/>
        <v>-39524</v>
      </c>
      <c r="F289" s="254">
        <f t="shared" si="389"/>
        <v>5476</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sheetData>
  <sheetProtection algorithmName="SHA-512" hashValue="z6Oq2S2izmXnEbSQ3Vd3k3y5kodewNYF+V+tnos9iVYd9qozniNh12QoKIPKR4Zh2CEQRRgwqCP68mF9APWD7g==" saltValue="80fKAPfQcFIVAZMehEKbkQ==" spinCount="100000" sheet="1" objects="1" scenarios="1" formatCells="0" formatColumns="0" formatRows="0" deleteColumns="0"/>
  <autoFilter ref="A18:P301">
    <filterColumn colId="2">
      <filters>
        <filter val="5 47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2019.gada 31.oktobra saistošajiem noteikumiem Nr.46
(protokols Nr.14, 28.punkts)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8"/>
  <sheetViews>
    <sheetView showGridLines="0" view="pageLayout" zoomScaleNormal="100" workbookViewId="0">
      <selection activeCell="T4" sqref="T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556</v>
      </c>
      <c r="P1" s="1"/>
    </row>
    <row r="2" spans="1:17" ht="35.25" customHeight="1" x14ac:dyDescent="0.25">
      <c r="A2" s="1514" t="s">
        <v>1</v>
      </c>
      <c r="B2" s="1515"/>
      <c r="C2" s="1515"/>
      <c r="D2" s="1515"/>
      <c r="E2" s="1515"/>
      <c r="F2" s="1515"/>
      <c r="G2" s="1515"/>
      <c r="H2" s="1515"/>
      <c r="I2" s="1515"/>
      <c r="J2" s="1515"/>
      <c r="K2" s="1515"/>
      <c r="L2" s="1515"/>
      <c r="M2" s="1515"/>
      <c r="N2" s="1515"/>
      <c r="O2" s="1515"/>
      <c r="P2" s="1515"/>
      <c r="Q2" s="277"/>
    </row>
    <row r="3" spans="1:17" ht="12.75" customHeight="1" x14ac:dyDescent="0.25">
      <c r="A3" s="5" t="s">
        <v>2</v>
      </c>
      <c r="B3" s="6"/>
      <c r="C3" s="1517" t="s">
        <v>546</v>
      </c>
      <c r="D3" s="1517"/>
      <c r="E3" s="1517"/>
      <c r="F3" s="1517"/>
      <c r="G3" s="1517"/>
      <c r="H3" s="1517"/>
      <c r="I3" s="1517"/>
      <c r="J3" s="1517"/>
      <c r="K3" s="1517"/>
      <c r="L3" s="1517"/>
      <c r="M3" s="1517"/>
      <c r="N3" s="1517"/>
      <c r="O3" s="1517"/>
      <c r="P3" s="1517"/>
      <c r="Q3" s="277"/>
    </row>
    <row r="4" spans="1:17" ht="12.75" customHeight="1" x14ac:dyDescent="0.25">
      <c r="A4" s="5" t="s">
        <v>4</v>
      </c>
      <c r="B4" s="6"/>
      <c r="C4" s="1517" t="s">
        <v>547</v>
      </c>
      <c r="D4" s="1517"/>
      <c r="E4" s="1517"/>
      <c r="F4" s="1517"/>
      <c r="G4" s="1517"/>
      <c r="H4" s="1517"/>
      <c r="I4" s="1517"/>
      <c r="J4" s="1517"/>
      <c r="K4" s="1517"/>
      <c r="L4" s="1517"/>
      <c r="M4" s="1517"/>
      <c r="N4" s="1517"/>
      <c r="O4" s="1517"/>
      <c r="P4" s="1517"/>
      <c r="Q4" s="277"/>
    </row>
    <row r="5" spans="1:17" ht="12.75" customHeight="1" x14ac:dyDescent="0.25">
      <c r="A5" s="7" t="s">
        <v>6</v>
      </c>
      <c r="B5" s="8"/>
      <c r="C5" s="1512" t="s">
        <v>548</v>
      </c>
      <c r="D5" s="1512"/>
      <c r="E5" s="1512"/>
      <c r="F5" s="1512"/>
      <c r="G5" s="1512"/>
      <c r="H5" s="1512"/>
      <c r="I5" s="1512"/>
      <c r="J5" s="1512"/>
      <c r="K5" s="1512"/>
      <c r="L5" s="1512"/>
      <c r="M5" s="1512"/>
      <c r="N5" s="1512"/>
      <c r="O5" s="1512"/>
      <c r="P5" s="1512"/>
      <c r="Q5" s="277"/>
    </row>
    <row r="6" spans="1:17" ht="12.75" customHeight="1" x14ac:dyDescent="0.25">
      <c r="A6" s="7" t="s">
        <v>8</v>
      </c>
      <c r="B6" s="8"/>
      <c r="C6" s="1512" t="s">
        <v>549</v>
      </c>
      <c r="D6" s="1512"/>
      <c r="E6" s="1512"/>
      <c r="F6" s="1512"/>
      <c r="G6" s="1512"/>
      <c r="H6" s="1512"/>
      <c r="I6" s="1512"/>
      <c r="J6" s="1512"/>
      <c r="K6" s="1512"/>
      <c r="L6" s="1512"/>
      <c r="M6" s="1512"/>
      <c r="N6" s="1512"/>
      <c r="O6" s="1512"/>
      <c r="P6" s="1512"/>
      <c r="Q6" s="277"/>
    </row>
    <row r="7" spans="1:17" x14ac:dyDescent="0.25">
      <c r="A7" s="7" t="s">
        <v>10</v>
      </c>
      <c r="B7" s="8"/>
      <c r="C7" s="1517" t="s">
        <v>550</v>
      </c>
      <c r="D7" s="1517"/>
      <c r="E7" s="1517"/>
      <c r="F7" s="1517"/>
      <c r="G7" s="1517"/>
      <c r="H7" s="1517"/>
      <c r="I7" s="1517"/>
      <c r="J7" s="1517"/>
      <c r="K7" s="1517"/>
      <c r="L7" s="1517"/>
      <c r="M7" s="1517"/>
      <c r="N7" s="1517"/>
      <c r="O7" s="1517"/>
      <c r="P7" s="1517"/>
      <c r="Q7" s="277"/>
    </row>
    <row r="8" spans="1:17" ht="12.75" customHeight="1" x14ac:dyDescent="0.25">
      <c r="A8" s="9" t="s">
        <v>12</v>
      </c>
      <c r="B8" s="8"/>
      <c r="C8" s="441"/>
      <c r="D8" s="441"/>
      <c r="E8" s="441"/>
      <c r="F8" s="441"/>
      <c r="G8" s="441"/>
      <c r="H8" s="441"/>
      <c r="I8" s="441"/>
      <c r="J8" s="441"/>
      <c r="K8" s="441"/>
      <c r="L8" s="441"/>
      <c r="M8" s="441"/>
      <c r="N8" s="442"/>
      <c r="O8" s="442"/>
      <c r="P8" s="442"/>
      <c r="Q8" s="277"/>
    </row>
    <row r="9" spans="1:17" ht="12.75" customHeight="1" x14ac:dyDescent="0.25">
      <c r="A9" s="7"/>
      <c r="B9" s="8" t="s">
        <v>13</v>
      </c>
      <c r="C9" s="1519" t="s">
        <v>551</v>
      </c>
      <c r="D9" s="1519"/>
      <c r="E9" s="1519"/>
      <c r="F9" s="1519"/>
      <c r="G9" s="1519"/>
      <c r="H9" s="1519"/>
      <c r="I9" s="1519"/>
      <c r="J9" s="1519"/>
      <c r="K9" s="1519"/>
      <c r="L9" s="1519"/>
      <c r="M9" s="1519"/>
      <c r="N9" s="1519"/>
      <c r="O9" s="1519"/>
      <c r="P9" s="1519"/>
      <c r="Q9" s="277"/>
    </row>
    <row r="10" spans="1:17" ht="12.75" customHeight="1" x14ac:dyDescent="0.25">
      <c r="A10" s="7"/>
      <c r="B10" s="8" t="s">
        <v>15</v>
      </c>
      <c r="C10" s="1512" t="s">
        <v>552</v>
      </c>
      <c r="D10" s="1512"/>
      <c r="E10" s="1512"/>
      <c r="F10" s="1512"/>
      <c r="G10" s="1512"/>
      <c r="H10" s="1512"/>
      <c r="I10" s="1512"/>
      <c r="J10" s="1512"/>
      <c r="K10" s="1512"/>
      <c r="L10" s="1512"/>
      <c r="M10" s="1512"/>
      <c r="N10" s="1512"/>
      <c r="O10" s="1512"/>
      <c r="P10" s="1512"/>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19"/>
      <c r="Q11" s="277"/>
    </row>
    <row r="12" spans="1:17" ht="12.75" customHeight="1" x14ac:dyDescent="0.25">
      <c r="A12" s="7"/>
      <c r="B12" s="8" t="s">
        <v>17</v>
      </c>
      <c r="C12" s="1512" t="s">
        <v>553</v>
      </c>
      <c r="D12" s="1512"/>
      <c r="E12" s="1512"/>
      <c r="F12" s="1512"/>
      <c r="G12" s="1512"/>
      <c r="H12" s="1512"/>
      <c r="I12" s="1512"/>
      <c r="J12" s="1512"/>
      <c r="K12" s="1512"/>
      <c r="L12" s="1512"/>
      <c r="M12" s="1512"/>
      <c r="N12" s="1512"/>
      <c r="O12" s="1512"/>
      <c r="P12" s="1512"/>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2"/>
      <c r="Q13" s="277"/>
    </row>
    <row r="14" spans="1:17" ht="12.75" customHeight="1" x14ac:dyDescent="0.25">
      <c r="A14" s="10"/>
      <c r="B14" s="11"/>
      <c r="C14" s="1521"/>
      <c r="D14" s="1521"/>
      <c r="E14" s="1521"/>
      <c r="F14" s="1521"/>
      <c r="G14" s="1521"/>
      <c r="H14" s="1521"/>
      <c r="I14" s="1521"/>
      <c r="J14" s="1521"/>
      <c r="K14" s="1521"/>
      <c r="L14" s="1521"/>
      <c r="M14" s="1521"/>
      <c r="N14" s="1521"/>
      <c r="O14" s="1521"/>
      <c r="P14" s="1521"/>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29"/>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833910</v>
      </c>
      <c r="D20" s="32">
        <f>SUM(D21,D24,D25,D41,D43)</f>
        <v>827368</v>
      </c>
      <c r="E20" s="33">
        <f t="shared" ref="E20:F20" si="1">SUM(E21,E24,E25,E41,E43)</f>
        <v>0</v>
      </c>
      <c r="F20" s="34">
        <f t="shared" si="1"/>
        <v>827368</v>
      </c>
      <c r="G20" s="32">
        <f>SUM(G21,G24,G43)</f>
        <v>4371</v>
      </c>
      <c r="H20" s="33">
        <f t="shared" ref="H20:I20" si="2">SUM(H21,H24,H43)</f>
        <v>0</v>
      </c>
      <c r="I20" s="34">
        <f t="shared" si="2"/>
        <v>4371</v>
      </c>
      <c r="J20" s="32">
        <f>SUM(J21,J26,J43)</f>
        <v>171</v>
      </c>
      <c r="K20" s="33">
        <f t="shared" ref="K20:L20" si="3">SUM(K21,K26,K43)</f>
        <v>2000</v>
      </c>
      <c r="L20" s="34">
        <f t="shared" si="3"/>
        <v>2171</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831739</v>
      </c>
      <c r="D24" s="60">
        <f>D50</f>
        <v>827368</v>
      </c>
      <c r="E24" s="60">
        <f>E50</f>
        <v>0</v>
      </c>
      <c r="F24" s="62">
        <f t="shared" si="9"/>
        <v>827368</v>
      </c>
      <c r="G24" s="60">
        <v>4371</v>
      </c>
      <c r="H24" s="63"/>
      <c r="I24" s="62">
        <f t="shared" si="10"/>
        <v>4371</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thickTop="1" x14ac:dyDescent="0.25">
      <c r="A43" s="81">
        <v>21490</v>
      </c>
      <c r="B43" s="69" t="s">
        <v>62</v>
      </c>
      <c r="C43" s="132">
        <f>F43+I43+L43</f>
        <v>2171</v>
      </c>
      <c r="D43" s="78">
        <f>D44</f>
        <v>0</v>
      </c>
      <c r="E43" s="79">
        <f t="shared" ref="E43:L43" si="22">E44</f>
        <v>0</v>
      </c>
      <c r="F43" s="80">
        <f t="shared" si="22"/>
        <v>0</v>
      </c>
      <c r="G43" s="78">
        <f t="shared" si="22"/>
        <v>0</v>
      </c>
      <c r="H43" s="79">
        <f t="shared" si="22"/>
        <v>0</v>
      </c>
      <c r="I43" s="80">
        <f t="shared" si="22"/>
        <v>0</v>
      </c>
      <c r="J43" s="78">
        <f t="shared" si="22"/>
        <v>171</v>
      </c>
      <c r="K43" s="79">
        <f t="shared" si="22"/>
        <v>2000</v>
      </c>
      <c r="L43" s="80">
        <f t="shared" si="22"/>
        <v>2171</v>
      </c>
      <c r="M43" s="78" t="s">
        <v>43</v>
      </c>
      <c r="N43" s="79" t="s">
        <v>43</v>
      </c>
      <c r="O43" s="80" t="s">
        <v>43</v>
      </c>
      <c r="P43" s="77"/>
    </row>
    <row r="44" spans="1:16" s="28" customFormat="1" ht="24" customHeight="1" x14ac:dyDescent="0.25">
      <c r="A44" s="51">
        <v>21499</v>
      </c>
      <c r="B44" s="89" t="s">
        <v>63</v>
      </c>
      <c r="C44" s="133">
        <f>F44+I44+L44</f>
        <v>2171</v>
      </c>
      <c r="D44" s="46"/>
      <c r="E44" s="47"/>
      <c r="F44" s="134">
        <f>D44+E44</f>
        <v>0</v>
      </c>
      <c r="G44" s="46"/>
      <c r="H44" s="47"/>
      <c r="I44" s="134">
        <f>G44+H44</f>
        <v>0</v>
      </c>
      <c r="J44" s="46">
        <v>171</v>
      </c>
      <c r="K44" s="47">
        <v>2000</v>
      </c>
      <c r="L44" s="48">
        <f>K44+J44</f>
        <v>2171</v>
      </c>
      <c r="M44" s="87" t="s">
        <v>43</v>
      </c>
      <c r="N44" s="88" t="s">
        <v>43</v>
      </c>
      <c r="O44" s="48" t="s">
        <v>43</v>
      </c>
      <c r="P44" s="49" t="s">
        <v>1428</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833910</v>
      </c>
      <c r="D50" s="159">
        <f>SUM(D51,D286)</f>
        <v>827368</v>
      </c>
      <c r="E50" s="160">
        <f t="shared" ref="E50:F50" si="26">SUM(E51,E286)</f>
        <v>0</v>
      </c>
      <c r="F50" s="161">
        <f t="shared" si="26"/>
        <v>827368</v>
      </c>
      <c r="G50" s="159">
        <f>SUM(G51,G286)</f>
        <v>4371</v>
      </c>
      <c r="H50" s="160">
        <f>SUM(H51,H286)</f>
        <v>0</v>
      </c>
      <c r="I50" s="161">
        <f t="shared" ref="I50" si="27">SUM(I51,I286)</f>
        <v>4371</v>
      </c>
      <c r="J50" s="32">
        <f>SUM(J51,J286)</f>
        <v>171</v>
      </c>
      <c r="K50" s="33">
        <f t="shared" ref="K50:L50" si="28">SUM(K51,K286)</f>
        <v>2000</v>
      </c>
      <c r="L50" s="34">
        <f t="shared" si="28"/>
        <v>2171</v>
      </c>
      <c r="M50" s="32">
        <f>SUM(M51,M286)</f>
        <v>0</v>
      </c>
      <c r="N50" s="33">
        <f t="shared" ref="N50:O50" si="29">SUM(N51,N286)</f>
        <v>0</v>
      </c>
      <c r="O50" s="34">
        <f t="shared" si="29"/>
        <v>0</v>
      </c>
      <c r="P50" s="35"/>
    </row>
    <row r="51" spans="1:16" s="28" customFormat="1" ht="36.75" thickTop="1" x14ac:dyDescent="0.25">
      <c r="A51" s="162"/>
      <c r="B51" s="163" t="s">
        <v>69</v>
      </c>
      <c r="C51" s="164">
        <f t="shared" si="0"/>
        <v>831910</v>
      </c>
      <c r="D51" s="165">
        <f>SUM(D52,D194)</f>
        <v>827368</v>
      </c>
      <c r="E51" s="166">
        <f t="shared" ref="E51:F51" si="30">SUM(E52,E194)</f>
        <v>0</v>
      </c>
      <c r="F51" s="167">
        <f t="shared" si="30"/>
        <v>827368</v>
      </c>
      <c r="G51" s="165">
        <f>SUM(G52,G194)</f>
        <v>4371</v>
      </c>
      <c r="H51" s="166">
        <f t="shared" ref="H51:I51" si="31">SUM(H52,H194)</f>
        <v>0</v>
      </c>
      <c r="I51" s="167">
        <f t="shared" si="31"/>
        <v>4371</v>
      </c>
      <c r="J51" s="168">
        <f>SUM(J52,J194)</f>
        <v>171</v>
      </c>
      <c r="K51" s="169">
        <f t="shared" ref="K51:L51" si="32">SUM(K52,K194)</f>
        <v>0</v>
      </c>
      <c r="L51" s="170">
        <f t="shared" si="32"/>
        <v>171</v>
      </c>
      <c r="M51" s="168">
        <f>SUM(M52,M194)</f>
        <v>0</v>
      </c>
      <c r="N51" s="169">
        <f t="shared" ref="N51:O51" si="33">SUM(N52,N194)</f>
        <v>0</v>
      </c>
      <c r="O51" s="170">
        <f t="shared" si="33"/>
        <v>0</v>
      </c>
      <c r="P51" s="171"/>
    </row>
    <row r="52" spans="1:16" s="28" customFormat="1" ht="24" x14ac:dyDescent="0.25">
      <c r="A52" s="24"/>
      <c r="B52" s="22" t="s">
        <v>70</v>
      </c>
      <c r="C52" s="172">
        <f t="shared" si="0"/>
        <v>808799</v>
      </c>
      <c r="D52" s="173">
        <f>SUM(D53,D75,D173,D187)</f>
        <v>804368</v>
      </c>
      <c r="E52" s="174">
        <f t="shared" ref="E52:F52" si="34">SUM(E53,E75,E173,E187)</f>
        <v>0</v>
      </c>
      <c r="F52" s="175">
        <f t="shared" si="34"/>
        <v>804368</v>
      </c>
      <c r="G52" s="173">
        <f>SUM(G53,G75,G173,G187)</f>
        <v>4371</v>
      </c>
      <c r="H52" s="174">
        <f t="shared" ref="H52:I52" si="35">SUM(H53,H75,H173,H187)</f>
        <v>0</v>
      </c>
      <c r="I52" s="175">
        <f t="shared" si="35"/>
        <v>4371</v>
      </c>
      <c r="J52" s="173">
        <f>SUM(J53,J75,J173,J187)</f>
        <v>60</v>
      </c>
      <c r="K52" s="174">
        <f t="shared" ref="K52:L52" si="36">SUM(K53,K75,K173,K187)</f>
        <v>0</v>
      </c>
      <c r="L52" s="175">
        <f t="shared" si="36"/>
        <v>60</v>
      </c>
      <c r="M52" s="173">
        <f>SUM(M53,M75,M173,M187)</f>
        <v>0</v>
      </c>
      <c r="N52" s="174">
        <f t="shared" ref="N52:O52" si="37">SUM(N53,N75,N173,N187)</f>
        <v>0</v>
      </c>
      <c r="O52" s="175">
        <f t="shared" si="37"/>
        <v>0</v>
      </c>
      <c r="P52" s="176"/>
    </row>
    <row r="53" spans="1:16" s="28" customFormat="1" x14ac:dyDescent="0.25">
      <c r="A53" s="177">
        <v>1000</v>
      </c>
      <c r="B53" s="177" t="s">
        <v>71</v>
      </c>
      <c r="C53" s="178">
        <f t="shared" si="0"/>
        <v>742537</v>
      </c>
      <c r="D53" s="179">
        <f>SUM(D54,D67)</f>
        <v>738166</v>
      </c>
      <c r="E53" s="180">
        <f t="shared" ref="E53:F53" si="38">SUM(E54,E67)</f>
        <v>0</v>
      </c>
      <c r="F53" s="181">
        <f t="shared" si="38"/>
        <v>738166</v>
      </c>
      <c r="G53" s="179">
        <f>SUM(G54,G67)</f>
        <v>4371</v>
      </c>
      <c r="H53" s="180">
        <f t="shared" ref="H53:I53" si="39">SUM(H54,H67)</f>
        <v>0</v>
      </c>
      <c r="I53" s="181">
        <f t="shared" si="39"/>
        <v>4371</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562481</v>
      </c>
      <c r="D54" s="184">
        <f>SUM(D55,D58,D66)</f>
        <v>558959</v>
      </c>
      <c r="E54" s="185">
        <f t="shared" ref="E54:F54" si="42">SUM(E55,E58,E66)</f>
        <v>0</v>
      </c>
      <c r="F54" s="73">
        <f t="shared" si="42"/>
        <v>558959</v>
      </c>
      <c r="G54" s="184">
        <f>SUM(G55,G58,G66)</f>
        <v>3522</v>
      </c>
      <c r="H54" s="185">
        <f t="shared" ref="H54:I54" si="43">SUM(H55,H58,H66)</f>
        <v>0</v>
      </c>
      <c r="I54" s="73">
        <f t="shared" si="43"/>
        <v>3522</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510565</v>
      </c>
      <c r="D55" s="187">
        <f>SUM(D56:D57)</f>
        <v>510565</v>
      </c>
      <c r="E55" s="188">
        <f t="shared" ref="E55:F55" si="46">SUM(E56:E57)</f>
        <v>0</v>
      </c>
      <c r="F55" s="141">
        <f t="shared" si="46"/>
        <v>510565</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75</v>
      </c>
      <c r="C57" s="90">
        <f t="shared" si="0"/>
        <v>510565</v>
      </c>
      <c r="D57" s="53">
        <v>510565</v>
      </c>
      <c r="E57" s="54"/>
      <c r="F57" s="55">
        <f t="shared" si="50"/>
        <v>510565</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50721</v>
      </c>
      <c r="D58" s="190">
        <f>SUM(D59:D65)</f>
        <v>47199</v>
      </c>
      <c r="E58" s="191">
        <f>SUM(E59:E65)</f>
        <v>0</v>
      </c>
      <c r="F58" s="55">
        <f t="shared" ref="F58" si="54">SUM(F59:F65)</f>
        <v>47199</v>
      </c>
      <c r="G58" s="190">
        <f>SUM(G59:G65)</f>
        <v>3522</v>
      </c>
      <c r="H58" s="191">
        <f t="shared" ref="H58:I58" si="55">SUM(H59:H65)</f>
        <v>0</v>
      </c>
      <c r="I58" s="55">
        <f t="shared" si="55"/>
        <v>3522</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9" t="s">
        <v>80</v>
      </c>
      <c r="C62" s="90">
        <f t="shared" si="0"/>
        <v>3522</v>
      </c>
      <c r="D62" s="53"/>
      <c r="E62" s="54"/>
      <c r="F62" s="55">
        <f t="shared" si="58"/>
        <v>0</v>
      </c>
      <c r="G62" s="53">
        <v>3522</v>
      </c>
      <c r="H62" s="54"/>
      <c r="I62" s="55">
        <f t="shared" si="59"/>
        <v>3522</v>
      </c>
      <c r="J62" s="53"/>
      <c r="K62" s="54"/>
      <c r="L62" s="55">
        <f t="shared" si="60"/>
        <v>0</v>
      </c>
      <c r="M62" s="53"/>
      <c r="N62" s="54"/>
      <c r="O62" s="55">
        <f t="shared" si="61"/>
        <v>0</v>
      </c>
      <c r="P62" s="57"/>
    </row>
    <row r="63" spans="1:16" ht="12" customHeight="1" x14ac:dyDescent="0.25">
      <c r="A63" s="51">
        <v>1147</v>
      </c>
      <c r="B63" s="89" t="s">
        <v>81</v>
      </c>
      <c r="C63" s="90">
        <f t="shared" si="0"/>
        <v>11878</v>
      </c>
      <c r="D63" s="53">
        <v>11878</v>
      </c>
      <c r="E63" s="54"/>
      <c r="F63" s="55">
        <f t="shared" si="58"/>
        <v>11878</v>
      </c>
      <c r="G63" s="53"/>
      <c r="H63" s="54"/>
      <c r="I63" s="55">
        <f t="shared" si="59"/>
        <v>0</v>
      </c>
      <c r="J63" s="53"/>
      <c r="K63" s="54"/>
      <c r="L63" s="55">
        <f t="shared" si="60"/>
        <v>0</v>
      </c>
      <c r="M63" s="53"/>
      <c r="N63" s="54"/>
      <c r="O63" s="55">
        <f t="shared" si="61"/>
        <v>0</v>
      </c>
      <c r="P63" s="57"/>
    </row>
    <row r="64" spans="1:16" ht="18" customHeight="1" x14ac:dyDescent="0.25">
      <c r="A64" s="51">
        <v>1148</v>
      </c>
      <c r="B64" s="89" t="s">
        <v>82</v>
      </c>
      <c r="C64" s="90">
        <f t="shared" si="0"/>
        <v>35321</v>
      </c>
      <c r="D64" s="53">
        <v>35321</v>
      </c>
      <c r="E64" s="54"/>
      <c r="F64" s="55">
        <f t="shared" si="58"/>
        <v>35321</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1195</v>
      </c>
      <c r="D66" s="144">
        <v>1195</v>
      </c>
      <c r="E66" s="145"/>
      <c r="F66" s="141">
        <f t="shared" si="58"/>
        <v>1195</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180056</v>
      </c>
      <c r="D67" s="184">
        <f>SUM(D68:D69)</f>
        <v>179207</v>
      </c>
      <c r="E67" s="185">
        <f t="shared" ref="E67:F67" si="62">SUM(E68:E69)</f>
        <v>0</v>
      </c>
      <c r="F67" s="73">
        <f t="shared" si="62"/>
        <v>179207</v>
      </c>
      <c r="G67" s="184">
        <f>SUM(G68:G69)</f>
        <v>849</v>
      </c>
      <c r="H67" s="185">
        <f t="shared" ref="H67:I67" si="63">SUM(H68:H69)</f>
        <v>0</v>
      </c>
      <c r="I67" s="73">
        <f t="shared" si="63"/>
        <v>849</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321">
        <v>1210</v>
      </c>
      <c r="B68" s="82" t="s">
        <v>86</v>
      </c>
      <c r="C68" s="83">
        <f t="shared" si="0"/>
        <v>142021</v>
      </c>
      <c r="D68" s="46">
        <v>141172</v>
      </c>
      <c r="E68" s="47"/>
      <c r="F68" s="134">
        <f>D68+E68</f>
        <v>141172</v>
      </c>
      <c r="G68" s="46">
        <v>849</v>
      </c>
      <c r="H68" s="47"/>
      <c r="I68" s="134">
        <f>G68+H68</f>
        <v>849</v>
      </c>
      <c r="J68" s="46"/>
      <c r="K68" s="47"/>
      <c r="L68" s="134">
        <f>K68+J68</f>
        <v>0</v>
      </c>
      <c r="M68" s="46"/>
      <c r="N68" s="47"/>
      <c r="O68" s="134">
        <f>N68+M68</f>
        <v>0</v>
      </c>
      <c r="P68" s="49"/>
    </row>
    <row r="69" spans="1:16" ht="24" x14ac:dyDescent="0.25">
      <c r="A69" s="189">
        <v>1220</v>
      </c>
      <c r="B69" s="89" t="s">
        <v>87</v>
      </c>
      <c r="C69" s="90">
        <f t="shared" si="0"/>
        <v>38035</v>
      </c>
      <c r="D69" s="190">
        <f>SUM(D70:D74)</f>
        <v>38035</v>
      </c>
      <c r="E69" s="191">
        <f t="shared" ref="E69:F69" si="66">SUM(E70:E74)</f>
        <v>0</v>
      </c>
      <c r="F69" s="55">
        <f t="shared" si="66"/>
        <v>38035</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27060</v>
      </c>
      <c r="D70" s="53">
        <v>27060</v>
      </c>
      <c r="E70" s="54"/>
      <c r="F70" s="55">
        <f t="shared" ref="F70:F74" si="70">D70+E70</f>
        <v>27060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10475</v>
      </c>
      <c r="D73" s="53">
        <v>10475</v>
      </c>
      <c r="E73" s="54"/>
      <c r="F73" s="55">
        <f t="shared" si="70"/>
        <v>10475</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66262</v>
      </c>
      <c r="D75" s="179">
        <f>SUM(D76,D83,D130,D164,D165,D172)</f>
        <v>66202</v>
      </c>
      <c r="E75" s="180">
        <f t="shared" ref="E75:F75" si="74">SUM(E76,E83,E130,E164,E165,E172)</f>
        <v>0</v>
      </c>
      <c r="F75" s="181">
        <f t="shared" si="74"/>
        <v>66202</v>
      </c>
      <c r="G75" s="179">
        <f>SUM(G76,G83,G130,G164,G165,G172)</f>
        <v>0</v>
      </c>
      <c r="H75" s="180">
        <f t="shared" ref="H75:I75" si="75">SUM(H76,H83,H130,H164,H165,H172)</f>
        <v>0</v>
      </c>
      <c r="I75" s="181">
        <f t="shared" si="75"/>
        <v>0</v>
      </c>
      <c r="J75" s="179">
        <f>SUM(J76,J83,J130,J164,J165,J172)</f>
        <v>60</v>
      </c>
      <c r="K75" s="180">
        <f t="shared" ref="K75:L75" si="76">SUM(K76,K83,K130,K164,K165,K172)</f>
        <v>0</v>
      </c>
      <c r="L75" s="181">
        <f t="shared" si="76"/>
        <v>60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321">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50879</v>
      </c>
      <c r="D83" s="184">
        <f>SUM(D84,D89,D95,D103,D112,D116,D122,D128)</f>
        <v>50819</v>
      </c>
      <c r="E83" s="185">
        <f t="shared" ref="E83:F83" si="98">SUM(E84,E89,E95,E103,E112,E116,E122,E128)</f>
        <v>0</v>
      </c>
      <c r="F83" s="73">
        <f t="shared" si="98"/>
        <v>50819</v>
      </c>
      <c r="G83" s="184">
        <f>SUM(G84,G89,G95,G103,G112,G116,G122,G128)</f>
        <v>0</v>
      </c>
      <c r="H83" s="185">
        <f t="shared" ref="H83:I83" si="99">SUM(H84,H89,H95,H103,H112,H116,H122,H128)</f>
        <v>0</v>
      </c>
      <c r="I83" s="73">
        <f t="shared" si="99"/>
        <v>0</v>
      </c>
      <c r="J83" s="184">
        <f>SUM(J84,J89,J95,J103,J112,J116,J122,J128)</f>
        <v>60</v>
      </c>
      <c r="K83" s="185">
        <f t="shared" ref="K83:L83" si="100">SUM(K84,K89,K95,K103,K112,K116,K122,K128)</f>
        <v>0</v>
      </c>
      <c r="L83" s="73">
        <f t="shared" si="100"/>
        <v>60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8506</v>
      </c>
      <c r="D84" s="187">
        <f>SUM(D85:D88)</f>
        <v>8446</v>
      </c>
      <c r="E84" s="188">
        <f t="shared" ref="E84:F84" si="103">SUM(E85:E88)</f>
        <v>0</v>
      </c>
      <c r="F84" s="141">
        <f t="shared" si="103"/>
        <v>8446</v>
      </c>
      <c r="G84" s="187">
        <f>SUM(G85:G88)</f>
        <v>0</v>
      </c>
      <c r="H84" s="188">
        <f t="shared" ref="H84:I84" si="104">SUM(H85:H88)</f>
        <v>0</v>
      </c>
      <c r="I84" s="141">
        <f t="shared" si="104"/>
        <v>0</v>
      </c>
      <c r="J84" s="187">
        <f>SUM(J85:J88)</f>
        <v>60</v>
      </c>
      <c r="K84" s="188">
        <f t="shared" ref="K84:L84" si="105">SUM(K85:K88)</f>
        <v>0</v>
      </c>
      <c r="L84" s="141">
        <f t="shared" si="105"/>
        <v>60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5623</v>
      </c>
      <c r="D86" s="196">
        <v>5623</v>
      </c>
      <c r="E86" s="197"/>
      <c r="F86" s="55">
        <f t="shared" si="107"/>
        <v>5623</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492</v>
      </c>
      <c r="D87" s="196">
        <v>432</v>
      </c>
      <c r="E87" s="197"/>
      <c r="F87" s="55">
        <f t="shared" si="107"/>
        <v>432</v>
      </c>
      <c r="G87" s="53"/>
      <c r="H87" s="54"/>
      <c r="I87" s="55">
        <f t="shared" si="108"/>
        <v>0</v>
      </c>
      <c r="J87" s="53">
        <v>60</v>
      </c>
      <c r="K87" s="54"/>
      <c r="L87" s="55">
        <f t="shared" si="109"/>
        <v>60</v>
      </c>
      <c r="M87" s="53"/>
      <c r="N87" s="54"/>
      <c r="O87" s="55">
        <f t="shared" si="110"/>
        <v>0</v>
      </c>
      <c r="P87" s="57"/>
    </row>
    <row r="88" spans="1:16" ht="12" customHeight="1" x14ac:dyDescent="0.25">
      <c r="A88" s="51">
        <v>2219</v>
      </c>
      <c r="B88" s="89" t="s">
        <v>104</v>
      </c>
      <c r="C88" s="90">
        <f t="shared" si="102"/>
        <v>2391</v>
      </c>
      <c r="D88" s="196">
        <v>2391</v>
      </c>
      <c r="E88" s="197"/>
      <c r="F88" s="55">
        <f t="shared" si="107"/>
        <v>2391</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12283</v>
      </c>
      <c r="D89" s="190">
        <f>SUM(D90:D94)</f>
        <v>12283</v>
      </c>
      <c r="E89" s="191">
        <f t="shared" ref="E89:F89" si="111">SUM(E90:E94)</f>
        <v>0</v>
      </c>
      <c r="F89" s="55">
        <f t="shared" si="111"/>
        <v>12283</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90">
        <f t="shared" si="102"/>
        <v>5241</v>
      </c>
      <c r="D90" s="196">
        <v>5241</v>
      </c>
      <c r="E90" s="197"/>
      <c r="F90" s="55">
        <f t="shared" ref="F90:F94" si="115">D90+E90</f>
        <v>5241</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90">
        <f t="shared" si="102"/>
        <v>1146</v>
      </c>
      <c r="D91" s="196">
        <v>1146</v>
      </c>
      <c r="E91" s="197"/>
      <c r="F91" s="55">
        <f t="shared" si="115"/>
        <v>1146</v>
      </c>
      <c r="G91" s="53"/>
      <c r="H91" s="54"/>
      <c r="I91" s="55">
        <f t="shared" si="116"/>
        <v>0</v>
      </c>
      <c r="J91" s="53"/>
      <c r="K91" s="54"/>
      <c r="L91" s="55">
        <f t="shared" si="117"/>
        <v>0</v>
      </c>
      <c r="M91" s="53"/>
      <c r="N91" s="54"/>
      <c r="O91" s="55">
        <f t="shared" si="118"/>
        <v>0</v>
      </c>
      <c r="P91" s="57"/>
    </row>
    <row r="92" spans="1:16" ht="23.25" customHeight="1" x14ac:dyDescent="0.25">
      <c r="A92" s="51">
        <v>2223</v>
      </c>
      <c r="B92" s="89" t="s">
        <v>108</v>
      </c>
      <c r="C92" s="90">
        <f t="shared" si="102"/>
        <v>5520</v>
      </c>
      <c r="D92" s="196">
        <v>5520</v>
      </c>
      <c r="E92" s="197"/>
      <c r="F92" s="55">
        <f t="shared" si="115"/>
        <v>5520</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90">
        <f t="shared" si="102"/>
        <v>376</v>
      </c>
      <c r="D93" s="196">
        <v>376</v>
      </c>
      <c r="E93" s="197"/>
      <c r="F93" s="55">
        <f t="shared" si="115"/>
        <v>376</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4332</v>
      </c>
      <c r="D95" s="190">
        <f>SUM(D96:D102)</f>
        <v>4332</v>
      </c>
      <c r="E95" s="191">
        <f t="shared" ref="E95:F95" si="119">SUM(E96:E102)</f>
        <v>0</v>
      </c>
      <c r="F95" s="55">
        <f t="shared" si="119"/>
        <v>4332</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157</v>
      </c>
      <c r="D100" s="196">
        <v>157</v>
      </c>
      <c r="E100" s="197"/>
      <c r="F100" s="55">
        <f t="shared" si="123"/>
        <v>157</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9" t="s">
        <v>117</v>
      </c>
      <c r="C101" s="90">
        <f t="shared" si="102"/>
        <v>25</v>
      </c>
      <c r="D101" s="196">
        <v>25</v>
      </c>
      <c r="E101" s="197"/>
      <c r="F101" s="55">
        <f t="shared" si="123"/>
        <v>25</v>
      </c>
      <c r="G101" s="53"/>
      <c r="H101" s="54"/>
      <c r="I101" s="55">
        <f t="shared" si="124"/>
        <v>0</v>
      </c>
      <c r="J101" s="53"/>
      <c r="K101" s="54"/>
      <c r="L101" s="55">
        <f t="shared" si="125"/>
        <v>0</v>
      </c>
      <c r="M101" s="53"/>
      <c r="N101" s="54"/>
      <c r="O101" s="55">
        <f t="shared" si="126"/>
        <v>0</v>
      </c>
      <c r="P101" s="57"/>
    </row>
    <row r="102" spans="1:16" ht="41.25" customHeight="1" x14ac:dyDescent="0.25">
      <c r="A102" s="51">
        <v>2239</v>
      </c>
      <c r="B102" s="89" t="s">
        <v>118</v>
      </c>
      <c r="C102" s="90">
        <f t="shared" si="102"/>
        <v>4150</v>
      </c>
      <c r="D102" s="196">
        <v>4150</v>
      </c>
      <c r="E102" s="197"/>
      <c r="F102" s="55">
        <f t="shared" si="123"/>
        <v>4150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19132</v>
      </c>
      <c r="D103" s="190">
        <f>SUM(D104:D111)</f>
        <v>19132</v>
      </c>
      <c r="E103" s="191">
        <f t="shared" ref="E103:F103" si="127">SUM(E104:E111)</f>
        <v>0</v>
      </c>
      <c r="F103" s="55">
        <f t="shared" si="127"/>
        <v>19132</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2427</v>
      </c>
      <c r="D105" s="196">
        <v>2427</v>
      </c>
      <c r="E105" s="197"/>
      <c r="F105" s="55">
        <f t="shared" si="131"/>
        <v>2427</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320</v>
      </c>
      <c r="D106" s="196">
        <v>320</v>
      </c>
      <c r="E106" s="197"/>
      <c r="F106" s="55">
        <f t="shared" si="131"/>
        <v>320</v>
      </c>
      <c r="G106" s="53"/>
      <c r="H106" s="54"/>
      <c r="I106" s="55">
        <f t="shared" si="132"/>
        <v>0</v>
      </c>
      <c r="J106" s="53"/>
      <c r="K106" s="54"/>
      <c r="L106" s="55">
        <f t="shared" si="133"/>
        <v>0</v>
      </c>
      <c r="M106" s="53"/>
      <c r="N106" s="54"/>
      <c r="O106" s="55">
        <f t="shared" si="134"/>
        <v>0</v>
      </c>
      <c r="P106" s="57"/>
    </row>
    <row r="107" spans="1:16" ht="21" customHeight="1" x14ac:dyDescent="0.25">
      <c r="A107" s="51">
        <v>2244</v>
      </c>
      <c r="B107" s="89" t="s">
        <v>123</v>
      </c>
      <c r="C107" s="90">
        <f t="shared" si="102"/>
        <v>16385</v>
      </c>
      <c r="D107" s="196">
        <v>16385</v>
      </c>
      <c r="E107" s="197"/>
      <c r="F107" s="55">
        <f t="shared" si="131"/>
        <v>16385</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285</v>
      </c>
      <c r="D112" s="190">
        <f>SUM(D113:D115)</f>
        <v>285</v>
      </c>
      <c r="E112" s="191">
        <f t="shared" ref="E112:F112" si="135">SUM(E113:E115)</f>
        <v>0</v>
      </c>
      <c r="F112" s="55">
        <f t="shared" si="135"/>
        <v>285</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285</v>
      </c>
      <c r="D115" s="196">
        <v>285</v>
      </c>
      <c r="E115" s="197"/>
      <c r="F115" s="55">
        <f t="shared" si="139"/>
        <v>285</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6341</v>
      </c>
      <c r="D116" s="190">
        <f>SUM(D117:D121)</f>
        <v>6341</v>
      </c>
      <c r="E116" s="191">
        <f t="shared" ref="E116:F116" si="143">SUM(E117:E121)</f>
        <v>0</v>
      </c>
      <c r="F116" s="55">
        <f t="shared" si="143"/>
        <v>6341</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9" t="s">
        <v>135</v>
      </c>
      <c r="C119" s="90">
        <f t="shared" si="102"/>
        <v>6016</v>
      </c>
      <c r="D119" s="196">
        <v>6016</v>
      </c>
      <c r="E119" s="197"/>
      <c r="F119" s="55">
        <f t="shared" si="147"/>
        <v>6016</v>
      </c>
      <c r="G119" s="53"/>
      <c r="H119" s="54"/>
      <c r="I119" s="55">
        <f t="shared" si="148"/>
        <v>0</v>
      </c>
      <c r="J119" s="53"/>
      <c r="K119" s="54"/>
      <c r="L119" s="55">
        <f t="shared" si="149"/>
        <v>0</v>
      </c>
      <c r="M119" s="53"/>
      <c r="N119" s="54"/>
      <c r="O119" s="55">
        <f t="shared" si="150"/>
        <v>0</v>
      </c>
      <c r="P119" s="57"/>
    </row>
    <row r="120" spans="1:16" ht="28.5" customHeight="1" x14ac:dyDescent="0.25">
      <c r="A120" s="51">
        <v>2264</v>
      </c>
      <c r="B120" s="89" t="s">
        <v>136</v>
      </c>
      <c r="C120" s="90">
        <f t="shared" si="102"/>
        <v>299</v>
      </c>
      <c r="D120" s="196">
        <v>299</v>
      </c>
      <c r="E120" s="197"/>
      <c r="F120" s="55">
        <f t="shared" si="147"/>
        <v>299</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6.75" hidden="1" customHeight="1" x14ac:dyDescent="0.25">
      <c r="A127" s="51">
        <v>2279</v>
      </c>
      <c r="B127" s="89" t="s">
        <v>143</v>
      </c>
      <c r="C127" s="90">
        <f t="shared" si="102"/>
        <v>0</v>
      </c>
      <c r="D127" s="196">
        <v>0</v>
      </c>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21">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15134</v>
      </c>
      <c r="D130" s="184">
        <f>SUM(D131,D136,D140,D141,D144,D151,D159,D160,D163)</f>
        <v>15134</v>
      </c>
      <c r="E130" s="185">
        <f t="shared" ref="E130:F130" si="160">SUM(E131,E136,E140,E141,E144,E151,E159,E160,E163)</f>
        <v>0</v>
      </c>
      <c r="F130" s="73">
        <f t="shared" si="160"/>
        <v>15134</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321">
        <v>2310</v>
      </c>
      <c r="B131" s="82" t="s">
        <v>147</v>
      </c>
      <c r="C131" s="83">
        <f t="shared" si="102"/>
        <v>7320</v>
      </c>
      <c r="D131" s="194">
        <f t="shared" ref="D131:O131" si="164">SUM(D132:D135)</f>
        <v>7320</v>
      </c>
      <c r="E131" s="195">
        <f t="shared" si="164"/>
        <v>0</v>
      </c>
      <c r="F131" s="134">
        <f t="shared" si="164"/>
        <v>7320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6.25" customHeight="1" x14ac:dyDescent="0.25">
      <c r="A132" s="51">
        <v>2311</v>
      </c>
      <c r="B132" s="89" t="s">
        <v>148</v>
      </c>
      <c r="C132" s="90">
        <f t="shared" si="102"/>
        <v>4200</v>
      </c>
      <c r="D132" s="196">
        <v>5400</v>
      </c>
      <c r="E132" s="197">
        <v>-1200</v>
      </c>
      <c r="F132" s="55">
        <f t="shared" ref="F132:F135" si="165">D132+E132</f>
        <v>4200</v>
      </c>
      <c r="G132" s="53"/>
      <c r="H132" s="54"/>
      <c r="I132" s="55">
        <f t="shared" ref="I132:I135" si="166">G132+H132</f>
        <v>0</v>
      </c>
      <c r="J132" s="53"/>
      <c r="K132" s="54"/>
      <c r="L132" s="55">
        <f t="shared" ref="L132:L135" si="167">K132+J132</f>
        <v>0</v>
      </c>
      <c r="M132" s="53"/>
      <c r="N132" s="54"/>
      <c r="O132" s="55">
        <f t="shared" ref="O132:O135" si="168">N132+M132</f>
        <v>0</v>
      </c>
      <c r="P132" s="57" t="s">
        <v>554</v>
      </c>
    </row>
    <row r="133" spans="1:16" ht="24.75" customHeight="1" x14ac:dyDescent="0.25">
      <c r="A133" s="51">
        <v>2312</v>
      </c>
      <c r="B133" s="89" t="s">
        <v>149</v>
      </c>
      <c r="C133" s="90">
        <f t="shared" si="102"/>
        <v>2994</v>
      </c>
      <c r="D133" s="196">
        <v>1794</v>
      </c>
      <c r="E133" s="197">
        <v>1200</v>
      </c>
      <c r="F133" s="55">
        <f t="shared" si="165"/>
        <v>2994</v>
      </c>
      <c r="G133" s="53"/>
      <c r="H133" s="54"/>
      <c r="I133" s="55">
        <f t="shared" si="166"/>
        <v>0</v>
      </c>
      <c r="J133" s="53"/>
      <c r="K133" s="54"/>
      <c r="L133" s="55">
        <f t="shared" si="167"/>
        <v>0</v>
      </c>
      <c r="M133" s="53"/>
      <c r="N133" s="54"/>
      <c r="O133" s="55">
        <f t="shared" si="168"/>
        <v>0</v>
      </c>
      <c r="P133" s="57" t="s">
        <v>555</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126</v>
      </c>
      <c r="D135" s="196">
        <v>126</v>
      </c>
      <c r="E135" s="197"/>
      <c r="F135" s="55">
        <f t="shared" si="165"/>
        <v>126</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5757</v>
      </c>
      <c r="D136" s="190">
        <f>SUM(D137:D139)</f>
        <v>5757</v>
      </c>
      <c r="E136" s="191">
        <f t="shared" ref="E136:F136" si="169">SUM(E137:E139)</f>
        <v>0</v>
      </c>
      <c r="F136" s="55">
        <f t="shared" si="169"/>
        <v>5757</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8.75" customHeight="1" x14ac:dyDescent="0.25">
      <c r="A137" s="51">
        <v>2321</v>
      </c>
      <c r="B137" s="89" t="s">
        <v>153</v>
      </c>
      <c r="C137" s="90">
        <f t="shared" si="102"/>
        <v>2400</v>
      </c>
      <c r="D137" s="196">
        <v>2400</v>
      </c>
      <c r="E137" s="197"/>
      <c r="F137" s="55">
        <f t="shared" ref="F137:F140" si="173">D137+E137</f>
        <v>2400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3357</v>
      </c>
      <c r="D138" s="196">
        <v>3357</v>
      </c>
      <c r="E138" s="197"/>
      <c r="F138" s="55">
        <f t="shared" si="173"/>
        <v>3357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2057</v>
      </c>
      <c r="D144" s="187">
        <f>SUM(D145:D150)</f>
        <v>2057</v>
      </c>
      <c r="E144" s="188">
        <f t="shared" ref="E144:F144" si="185">SUM(E145:E150)</f>
        <v>0</v>
      </c>
      <c r="F144" s="141">
        <f t="shared" si="185"/>
        <v>2057</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20.25" customHeight="1" x14ac:dyDescent="0.25">
      <c r="A146" s="51">
        <v>2352</v>
      </c>
      <c r="B146" s="89" t="s">
        <v>162</v>
      </c>
      <c r="C146" s="90">
        <f t="shared" si="102"/>
        <v>1900</v>
      </c>
      <c r="D146" s="196">
        <v>1900</v>
      </c>
      <c r="E146" s="197"/>
      <c r="F146" s="55">
        <f t="shared" si="189"/>
        <v>1900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136</v>
      </c>
      <c r="D148" s="196">
        <v>136</v>
      </c>
      <c r="E148" s="197"/>
      <c r="F148" s="55">
        <f t="shared" si="189"/>
        <v>136</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21</v>
      </c>
      <c r="D149" s="196">
        <v>21</v>
      </c>
      <c r="E149" s="197"/>
      <c r="F149" s="55">
        <f t="shared" si="189"/>
        <v>21</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249</v>
      </c>
      <c r="D165" s="184">
        <f>SUM(D166,D171)</f>
        <v>249</v>
      </c>
      <c r="E165" s="185">
        <f t="shared" ref="E165:O165" si="210">SUM(E166,E171)</f>
        <v>0</v>
      </c>
      <c r="F165" s="73">
        <f t="shared" si="210"/>
        <v>249</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customHeight="1" x14ac:dyDescent="0.25">
      <c r="A166" s="321">
        <v>2510</v>
      </c>
      <c r="B166" s="82" t="s">
        <v>182</v>
      </c>
      <c r="C166" s="83">
        <f t="shared" si="193"/>
        <v>249</v>
      </c>
      <c r="D166" s="194">
        <f>SUM(D167:D170)</f>
        <v>249</v>
      </c>
      <c r="E166" s="195">
        <f t="shared" ref="E166:O166" si="211">SUM(E167:E170)</f>
        <v>0</v>
      </c>
      <c r="F166" s="134">
        <f t="shared" si="211"/>
        <v>249</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8.5" customHeight="1" x14ac:dyDescent="0.25">
      <c r="A170" s="51">
        <v>2519</v>
      </c>
      <c r="B170" s="89" t="s">
        <v>186</v>
      </c>
      <c r="C170" s="90">
        <f t="shared" si="193"/>
        <v>249</v>
      </c>
      <c r="D170" s="196">
        <v>249</v>
      </c>
      <c r="E170" s="197"/>
      <c r="F170" s="55">
        <f t="shared" si="212"/>
        <v>249</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321">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21">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1">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1">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23111</v>
      </c>
      <c r="D194" s="173">
        <f t="shared" ref="D194:O194" si="259">SUM(D195,D230,D269,D283)</f>
        <v>23000</v>
      </c>
      <c r="E194" s="174">
        <f t="shared" si="259"/>
        <v>0</v>
      </c>
      <c r="F194" s="175">
        <f t="shared" si="259"/>
        <v>23000</v>
      </c>
      <c r="G194" s="173">
        <f t="shared" si="259"/>
        <v>0</v>
      </c>
      <c r="H194" s="174">
        <f t="shared" si="259"/>
        <v>0</v>
      </c>
      <c r="I194" s="175">
        <f t="shared" si="259"/>
        <v>0</v>
      </c>
      <c r="J194" s="173">
        <f t="shared" si="259"/>
        <v>111</v>
      </c>
      <c r="K194" s="174">
        <f t="shared" si="259"/>
        <v>0</v>
      </c>
      <c r="L194" s="175">
        <f t="shared" si="259"/>
        <v>111</v>
      </c>
      <c r="M194" s="173">
        <f t="shared" si="259"/>
        <v>0</v>
      </c>
      <c r="N194" s="174">
        <f t="shared" si="259"/>
        <v>0</v>
      </c>
      <c r="O194" s="175">
        <f t="shared" si="259"/>
        <v>0</v>
      </c>
      <c r="P194" s="176"/>
    </row>
    <row r="195" spans="1:16" x14ac:dyDescent="0.25">
      <c r="A195" s="177">
        <v>5000</v>
      </c>
      <c r="B195" s="177" t="s">
        <v>211</v>
      </c>
      <c r="C195" s="178">
        <f t="shared" si="193"/>
        <v>23000</v>
      </c>
      <c r="D195" s="179">
        <f>D196+D204</f>
        <v>23000</v>
      </c>
      <c r="E195" s="180">
        <f t="shared" ref="E195:F195" si="260">E196+E204</f>
        <v>0</v>
      </c>
      <c r="F195" s="181">
        <f t="shared" si="260"/>
        <v>23000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1">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23000</v>
      </c>
      <c r="D204" s="184">
        <f>D205+D215+D216+D225+D226+D227+D229</f>
        <v>23000</v>
      </c>
      <c r="E204" s="185">
        <f t="shared" ref="E204:F204" si="276">E205+E215+E216+E225+E226+E227+E229</f>
        <v>0</v>
      </c>
      <c r="F204" s="73">
        <f t="shared" si="276"/>
        <v>23000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23000</v>
      </c>
      <c r="D216" s="190">
        <f>SUM(D217:D224)</f>
        <v>23000</v>
      </c>
      <c r="E216" s="191">
        <f t="shared" ref="E216:F216" si="289">SUM(E217:E224)</f>
        <v>0</v>
      </c>
      <c r="F216" s="55">
        <f t="shared" si="289"/>
        <v>23000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customHeight="1" x14ac:dyDescent="0.25">
      <c r="A217" s="51">
        <v>5231</v>
      </c>
      <c r="B217" s="89" t="s">
        <v>233</v>
      </c>
      <c r="C217" s="90">
        <f t="shared" si="288"/>
        <v>19100</v>
      </c>
      <c r="D217" s="196">
        <v>19100</v>
      </c>
      <c r="E217" s="197"/>
      <c r="F217" s="55">
        <f t="shared" ref="F217:F226" si="293">D217+E217</f>
        <v>19100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3900</v>
      </c>
      <c r="D223" s="196">
        <v>3900</v>
      </c>
      <c r="E223" s="197"/>
      <c r="F223" s="55">
        <f t="shared" si="293"/>
        <v>3900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321">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21">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1">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1">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8">
        <v>7000</v>
      </c>
      <c r="B269" s="228" t="s">
        <v>285</v>
      </c>
      <c r="C269" s="229">
        <f t="shared" si="288"/>
        <v>111</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111</v>
      </c>
      <c r="K269" s="231">
        <f t="shared" ref="K269:L269" si="357">SUM(K270,K281)</f>
        <v>0</v>
      </c>
      <c r="L269" s="232">
        <f t="shared" si="357"/>
        <v>111</v>
      </c>
      <c r="M269" s="230">
        <f>SUM(M270,M281)</f>
        <v>0</v>
      </c>
      <c r="N269" s="231">
        <f t="shared" ref="N269:O269" si="358">SUM(N270,N281)</f>
        <v>0</v>
      </c>
      <c r="O269" s="232">
        <f t="shared" si="358"/>
        <v>0</v>
      </c>
      <c r="P269" s="233"/>
    </row>
    <row r="270" spans="1:16" ht="24" x14ac:dyDescent="0.25">
      <c r="A270" s="69">
        <v>7200</v>
      </c>
      <c r="B270" s="183" t="s">
        <v>286</v>
      </c>
      <c r="C270" s="70">
        <f t="shared" si="288"/>
        <v>111</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111</v>
      </c>
      <c r="K270" s="185">
        <f t="shared" ref="K270:L270" si="361">SUM(K271,K272,K275,K276,K280)</f>
        <v>0</v>
      </c>
      <c r="L270" s="73">
        <f t="shared" si="361"/>
        <v>111</v>
      </c>
      <c r="M270" s="184">
        <f>SUM(M271,M272,M275,M276,M280)</f>
        <v>0</v>
      </c>
      <c r="N270" s="185">
        <f t="shared" ref="N270:O270" si="362">SUM(N271,N272,N275,N276,N280)</f>
        <v>0</v>
      </c>
      <c r="O270" s="73">
        <f t="shared" si="362"/>
        <v>0</v>
      </c>
      <c r="P270" s="77"/>
    </row>
    <row r="271" spans="1:16" ht="24" hidden="1" customHeight="1" x14ac:dyDescent="0.25">
      <c r="A271" s="321">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291</v>
      </c>
      <c r="C275" s="90">
        <f t="shared" si="288"/>
        <v>111</v>
      </c>
      <c r="D275" s="196"/>
      <c r="E275" s="197"/>
      <c r="F275" s="55">
        <f t="shared" si="367"/>
        <v>0</v>
      </c>
      <c r="G275" s="53"/>
      <c r="H275" s="54"/>
      <c r="I275" s="55">
        <f t="shared" si="368"/>
        <v>0</v>
      </c>
      <c r="J275" s="53">
        <v>111</v>
      </c>
      <c r="K275" s="54"/>
      <c r="L275" s="55">
        <f t="shared" si="369"/>
        <v>111</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1">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2000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2000</v>
      </c>
      <c r="L286" s="55">
        <f t="shared" si="383"/>
        <v>2000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2000</v>
      </c>
      <c r="D288" s="199"/>
      <c r="E288" s="200"/>
      <c r="F288" s="134">
        <f t="shared" si="385"/>
        <v>0</v>
      </c>
      <c r="G288" s="46"/>
      <c r="H288" s="47"/>
      <c r="I288" s="134">
        <f t="shared" si="386"/>
        <v>0</v>
      </c>
      <c r="J288" s="46"/>
      <c r="K288" s="47">
        <v>2000</v>
      </c>
      <c r="L288" s="134">
        <f t="shared" si="387"/>
        <v>2000</v>
      </c>
      <c r="M288" s="46"/>
      <c r="N288" s="47"/>
      <c r="O288" s="134">
        <f t="shared" si="388"/>
        <v>0</v>
      </c>
      <c r="P288" s="49" t="s">
        <v>1429</v>
      </c>
    </row>
    <row r="289" spans="1:16" ht="12.75" thickBot="1" x14ac:dyDescent="0.3">
      <c r="A289" s="250"/>
      <c r="B289" s="250" t="s">
        <v>307</v>
      </c>
      <c r="C289" s="251">
        <f t="shared" si="371"/>
        <v>833910</v>
      </c>
      <c r="D289" s="252">
        <f t="shared" ref="D289:O289" si="389">SUM(D286,D269,D230,D195,D187,D173,D75,D53,D283)</f>
        <v>827368</v>
      </c>
      <c r="E289" s="253">
        <f t="shared" si="389"/>
        <v>0</v>
      </c>
      <c r="F289" s="254">
        <f t="shared" si="389"/>
        <v>827368</v>
      </c>
      <c r="G289" s="252">
        <f t="shared" si="389"/>
        <v>4371</v>
      </c>
      <c r="H289" s="253">
        <f t="shared" si="389"/>
        <v>0</v>
      </c>
      <c r="I289" s="254">
        <f t="shared" si="389"/>
        <v>4371</v>
      </c>
      <c r="J289" s="252">
        <f t="shared" si="389"/>
        <v>171</v>
      </c>
      <c r="K289" s="253">
        <f t="shared" si="389"/>
        <v>2000</v>
      </c>
      <c r="L289" s="254">
        <f t="shared" si="389"/>
        <v>2171</v>
      </c>
      <c r="M289" s="252">
        <f t="shared" si="389"/>
        <v>0</v>
      </c>
      <c r="N289" s="253">
        <f t="shared" si="389"/>
        <v>0</v>
      </c>
      <c r="O289" s="254">
        <f t="shared" si="389"/>
        <v>0</v>
      </c>
      <c r="P289" s="255"/>
    </row>
    <row r="290" spans="1:16" s="28" customFormat="1" ht="13.5" thickTop="1" thickBot="1" x14ac:dyDescent="0.3">
      <c r="A290" s="1544" t="s">
        <v>308</v>
      </c>
      <c r="B290" s="1545"/>
      <c r="C290" s="256">
        <f t="shared" si="371"/>
        <v>2000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2000</v>
      </c>
      <c r="L290" s="259">
        <f t="shared" si="392"/>
        <v>2000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-2000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-2000</v>
      </c>
      <c r="L291" s="264">
        <f t="shared" si="394"/>
        <v>-2000</v>
      </c>
      <c r="M291" s="262">
        <f t="shared" si="394"/>
        <v>0</v>
      </c>
      <c r="N291" s="263">
        <f t="shared" si="394"/>
        <v>0</v>
      </c>
      <c r="O291" s="264">
        <f t="shared" si="394"/>
        <v>0</v>
      </c>
      <c r="P291" s="265"/>
    </row>
    <row r="292" spans="1:16" s="28" customFormat="1" ht="12.75" thickBot="1" x14ac:dyDescent="0.3">
      <c r="A292" s="157" t="s">
        <v>310</v>
      </c>
      <c r="B292" s="157" t="s">
        <v>311</v>
      </c>
      <c r="C292" s="158">
        <f t="shared" si="371"/>
        <v>-2000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-2000</v>
      </c>
      <c r="L292" s="161">
        <f t="shared" si="395"/>
        <v>-2000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sheetData>
  <sheetProtection algorithmName="SHA-512" hashValue="eGumFPvcYXqXu34xs6ipdO+Kai6xKUhgJDbsCS3qZ8GXOH0U3QSyUcL9anehnF2do1h1hthF7gp1u2vX4JpT2Q==" saltValue="Hn+pEZswhwJ+c+6wfnEwyQ==" spinCount="100000" sheet="1" objects="1" scenarios="1" formatCells="0" formatColumns="0" formatRows="0" deleteColumns="0"/>
  <autoFilter ref="A18:P301">
    <filterColumn colId="2">
      <filters>
        <filter val="1 146"/>
        <filter val="1 195"/>
        <filter val="1 900"/>
        <filter val="10 475"/>
        <filter val="11 878"/>
        <filter val="111"/>
        <filter val="12 283"/>
        <filter val="126"/>
        <filter val="136"/>
        <filter val="142 021"/>
        <filter val="15 134"/>
        <filter val="157"/>
        <filter val="16 385"/>
        <filter val="180 056"/>
        <filter val="19 100"/>
        <filter val="19 132"/>
        <filter val="2 000"/>
        <filter val="-2 000"/>
        <filter val="2 057"/>
        <filter val="2 171"/>
        <filter val="2 391"/>
        <filter val="2 400"/>
        <filter val="2 427"/>
        <filter val="2 994"/>
        <filter val="21"/>
        <filter val="23 000"/>
        <filter val="23 111"/>
        <filter val="249"/>
        <filter val="25"/>
        <filter val="26"/>
        <filter val="27 060"/>
        <filter val="285"/>
        <filter val="299"/>
        <filter val="3 357"/>
        <filter val="3 522"/>
        <filter val="3 900"/>
        <filter val="320"/>
        <filter val="35 321"/>
        <filter val="376"/>
        <filter val="38 035"/>
        <filter val="4 150"/>
        <filter val="4 200"/>
        <filter val="4 332"/>
        <filter val="492"/>
        <filter val="5 241"/>
        <filter val="5 520"/>
        <filter val="5 623"/>
        <filter val="5 757"/>
        <filter val="50 721"/>
        <filter val="50 879"/>
        <filter val="500"/>
        <filter val="510 565"/>
        <filter val="562 481"/>
        <filter val="6 016"/>
        <filter val="6 341"/>
        <filter val="66 262"/>
        <filter val="7 320"/>
        <filter val="742 537"/>
        <filter val="8 506"/>
        <filter val="808 799"/>
        <filter val="831 739"/>
        <filter val="831 910"/>
        <filter val="833 91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horizontalDpi="4294967294" verticalDpi="4294967294" r:id="rId1"/>
  <headerFooter differentFirst="1">
    <oddFooter>&amp;L&amp;"Times New Roman,Regular"&amp;9&amp;D; &amp;T&amp;R&amp;"Times New Roman,Regular"&amp;9&amp;P (&amp;N)</oddFooter>
    <firstHeader>&amp;R&amp;"Times New Roman,Regular"&amp;9 26.pielikums Jūrmalas pilsētas domes
2019.gada 31.oktobra saistošajiem noteikumiem Nr.46
(protokols Nr.14, 28.punkts)</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8"/>
  <sheetViews>
    <sheetView showGridLines="0" view="pageLayout" zoomScaleNormal="100" workbookViewId="0">
      <selection activeCell="U3" sqref="U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557</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37.5" customHeight="1" x14ac:dyDescent="0.25">
      <c r="A3" s="5" t="s">
        <v>2</v>
      </c>
      <c r="B3" s="6"/>
      <c r="C3" s="1517" t="s">
        <v>558</v>
      </c>
      <c r="D3" s="1517"/>
      <c r="E3" s="1517"/>
      <c r="F3" s="1517"/>
      <c r="G3" s="1517"/>
      <c r="H3" s="1517"/>
      <c r="I3" s="1517"/>
      <c r="J3" s="1517"/>
      <c r="K3" s="1517"/>
      <c r="L3" s="1517"/>
      <c r="M3" s="1517"/>
      <c r="N3" s="1517"/>
      <c r="O3" s="1517"/>
      <c r="P3" s="1518"/>
      <c r="Q3" s="277"/>
    </row>
    <row r="4" spans="1:17" ht="12.75" customHeight="1" x14ac:dyDescent="0.25">
      <c r="A4" s="5" t="s">
        <v>4</v>
      </c>
      <c r="B4" s="6"/>
      <c r="C4" s="1517" t="s">
        <v>559</v>
      </c>
      <c r="D4" s="1517"/>
      <c r="E4" s="1517"/>
      <c r="F4" s="1517"/>
      <c r="G4" s="1517"/>
      <c r="H4" s="1517"/>
      <c r="I4" s="1517"/>
      <c r="J4" s="1517"/>
      <c r="K4" s="1517"/>
      <c r="L4" s="1517"/>
      <c r="M4" s="1517"/>
      <c r="N4" s="1517"/>
      <c r="O4" s="1517"/>
      <c r="P4" s="1518"/>
      <c r="Q4" s="277"/>
    </row>
    <row r="5" spans="1:17" ht="12.75" customHeight="1" x14ac:dyDescent="0.25">
      <c r="A5" s="7" t="s">
        <v>6</v>
      </c>
      <c r="B5" s="8"/>
      <c r="C5" s="1512" t="s">
        <v>560</v>
      </c>
      <c r="D5" s="1512"/>
      <c r="E5" s="1512"/>
      <c r="F5" s="1512"/>
      <c r="G5" s="1512"/>
      <c r="H5" s="1512"/>
      <c r="I5" s="1512"/>
      <c r="J5" s="1512"/>
      <c r="K5" s="1512"/>
      <c r="L5" s="1512"/>
      <c r="M5" s="1512"/>
      <c r="N5" s="1512"/>
      <c r="O5" s="1512"/>
      <c r="P5" s="1513"/>
      <c r="Q5" s="277"/>
    </row>
    <row r="6" spans="1:17" ht="12.75" customHeight="1" x14ac:dyDescent="0.25">
      <c r="A6" s="7" t="s">
        <v>8</v>
      </c>
      <c r="B6" s="8"/>
      <c r="C6" s="1512" t="s">
        <v>561</v>
      </c>
      <c r="D6" s="1512"/>
      <c r="E6" s="1512"/>
      <c r="F6" s="1512"/>
      <c r="G6" s="1512"/>
      <c r="H6" s="1512"/>
      <c r="I6" s="1512"/>
      <c r="J6" s="1512"/>
      <c r="K6" s="1512"/>
      <c r="L6" s="1512"/>
      <c r="M6" s="1512"/>
      <c r="N6" s="1512"/>
      <c r="O6" s="1512"/>
      <c r="P6" s="1513"/>
      <c r="Q6" s="277"/>
    </row>
    <row r="7" spans="1:17" ht="12" customHeight="1" x14ac:dyDescent="0.25">
      <c r="A7" s="7" t="s">
        <v>10</v>
      </c>
      <c r="B7" s="8"/>
      <c r="C7" s="1517" t="s">
        <v>562</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563</v>
      </c>
      <c r="D9" s="1512"/>
      <c r="E9" s="1512"/>
      <c r="F9" s="1512"/>
      <c r="G9" s="1512"/>
      <c r="H9" s="1512"/>
      <c r="I9" s="1512"/>
      <c r="J9" s="1512"/>
      <c r="K9" s="1512"/>
      <c r="L9" s="1512"/>
      <c r="M9" s="1512"/>
      <c r="N9" s="1512"/>
      <c r="O9" s="1512"/>
      <c r="P9" s="1513"/>
      <c r="Q9" s="277"/>
    </row>
    <row r="10" spans="1:17" ht="12.75" customHeight="1" x14ac:dyDescent="0.25">
      <c r="A10" s="7"/>
      <c r="B10" s="8" t="s">
        <v>15</v>
      </c>
      <c r="C10" s="1512" t="s">
        <v>563</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564</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t="s">
        <v>565</v>
      </c>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1374894</v>
      </c>
      <c r="D20" s="32">
        <f>SUM(D21,D24,D25,D41,D43)</f>
        <v>748405</v>
      </c>
      <c r="E20" s="33">
        <f t="shared" ref="E20:F20" si="1">SUM(E21,E24,E25,E41,E43)</f>
        <v>0</v>
      </c>
      <c r="F20" s="34">
        <f t="shared" si="1"/>
        <v>748405</v>
      </c>
      <c r="G20" s="32">
        <f>SUM(G21,G24,G43)</f>
        <v>25620</v>
      </c>
      <c r="H20" s="33">
        <f t="shared" ref="H20:I20" si="2">SUM(H21,H24,H43)</f>
        <v>0</v>
      </c>
      <c r="I20" s="34">
        <f t="shared" si="2"/>
        <v>25620</v>
      </c>
      <c r="J20" s="32">
        <f>SUM(J21,J26,J43)</f>
        <v>600869</v>
      </c>
      <c r="K20" s="33">
        <f t="shared" ref="K20:L20" si="3">SUM(K21,K26,K43)</f>
        <v>0</v>
      </c>
      <c r="L20" s="34">
        <f t="shared" si="3"/>
        <v>600869</v>
      </c>
      <c r="M20" s="32">
        <f>SUM(M21,M45)</f>
        <v>0</v>
      </c>
      <c r="N20" s="33">
        <f t="shared" ref="N20:O20" si="4">SUM(N21,N45)</f>
        <v>0</v>
      </c>
      <c r="O20" s="34">
        <f t="shared" si="4"/>
        <v>0</v>
      </c>
      <c r="P20" s="35"/>
    </row>
    <row r="21" spans="1:16" ht="12.75" thickTop="1" x14ac:dyDescent="0.25">
      <c r="A21" s="36"/>
      <c r="B21" s="37" t="s">
        <v>39</v>
      </c>
      <c r="C21" s="38">
        <f t="shared" si="0"/>
        <v>47856</v>
      </c>
      <c r="D21" s="39">
        <f>SUM(D22:D23)</f>
        <v>0</v>
      </c>
      <c r="E21" s="40">
        <f t="shared" ref="E21:F21" si="5">SUM(E22:E23)</f>
        <v>0</v>
      </c>
      <c r="F21" s="41">
        <f t="shared" si="5"/>
        <v>0</v>
      </c>
      <c r="G21" s="39">
        <f>SUM(G22:G23)</f>
        <v>0</v>
      </c>
      <c r="H21" s="40">
        <f t="shared" ref="H21:I21" si="6">SUM(H22:H23)</f>
        <v>0</v>
      </c>
      <c r="I21" s="41">
        <f t="shared" si="6"/>
        <v>0</v>
      </c>
      <c r="J21" s="39">
        <f>SUM(J22:J23)</f>
        <v>47856</v>
      </c>
      <c r="K21" s="40">
        <f t="shared" ref="K21:L21" si="7">SUM(K22:K23)</f>
        <v>0</v>
      </c>
      <c r="L21" s="41">
        <f t="shared" si="7"/>
        <v>47856</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47856</v>
      </c>
      <c r="D23" s="53"/>
      <c r="E23" s="54">
        <v>0</v>
      </c>
      <c r="F23" s="55">
        <f t="shared" ref="F23:F25" si="9">D23+E23</f>
        <v>0</v>
      </c>
      <c r="G23" s="53"/>
      <c r="H23" s="54"/>
      <c r="I23" s="55">
        <f t="shared" ref="I23:I24" si="10">G23+H23</f>
        <v>0</v>
      </c>
      <c r="J23" s="53">
        <v>47856</v>
      </c>
      <c r="K23" s="54"/>
      <c r="L23" s="56">
        <f>K23+J23</f>
        <v>47856</v>
      </c>
      <c r="M23" s="53"/>
      <c r="N23" s="54"/>
      <c r="O23" s="55">
        <f>N23+M23</f>
        <v>0</v>
      </c>
      <c r="P23" s="443"/>
    </row>
    <row r="24" spans="1:16" s="28" customFormat="1" ht="33" customHeight="1" thickBot="1" x14ac:dyDescent="0.3">
      <c r="A24" s="58">
        <v>19300</v>
      </c>
      <c r="B24" s="58" t="s">
        <v>42</v>
      </c>
      <c r="C24" s="59">
        <f>F24+I24</f>
        <v>774025</v>
      </c>
      <c r="D24" s="60">
        <v>748405</v>
      </c>
      <c r="E24" s="63"/>
      <c r="F24" s="62">
        <f t="shared" si="9"/>
        <v>748405</v>
      </c>
      <c r="G24" s="60">
        <v>25620</v>
      </c>
      <c r="H24" s="63"/>
      <c r="I24" s="62">
        <f t="shared" si="10"/>
        <v>25620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553013</v>
      </c>
      <c r="D26" s="74" t="s">
        <v>43</v>
      </c>
      <c r="E26" s="75" t="s">
        <v>43</v>
      </c>
      <c r="F26" s="76" t="s">
        <v>43</v>
      </c>
      <c r="G26" s="74" t="s">
        <v>43</v>
      </c>
      <c r="H26" s="75" t="s">
        <v>43</v>
      </c>
      <c r="I26" s="76" t="s">
        <v>43</v>
      </c>
      <c r="J26" s="78">
        <f>SUM(J27,J31,J33,J36)</f>
        <v>553013</v>
      </c>
      <c r="K26" s="79">
        <f t="shared" ref="K26:L26" si="11">SUM(K27,K31,K33,K36)</f>
        <v>0</v>
      </c>
      <c r="L26" s="80">
        <f t="shared" si="11"/>
        <v>553013</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13005</v>
      </c>
      <c r="D33" s="74" t="s">
        <v>43</v>
      </c>
      <c r="E33" s="75" t="s">
        <v>43</v>
      </c>
      <c r="F33" s="76" t="s">
        <v>43</v>
      </c>
      <c r="G33" s="74" t="s">
        <v>43</v>
      </c>
      <c r="H33" s="75" t="s">
        <v>43</v>
      </c>
      <c r="I33" s="76" t="s">
        <v>43</v>
      </c>
      <c r="J33" s="78">
        <f>SUM(J34:J35)</f>
        <v>13005</v>
      </c>
      <c r="K33" s="79">
        <f t="shared" ref="K33:L33" si="17">SUM(K34:K35)</f>
        <v>0</v>
      </c>
      <c r="L33" s="80">
        <f t="shared" si="17"/>
        <v>13005</v>
      </c>
      <c r="M33" s="78" t="s">
        <v>43</v>
      </c>
      <c r="N33" s="79" t="s">
        <v>43</v>
      </c>
      <c r="O33" s="80" t="s">
        <v>43</v>
      </c>
      <c r="P33" s="77"/>
    </row>
    <row r="34" spans="1:16" ht="12" customHeight="1" x14ac:dyDescent="0.25">
      <c r="A34" s="44">
        <v>21381</v>
      </c>
      <c r="B34" s="82" t="s">
        <v>53</v>
      </c>
      <c r="C34" s="83">
        <f t="shared" si="16"/>
        <v>13005</v>
      </c>
      <c r="D34" s="84" t="s">
        <v>43</v>
      </c>
      <c r="E34" s="85" t="s">
        <v>43</v>
      </c>
      <c r="F34" s="86" t="s">
        <v>43</v>
      </c>
      <c r="G34" s="84" t="s">
        <v>43</v>
      </c>
      <c r="H34" s="85" t="s">
        <v>43</v>
      </c>
      <c r="I34" s="86" t="s">
        <v>43</v>
      </c>
      <c r="J34" s="46">
        <v>13005</v>
      </c>
      <c r="K34" s="47"/>
      <c r="L34" s="48">
        <f t="shared" ref="L34:L35" si="18">K34+J34</f>
        <v>13005</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540008</v>
      </c>
      <c r="D36" s="74" t="s">
        <v>43</v>
      </c>
      <c r="E36" s="75" t="s">
        <v>43</v>
      </c>
      <c r="F36" s="76" t="s">
        <v>43</v>
      </c>
      <c r="G36" s="74" t="s">
        <v>43</v>
      </c>
      <c r="H36" s="75" t="s">
        <v>43</v>
      </c>
      <c r="I36" s="76" t="s">
        <v>43</v>
      </c>
      <c r="J36" s="78">
        <f>SUM(J37:J40)</f>
        <v>540008</v>
      </c>
      <c r="K36" s="79">
        <f t="shared" ref="K36:L36" si="19">SUM(K37:K40)</f>
        <v>0</v>
      </c>
      <c r="L36" s="80">
        <f t="shared" si="19"/>
        <v>540008</v>
      </c>
      <c r="M36" s="78" t="s">
        <v>43</v>
      </c>
      <c r="N36" s="79" t="s">
        <v>43</v>
      </c>
      <c r="O36" s="80" t="s">
        <v>43</v>
      </c>
      <c r="P36" s="77"/>
    </row>
    <row r="37" spans="1:16" ht="30" customHeight="1" thickBot="1" x14ac:dyDescent="0.3">
      <c r="A37" s="44">
        <v>21391</v>
      </c>
      <c r="B37" s="82" t="s">
        <v>56</v>
      </c>
      <c r="C37" s="83">
        <f t="shared" si="16"/>
        <v>493713</v>
      </c>
      <c r="D37" s="84" t="s">
        <v>43</v>
      </c>
      <c r="E37" s="85" t="s">
        <v>43</v>
      </c>
      <c r="F37" s="86" t="s">
        <v>43</v>
      </c>
      <c r="G37" s="84" t="s">
        <v>43</v>
      </c>
      <c r="H37" s="85" t="s">
        <v>43</v>
      </c>
      <c r="I37" s="86" t="s">
        <v>43</v>
      </c>
      <c r="J37" s="46">
        <v>493713</v>
      </c>
      <c r="K37" s="444"/>
      <c r="L37" s="48">
        <f t="shared" ref="L37:L40" si="20">K37+J37</f>
        <v>493713</v>
      </c>
      <c r="M37" s="87" t="s">
        <v>43</v>
      </c>
      <c r="N37" s="88" t="s">
        <v>43</v>
      </c>
      <c r="O37" s="48" t="s">
        <v>43</v>
      </c>
      <c r="P37" s="67"/>
    </row>
    <row r="38" spans="1:16" ht="12" hidden="1" customHeight="1" thickTop="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thickTop="1" x14ac:dyDescent="0.25">
      <c r="A40" s="108">
        <v>21399</v>
      </c>
      <c r="B40" s="109" t="s">
        <v>59</v>
      </c>
      <c r="C40" s="110">
        <f t="shared" si="16"/>
        <v>46295</v>
      </c>
      <c r="D40" s="111" t="s">
        <v>43</v>
      </c>
      <c r="E40" s="112" t="s">
        <v>43</v>
      </c>
      <c r="F40" s="113" t="s">
        <v>43</v>
      </c>
      <c r="G40" s="111" t="s">
        <v>43</v>
      </c>
      <c r="H40" s="112" t="s">
        <v>43</v>
      </c>
      <c r="I40" s="113" t="s">
        <v>43</v>
      </c>
      <c r="J40" s="114">
        <v>46295</v>
      </c>
      <c r="K40" s="115"/>
      <c r="L40" s="116">
        <f t="shared" si="20"/>
        <v>46295</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1374894</v>
      </c>
      <c r="D50" s="159">
        <f>SUM(D51,D286)</f>
        <v>748405</v>
      </c>
      <c r="E50" s="160">
        <f t="shared" ref="E50:F50" si="26">SUM(E51,E286)</f>
        <v>0</v>
      </c>
      <c r="F50" s="161">
        <f t="shared" si="26"/>
        <v>748405</v>
      </c>
      <c r="G50" s="159">
        <f>SUM(G51,G286)</f>
        <v>25620</v>
      </c>
      <c r="H50" s="160">
        <f>SUM(H51,H286)</f>
        <v>0</v>
      </c>
      <c r="I50" s="161">
        <f t="shared" ref="I50" si="27">SUM(I51,I286)</f>
        <v>25620</v>
      </c>
      <c r="J50" s="32">
        <f>SUM(J51,J286)</f>
        <v>600869</v>
      </c>
      <c r="K50" s="33">
        <f t="shared" ref="K50:L50" si="28">SUM(K51,K286)</f>
        <v>0</v>
      </c>
      <c r="L50" s="34">
        <f t="shared" si="28"/>
        <v>600869</v>
      </c>
      <c r="M50" s="32">
        <f>SUM(M51,M286)</f>
        <v>0</v>
      </c>
      <c r="N50" s="33">
        <f t="shared" ref="N50:O50" si="29">SUM(N51,N286)</f>
        <v>0</v>
      </c>
      <c r="O50" s="34">
        <f t="shared" si="29"/>
        <v>0</v>
      </c>
      <c r="P50" s="35"/>
    </row>
    <row r="51" spans="1:16" s="28" customFormat="1" ht="36.75" thickTop="1" x14ac:dyDescent="0.25">
      <c r="A51" s="162"/>
      <c r="B51" s="163" t="s">
        <v>69</v>
      </c>
      <c r="C51" s="164">
        <f t="shared" si="0"/>
        <v>1374894</v>
      </c>
      <c r="D51" s="165">
        <f>SUM(D52,D194)</f>
        <v>748405</v>
      </c>
      <c r="E51" s="166">
        <f t="shared" ref="E51:F51" si="30">SUM(E52,E194)</f>
        <v>0</v>
      </c>
      <c r="F51" s="167">
        <f t="shared" si="30"/>
        <v>748405</v>
      </c>
      <c r="G51" s="165">
        <f>SUM(G52,G194)</f>
        <v>25620</v>
      </c>
      <c r="H51" s="166">
        <f t="shared" ref="H51:I51" si="31">SUM(H52,H194)</f>
        <v>0</v>
      </c>
      <c r="I51" s="167">
        <f t="shared" si="31"/>
        <v>25620</v>
      </c>
      <c r="J51" s="168">
        <f>SUM(J52,J194)</f>
        <v>600869</v>
      </c>
      <c r="K51" s="169">
        <f t="shared" ref="K51:L51" si="32">SUM(K52,K194)</f>
        <v>0</v>
      </c>
      <c r="L51" s="170">
        <f t="shared" si="32"/>
        <v>600869</v>
      </c>
      <c r="M51" s="168">
        <f>SUM(M52,M194)</f>
        <v>0</v>
      </c>
      <c r="N51" s="169">
        <f t="shared" ref="N51:O51" si="33">SUM(N52,N194)</f>
        <v>0</v>
      </c>
      <c r="O51" s="170">
        <f t="shared" si="33"/>
        <v>0</v>
      </c>
      <c r="P51" s="171"/>
    </row>
    <row r="52" spans="1:16" s="28" customFormat="1" ht="24" x14ac:dyDescent="0.25">
      <c r="A52" s="24"/>
      <c r="B52" s="22" t="s">
        <v>70</v>
      </c>
      <c r="C52" s="172">
        <f t="shared" si="0"/>
        <v>1325523</v>
      </c>
      <c r="D52" s="173">
        <f>SUM(D53,D75,D173,D187)</f>
        <v>746905</v>
      </c>
      <c r="E52" s="174">
        <f t="shared" ref="E52:F52" si="34">SUM(E53,E75,E173,E187)</f>
        <v>0</v>
      </c>
      <c r="F52" s="175">
        <f t="shared" si="34"/>
        <v>746905</v>
      </c>
      <c r="G52" s="173">
        <f>SUM(G53,G75,G173,G187)</f>
        <v>25620</v>
      </c>
      <c r="H52" s="174">
        <f t="shared" ref="H52:I52" si="35">SUM(H53,H75,H173,H187)</f>
        <v>0</v>
      </c>
      <c r="I52" s="175">
        <f t="shared" si="35"/>
        <v>25620</v>
      </c>
      <c r="J52" s="173">
        <f>SUM(J53,J75,J173,J187)</f>
        <v>552998</v>
      </c>
      <c r="K52" s="174">
        <f t="shared" ref="K52:L52" si="36">SUM(K53,K75,K173,K187)</f>
        <v>0</v>
      </c>
      <c r="L52" s="175">
        <f t="shared" si="36"/>
        <v>552998</v>
      </c>
      <c r="M52" s="173">
        <f>SUM(M53,M75,M173,M187)</f>
        <v>0</v>
      </c>
      <c r="N52" s="174">
        <f t="shared" ref="N52:O52" si="37">SUM(N53,N75,N173,N187)</f>
        <v>0</v>
      </c>
      <c r="O52" s="175">
        <f t="shared" si="37"/>
        <v>0</v>
      </c>
      <c r="P52" s="176"/>
    </row>
    <row r="53" spans="1:16" s="28" customFormat="1" x14ac:dyDescent="0.25">
      <c r="A53" s="177">
        <v>1000</v>
      </c>
      <c r="B53" s="177" t="s">
        <v>71</v>
      </c>
      <c r="C53" s="178">
        <f t="shared" si="0"/>
        <v>908423</v>
      </c>
      <c r="D53" s="179">
        <f>SUM(D54,D67)</f>
        <v>746005</v>
      </c>
      <c r="E53" s="180">
        <f t="shared" ref="E53:F53" si="38">SUM(E54,E67)</f>
        <v>0</v>
      </c>
      <c r="F53" s="181">
        <f t="shared" si="38"/>
        <v>746005</v>
      </c>
      <c r="G53" s="179">
        <f>SUM(G54,G67)</f>
        <v>0</v>
      </c>
      <c r="H53" s="180">
        <f t="shared" ref="H53:I53" si="39">SUM(H54,H67)</f>
        <v>0</v>
      </c>
      <c r="I53" s="181">
        <f t="shared" si="39"/>
        <v>0</v>
      </c>
      <c r="J53" s="179">
        <f>SUM(J54,J67)</f>
        <v>162418</v>
      </c>
      <c r="K53" s="180">
        <f t="shared" ref="K53:L53" si="40">SUM(K54,K67)</f>
        <v>0</v>
      </c>
      <c r="L53" s="181">
        <f t="shared" si="40"/>
        <v>162418</v>
      </c>
      <c r="M53" s="179">
        <f>SUM(M54,M67)</f>
        <v>0</v>
      </c>
      <c r="N53" s="180">
        <f t="shared" ref="N53:O53" si="41">SUM(N54,N67)</f>
        <v>0</v>
      </c>
      <c r="O53" s="181">
        <f t="shared" si="41"/>
        <v>0</v>
      </c>
      <c r="P53" s="182"/>
    </row>
    <row r="54" spans="1:16" x14ac:dyDescent="0.25">
      <c r="A54" s="69">
        <v>1100</v>
      </c>
      <c r="B54" s="183" t="s">
        <v>72</v>
      </c>
      <c r="C54" s="70">
        <f t="shared" si="0"/>
        <v>689051</v>
      </c>
      <c r="D54" s="184">
        <f>SUM(D55,D58,D66)</f>
        <v>679027</v>
      </c>
      <c r="E54" s="185">
        <f t="shared" ref="E54:F54" si="42">SUM(E55,E58,E66)</f>
        <v>0</v>
      </c>
      <c r="F54" s="73">
        <f t="shared" si="42"/>
        <v>679027</v>
      </c>
      <c r="G54" s="184">
        <f>SUM(G55,G58,G66)</f>
        <v>0</v>
      </c>
      <c r="H54" s="185">
        <f t="shared" ref="H54:I54" si="43">SUM(H55,H58,H66)</f>
        <v>0</v>
      </c>
      <c r="I54" s="73">
        <f t="shared" si="43"/>
        <v>0</v>
      </c>
      <c r="J54" s="184">
        <f>SUM(J55,J58,J66)</f>
        <v>10024</v>
      </c>
      <c r="K54" s="185">
        <f t="shared" ref="K54:L54" si="44">SUM(K55,K58,K66)</f>
        <v>0</v>
      </c>
      <c r="L54" s="73">
        <f t="shared" si="44"/>
        <v>10024</v>
      </c>
      <c r="M54" s="184">
        <f>SUM(M55,M58,M66)</f>
        <v>0</v>
      </c>
      <c r="N54" s="185">
        <f t="shared" ref="N54:O54" si="45">SUM(N55,N58,N66)</f>
        <v>0</v>
      </c>
      <c r="O54" s="73">
        <f t="shared" si="45"/>
        <v>0</v>
      </c>
      <c r="P54" s="77"/>
    </row>
    <row r="55" spans="1:16" x14ac:dyDescent="0.25">
      <c r="A55" s="186">
        <v>1110</v>
      </c>
      <c r="B55" s="138" t="s">
        <v>73</v>
      </c>
      <c r="C55" s="143">
        <f t="shared" si="0"/>
        <v>619253</v>
      </c>
      <c r="D55" s="187">
        <f>SUM(D56:D57)</f>
        <v>619253</v>
      </c>
      <c r="E55" s="188">
        <f t="shared" ref="E55:F55" si="46">SUM(E56:E57)</f>
        <v>0</v>
      </c>
      <c r="F55" s="141">
        <f t="shared" si="46"/>
        <v>619253</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2.25" customHeight="1" x14ac:dyDescent="0.25">
      <c r="A57" s="51">
        <v>1119</v>
      </c>
      <c r="B57" s="89" t="s">
        <v>75</v>
      </c>
      <c r="C57" s="90">
        <f t="shared" si="0"/>
        <v>619253</v>
      </c>
      <c r="D57" s="53">
        <v>619253</v>
      </c>
      <c r="E57" s="54"/>
      <c r="F57" s="55">
        <f t="shared" si="50"/>
        <v>619253</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69798</v>
      </c>
      <c r="D58" s="190">
        <f>SUM(D59:D65)</f>
        <v>59774</v>
      </c>
      <c r="E58" s="191">
        <f>SUM(E59:E65)</f>
        <v>0</v>
      </c>
      <c r="F58" s="55">
        <f t="shared" ref="F58" si="54">SUM(F59:F65)</f>
        <v>59774</v>
      </c>
      <c r="G58" s="190">
        <f>SUM(G59:G65)</f>
        <v>0</v>
      </c>
      <c r="H58" s="191">
        <f t="shared" ref="H58:I58" si="55">SUM(H59:H65)</f>
        <v>0</v>
      </c>
      <c r="I58" s="55">
        <f t="shared" si="55"/>
        <v>0</v>
      </c>
      <c r="J58" s="190">
        <f>SUM(J59:J65)</f>
        <v>10024</v>
      </c>
      <c r="K58" s="191">
        <f t="shared" ref="K58:L58" si="56">SUM(K59:K65)</f>
        <v>0</v>
      </c>
      <c r="L58" s="55">
        <f t="shared" si="56"/>
        <v>10024</v>
      </c>
      <c r="M58" s="190">
        <f>SUM(M59:M65)</f>
        <v>0</v>
      </c>
      <c r="N58" s="191">
        <f t="shared" ref="N58:O58" si="57">SUM(N59:N65)</f>
        <v>0</v>
      </c>
      <c r="O58" s="55">
        <f t="shared" si="57"/>
        <v>0</v>
      </c>
      <c r="P58" s="57"/>
    </row>
    <row r="59" spans="1:16" ht="12" customHeight="1" x14ac:dyDescent="0.25">
      <c r="A59" s="51">
        <v>1141</v>
      </c>
      <c r="B59" s="89" t="s">
        <v>77</v>
      </c>
      <c r="C59" s="90">
        <f t="shared" si="0"/>
        <v>14341</v>
      </c>
      <c r="D59" s="53">
        <v>14341</v>
      </c>
      <c r="E59" s="54"/>
      <c r="F59" s="55">
        <f t="shared" ref="F59:F66" si="58">D59+E59</f>
        <v>14341</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11032</v>
      </c>
      <c r="D60" s="53">
        <v>11032</v>
      </c>
      <c r="E60" s="54"/>
      <c r="F60" s="55">
        <f t="shared" si="58"/>
        <v>11032</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8.5" customHeight="1" x14ac:dyDescent="0.25">
      <c r="A63" s="51">
        <v>1147</v>
      </c>
      <c r="B63" s="89" t="s">
        <v>81</v>
      </c>
      <c r="C63" s="90">
        <f t="shared" si="0"/>
        <v>10024</v>
      </c>
      <c r="D63" s="53"/>
      <c r="E63" s="54"/>
      <c r="F63" s="55">
        <f t="shared" si="58"/>
        <v>0</v>
      </c>
      <c r="G63" s="53"/>
      <c r="H63" s="54"/>
      <c r="I63" s="55">
        <f t="shared" si="59"/>
        <v>0</v>
      </c>
      <c r="J63" s="53">
        <v>10024</v>
      </c>
      <c r="K63" s="54"/>
      <c r="L63" s="55">
        <f t="shared" si="60"/>
        <v>10024</v>
      </c>
      <c r="M63" s="53"/>
      <c r="N63" s="54"/>
      <c r="O63" s="55">
        <f t="shared" si="61"/>
        <v>0</v>
      </c>
      <c r="P63" s="57"/>
    </row>
    <row r="64" spans="1:16" ht="25.5" customHeight="1" x14ac:dyDescent="0.25">
      <c r="A64" s="51">
        <v>1148</v>
      </c>
      <c r="B64" s="89" t="s">
        <v>82</v>
      </c>
      <c r="C64" s="90">
        <f t="shared" si="0"/>
        <v>34401</v>
      </c>
      <c r="D64" s="53">
        <v>34401</v>
      </c>
      <c r="E64" s="54"/>
      <c r="F64" s="55">
        <f t="shared" si="58"/>
        <v>34401</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219372</v>
      </c>
      <c r="D67" s="184">
        <f>SUM(D68:D69)</f>
        <v>66978</v>
      </c>
      <c r="E67" s="185">
        <f t="shared" ref="E67:F67" si="62">SUM(E68:E69)</f>
        <v>0</v>
      </c>
      <c r="F67" s="73">
        <f t="shared" si="62"/>
        <v>66978</v>
      </c>
      <c r="G67" s="184">
        <f>SUM(G68:G69)</f>
        <v>0</v>
      </c>
      <c r="H67" s="185">
        <f t="shared" ref="H67:I67" si="63">SUM(H68:H69)</f>
        <v>0</v>
      </c>
      <c r="I67" s="73">
        <f t="shared" si="63"/>
        <v>0</v>
      </c>
      <c r="J67" s="184">
        <f>SUM(J68:J69)</f>
        <v>152394</v>
      </c>
      <c r="K67" s="185">
        <f t="shared" ref="K67:L67" si="64">SUM(K68:K69)</f>
        <v>0</v>
      </c>
      <c r="L67" s="73">
        <f t="shared" si="64"/>
        <v>152394</v>
      </c>
      <c r="M67" s="184">
        <f>SUM(M68:M69)</f>
        <v>0</v>
      </c>
      <c r="N67" s="185">
        <f t="shared" ref="N67:O67" si="65">SUM(N68:N69)</f>
        <v>0</v>
      </c>
      <c r="O67" s="73">
        <f t="shared" si="65"/>
        <v>0</v>
      </c>
      <c r="P67" s="77"/>
    </row>
    <row r="68" spans="1:16" ht="33" customHeight="1" x14ac:dyDescent="0.25">
      <c r="A68" s="321">
        <v>1210</v>
      </c>
      <c r="B68" s="82" t="s">
        <v>86</v>
      </c>
      <c r="C68" s="83">
        <f t="shared" si="0"/>
        <v>171109</v>
      </c>
      <c r="D68" s="46">
        <v>18829</v>
      </c>
      <c r="E68" s="47"/>
      <c r="F68" s="134">
        <f>D68+E68</f>
        <v>18829</v>
      </c>
      <c r="G68" s="46"/>
      <c r="H68" s="47"/>
      <c r="I68" s="134">
        <f>G68+H68</f>
        <v>0</v>
      </c>
      <c r="J68" s="46">
        <v>152280</v>
      </c>
      <c r="K68" s="47"/>
      <c r="L68" s="134">
        <f>K68+J68</f>
        <v>152280</v>
      </c>
      <c r="M68" s="46"/>
      <c r="N68" s="47"/>
      <c r="O68" s="134">
        <f>N68+M68</f>
        <v>0</v>
      </c>
      <c r="P68" s="49"/>
    </row>
    <row r="69" spans="1:16" ht="24" x14ac:dyDescent="0.25">
      <c r="A69" s="189">
        <v>1220</v>
      </c>
      <c r="B69" s="89" t="s">
        <v>87</v>
      </c>
      <c r="C69" s="90">
        <f t="shared" si="0"/>
        <v>48263</v>
      </c>
      <c r="D69" s="190">
        <f>SUM(D70:D74)</f>
        <v>48149</v>
      </c>
      <c r="E69" s="191">
        <f t="shared" ref="E69:F69" si="66">SUM(E70:E74)</f>
        <v>0</v>
      </c>
      <c r="F69" s="55">
        <f t="shared" si="66"/>
        <v>48149</v>
      </c>
      <c r="G69" s="190">
        <f>SUM(G70:G74)</f>
        <v>0</v>
      </c>
      <c r="H69" s="191">
        <f t="shared" ref="H69:I69" si="67">SUM(H70:H74)</f>
        <v>0</v>
      </c>
      <c r="I69" s="55">
        <f t="shared" si="67"/>
        <v>0</v>
      </c>
      <c r="J69" s="190">
        <f>SUM(J70:J74)</f>
        <v>114</v>
      </c>
      <c r="K69" s="191">
        <f t="shared" ref="K69:L69" si="68">SUM(K70:K74)</f>
        <v>0</v>
      </c>
      <c r="L69" s="55">
        <f t="shared" si="68"/>
        <v>114</v>
      </c>
      <c r="M69" s="190">
        <f>SUM(M70:M74)</f>
        <v>0</v>
      </c>
      <c r="N69" s="191">
        <f t="shared" ref="N69:O69" si="69">SUM(N70:N74)</f>
        <v>0</v>
      </c>
      <c r="O69" s="55">
        <f t="shared" si="69"/>
        <v>0</v>
      </c>
      <c r="P69" s="57"/>
    </row>
    <row r="70" spans="1:16" ht="48" customHeight="1" x14ac:dyDescent="0.25">
      <c r="A70" s="51">
        <v>1221</v>
      </c>
      <c r="B70" s="89" t="s">
        <v>88</v>
      </c>
      <c r="C70" s="90">
        <f t="shared" si="0"/>
        <v>32160</v>
      </c>
      <c r="D70" s="53">
        <v>32160</v>
      </c>
      <c r="E70" s="54"/>
      <c r="F70" s="55">
        <f t="shared" ref="F70:F74" si="70">D70+E70</f>
        <v>32160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8.25" customHeight="1" x14ac:dyDescent="0.25">
      <c r="A73" s="51">
        <v>1227</v>
      </c>
      <c r="B73" s="89" t="s">
        <v>91</v>
      </c>
      <c r="C73" s="90">
        <f t="shared" si="0"/>
        <v>15489</v>
      </c>
      <c r="D73" s="53">
        <v>15489</v>
      </c>
      <c r="E73" s="54"/>
      <c r="F73" s="55">
        <f t="shared" si="70"/>
        <v>15489</v>
      </c>
      <c r="G73" s="53"/>
      <c r="H73" s="54"/>
      <c r="I73" s="55">
        <f t="shared" si="71"/>
        <v>0</v>
      </c>
      <c r="J73" s="53"/>
      <c r="K73" s="54"/>
      <c r="L73" s="55">
        <f t="shared" si="72"/>
        <v>0</v>
      </c>
      <c r="M73" s="53"/>
      <c r="N73" s="54"/>
      <c r="O73" s="55">
        <f t="shared" si="73"/>
        <v>0</v>
      </c>
      <c r="P73" s="49"/>
    </row>
    <row r="74" spans="1:16" ht="54.75" customHeight="1" x14ac:dyDescent="0.25">
      <c r="A74" s="51">
        <v>1228</v>
      </c>
      <c r="B74" s="89" t="s">
        <v>92</v>
      </c>
      <c r="C74" s="90">
        <f t="shared" si="0"/>
        <v>614</v>
      </c>
      <c r="D74" s="53">
        <v>500</v>
      </c>
      <c r="E74" s="54"/>
      <c r="F74" s="55">
        <f t="shared" si="70"/>
        <v>500</v>
      </c>
      <c r="G74" s="53"/>
      <c r="H74" s="54"/>
      <c r="I74" s="55">
        <f t="shared" si="71"/>
        <v>0</v>
      </c>
      <c r="J74" s="53">
        <v>114</v>
      </c>
      <c r="K74" s="54"/>
      <c r="L74" s="55">
        <f t="shared" si="72"/>
        <v>114</v>
      </c>
      <c r="M74" s="53"/>
      <c r="N74" s="54"/>
      <c r="O74" s="55">
        <f t="shared" si="73"/>
        <v>0</v>
      </c>
      <c r="P74" s="57"/>
    </row>
    <row r="75" spans="1:16" x14ac:dyDescent="0.25">
      <c r="A75" s="177">
        <v>2000</v>
      </c>
      <c r="B75" s="177" t="s">
        <v>93</v>
      </c>
      <c r="C75" s="178">
        <f t="shared" si="0"/>
        <v>417100</v>
      </c>
      <c r="D75" s="179">
        <f>SUM(D76,D83,D130,D164,D165,D172)</f>
        <v>900</v>
      </c>
      <c r="E75" s="180">
        <f t="shared" ref="E75:F75" si="74">SUM(E76,E83,E130,E164,E165,E172)</f>
        <v>0</v>
      </c>
      <c r="F75" s="181">
        <f t="shared" si="74"/>
        <v>900</v>
      </c>
      <c r="G75" s="179">
        <f>SUM(G76,G83,G130,G164,G165,G172)</f>
        <v>25620</v>
      </c>
      <c r="H75" s="180">
        <f t="shared" ref="H75:I75" si="75">SUM(H76,H83,H130,H164,H165,H172)</f>
        <v>0</v>
      </c>
      <c r="I75" s="181">
        <f t="shared" si="75"/>
        <v>25620</v>
      </c>
      <c r="J75" s="179">
        <f>SUM(J76,J83,J130,J164,J165,J172)</f>
        <v>390580</v>
      </c>
      <c r="K75" s="180">
        <f t="shared" ref="K75:L75" si="76">SUM(K76,K83,K130,K164,K165,K172)</f>
        <v>0</v>
      </c>
      <c r="L75" s="181">
        <f t="shared" si="76"/>
        <v>390580</v>
      </c>
      <c r="M75" s="179">
        <f>SUM(M76,M83,M130,M164,M165,M172)</f>
        <v>0</v>
      </c>
      <c r="N75" s="180">
        <f t="shared" ref="N75:O75" si="77">SUM(N76,N83,N130,N164,N165,N172)</f>
        <v>0</v>
      </c>
      <c r="O75" s="181">
        <f t="shared" si="77"/>
        <v>0</v>
      </c>
      <c r="P75" s="182"/>
    </row>
    <row r="76" spans="1:16" ht="24" x14ac:dyDescent="0.25">
      <c r="A76" s="69">
        <v>2100</v>
      </c>
      <c r="B76" s="183" t="s">
        <v>94</v>
      </c>
      <c r="C76" s="70">
        <f t="shared" si="0"/>
        <v>212</v>
      </c>
      <c r="D76" s="184">
        <f>SUM(D77,D80)</f>
        <v>0</v>
      </c>
      <c r="E76" s="185">
        <f t="shared" ref="E76:F76" si="78">SUM(E77,E80)</f>
        <v>0</v>
      </c>
      <c r="F76" s="73">
        <f t="shared" si="78"/>
        <v>0</v>
      </c>
      <c r="G76" s="184">
        <f>SUM(G77,G80)</f>
        <v>0</v>
      </c>
      <c r="H76" s="185">
        <f t="shared" ref="H76:I76" si="79">SUM(H77,H80)</f>
        <v>0</v>
      </c>
      <c r="I76" s="73">
        <f t="shared" si="79"/>
        <v>0</v>
      </c>
      <c r="J76" s="184">
        <f>SUM(J77,J80)</f>
        <v>212</v>
      </c>
      <c r="K76" s="185">
        <f t="shared" ref="K76:L76" si="80">SUM(K77,K80)</f>
        <v>0</v>
      </c>
      <c r="L76" s="73">
        <f t="shared" si="80"/>
        <v>212</v>
      </c>
      <c r="M76" s="184">
        <f>SUM(M77,M80)</f>
        <v>0</v>
      </c>
      <c r="N76" s="185">
        <f t="shared" ref="N76:O76" si="81">SUM(N77,N80)</f>
        <v>0</v>
      </c>
      <c r="O76" s="73">
        <f t="shared" si="81"/>
        <v>0</v>
      </c>
      <c r="P76" s="77"/>
    </row>
    <row r="77" spans="1:16" ht="24" x14ac:dyDescent="0.25">
      <c r="A77" s="321">
        <v>2110</v>
      </c>
      <c r="B77" s="82" t="s">
        <v>95</v>
      </c>
      <c r="C77" s="83">
        <f t="shared" si="0"/>
        <v>212</v>
      </c>
      <c r="D77" s="194">
        <f>SUM(D78:D79)</f>
        <v>0</v>
      </c>
      <c r="E77" s="195">
        <f t="shared" ref="E77:F77" si="82">SUM(E78:E79)</f>
        <v>0</v>
      </c>
      <c r="F77" s="134">
        <f t="shared" si="82"/>
        <v>0</v>
      </c>
      <c r="G77" s="194">
        <f>SUM(G78:G79)</f>
        <v>0</v>
      </c>
      <c r="H77" s="195">
        <f t="shared" ref="H77:I77" si="83">SUM(H78:H79)</f>
        <v>0</v>
      </c>
      <c r="I77" s="134">
        <f t="shared" si="83"/>
        <v>0</v>
      </c>
      <c r="J77" s="194">
        <f>SUM(J78:J79)</f>
        <v>212</v>
      </c>
      <c r="K77" s="195">
        <f t="shared" ref="K77:L77" si="84">SUM(K78:K79)</f>
        <v>0</v>
      </c>
      <c r="L77" s="134">
        <f t="shared" si="84"/>
        <v>212</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212</v>
      </c>
      <c r="D79" s="196"/>
      <c r="E79" s="197"/>
      <c r="F79" s="55">
        <f t="shared" si="86"/>
        <v>0</v>
      </c>
      <c r="G79" s="53"/>
      <c r="H79" s="54"/>
      <c r="I79" s="55">
        <f t="shared" si="87"/>
        <v>0</v>
      </c>
      <c r="J79" s="53">
        <v>212</v>
      </c>
      <c r="K79" s="54"/>
      <c r="L79" s="55">
        <f t="shared" si="88"/>
        <v>212</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181961</v>
      </c>
      <c r="D83" s="184">
        <f>SUM(D84,D89,D95,D103,D112,D116,D122,D128)</f>
        <v>900</v>
      </c>
      <c r="E83" s="185">
        <f t="shared" ref="E83:F83" si="98">SUM(E84,E89,E95,E103,E112,E116,E122,E128)</f>
        <v>0</v>
      </c>
      <c r="F83" s="73">
        <f t="shared" si="98"/>
        <v>900</v>
      </c>
      <c r="G83" s="184">
        <f>SUM(G84,G89,G95,G103,G112,G116,G122,G128)</f>
        <v>25620</v>
      </c>
      <c r="H83" s="185">
        <f t="shared" ref="H83:I83" si="99">SUM(H84,H89,H95,H103,H112,H116,H122,H128)</f>
        <v>0</v>
      </c>
      <c r="I83" s="73">
        <f t="shared" si="99"/>
        <v>25620</v>
      </c>
      <c r="J83" s="184">
        <f>SUM(J84,J89,J95,J103,J112,J116,J122,J128)</f>
        <v>155390</v>
      </c>
      <c r="K83" s="185">
        <f t="shared" ref="K83:L83" si="100">SUM(K84,K89,K95,K103,K112,K116,K122,K128)</f>
        <v>51</v>
      </c>
      <c r="L83" s="73">
        <f t="shared" si="100"/>
        <v>155441</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2272</v>
      </c>
      <c r="D84" s="187">
        <f>SUM(D85:D88)</f>
        <v>0</v>
      </c>
      <c r="E84" s="188">
        <f t="shared" ref="E84:F84" si="103">SUM(E85:E88)</f>
        <v>0</v>
      </c>
      <c r="F84" s="141">
        <f t="shared" si="103"/>
        <v>0</v>
      </c>
      <c r="G84" s="187">
        <f>SUM(G85:G88)</f>
        <v>0</v>
      </c>
      <c r="H84" s="188">
        <f t="shared" ref="H84:I84" si="104">SUM(H85:H88)</f>
        <v>0</v>
      </c>
      <c r="I84" s="141">
        <f t="shared" si="104"/>
        <v>0</v>
      </c>
      <c r="J84" s="187">
        <f>SUM(J85:J88)</f>
        <v>2272</v>
      </c>
      <c r="K84" s="188">
        <f t="shared" ref="K84:L84" si="105">SUM(K85:K88)</f>
        <v>0</v>
      </c>
      <c r="L84" s="141">
        <f t="shared" si="105"/>
        <v>2272</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41.25" customHeight="1" x14ac:dyDescent="0.25">
      <c r="A86" s="51">
        <v>2212</v>
      </c>
      <c r="B86" s="89" t="s">
        <v>102</v>
      </c>
      <c r="C86" s="90">
        <f t="shared" si="102"/>
        <v>1610</v>
      </c>
      <c r="D86" s="196"/>
      <c r="E86" s="197"/>
      <c r="F86" s="55">
        <f t="shared" si="107"/>
        <v>0</v>
      </c>
      <c r="G86" s="53"/>
      <c r="H86" s="54"/>
      <c r="I86" s="55">
        <f t="shared" si="108"/>
        <v>0</v>
      </c>
      <c r="J86" s="53">
        <v>1610</v>
      </c>
      <c r="K86" s="54"/>
      <c r="L86" s="55">
        <f t="shared" si="109"/>
        <v>1610</v>
      </c>
      <c r="M86" s="53"/>
      <c r="N86" s="54"/>
      <c r="O86" s="55">
        <f t="shared" si="110"/>
        <v>0</v>
      </c>
      <c r="P86" s="57"/>
    </row>
    <row r="87" spans="1:16" ht="24" customHeight="1" x14ac:dyDescent="0.25">
      <c r="A87" s="51">
        <v>2214</v>
      </c>
      <c r="B87" s="89" t="s">
        <v>103</v>
      </c>
      <c r="C87" s="90">
        <f t="shared" si="102"/>
        <v>444</v>
      </c>
      <c r="D87" s="196"/>
      <c r="E87" s="197"/>
      <c r="F87" s="55">
        <f t="shared" si="107"/>
        <v>0</v>
      </c>
      <c r="G87" s="53"/>
      <c r="H87" s="54"/>
      <c r="I87" s="55">
        <f t="shared" si="108"/>
        <v>0</v>
      </c>
      <c r="J87" s="53">
        <v>444</v>
      </c>
      <c r="K87" s="54"/>
      <c r="L87" s="55">
        <f t="shared" si="109"/>
        <v>444</v>
      </c>
      <c r="M87" s="53"/>
      <c r="N87" s="54"/>
      <c r="O87" s="55">
        <f t="shared" si="110"/>
        <v>0</v>
      </c>
      <c r="P87" s="57"/>
    </row>
    <row r="88" spans="1:16" ht="24" customHeight="1" x14ac:dyDescent="0.25">
      <c r="A88" s="51">
        <v>2219</v>
      </c>
      <c r="B88" s="89" t="s">
        <v>104</v>
      </c>
      <c r="C88" s="90">
        <f t="shared" si="102"/>
        <v>218</v>
      </c>
      <c r="D88" s="196"/>
      <c r="E88" s="197"/>
      <c r="F88" s="55">
        <f t="shared" si="107"/>
        <v>0</v>
      </c>
      <c r="G88" s="53"/>
      <c r="H88" s="54"/>
      <c r="I88" s="55">
        <f t="shared" si="108"/>
        <v>0</v>
      </c>
      <c r="J88" s="53">
        <v>218</v>
      </c>
      <c r="K88" s="54"/>
      <c r="L88" s="55">
        <f t="shared" si="109"/>
        <v>218</v>
      </c>
      <c r="M88" s="53"/>
      <c r="N88" s="54"/>
      <c r="O88" s="55">
        <f t="shared" si="110"/>
        <v>0</v>
      </c>
      <c r="P88" s="57"/>
    </row>
    <row r="89" spans="1:16" ht="24" x14ac:dyDescent="0.25">
      <c r="A89" s="189">
        <v>2220</v>
      </c>
      <c r="B89" s="89" t="s">
        <v>105</v>
      </c>
      <c r="C89" s="90">
        <f t="shared" si="102"/>
        <v>144685</v>
      </c>
      <c r="D89" s="190">
        <f>SUM(D90:D94)</f>
        <v>0</v>
      </c>
      <c r="E89" s="191">
        <f t="shared" ref="E89:F89" si="111">SUM(E90:E94)</f>
        <v>0</v>
      </c>
      <c r="F89" s="55">
        <f t="shared" si="111"/>
        <v>0</v>
      </c>
      <c r="G89" s="190">
        <f>SUM(G90:G94)</f>
        <v>25620</v>
      </c>
      <c r="H89" s="191">
        <f t="shared" ref="H89:I89" si="112">SUM(H90:H94)</f>
        <v>0</v>
      </c>
      <c r="I89" s="55">
        <f t="shared" si="112"/>
        <v>25620</v>
      </c>
      <c r="J89" s="190">
        <f>SUM(J90:J94)</f>
        <v>119065</v>
      </c>
      <c r="K89" s="191">
        <f t="shared" ref="K89:L89" si="113">SUM(K90:K94)</f>
        <v>0</v>
      </c>
      <c r="L89" s="55">
        <f t="shared" si="113"/>
        <v>119065</v>
      </c>
      <c r="M89" s="190">
        <f>SUM(M90:M94)</f>
        <v>0</v>
      </c>
      <c r="N89" s="191">
        <f t="shared" ref="N89:O89" si="114">SUM(N90:N94)</f>
        <v>0</v>
      </c>
      <c r="O89" s="55">
        <f t="shared" si="114"/>
        <v>0</v>
      </c>
      <c r="P89" s="57"/>
    </row>
    <row r="90" spans="1:16" ht="33.75" customHeight="1" x14ac:dyDescent="0.25">
      <c r="A90" s="51">
        <v>2221</v>
      </c>
      <c r="B90" s="89" t="s">
        <v>106</v>
      </c>
      <c r="C90" s="90">
        <f t="shared" si="102"/>
        <v>76178</v>
      </c>
      <c r="D90" s="196"/>
      <c r="E90" s="197"/>
      <c r="F90" s="55">
        <f t="shared" ref="F90:F94" si="115">D90+E90</f>
        <v>0</v>
      </c>
      <c r="G90" s="53">
        <v>25620</v>
      </c>
      <c r="H90" s="54"/>
      <c r="I90" s="55">
        <f t="shared" ref="I90:I94" si="116">G90+H90</f>
        <v>25620</v>
      </c>
      <c r="J90" s="53">
        <v>50558</v>
      </c>
      <c r="K90" s="54"/>
      <c r="L90" s="55">
        <f t="shared" ref="L90:L94" si="117">K90+J90</f>
        <v>50558</v>
      </c>
      <c r="M90" s="53"/>
      <c r="N90" s="54"/>
      <c r="O90" s="55">
        <f t="shared" ref="O90:O94" si="118">N90+M90</f>
        <v>0</v>
      </c>
      <c r="P90" s="57"/>
    </row>
    <row r="91" spans="1:16" ht="24.75" customHeight="1" x14ac:dyDescent="0.25">
      <c r="A91" s="51">
        <v>2222</v>
      </c>
      <c r="B91" s="89" t="s">
        <v>107</v>
      </c>
      <c r="C91" s="90">
        <f t="shared" si="102"/>
        <v>28047</v>
      </c>
      <c r="D91" s="196"/>
      <c r="E91" s="197"/>
      <c r="F91" s="55">
        <f t="shared" si="115"/>
        <v>0</v>
      </c>
      <c r="G91" s="53"/>
      <c r="H91" s="54"/>
      <c r="I91" s="55">
        <f t="shared" si="116"/>
        <v>0</v>
      </c>
      <c r="J91" s="53">
        <v>28047</v>
      </c>
      <c r="K91" s="54"/>
      <c r="L91" s="55">
        <f t="shared" si="117"/>
        <v>28047</v>
      </c>
      <c r="M91" s="53"/>
      <c r="N91" s="54"/>
      <c r="O91" s="55">
        <f t="shared" si="118"/>
        <v>0</v>
      </c>
      <c r="P91" s="57"/>
    </row>
    <row r="92" spans="1:16" ht="23.25" customHeight="1" x14ac:dyDescent="0.25">
      <c r="A92" s="51">
        <v>2223</v>
      </c>
      <c r="B92" s="89" t="s">
        <v>108</v>
      </c>
      <c r="C92" s="90">
        <f t="shared" si="102"/>
        <v>34429</v>
      </c>
      <c r="D92" s="196"/>
      <c r="E92" s="197"/>
      <c r="F92" s="55">
        <f t="shared" si="115"/>
        <v>0</v>
      </c>
      <c r="G92" s="53"/>
      <c r="H92" s="54"/>
      <c r="I92" s="55">
        <f t="shared" si="116"/>
        <v>0</v>
      </c>
      <c r="J92" s="53">
        <v>34429</v>
      </c>
      <c r="K92" s="54"/>
      <c r="L92" s="55">
        <f t="shared" si="117"/>
        <v>34429</v>
      </c>
      <c r="M92" s="53"/>
      <c r="N92" s="54"/>
      <c r="O92" s="55">
        <f t="shared" si="118"/>
        <v>0</v>
      </c>
      <c r="P92" s="57"/>
    </row>
    <row r="93" spans="1:16" ht="49.5" customHeight="1" x14ac:dyDescent="0.25">
      <c r="A93" s="51">
        <v>2224</v>
      </c>
      <c r="B93" s="89" t="s">
        <v>109</v>
      </c>
      <c r="C93" s="90">
        <f t="shared" si="102"/>
        <v>6031</v>
      </c>
      <c r="D93" s="196"/>
      <c r="E93" s="197"/>
      <c r="F93" s="55">
        <f t="shared" si="115"/>
        <v>0</v>
      </c>
      <c r="G93" s="53"/>
      <c r="H93" s="54"/>
      <c r="I93" s="55">
        <f t="shared" si="116"/>
        <v>0</v>
      </c>
      <c r="J93" s="53">
        <v>6031</v>
      </c>
      <c r="K93" s="54"/>
      <c r="L93" s="55">
        <f t="shared" si="117"/>
        <v>6031</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4184</v>
      </c>
      <c r="D95" s="190">
        <f>SUM(D96:D102)</f>
        <v>0</v>
      </c>
      <c r="E95" s="191">
        <f t="shared" ref="E95:F95" si="119">SUM(E96:E102)</f>
        <v>0</v>
      </c>
      <c r="F95" s="55">
        <f t="shared" si="119"/>
        <v>0</v>
      </c>
      <c r="G95" s="190">
        <f>SUM(G96:G102)</f>
        <v>0</v>
      </c>
      <c r="H95" s="191">
        <f t="shared" ref="H95:I95" si="120">SUM(H96:H102)</f>
        <v>0</v>
      </c>
      <c r="I95" s="55">
        <f t="shared" si="120"/>
        <v>0</v>
      </c>
      <c r="J95" s="190">
        <f>SUM(J96:J102)</f>
        <v>4133</v>
      </c>
      <c r="K95" s="191">
        <f t="shared" ref="K95:L95" si="121">SUM(K96:K102)</f>
        <v>51</v>
      </c>
      <c r="L95" s="55">
        <f t="shared" si="121"/>
        <v>4184</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1110</v>
      </c>
      <c r="D100" s="196"/>
      <c r="E100" s="197"/>
      <c r="F100" s="55">
        <f t="shared" si="123"/>
        <v>0</v>
      </c>
      <c r="G100" s="53"/>
      <c r="H100" s="54"/>
      <c r="I100" s="55">
        <f t="shared" si="124"/>
        <v>0</v>
      </c>
      <c r="J100" s="53">
        <v>1110</v>
      </c>
      <c r="K100" s="54"/>
      <c r="L100" s="55">
        <f t="shared" si="125"/>
        <v>1110</v>
      </c>
      <c r="M100" s="53"/>
      <c r="N100" s="54"/>
      <c r="O100" s="55">
        <f t="shared" si="126"/>
        <v>0</v>
      </c>
      <c r="P100" s="57"/>
    </row>
    <row r="101" spans="1:16" ht="24.75" customHeight="1" x14ac:dyDescent="0.25">
      <c r="A101" s="51">
        <v>2236</v>
      </c>
      <c r="B101" s="89" t="s">
        <v>117</v>
      </c>
      <c r="C101" s="90">
        <f t="shared" si="102"/>
        <v>509</v>
      </c>
      <c r="D101" s="196"/>
      <c r="E101" s="197"/>
      <c r="F101" s="55">
        <f t="shared" si="123"/>
        <v>0</v>
      </c>
      <c r="G101" s="53"/>
      <c r="H101" s="54"/>
      <c r="I101" s="55">
        <f t="shared" si="124"/>
        <v>0</v>
      </c>
      <c r="J101" s="53">
        <v>458</v>
      </c>
      <c r="K101" s="54">
        <v>51</v>
      </c>
      <c r="L101" s="55">
        <f t="shared" si="125"/>
        <v>509</v>
      </c>
      <c r="M101" s="53"/>
      <c r="N101" s="54"/>
      <c r="O101" s="55">
        <f t="shared" si="126"/>
        <v>0</v>
      </c>
      <c r="P101" s="57" t="s">
        <v>566</v>
      </c>
    </row>
    <row r="102" spans="1:16" ht="24" customHeight="1" x14ac:dyDescent="0.25">
      <c r="A102" s="51">
        <v>2239</v>
      </c>
      <c r="B102" s="89" t="s">
        <v>118</v>
      </c>
      <c r="C102" s="90">
        <f t="shared" si="102"/>
        <v>2565</v>
      </c>
      <c r="D102" s="196"/>
      <c r="E102" s="197"/>
      <c r="F102" s="55">
        <f t="shared" si="123"/>
        <v>0</v>
      </c>
      <c r="G102" s="53"/>
      <c r="H102" s="54"/>
      <c r="I102" s="55">
        <f t="shared" si="124"/>
        <v>0</v>
      </c>
      <c r="J102" s="53">
        <v>2565</v>
      </c>
      <c r="K102" s="54"/>
      <c r="L102" s="55">
        <f t="shared" si="125"/>
        <v>2565</v>
      </c>
      <c r="M102" s="53"/>
      <c r="N102" s="54"/>
      <c r="O102" s="55">
        <f t="shared" si="126"/>
        <v>0</v>
      </c>
      <c r="P102" s="57"/>
    </row>
    <row r="103" spans="1:16" ht="36" x14ac:dyDescent="0.25">
      <c r="A103" s="189">
        <v>2240</v>
      </c>
      <c r="B103" s="89" t="s">
        <v>119</v>
      </c>
      <c r="C103" s="90">
        <f t="shared" si="102"/>
        <v>20831</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20831</v>
      </c>
      <c r="K103" s="191">
        <f t="shared" ref="K103:L103" si="129">SUM(K104:K111)</f>
        <v>0</v>
      </c>
      <c r="L103" s="55">
        <f t="shared" si="129"/>
        <v>20831</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1813</v>
      </c>
      <c r="D105" s="196"/>
      <c r="E105" s="197"/>
      <c r="F105" s="55">
        <f t="shared" si="131"/>
        <v>0</v>
      </c>
      <c r="G105" s="53"/>
      <c r="H105" s="54"/>
      <c r="I105" s="55">
        <f t="shared" si="132"/>
        <v>0</v>
      </c>
      <c r="J105" s="53">
        <v>1813</v>
      </c>
      <c r="K105" s="54"/>
      <c r="L105" s="55">
        <f t="shared" si="133"/>
        <v>1813</v>
      </c>
      <c r="M105" s="53"/>
      <c r="N105" s="54"/>
      <c r="O105" s="55">
        <f t="shared" si="134"/>
        <v>0</v>
      </c>
      <c r="P105" s="57"/>
    </row>
    <row r="106" spans="1:16" ht="24" customHeight="1" x14ac:dyDescent="0.25">
      <c r="A106" s="51">
        <v>2243</v>
      </c>
      <c r="B106" s="89" t="s">
        <v>122</v>
      </c>
      <c r="C106" s="90">
        <f t="shared" si="102"/>
        <v>1188</v>
      </c>
      <c r="D106" s="196"/>
      <c r="E106" s="197"/>
      <c r="F106" s="55">
        <f t="shared" si="131"/>
        <v>0</v>
      </c>
      <c r="G106" s="53"/>
      <c r="H106" s="54"/>
      <c r="I106" s="55">
        <f t="shared" si="132"/>
        <v>0</v>
      </c>
      <c r="J106" s="53">
        <v>1188</v>
      </c>
      <c r="K106" s="54"/>
      <c r="L106" s="55">
        <f t="shared" si="133"/>
        <v>1188</v>
      </c>
      <c r="M106" s="53"/>
      <c r="N106" s="54"/>
      <c r="O106" s="55">
        <f t="shared" si="134"/>
        <v>0</v>
      </c>
      <c r="P106" s="57"/>
    </row>
    <row r="107" spans="1:16" ht="22.5" customHeight="1" x14ac:dyDescent="0.25">
      <c r="A107" s="51">
        <v>2244</v>
      </c>
      <c r="B107" s="89" t="s">
        <v>123</v>
      </c>
      <c r="C107" s="90">
        <f t="shared" si="102"/>
        <v>7171</v>
      </c>
      <c r="D107" s="196"/>
      <c r="E107" s="197"/>
      <c r="F107" s="55">
        <f t="shared" si="131"/>
        <v>0</v>
      </c>
      <c r="G107" s="53"/>
      <c r="H107" s="54"/>
      <c r="I107" s="55">
        <f t="shared" si="132"/>
        <v>0</v>
      </c>
      <c r="J107" s="53">
        <v>7171</v>
      </c>
      <c r="K107" s="54"/>
      <c r="L107" s="55">
        <f t="shared" si="133"/>
        <v>7171</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33" customHeight="1" x14ac:dyDescent="0.25">
      <c r="A111" s="51">
        <v>2249</v>
      </c>
      <c r="B111" s="89" t="s">
        <v>127</v>
      </c>
      <c r="C111" s="90">
        <f t="shared" si="102"/>
        <v>10659</v>
      </c>
      <c r="D111" s="196"/>
      <c r="E111" s="197"/>
      <c r="F111" s="55">
        <f t="shared" si="131"/>
        <v>0</v>
      </c>
      <c r="G111" s="53"/>
      <c r="H111" s="54"/>
      <c r="I111" s="55">
        <f t="shared" si="132"/>
        <v>0</v>
      </c>
      <c r="J111" s="53">
        <v>10659</v>
      </c>
      <c r="K111" s="54"/>
      <c r="L111" s="55">
        <f t="shared" si="133"/>
        <v>10659</v>
      </c>
      <c r="M111" s="53"/>
      <c r="N111" s="54"/>
      <c r="O111" s="55">
        <f t="shared" si="134"/>
        <v>0</v>
      </c>
      <c r="P111" s="57"/>
    </row>
    <row r="112" spans="1:16" x14ac:dyDescent="0.25">
      <c r="A112" s="189">
        <v>2250</v>
      </c>
      <c r="B112" s="89" t="s">
        <v>128</v>
      </c>
      <c r="C112" s="90">
        <f t="shared" si="102"/>
        <v>653</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653</v>
      </c>
      <c r="K112" s="191">
        <f t="shared" ref="K112:L112" si="137">SUM(K113:K115)</f>
        <v>0</v>
      </c>
      <c r="L112" s="55">
        <f t="shared" si="137"/>
        <v>653</v>
      </c>
      <c r="M112" s="190">
        <f>SUM(M113:M115)</f>
        <v>0</v>
      </c>
      <c r="N112" s="191">
        <f t="shared" ref="N112:O112" si="138">SUM(N113:N115)</f>
        <v>0</v>
      </c>
      <c r="O112" s="55">
        <f t="shared" si="138"/>
        <v>0</v>
      </c>
      <c r="P112" s="57"/>
    </row>
    <row r="113" spans="1:16" ht="12" customHeight="1" x14ac:dyDescent="0.25">
      <c r="A113" s="51">
        <v>2251</v>
      </c>
      <c r="B113" s="89" t="s">
        <v>129</v>
      </c>
      <c r="C113" s="90">
        <f t="shared" si="102"/>
        <v>365</v>
      </c>
      <c r="D113" s="196"/>
      <c r="E113" s="197"/>
      <c r="F113" s="55">
        <f t="shared" ref="F113:F115" si="139">D113+E113</f>
        <v>0</v>
      </c>
      <c r="G113" s="53"/>
      <c r="H113" s="54"/>
      <c r="I113" s="55">
        <f t="shared" ref="I113:I115" si="140">G113+H113</f>
        <v>0</v>
      </c>
      <c r="J113" s="53">
        <v>365</v>
      </c>
      <c r="K113" s="54"/>
      <c r="L113" s="55">
        <f t="shared" ref="L113:L115" si="141">K113+J113</f>
        <v>365</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288</v>
      </c>
      <c r="D115" s="196"/>
      <c r="E115" s="197"/>
      <c r="F115" s="55">
        <f t="shared" si="139"/>
        <v>0</v>
      </c>
      <c r="G115" s="53"/>
      <c r="H115" s="54"/>
      <c r="I115" s="55">
        <f t="shared" si="140"/>
        <v>0</v>
      </c>
      <c r="J115" s="53">
        <v>288</v>
      </c>
      <c r="K115" s="54"/>
      <c r="L115" s="55">
        <f t="shared" si="141"/>
        <v>288</v>
      </c>
      <c r="M115" s="53"/>
      <c r="N115" s="54"/>
      <c r="O115" s="55">
        <f t="shared" si="142"/>
        <v>0</v>
      </c>
      <c r="P115" s="57"/>
    </row>
    <row r="116" spans="1:16" x14ac:dyDescent="0.25">
      <c r="A116" s="189">
        <v>2260</v>
      </c>
      <c r="B116" s="89" t="s">
        <v>132</v>
      </c>
      <c r="C116" s="90">
        <f t="shared" si="102"/>
        <v>389</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389</v>
      </c>
      <c r="K116" s="191">
        <f t="shared" ref="K116:L116" si="145">SUM(K117:K121)</f>
        <v>0</v>
      </c>
      <c r="L116" s="55">
        <f t="shared" si="145"/>
        <v>389</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285</v>
      </c>
      <c r="D118" s="196"/>
      <c r="E118" s="197"/>
      <c r="F118" s="55">
        <f t="shared" si="147"/>
        <v>0</v>
      </c>
      <c r="G118" s="53"/>
      <c r="H118" s="54"/>
      <c r="I118" s="55">
        <f t="shared" si="148"/>
        <v>0</v>
      </c>
      <c r="J118" s="53">
        <v>285</v>
      </c>
      <c r="K118" s="54"/>
      <c r="L118" s="55">
        <f t="shared" si="149"/>
        <v>285</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104</v>
      </c>
      <c r="D121" s="196"/>
      <c r="E121" s="197"/>
      <c r="F121" s="55">
        <f t="shared" si="147"/>
        <v>0</v>
      </c>
      <c r="G121" s="53"/>
      <c r="H121" s="54"/>
      <c r="I121" s="55">
        <f t="shared" si="148"/>
        <v>0</v>
      </c>
      <c r="J121" s="53">
        <v>104</v>
      </c>
      <c r="K121" s="54"/>
      <c r="L121" s="55">
        <f t="shared" si="149"/>
        <v>104</v>
      </c>
      <c r="M121" s="53"/>
      <c r="N121" s="54"/>
      <c r="O121" s="55">
        <f t="shared" si="150"/>
        <v>0</v>
      </c>
      <c r="P121" s="57"/>
    </row>
    <row r="122" spans="1:16" x14ac:dyDescent="0.25">
      <c r="A122" s="189">
        <v>2270</v>
      </c>
      <c r="B122" s="89" t="s">
        <v>138</v>
      </c>
      <c r="C122" s="90">
        <f t="shared" si="102"/>
        <v>8947</v>
      </c>
      <c r="D122" s="190">
        <f>SUM(D123:D127)</f>
        <v>900</v>
      </c>
      <c r="E122" s="191">
        <f t="shared" ref="E122:F122" si="151">SUM(E123:E127)</f>
        <v>0</v>
      </c>
      <c r="F122" s="55">
        <f t="shared" si="151"/>
        <v>900</v>
      </c>
      <c r="G122" s="190">
        <f>SUM(G123:G127)</f>
        <v>0</v>
      </c>
      <c r="H122" s="191">
        <f t="shared" ref="H122:I122" si="152">SUM(H123:H127)</f>
        <v>0</v>
      </c>
      <c r="I122" s="55">
        <f t="shared" si="152"/>
        <v>0</v>
      </c>
      <c r="J122" s="190">
        <f>SUM(J123:J127)</f>
        <v>8047</v>
      </c>
      <c r="K122" s="191">
        <f t="shared" ref="K122:L122" si="153">SUM(K123:K127)</f>
        <v>0</v>
      </c>
      <c r="L122" s="55">
        <f t="shared" si="153"/>
        <v>8047</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8947</v>
      </c>
      <c r="D127" s="196">
        <v>900</v>
      </c>
      <c r="E127" s="197"/>
      <c r="F127" s="55">
        <f t="shared" si="155"/>
        <v>900</v>
      </c>
      <c r="G127" s="53"/>
      <c r="H127" s="54"/>
      <c r="I127" s="55">
        <f t="shared" si="156"/>
        <v>0</v>
      </c>
      <c r="J127" s="53">
        <v>8047</v>
      </c>
      <c r="K127" s="54"/>
      <c r="L127" s="55">
        <f t="shared" si="157"/>
        <v>8047</v>
      </c>
      <c r="M127" s="53"/>
      <c r="N127" s="54"/>
      <c r="O127" s="55">
        <f t="shared" si="158"/>
        <v>0</v>
      </c>
      <c r="P127" s="57"/>
    </row>
    <row r="128" spans="1:16" ht="48" hidden="1" x14ac:dyDescent="0.25">
      <c r="A128" s="321">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233134</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233185</v>
      </c>
      <c r="K130" s="185">
        <f t="shared" ref="K130:L130" si="162">SUM(K131,K136,K140,K141,K144,K151,K159,K160,K163)</f>
        <v>-51</v>
      </c>
      <c r="L130" s="73">
        <f t="shared" si="162"/>
        <v>233134</v>
      </c>
      <c r="M130" s="184">
        <f>SUM(M131,M136,M140,M141,M144,M151,M159,M160,M163)</f>
        <v>0</v>
      </c>
      <c r="N130" s="185">
        <f t="shared" ref="N130:O130" si="163">SUM(N131,N136,N140,N141,N144,N151,N159,N160,N163)</f>
        <v>0</v>
      </c>
      <c r="O130" s="73">
        <f t="shared" si="163"/>
        <v>0</v>
      </c>
      <c r="P130" s="77"/>
    </row>
    <row r="131" spans="1:16" ht="24" x14ac:dyDescent="0.25">
      <c r="A131" s="321">
        <v>2310</v>
      </c>
      <c r="B131" s="82" t="s">
        <v>147</v>
      </c>
      <c r="C131" s="83">
        <f t="shared" si="102"/>
        <v>11945</v>
      </c>
      <c r="D131" s="194">
        <f t="shared" ref="D131:O131" si="164">SUM(D132:D135)</f>
        <v>0</v>
      </c>
      <c r="E131" s="195">
        <f t="shared" si="164"/>
        <v>0</v>
      </c>
      <c r="F131" s="134">
        <f t="shared" si="164"/>
        <v>0</v>
      </c>
      <c r="G131" s="194">
        <f t="shared" si="164"/>
        <v>0</v>
      </c>
      <c r="H131" s="195">
        <f t="shared" si="164"/>
        <v>0</v>
      </c>
      <c r="I131" s="134">
        <f t="shared" si="164"/>
        <v>0</v>
      </c>
      <c r="J131" s="194">
        <f t="shared" si="164"/>
        <v>11945</v>
      </c>
      <c r="K131" s="195">
        <f t="shared" si="164"/>
        <v>0</v>
      </c>
      <c r="L131" s="134">
        <f t="shared" si="164"/>
        <v>11945</v>
      </c>
      <c r="M131" s="194">
        <f t="shared" si="164"/>
        <v>0</v>
      </c>
      <c r="N131" s="195">
        <f t="shared" si="164"/>
        <v>0</v>
      </c>
      <c r="O131" s="134">
        <f t="shared" si="164"/>
        <v>0</v>
      </c>
      <c r="P131" s="49"/>
    </row>
    <row r="132" spans="1:16" ht="12" customHeight="1" x14ac:dyDescent="0.25">
      <c r="A132" s="51">
        <v>2311</v>
      </c>
      <c r="B132" s="89" t="s">
        <v>148</v>
      </c>
      <c r="C132" s="90">
        <f t="shared" si="102"/>
        <v>2000</v>
      </c>
      <c r="D132" s="196"/>
      <c r="E132" s="197"/>
      <c r="F132" s="55">
        <f t="shared" ref="F132:F135" si="165">D132+E132</f>
        <v>0</v>
      </c>
      <c r="G132" s="53"/>
      <c r="H132" s="54"/>
      <c r="I132" s="55">
        <f t="shared" ref="I132:I135" si="166">G132+H132</f>
        <v>0</v>
      </c>
      <c r="J132" s="53">
        <v>2000</v>
      </c>
      <c r="K132" s="54"/>
      <c r="L132" s="55">
        <f t="shared" ref="L132:L135" si="167">K132+J132</f>
        <v>2000</v>
      </c>
      <c r="M132" s="53"/>
      <c r="N132" s="54"/>
      <c r="O132" s="55">
        <f t="shared" ref="O132:O135" si="168">N132+M132</f>
        <v>0</v>
      </c>
      <c r="P132" s="57"/>
    </row>
    <row r="133" spans="1:16" x14ac:dyDescent="0.25">
      <c r="A133" s="51">
        <v>2312</v>
      </c>
      <c r="B133" s="89" t="s">
        <v>149</v>
      </c>
      <c r="C133" s="90">
        <f t="shared" si="102"/>
        <v>6075</v>
      </c>
      <c r="D133" s="196"/>
      <c r="E133" s="197"/>
      <c r="F133" s="55">
        <f t="shared" si="165"/>
        <v>0</v>
      </c>
      <c r="G133" s="53"/>
      <c r="H133" s="54"/>
      <c r="I133" s="55">
        <f t="shared" si="166"/>
        <v>0</v>
      </c>
      <c r="J133" s="53">
        <v>6075</v>
      </c>
      <c r="K133" s="54"/>
      <c r="L133" s="55">
        <f t="shared" si="167"/>
        <v>6075</v>
      </c>
      <c r="M133" s="53"/>
      <c r="N133" s="54"/>
      <c r="O133" s="55">
        <f t="shared" si="168"/>
        <v>0</v>
      </c>
      <c r="P133" s="57"/>
    </row>
    <row r="134" spans="1:16" ht="12" customHeight="1" x14ac:dyDescent="0.25">
      <c r="A134" s="51">
        <v>2313</v>
      </c>
      <c r="B134" s="89" t="s">
        <v>150</v>
      </c>
      <c r="C134" s="90">
        <f t="shared" si="102"/>
        <v>2460</v>
      </c>
      <c r="D134" s="196"/>
      <c r="E134" s="197"/>
      <c r="F134" s="55">
        <f t="shared" si="165"/>
        <v>0</v>
      </c>
      <c r="G134" s="53"/>
      <c r="H134" s="54"/>
      <c r="I134" s="55">
        <f t="shared" si="166"/>
        <v>0</v>
      </c>
      <c r="J134" s="53">
        <v>2460</v>
      </c>
      <c r="K134" s="54"/>
      <c r="L134" s="55">
        <f t="shared" si="167"/>
        <v>2460</v>
      </c>
      <c r="M134" s="53"/>
      <c r="N134" s="54"/>
      <c r="O134" s="55">
        <f t="shared" si="168"/>
        <v>0</v>
      </c>
      <c r="P134" s="57"/>
    </row>
    <row r="135" spans="1:16" ht="36" customHeight="1" x14ac:dyDescent="0.25">
      <c r="A135" s="51">
        <v>2314</v>
      </c>
      <c r="B135" s="89" t="s">
        <v>151</v>
      </c>
      <c r="C135" s="90">
        <f t="shared" si="102"/>
        <v>1410</v>
      </c>
      <c r="D135" s="196"/>
      <c r="E135" s="197"/>
      <c r="F135" s="55">
        <f t="shared" si="165"/>
        <v>0</v>
      </c>
      <c r="G135" s="53"/>
      <c r="H135" s="54"/>
      <c r="I135" s="55">
        <f t="shared" si="166"/>
        <v>0</v>
      </c>
      <c r="J135" s="53">
        <v>1410</v>
      </c>
      <c r="K135" s="54"/>
      <c r="L135" s="55">
        <f t="shared" si="167"/>
        <v>1410</v>
      </c>
      <c r="M135" s="53"/>
      <c r="N135" s="54"/>
      <c r="O135" s="55">
        <f t="shared" si="168"/>
        <v>0</v>
      </c>
      <c r="P135" s="57"/>
    </row>
    <row r="136" spans="1:16" x14ac:dyDescent="0.25">
      <c r="A136" s="189">
        <v>2320</v>
      </c>
      <c r="B136" s="89" t="s">
        <v>152</v>
      </c>
      <c r="C136" s="90">
        <f t="shared" si="102"/>
        <v>1939</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1939</v>
      </c>
      <c r="K136" s="191">
        <f t="shared" ref="K136:L136" si="171">SUM(K137:K139)</f>
        <v>0</v>
      </c>
      <c r="L136" s="55">
        <f t="shared" si="171"/>
        <v>1939</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22.5" customHeight="1" x14ac:dyDescent="0.25">
      <c r="A138" s="51">
        <v>2322</v>
      </c>
      <c r="B138" s="89" t="s">
        <v>154</v>
      </c>
      <c r="C138" s="90">
        <f t="shared" si="102"/>
        <v>1939</v>
      </c>
      <c r="D138" s="196"/>
      <c r="E138" s="197"/>
      <c r="F138" s="55">
        <f t="shared" si="173"/>
        <v>0</v>
      </c>
      <c r="G138" s="53"/>
      <c r="H138" s="54"/>
      <c r="I138" s="55">
        <f t="shared" si="174"/>
        <v>0</v>
      </c>
      <c r="J138" s="53">
        <v>1939</v>
      </c>
      <c r="K138" s="54"/>
      <c r="L138" s="55">
        <f t="shared" si="175"/>
        <v>1939</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11574</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11574</v>
      </c>
      <c r="K141" s="191">
        <f t="shared" ref="K141:L141" si="179">SUM(K142:K143)</f>
        <v>0</v>
      </c>
      <c r="L141" s="55">
        <f t="shared" si="179"/>
        <v>11574</v>
      </c>
      <c r="M141" s="190">
        <f>SUM(M142:M143)</f>
        <v>0</v>
      </c>
      <c r="N141" s="191">
        <f t="shared" ref="N141:O141" si="180">SUM(N142:N143)</f>
        <v>0</v>
      </c>
      <c r="O141" s="55">
        <f t="shared" si="180"/>
        <v>0</v>
      </c>
      <c r="P141" s="57"/>
    </row>
    <row r="142" spans="1:16" ht="24.75" customHeight="1" x14ac:dyDescent="0.25">
      <c r="A142" s="51">
        <v>2341</v>
      </c>
      <c r="B142" s="89" t="s">
        <v>158</v>
      </c>
      <c r="C142" s="90">
        <f t="shared" si="102"/>
        <v>11574</v>
      </c>
      <c r="D142" s="196"/>
      <c r="E142" s="197"/>
      <c r="F142" s="55">
        <f t="shared" ref="F142:F143" si="181">D142+E142</f>
        <v>0</v>
      </c>
      <c r="G142" s="53"/>
      <c r="H142" s="54"/>
      <c r="I142" s="55">
        <f t="shared" ref="I142:I143" si="182">G142+H142</f>
        <v>0</v>
      </c>
      <c r="J142" s="53">
        <v>11574</v>
      </c>
      <c r="K142" s="54"/>
      <c r="L142" s="55">
        <f t="shared" ref="L142:L143" si="183">K142+J142</f>
        <v>11574</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20753</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20804</v>
      </c>
      <c r="K144" s="188">
        <f t="shared" ref="K144:L144" si="187">SUM(K145:K150)</f>
        <v>-51</v>
      </c>
      <c r="L144" s="141">
        <f t="shared" si="187"/>
        <v>20753</v>
      </c>
      <c r="M144" s="187">
        <f>SUM(M145:M150)</f>
        <v>0</v>
      </c>
      <c r="N144" s="188">
        <f t="shared" ref="N144:O144" si="188">SUM(N145:N150)</f>
        <v>0</v>
      </c>
      <c r="O144" s="141">
        <f t="shared" si="188"/>
        <v>0</v>
      </c>
      <c r="P144" s="129"/>
    </row>
    <row r="145" spans="1:16" ht="21" customHeight="1" x14ac:dyDescent="0.25">
      <c r="A145" s="44">
        <v>2351</v>
      </c>
      <c r="B145" s="82" t="s">
        <v>161</v>
      </c>
      <c r="C145" s="83">
        <f t="shared" si="102"/>
        <v>8592</v>
      </c>
      <c r="D145" s="199"/>
      <c r="E145" s="200"/>
      <c r="F145" s="134">
        <f t="shared" ref="F145:F150" si="189">D145+E145</f>
        <v>0</v>
      </c>
      <c r="G145" s="46"/>
      <c r="H145" s="47"/>
      <c r="I145" s="134">
        <f t="shared" ref="I145:I150" si="190">G145+H145</f>
        <v>0</v>
      </c>
      <c r="J145" s="46">
        <v>9543</v>
      </c>
      <c r="K145" s="47">
        <v>-951</v>
      </c>
      <c r="L145" s="134">
        <f t="shared" ref="L145:L150" si="191">K145+J145</f>
        <v>8592</v>
      </c>
      <c r="M145" s="46"/>
      <c r="N145" s="47"/>
      <c r="O145" s="134">
        <f t="shared" ref="O145:O150" si="192">N145+M145</f>
        <v>0</v>
      </c>
      <c r="P145" s="49" t="s">
        <v>567</v>
      </c>
    </row>
    <row r="146" spans="1:16" ht="25.5" customHeight="1" x14ac:dyDescent="0.25">
      <c r="A146" s="51">
        <v>2352</v>
      </c>
      <c r="B146" s="89" t="s">
        <v>162</v>
      </c>
      <c r="C146" s="90">
        <f t="shared" si="102"/>
        <v>10492</v>
      </c>
      <c r="D146" s="196"/>
      <c r="E146" s="197"/>
      <c r="F146" s="55">
        <f t="shared" si="189"/>
        <v>0</v>
      </c>
      <c r="G146" s="53"/>
      <c r="H146" s="54"/>
      <c r="I146" s="55">
        <f t="shared" si="190"/>
        <v>0</v>
      </c>
      <c r="J146" s="53">
        <v>9592</v>
      </c>
      <c r="K146" s="54">
        <v>900</v>
      </c>
      <c r="L146" s="55">
        <f t="shared" si="191"/>
        <v>10492</v>
      </c>
      <c r="M146" s="53"/>
      <c r="N146" s="54"/>
      <c r="O146" s="55">
        <f t="shared" si="192"/>
        <v>0</v>
      </c>
      <c r="P146" s="57" t="s">
        <v>568</v>
      </c>
    </row>
    <row r="147" spans="1:16" ht="24" customHeight="1" x14ac:dyDescent="0.25">
      <c r="A147" s="51">
        <v>2353</v>
      </c>
      <c r="B147" s="89" t="s">
        <v>163</v>
      </c>
      <c r="C147" s="90">
        <f t="shared" si="102"/>
        <v>1395</v>
      </c>
      <c r="D147" s="196"/>
      <c r="E147" s="197"/>
      <c r="F147" s="55">
        <f t="shared" si="189"/>
        <v>0</v>
      </c>
      <c r="G147" s="53"/>
      <c r="H147" s="54"/>
      <c r="I147" s="55">
        <f t="shared" si="190"/>
        <v>0</v>
      </c>
      <c r="J147" s="53">
        <v>1395</v>
      </c>
      <c r="K147" s="54"/>
      <c r="L147" s="55">
        <f t="shared" si="191"/>
        <v>1395</v>
      </c>
      <c r="M147" s="53"/>
      <c r="N147" s="54"/>
      <c r="O147" s="55">
        <f t="shared" si="192"/>
        <v>0</v>
      </c>
      <c r="P147" s="57"/>
    </row>
    <row r="148" spans="1:16" ht="24" customHeight="1" x14ac:dyDescent="0.25">
      <c r="A148" s="51">
        <v>2354</v>
      </c>
      <c r="B148" s="89" t="s">
        <v>164</v>
      </c>
      <c r="C148" s="90">
        <f t="shared" ref="C148:C211" si="193">F148+I148+L148+O148</f>
        <v>150</v>
      </c>
      <c r="D148" s="196"/>
      <c r="E148" s="197"/>
      <c r="F148" s="55">
        <f t="shared" si="189"/>
        <v>0</v>
      </c>
      <c r="G148" s="53"/>
      <c r="H148" s="54"/>
      <c r="I148" s="55">
        <f t="shared" si="190"/>
        <v>0</v>
      </c>
      <c r="J148" s="53">
        <v>150</v>
      </c>
      <c r="K148" s="54"/>
      <c r="L148" s="55">
        <f t="shared" si="191"/>
        <v>150</v>
      </c>
      <c r="M148" s="53"/>
      <c r="N148" s="54"/>
      <c r="O148" s="55">
        <f t="shared" si="192"/>
        <v>0</v>
      </c>
      <c r="P148" s="57"/>
    </row>
    <row r="149" spans="1:16" ht="24" customHeight="1" x14ac:dyDescent="0.25">
      <c r="A149" s="51">
        <v>2355</v>
      </c>
      <c r="B149" s="89" t="s">
        <v>165</v>
      </c>
      <c r="C149" s="90">
        <f t="shared" si="193"/>
        <v>24</v>
      </c>
      <c r="D149" s="196"/>
      <c r="E149" s="197"/>
      <c r="F149" s="55">
        <f t="shared" si="189"/>
        <v>0</v>
      </c>
      <c r="G149" s="53"/>
      <c r="H149" s="54"/>
      <c r="I149" s="55">
        <f t="shared" si="190"/>
        <v>0</v>
      </c>
      <c r="J149" s="53">
        <v>24</v>
      </c>
      <c r="K149" s="54"/>
      <c r="L149" s="55">
        <f t="shared" si="191"/>
        <v>24</v>
      </c>
      <c r="M149" s="53"/>
      <c r="N149" s="54"/>
      <c r="O149" s="55">
        <f t="shared" si="192"/>
        <v>0</v>
      </c>
      <c r="P149" s="57"/>
    </row>
    <row r="150" spans="1:16" ht="24" customHeight="1" x14ac:dyDescent="0.25">
      <c r="A150" s="51">
        <v>2359</v>
      </c>
      <c r="B150" s="89" t="s">
        <v>166</v>
      </c>
      <c r="C150" s="90">
        <f t="shared" si="193"/>
        <v>100</v>
      </c>
      <c r="D150" s="196"/>
      <c r="E150" s="197"/>
      <c r="F150" s="55">
        <f t="shared" si="189"/>
        <v>0</v>
      </c>
      <c r="G150" s="53"/>
      <c r="H150" s="54"/>
      <c r="I150" s="55">
        <f t="shared" si="190"/>
        <v>0</v>
      </c>
      <c r="J150" s="53">
        <v>100</v>
      </c>
      <c r="K150" s="54"/>
      <c r="L150" s="55">
        <f t="shared" si="191"/>
        <v>100</v>
      </c>
      <c r="M150" s="53"/>
      <c r="N150" s="54"/>
      <c r="O150" s="55">
        <f t="shared" si="192"/>
        <v>0</v>
      </c>
      <c r="P150" s="57"/>
    </row>
    <row r="151" spans="1:16" ht="24.75" customHeight="1" x14ac:dyDescent="0.25">
      <c r="A151" s="189">
        <v>2360</v>
      </c>
      <c r="B151" s="89" t="s">
        <v>167</v>
      </c>
      <c r="C151" s="90">
        <f t="shared" si="193"/>
        <v>184486</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184486</v>
      </c>
      <c r="K151" s="191">
        <f t="shared" ref="K151:L151" si="196">SUM(K152:K158)</f>
        <v>0</v>
      </c>
      <c r="L151" s="55">
        <f t="shared" si="196"/>
        <v>184486</v>
      </c>
      <c r="M151" s="190">
        <f>SUM(M152:M158)</f>
        <v>0</v>
      </c>
      <c r="N151" s="191">
        <f t="shared" ref="N151:O151" si="197">SUM(N152:N158)</f>
        <v>0</v>
      </c>
      <c r="O151" s="55">
        <f t="shared" si="197"/>
        <v>0</v>
      </c>
      <c r="P151" s="57"/>
    </row>
    <row r="152" spans="1:16" ht="22.5" customHeight="1" x14ac:dyDescent="0.25">
      <c r="A152" s="50">
        <v>2361</v>
      </c>
      <c r="B152" s="89" t="s">
        <v>168</v>
      </c>
      <c r="C152" s="90">
        <f t="shared" si="193"/>
        <v>4797</v>
      </c>
      <c r="D152" s="196"/>
      <c r="E152" s="197"/>
      <c r="F152" s="55">
        <f t="shared" ref="F152:F159" si="198">D152+E152</f>
        <v>0</v>
      </c>
      <c r="G152" s="53"/>
      <c r="H152" s="54"/>
      <c r="I152" s="55">
        <f t="shared" ref="I152:I159" si="199">G152+H152</f>
        <v>0</v>
      </c>
      <c r="J152" s="53">
        <v>4797</v>
      </c>
      <c r="K152" s="54"/>
      <c r="L152" s="55">
        <f t="shared" ref="L152:L159" si="200">K152+J152</f>
        <v>4797</v>
      </c>
      <c r="M152" s="53"/>
      <c r="N152" s="54"/>
      <c r="O152" s="55">
        <f t="shared" ref="O152:O159" si="201">N152+M152</f>
        <v>0</v>
      </c>
      <c r="P152" s="57"/>
    </row>
    <row r="153" spans="1:16" ht="24" customHeight="1" x14ac:dyDescent="0.25">
      <c r="A153" s="50">
        <v>2362</v>
      </c>
      <c r="B153" s="89" t="s">
        <v>169</v>
      </c>
      <c r="C153" s="90">
        <f t="shared" si="193"/>
        <v>772</v>
      </c>
      <c r="D153" s="196"/>
      <c r="E153" s="197"/>
      <c r="F153" s="55">
        <f t="shared" si="198"/>
        <v>0</v>
      </c>
      <c r="G153" s="53"/>
      <c r="H153" s="54"/>
      <c r="I153" s="55">
        <f t="shared" si="199"/>
        <v>0</v>
      </c>
      <c r="J153" s="53">
        <v>772</v>
      </c>
      <c r="K153" s="54"/>
      <c r="L153" s="55">
        <f t="shared" si="200"/>
        <v>772</v>
      </c>
      <c r="M153" s="53"/>
      <c r="N153" s="54"/>
      <c r="O153" s="55">
        <f t="shared" si="201"/>
        <v>0</v>
      </c>
      <c r="P153" s="57"/>
    </row>
    <row r="154" spans="1:16" ht="24" customHeight="1" x14ac:dyDescent="0.25">
      <c r="A154" s="50">
        <v>2363</v>
      </c>
      <c r="B154" s="89" t="s">
        <v>170</v>
      </c>
      <c r="C154" s="90">
        <f t="shared" si="193"/>
        <v>154389</v>
      </c>
      <c r="D154" s="196"/>
      <c r="E154" s="197"/>
      <c r="F154" s="55">
        <f t="shared" si="198"/>
        <v>0</v>
      </c>
      <c r="G154" s="53"/>
      <c r="H154" s="54"/>
      <c r="I154" s="55">
        <f t="shared" si="199"/>
        <v>0</v>
      </c>
      <c r="J154" s="53">
        <v>154389</v>
      </c>
      <c r="K154" s="54"/>
      <c r="L154" s="55">
        <f t="shared" si="200"/>
        <v>154389</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customHeight="1" x14ac:dyDescent="0.25">
      <c r="A156" s="50">
        <v>2365</v>
      </c>
      <c r="B156" s="89" t="s">
        <v>172</v>
      </c>
      <c r="C156" s="90">
        <f t="shared" si="193"/>
        <v>382</v>
      </c>
      <c r="D156" s="196"/>
      <c r="E156" s="197"/>
      <c r="F156" s="55">
        <f t="shared" si="198"/>
        <v>0</v>
      </c>
      <c r="G156" s="53"/>
      <c r="H156" s="54"/>
      <c r="I156" s="55">
        <f t="shared" si="199"/>
        <v>0</v>
      </c>
      <c r="J156" s="53">
        <v>382</v>
      </c>
      <c r="K156" s="54"/>
      <c r="L156" s="55">
        <f t="shared" si="200"/>
        <v>382</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57.75" customHeight="1" x14ac:dyDescent="0.25">
      <c r="A158" s="50">
        <v>2369</v>
      </c>
      <c r="B158" s="89" t="s">
        <v>174</v>
      </c>
      <c r="C158" s="90">
        <f t="shared" si="193"/>
        <v>24146</v>
      </c>
      <c r="D158" s="196"/>
      <c r="E158" s="197"/>
      <c r="F158" s="55">
        <f t="shared" si="198"/>
        <v>0</v>
      </c>
      <c r="G158" s="53"/>
      <c r="H158" s="54"/>
      <c r="I158" s="55">
        <f t="shared" si="199"/>
        <v>0</v>
      </c>
      <c r="J158" s="53">
        <v>24146</v>
      </c>
      <c r="K158" s="54"/>
      <c r="L158" s="55">
        <f t="shared" si="200"/>
        <v>24146</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x14ac:dyDescent="0.25">
      <c r="A160" s="186">
        <v>2380</v>
      </c>
      <c r="B160" s="138" t="s">
        <v>176</v>
      </c>
      <c r="C160" s="143">
        <f t="shared" si="193"/>
        <v>2437</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2437</v>
      </c>
      <c r="K160" s="188">
        <f t="shared" ref="K160:L160" si="204">SUM(K161:K162)</f>
        <v>0</v>
      </c>
      <c r="L160" s="141">
        <f t="shared" si="204"/>
        <v>2437</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31.5" customHeight="1" x14ac:dyDescent="0.25">
      <c r="A162" s="50">
        <v>2389</v>
      </c>
      <c r="B162" s="89" t="s">
        <v>178</v>
      </c>
      <c r="C162" s="90">
        <f t="shared" si="193"/>
        <v>2437</v>
      </c>
      <c r="D162" s="196"/>
      <c r="E162" s="197"/>
      <c r="F162" s="55">
        <f t="shared" si="206"/>
        <v>0</v>
      </c>
      <c r="G162" s="53"/>
      <c r="H162" s="54"/>
      <c r="I162" s="55">
        <f t="shared" si="207"/>
        <v>0</v>
      </c>
      <c r="J162" s="53">
        <v>2437</v>
      </c>
      <c r="K162" s="54"/>
      <c r="L162" s="55">
        <f t="shared" si="208"/>
        <v>2437</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1793</v>
      </c>
      <c r="D165" s="184">
        <f>SUM(D166,D171)</f>
        <v>0</v>
      </c>
      <c r="E165" s="185">
        <f t="shared" ref="E165:O165" si="210">SUM(E166,E171)</f>
        <v>0</v>
      </c>
      <c r="F165" s="73">
        <f t="shared" si="210"/>
        <v>0</v>
      </c>
      <c r="G165" s="184">
        <f t="shared" si="210"/>
        <v>0</v>
      </c>
      <c r="H165" s="185">
        <f t="shared" si="210"/>
        <v>0</v>
      </c>
      <c r="I165" s="73">
        <f t="shared" si="210"/>
        <v>0</v>
      </c>
      <c r="J165" s="184">
        <f t="shared" si="210"/>
        <v>1793</v>
      </c>
      <c r="K165" s="185">
        <f t="shared" si="210"/>
        <v>0</v>
      </c>
      <c r="L165" s="73">
        <f t="shared" si="210"/>
        <v>1793</v>
      </c>
      <c r="M165" s="184">
        <f t="shared" si="210"/>
        <v>0</v>
      </c>
      <c r="N165" s="185">
        <f t="shared" si="210"/>
        <v>0</v>
      </c>
      <c r="O165" s="73">
        <f t="shared" si="210"/>
        <v>0</v>
      </c>
      <c r="P165" s="77"/>
    </row>
    <row r="166" spans="1:16" ht="16.5" customHeight="1" x14ac:dyDescent="0.25">
      <c r="A166" s="321">
        <v>2510</v>
      </c>
      <c r="B166" s="82" t="s">
        <v>182</v>
      </c>
      <c r="C166" s="83">
        <f t="shared" si="193"/>
        <v>1793</v>
      </c>
      <c r="D166" s="194">
        <f>SUM(D167:D170)</f>
        <v>0</v>
      </c>
      <c r="E166" s="195">
        <f t="shared" ref="E166:O166" si="211">SUM(E167:E170)</f>
        <v>0</v>
      </c>
      <c r="F166" s="134">
        <f t="shared" si="211"/>
        <v>0</v>
      </c>
      <c r="G166" s="194">
        <f t="shared" si="211"/>
        <v>0</v>
      </c>
      <c r="H166" s="195">
        <f t="shared" si="211"/>
        <v>0</v>
      </c>
      <c r="I166" s="134">
        <f t="shared" si="211"/>
        <v>0</v>
      </c>
      <c r="J166" s="194">
        <f t="shared" si="211"/>
        <v>1793</v>
      </c>
      <c r="K166" s="195">
        <f t="shared" si="211"/>
        <v>0</v>
      </c>
      <c r="L166" s="134">
        <f t="shared" si="211"/>
        <v>1793</v>
      </c>
      <c r="M166" s="194">
        <f t="shared" si="211"/>
        <v>0</v>
      </c>
      <c r="N166" s="195">
        <f t="shared" si="211"/>
        <v>0</v>
      </c>
      <c r="O166" s="134">
        <f t="shared" si="211"/>
        <v>0</v>
      </c>
      <c r="P166" s="49"/>
    </row>
    <row r="167" spans="1:16" ht="24" customHeight="1" x14ac:dyDescent="0.25">
      <c r="A167" s="51">
        <v>2512</v>
      </c>
      <c r="B167" s="89" t="s">
        <v>183</v>
      </c>
      <c r="C167" s="90">
        <f t="shared" si="193"/>
        <v>1393</v>
      </c>
      <c r="D167" s="196"/>
      <c r="E167" s="197"/>
      <c r="F167" s="55">
        <f t="shared" ref="F167:F172" si="212">D167+E167</f>
        <v>0</v>
      </c>
      <c r="G167" s="53"/>
      <c r="H167" s="54"/>
      <c r="I167" s="55">
        <f t="shared" ref="I167:I172" si="213">G167+H167</f>
        <v>0</v>
      </c>
      <c r="J167" s="53">
        <v>1393</v>
      </c>
      <c r="K167" s="54"/>
      <c r="L167" s="55">
        <f t="shared" ref="L167:L172" si="214">K167+J167</f>
        <v>1393</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33" customHeight="1" x14ac:dyDescent="0.2">
      <c r="A170" s="51">
        <v>2519</v>
      </c>
      <c r="B170" s="89" t="s">
        <v>186</v>
      </c>
      <c r="C170" s="90">
        <f t="shared" si="193"/>
        <v>400</v>
      </c>
      <c r="D170" s="196"/>
      <c r="E170" s="197"/>
      <c r="F170" s="55">
        <f t="shared" si="212"/>
        <v>0</v>
      </c>
      <c r="G170" s="53"/>
      <c r="H170" s="54"/>
      <c r="I170" s="55">
        <f t="shared" si="213"/>
        <v>0</v>
      </c>
      <c r="J170" s="53">
        <v>400</v>
      </c>
      <c r="K170" s="54"/>
      <c r="L170" s="55">
        <f t="shared" si="214"/>
        <v>400</v>
      </c>
      <c r="M170" s="53"/>
      <c r="N170" s="54"/>
      <c r="O170" s="55">
        <f t="shared" si="215"/>
        <v>0</v>
      </c>
      <c r="P170" s="445"/>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321">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21">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1">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1">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49371</v>
      </c>
      <c r="D194" s="173">
        <f t="shared" ref="D194:O194" si="259">SUM(D195,D230,D269,D283)</f>
        <v>1500</v>
      </c>
      <c r="E194" s="174">
        <f t="shared" si="259"/>
        <v>0</v>
      </c>
      <c r="F194" s="175">
        <f t="shared" si="259"/>
        <v>1500</v>
      </c>
      <c r="G194" s="173">
        <f t="shared" si="259"/>
        <v>0</v>
      </c>
      <c r="H194" s="174">
        <f t="shared" si="259"/>
        <v>0</v>
      </c>
      <c r="I194" s="175">
        <f t="shared" si="259"/>
        <v>0</v>
      </c>
      <c r="J194" s="173">
        <f t="shared" si="259"/>
        <v>47871</v>
      </c>
      <c r="K194" s="174">
        <f t="shared" si="259"/>
        <v>0</v>
      </c>
      <c r="L194" s="175">
        <f t="shared" si="259"/>
        <v>47871</v>
      </c>
      <c r="M194" s="173">
        <f t="shared" si="259"/>
        <v>0</v>
      </c>
      <c r="N194" s="174">
        <f t="shared" si="259"/>
        <v>0</v>
      </c>
      <c r="O194" s="175">
        <f t="shared" si="259"/>
        <v>0</v>
      </c>
      <c r="P194" s="176"/>
    </row>
    <row r="195" spans="1:16" x14ac:dyDescent="0.25">
      <c r="A195" s="177">
        <v>5000</v>
      </c>
      <c r="B195" s="177" t="s">
        <v>211</v>
      </c>
      <c r="C195" s="178">
        <f t="shared" si="193"/>
        <v>15141</v>
      </c>
      <c r="D195" s="179">
        <f>D196+D204</f>
        <v>1500</v>
      </c>
      <c r="E195" s="180">
        <f t="shared" ref="E195:F195" si="260">E196+E204</f>
        <v>0</v>
      </c>
      <c r="F195" s="181">
        <f t="shared" si="260"/>
        <v>1500</v>
      </c>
      <c r="G195" s="179">
        <f>G196+G204</f>
        <v>0</v>
      </c>
      <c r="H195" s="180">
        <f t="shared" ref="H195:I195" si="261">H196+H204</f>
        <v>0</v>
      </c>
      <c r="I195" s="181">
        <f t="shared" si="261"/>
        <v>0</v>
      </c>
      <c r="J195" s="179">
        <f>J196+J204</f>
        <v>13641</v>
      </c>
      <c r="K195" s="180">
        <f t="shared" ref="K195:L195" si="262">K196+K204</f>
        <v>0</v>
      </c>
      <c r="L195" s="181">
        <f t="shared" si="262"/>
        <v>13641</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1">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15141</v>
      </c>
      <c r="D204" s="184">
        <f>D205+D215+D216+D225+D226+D227+D229</f>
        <v>1500</v>
      </c>
      <c r="E204" s="185">
        <f t="shared" ref="E204:F204" si="276">E205+E215+E216+E225+E226+E227+E229</f>
        <v>0</v>
      </c>
      <c r="F204" s="73">
        <f t="shared" si="276"/>
        <v>1500</v>
      </c>
      <c r="G204" s="184">
        <f>G205+G215+G216+G225+G226+G227+G229</f>
        <v>0</v>
      </c>
      <c r="H204" s="185">
        <f t="shared" ref="H204:I204" si="277">H205+H215+H216+H225+H226+H227+H229</f>
        <v>0</v>
      </c>
      <c r="I204" s="73">
        <f t="shared" si="277"/>
        <v>0</v>
      </c>
      <c r="J204" s="184">
        <f>J205+J215+J216+J225+J226+J227+J229</f>
        <v>13641</v>
      </c>
      <c r="K204" s="185">
        <f t="shared" ref="K204:L204" si="278">K205+K215+K216+K225+K226+K227+K229</f>
        <v>0</v>
      </c>
      <c r="L204" s="73">
        <f t="shared" si="278"/>
        <v>13641</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15141</v>
      </c>
      <c r="D216" s="190">
        <f>SUM(D217:D224)</f>
        <v>1500</v>
      </c>
      <c r="E216" s="191">
        <f t="shared" ref="E216:F216" si="289">SUM(E217:E224)</f>
        <v>0</v>
      </c>
      <c r="F216" s="55">
        <f t="shared" si="289"/>
        <v>1500</v>
      </c>
      <c r="G216" s="190">
        <f>SUM(G217:G224)</f>
        <v>0</v>
      </c>
      <c r="H216" s="191">
        <f t="shared" ref="H216:I216" si="290">SUM(H217:H224)</f>
        <v>0</v>
      </c>
      <c r="I216" s="55">
        <f t="shared" si="290"/>
        <v>0</v>
      </c>
      <c r="J216" s="190">
        <f>SUM(J217:J224)</f>
        <v>13641</v>
      </c>
      <c r="K216" s="191">
        <f t="shared" ref="K216:L216" si="291">SUM(K217:K224)</f>
        <v>0</v>
      </c>
      <c r="L216" s="55">
        <f t="shared" si="291"/>
        <v>13641</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9.5" customHeight="1" x14ac:dyDescent="0.25">
      <c r="A218" s="51">
        <v>5232</v>
      </c>
      <c r="B218" s="89" t="s">
        <v>234</v>
      </c>
      <c r="C218" s="90">
        <f t="shared" si="288"/>
        <v>13641</v>
      </c>
      <c r="D218" s="196"/>
      <c r="E218" s="197"/>
      <c r="F218" s="55">
        <f t="shared" si="293"/>
        <v>0</v>
      </c>
      <c r="G218" s="53"/>
      <c r="H218" s="54"/>
      <c r="I218" s="55">
        <f t="shared" si="294"/>
        <v>0</v>
      </c>
      <c r="J218" s="53">
        <v>13641</v>
      </c>
      <c r="K218" s="54"/>
      <c r="L218" s="55">
        <f t="shared" si="295"/>
        <v>13641</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1500</v>
      </c>
      <c r="D223" s="196">
        <v>1500</v>
      </c>
      <c r="E223" s="197"/>
      <c r="F223" s="55">
        <f t="shared" si="293"/>
        <v>1500</v>
      </c>
      <c r="G223" s="53"/>
      <c r="H223" s="54"/>
      <c r="I223" s="55">
        <f t="shared" si="294"/>
        <v>0</v>
      </c>
      <c r="J223" s="53"/>
      <c r="K223" s="54"/>
      <c r="L223" s="55">
        <f t="shared" si="295"/>
        <v>0</v>
      </c>
      <c r="M223" s="53"/>
      <c r="N223" s="54"/>
      <c r="O223" s="55">
        <f t="shared" si="296"/>
        <v>0</v>
      </c>
      <c r="P223" s="57"/>
    </row>
    <row r="224" spans="1:16" ht="33"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246</v>
      </c>
      <c r="C230" s="178">
        <f t="shared" si="288"/>
        <v>34230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34230</v>
      </c>
      <c r="K230" s="180">
        <f t="shared" ref="K230:L230" si="307">K231+K251+K259</f>
        <v>0</v>
      </c>
      <c r="L230" s="181">
        <f t="shared" si="307"/>
        <v>34230</v>
      </c>
      <c r="M230" s="179">
        <f>M231+M251+M259</f>
        <v>0</v>
      </c>
      <c r="N230" s="180">
        <f t="shared" ref="N230:O230" si="308">N231+N251+N259</f>
        <v>0</v>
      </c>
      <c r="O230" s="181">
        <f t="shared" si="308"/>
        <v>0</v>
      </c>
      <c r="P230" s="182"/>
    </row>
    <row r="231" spans="1:16" ht="14.25" customHeight="1" x14ac:dyDescent="0.25">
      <c r="A231" s="217">
        <v>6200</v>
      </c>
      <c r="B231" s="208" t="s">
        <v>247</v>
      </c>
      <c r="C231" s="218">
        <f t="shared" si="288"/>
        <v>34230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34230</v>
      </c>
      <c r="K231" s="220">
        <f t="shared" ref="K231:L231" si="311">SUM(K232,K233,K235,K238,K244,K245,K246)</f>
        <v>0</v>
      </c>
      <c r="L231" s="221">
        <f t="shared" si="311"/>
        <v>34230</v>
      </c>
      <c r="M231" s="219">
        <f>SUM(M232,M233,M235,M238,M244,M245,M246)</f>
        <v>0</v>
      </c>
      <c r="N231" s="220">
        <f t="shared" ref="N231:O231" si="312">SUM(N232,N233,N235,N238,N244,N245,N246)</f>
        <v>0</v>
      </c>
      <c r="O231" s="221">
        <f t="shared" si="312"/>
        <v>0</v>
      </c>
      <c r="P231" s="222"/>
    </row>
    <row r="232" spans="1:16" ht="24" hidden="1" customHeight="1" x14ac:dyDescent="0.25">
      <c r="A232" s="321">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x14ac:dyDescent="0.25">
      <c r="A246" s="321">
        <v>6290</v>
      </c>
      <c r="B246" s="82" t="s">
        <v>262</v>
      </c>
      <c r="C246" s="209">
        <f t="shared" si="288"/>
        <v>34230</v>
      </c>
      <c r="D246" s="194">
        <f>SUM(D247:D250)</f>
        <v>0</v>
      </c>
      <c r="E246" s="195">
        <f t="shared" ref="E246:O246" si="330">SUM(E247:E250)</f>
        <v>0</v>
      </c>
      <c r="F246" s="134">
        <f t="shared" si="330"/>
        <v>0</v>
      </c>
      <c r="G246" s="194">
        <f t="shared" si="330"/>
        <v>0</v>
      </c>
      <c r="H246" s="195">
        <f t="shared" si="330"/>
        <v>0</v>
      </c>
      <c r="I246" s="134">
        <f t="shared" si="330"/>
        <v>0</v>
      </c>
      <c r="J246" s="194">
        <f t="shared" si="330"/>
        <v>34230</v>
      </c>
      <c r="K246" s="195">
        <f t="shared" si="330"/>
        <v>0</v>
      </c>
      <c r="L246" s="134">
        <f t="shared" si="330"/>
        <v>34230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64.5" customHeight="1" x14ac:dyDescent="0.25">
      <c r="A249" s="51">
        <v>6296</v>
      </c>
      <c r="B249" s="89" t="s">
        <v>265</v>
      </c>
      <c r="C249" s="90">
        <f t="shared" si="288"/>
        <v>34230</v>
      </c>
      <c r="D249" s="196"/>
      <c r="E249" s="197"/>
      <c r="F249" s="55">
        <f t="shared" si="331"/>
        <v>0</v>
      </c>
      <c r="G249" s="53"/>
      <c r="H249" s="54"/>
      <c r="I249" s="55">
        <f t="shared" si="332"/>
        <v>0</v>
      </c>
      <c r="J249" s="53">
        <v>34230</v>
      </c>
      <c r="K249" s="54"/>
      <c r="L249" s="55">
        <f t="shared" si="333"/>
        <v>34230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1">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1">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321">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1">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1374894</v>
      </c>
      <c r="D289" s="252">
        <f t="shared" ref="D289:O289" si="389">SUM(D286,D269,D230,D195,D187,D173,D75,D53,D283)</f>
        <v>748405</v>
      </c>
      <c r="E289" s="253">
        <f t="shared" si="389"/>
        <v>0</v>
      </c>
      <c r="F289" s="254">
        <f t="shared" si="389"/>
        <v>748405</v>
      </c>
      <c r="G289" s="252">
        <f t="shared" si="389"/>
        <v>25620</v>
      </c>
      <c r="H289" s="253">
        <f t="shared" si="389"/>
        <v>0</v>
      </c>
      <c r="I289" s="254">
        <f t="shared" si="389"/>
        <v>25620</v>
      </c>
      <c r="J289" s="252">
        <f t="shared" si="389"/>
        <v>600869</v>
      </c>
      <c r="K289" s="253">
        <f t="shared" si="389"/>
        <v>0</v>
      </c>
      <c r="L289" s="254">
        <f t="shared" si="389"/>
        <v>600869</v>
      </c>
      <c r="M289" s="252">
        <f t="shared" si="389"/>
        <v>0</v>
      </c>
      <c r="N289" s="253">
        <f t="shared" si="389"/>
        <v>0</v>
      </c>
      <c r="O289" s="254">
        <f t="shared" si="389"/>
        <v>0</v>
      </c>
      <c r="P289" s="255"/>
    </row>
    <row r="290" spans="1:16" s="28" customFormat="1" ht="13.5" thickTop="1" thickBot="1" x14ac:dyDescent="0.3">
      <c r="A290" s="1544" t="s">
        <v>308</v>
      </c>
      <c r="B290" s="1545"/>
      <c r="C290" s="256">
        <f t="shared" si="371"/>
        <v>-47856</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-47856</v>
      </c>
      <c r="K290" s="258">
        <f t="shared" ref="K290:L290" si="392">(K26+K43)-K51</f>
        <v>0</v>
      </c>
      <c r="L290" s="259">
        <f t="shared" si="392"/>
        <v>-47856</v>
      </c>
      <c r="M290" s="257">
        <f>M45-M51</f>
        <v>0</v>
      </c>
      <c r="N290" s="258">
        <f t="shared" ref="N290:O290" si="393">N45-N51</f>
        <v>0</v>
      </c>
      <c r="O290" s="259">
        <f t="shared" si="393"/>
        <v>0</v>
      </c>
      <c r="P290" s="260"/>
    </row>
    <row r="291" spans="1:16" s="28" customFormat="1" ht="12.75" thickTop="1" x14ac:dyDescent="0.25">
      <c r="A291" s="1546" t="s">
        <v>309</v>
      </c>
      <c r="B291" s="1547"/>
      <c r="C291" s="261">
        <f t="shared" si="371"/>
        <v>47856</v>
      </c>
      <c r="D291" s="262">
        <f t="shared" ref="D291:O291" si="394">SUM(D292,D293)-D300+D301</f>
        <v>0</v>
      </c>
      <c r="E291" s="263">
        <f t="shared" si="394"/>
        <v>0</v>
      </c>
      <c r="F291" s="264">
        <f t="shared" si="394"/>
        <v>0</v>
      </c>
      <c r="G291" s="262">
        <f t="shared" si="394"/>
        <v>0</v>
      </c>
      <c r="H291" s="263">
        <f t="shared" si="394"/>
        <v>0</v>
      </c>
      <c r="I291" s="264">
        <f t="shared" si="394"/>
        <v>0</v>
      </c>
      <c r="J291" s="262">
        <f t="shared" si="394"/>
        <v>47856</v>
      </c>
      <c r="K291" s="263">
        <f t="shared" si="394"/>
        <v>0</v>
      </c>
      <c r="L291" s="264">
        <f t="shared" si="394"/>
        <v>47856</v>
      </c>
      <c r="M291" s="262">
        <f t="shared" si="394"/>
        <v>0</v>
      </c>
      <c r="N291" s="263">
        <f t="shared" si="394"/>
        <v>0</v>
      </c>
      <c r="O291" s="264">
        <f t="shared" si="394"/>
        <v>0</v>
      </c>
      <c r="P291" s="265"/>
    </row>
    <row r="292" spans="1:16" s="28" customFormat="1" ht="12.75" thickBot="1" x14ac:dyDescent="0.3">
      <c r="A292" s="157" t="s">
        <v>310</v>
      </c>
      <c r="B292" s="157" t="s">
        <v>311</v>
      </c>
      <c r="C292" s="158">
        <f t="shared" si="371"/>
        <v>47856</v>
      </c>
      <c r="D292" s="159">
        <f t="shared" ref="D292:O292" si="395">D21-D286</f>
        <v>0</v>
      </c>
      <c r="E292" s="160">
        <f t="shared" si="395"/>
        <v>0</v>
      </c>
      <c r="F292" s="161">
        <f t="shared" si="395"/>
        <v>0</v>
      </c>
      <c r="G292" s="159">
        <f t="shared" si="395"/>
        <v>0</v>
      </c>
      <c r="H292" s="160">
        <f t="shared" si="395"/>
        <v>0</v>
      </c>
      <c r="I292" s="161">
        <f t="shared" si="395"/>
        <v>0</v>
      </c>
      <c r="J292" s="159">
        <f t="shared" si="395"/>
        <v>47856</v>
      </c>
      <c r="K292" s="160">
        <f t="shared" si="395"/>
        <v>0</v>
      </c>
      <c r="L292" s="161">
        <f t="shared" si="395"/>
        <v>47856</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sheetData>
  <sheetProtection algorithmName="SHA-512" hashValue="nXsuXgzHTB7TvZZnFvUf+Tg4+/m2/ASYuADdK/3yIPm3TSa+XsfaC4xvMDH234H9FqdUGmOpa26OV1SXpgUbDQ==" saltValue="IJuRM6vqCSojaBzTvKjZsQ==" spinCount="100000" sheet="1" objects="1" scenarios="1" formatCells="0" formatColumns="0" formatRows="0" deleteColumns="0"/>
  <autoFilter ref="A18:P301">
    <filterColumn colId="2">
      <filters>
        <filter val="1 110"/>
        <filter val="1 188"/>
        <filter val="1 325 523"/>
        <filter val="1 374 894"/>
        <filter val="1 393"/>
        <filter val="1 395"/>
        <filter val="1 410"/>
        <filter val="1 500"/>
        <filter val="1 610"/>
        <filter val="1 793"/>
        <filter val="1 813"/>
        <filter val="1 939"/>
        <filter val="10 024"/>
        <filter val="10 492"/>
        <filter val="10 659"/>
        <filter val="100"/>
        <filter val="104"/>
        <filter val="11 032"/>
        <filter val="11 574"/>
        <filter val="11 945"/>
        <filter val="13 005"/>
        <filter val="13 641"/>
        <filter val="14 341"/>
        <filter val="144 685"/>
        <filter val="15 141"/>
        <filter val="15 489"/>
        <filter val="150"/>
        <filter val="154 389"/>
        <filter val="171 109"/>
        <filter val="181 961"/>
        <filter val="184 486"/>
        <filter val="2 000"/>
        <filter val="2 272"/>
        <filter val="2 437"/>
        <filter val="2 460"/>
        <filter val="2 565"/>
        <filter val="20 753"/>
        <filter val="20 831"/>
        <filter val="212"/>
        <filter val="218"/>
        <filter val="219 372"/>
        <filter val="233 134"/>
        <filter val="24"/>
        <filter val="24 146"/>
        <filter val="28 047"/>
        <filter val="285"/>
        <filter val="288"/>
        <filter val="32 160"/>
        <filter val="34 230"/>
        <filter val="34 401"/>
        <filter val="34 429"/>
        <filter val="365"/>
        <filter val="382"/>
        <filter val="389"/>
        <filter val="4 184"/>
        <filter val="4 797"/>
        <filter val="400"/>
        <filter val="417 100"/>
        <filter val="444"/>
        <filter val="46 295"/>
        <filter val="47 856"/>
        <filter val="-47 856"/>
        <filter val="48 263"/>
        <filter val="49 371"/>
        <filter val="493 713"/>
        <filter val="509"/>
        <filter val="540 008"/>
        <filter val="553 013"/>
        <filter val="6 031"/>
        <filter val="6 075"/>
        <filter val="614"/>
        <filter val="619 253"/>
        <filter val="653"/>
        <filter val="689 051"/>
        <filter val="69 798"/>
        <filter val="7 171"/>
        <filter val="76 178"/>
        <filter val="772"/>
        <filter val="774 025"/>
        <filter val="8 592"/>
        <filter val="8 947"/>
        <filter val="908 42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2019.gada 31.oktobra saistošajiem noteikumiem Nr.46
(protokols Nr.14, 28.punkts)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00" workbookViewId="0">
      <selection activeCell="T4" sqref="T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529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530</v>
      </c>
      <c r="D3" s="1517"/>
      <c r="E3" s="1517"/>
      <c r="F3" s="1517"/>
      <c r="G3" s="1517"/>
      <c r="H3" s="1517"/>
      <c r="I3" s="1517"/>
      <c r="J3" s="1517"/>
      <c r="K3" s="1517"/>
      <c r="L3" s="1517"/>
      <c r="M3" s="1517"/>
      <c r="N3" s="1517"/>
      <c r="O3" s="1517"/>
      <c r="P3" s="1518"/>
      <c r="Q3" s="277"/>
    </row>
    <row r="4" spans="1:17" ht="12.75" customHeight="1" x14ac:dyDescent="0.25">
      <c r="A4" s="5" t="s">
        <v>4</v>
      </c>
      <c r="B4" s="6"/>
      <c r="C4" s="1517" t="s">
        <v>531</v>
      </c>
      <c r="D4" s="1517"/>
      <c r="E4" s="1517"/>
      <c r="F4" s="1517"/>
      <c r="G4" s="1517"/>
      <c r="H4" s="1517"/>
      <c r="I4" s="1517"/>
      <c r="J4" s="1517"/>
      <c r="K4" s="1517"/>
      <c r="L4" s="1517"/>
      <c r="M4" s="1517"/>
      <c r="N4" s="1517"/>
      <c r="O4" s="1517"/>
      <c r="P4" s="1518"/>
      <c r="Q4" s="277"/>
    </row>
    <row r="5" spans="1:17" ht="12.75" customHeight="1" x14ac:dyDescent="0.25">
      <c r="A5" s="7" t="s">
        <v>6</v>
      </c>
      <c r="B5" s="8"/>
      <c r="C5" s="1512" t="s">
        <v>532</v>
      </c>
      <c r="D5" s="1512"/>
      <c r="E5" s="1512"/>
      <c r="F5" s="1512"/>
      <c r="G5" s="1512"/>
      <c r="H5" s="1512"/>
      <c r="I5" s="1512"/>
      <c r="J5" s="1512"/>
      <c r="K5" s="1512"/>
      <c r="L5" s="1512"/>
      <c r="M5" s="1512"/>
      <c r="N5" s="1512"/>
      <c r="O5" s="1512"/>
      <c r="P5" s="1513"/>
      <c r="Q5" s="277"/>
    </row>
    <row r="6" spans="1:17" ht="12.75" customHeight="1" x14ac:dyDescent="0.25">
      <c r="A6" s="7" t="s">
        <v>8</v>
      </c>
      <c r="B6" s="8"/>
      <c r="C6" s="1512" t="s">
        <v>533</v>
      </c>
      <c r="D6" s="1512"/>
      <c r="E6" s="1512"/>
      <c r="F6" s="1512"/>
      <c r="G6" s="1512"/>
      <c r="H6" s="1512"/>
      <c r="I6" s="1512"/>
      <c r="J6" s="1512"/>
      <c r="K6" s="1512"/>
      <c r="L6" s="1512"/>
      <c r="M6" s="1512"/>
      <c r="N6" s="1512"/>
      <c r="O6" s="1512"/>
      <c r="P6" s="1513"/>
      <c r="Q6" s="277"/>
    </row>
    <row r="7" spans="1:17" x14ac:dyDescent="0.25">
      <c r="A7" s="7" t="s">
        <v>10</v>
      </c>
      <c r="B7" s="8"/>
      <c r="C7" s="1517" t="s">
        <v>534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535</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536</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170828</v>
      </c>
      <c r="D20" s="32">
        <f>SUM(D21,D24,D25,D41,D43)</f>
        <v>170534</v>
      </c>
      <c r="E20" s="33">
        <f t="shared" ref="E20:F20" si="1">SUM(E21,E24,E25,E41,E43)</f>
        <v>0</v>
      </c>
      <c r="F20" s="34">
        <f t="shared" si="1"/>
        <v>170534</v>
      </c>
      <c r="G20" s="32">
        <f>SUM(G21,G24,G43)</f>
        <v>0</v>
      </c>
      <c r="H20" s="33">
        <f t="shared" ref="H20:I20" si="2">SUM(H21,H24,H43)</f>
        <v>0</v>
      </c>
      <c r="I20" s="34">
        <f t="shared" si="2"/>
        <v>0</v>
      </c>
      <c r="J20" s="32">
        <f>SUM(J21,J26,J43)</f>
        <v>293</v>
      </c>
      <c r="K20" s="33">
        <f t="shared" ref="K20:L20" si="3">SUM(K21,K26,K43)</f>
        <v>1</v>
      </c>
      <c r="L20" s="34">
        <f t="shared" si="3"/>
        <v>294</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170534</v>
      </c>
      <c r="D24" s="60">
        <v>170534</v>
      </c>
      <c r="E24" s="63"/>
      <c r="F24" s="62">
        <f t="shared" si="9"/>
        <v>170534</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thickTop="1" x14ac:dyDescent="0.25">
      <c r="A43" s="81">
        <v>21490</v>
      </c>
      <c r="B43" s="69" t="s">
        <v>62</v>
      </c>
      <c r="C43" s="132">
        <f>F43+I43+L43</f>
        <v>294</v>
      </c>
      <c r="D43" s="78">
        <f>D44</f>
        <v>0</v>
      </c>
      <c r="E43" s="79">
        <f t="shared" ref="E43:L43" si="22">E44</f>
        <v>0</v>
      </c>
      <c r="F43" s="80">
        <f t="shared" si="22"/>
        <v>0</v>
      </c>
      <c r="G43" s="78">
        <f t="shared" si="22"/>
        <v>0</v>
      </c>
      <c r="H43" s="79">
        <f t="shared" si="22"/>
        <v>0</v>
      </c>
      <c r="I43" s="80">
        <f t="shared" si="22"/>
        <v>0</v>
      </c>
      <c r="J43" s="78">
        <f t="shared" si="22"/>
        <v>293</v>
      </c>
      <c r="K43" s="79">
        <f t="shared" si="22"/>
        <v>1</v>
      </c>
      <c r="L43" s="80">
        <f t="shared" si="22"/>
        <v>294</v>
      </c>
      <c r="M43" s="78" t="s">
        <v>43</v>
      </c>
      <c r="N43" s="79" t="s">
        <v>43</v>
      </c>
      <c r="O43" s="80" t="s">
        <v>43</v>
      </c>
      <c r="P43" s="77"/>
    </row>
    <row r="44" spans="1:16" s="28" customFormat="1" ht="35.25" customHeight="1" x14ac:dyDescent="0.25">
      <c r="A44" s="51">
        <v>21499</v>
      </c>
      <c r="B44" s="89" t="s">
        <v>63</v>
      </c>
      <c r="C44" s="133">
        <f>F44+I44+L44</f>
        <v>294</v>
      </c>
      <c r="D44" s="46"/>
      <c r="E44" s="47"/>
      <c r="F44" s="134">
        <f>D44+E44</f>
        <v>0</v>
      </c>
      <c r="G44" s="46"/>
      <c r="H44" s="47"/>
      <c r="I44" s="134">
        <f>G44+H44</f>
        <v>0</v>
      </c>
      <c r="J44" s="46">
        <v>293</v>
      </c>
      <c r="K44" s="47">
        <v>1</v>
      </c>
      <c r="L44" s="48">
        <f>K44+J44</f>
        <v>294</v>
      </c>
      <c r="M44" s="87" t="s">
        <v>43</v>
      </c>
      <c r="N44" s="88" t="s">
        <v>43</v>
      </c>
      <c r="O44" s="48" t="s">
        <v>43</v>
      </c>
      <c r="P44" s="49" t="s">
        <v>537</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170828</v>
      </c>
      <c r="D50" s="159">
        <f>SUM(D51,D286)</f>
        <v>170534</v>
      </c>
      <c r="E50" s="160">
        <f t="shared" ref="E50:F50" si="26">SUM(E51,E286)</f>
        <v>0</v>
      </c>
      <c r="F50" s="161">
        <f t="shared" si="26"/>
        <v>170534</v>
      </c>
      <c r="G50" s="159">
        <f>SUM(G51,G286)</f>
        <v>0</v>
      </c>
      <c r="H50" s="160">
        <f>SUM(H51,H286)</f>
        <v>0</v>
      </c>
      <c r="I50" s="161">
        <f t="shared" ref="I50" si="27">SUM(I51,I286)</f>
        <v>0</v>
      </c>
      <c r="J50" s="32">
        <f>SUM(J51,J286)</f>
        <v>293</v>
      </c>
      <c r="K50" s="33">
        <f t="shared" ref="K50:L50" si="28">SUM(K51,K286)</f>
        <v>1</v>
      </c>
      <c r="L50" s="34">
        <f t="shared" si="28"/>
        <v>294</v>
      </c>
      <c r="M50" s="32">
        <f>SUM(M51,M286)</f>
        <v>0</v>
      </c>
      <c r="N50" s="33">
        <f t="shared" ref="N50:O50" si="29">SUM(N51,N286)</f>
        <v>0</v>
      </c>
      <c r="O50" s="34">
        <f t="shared" si="29"/>
        <v>0</v>
      </c>
      <c r="P50" s="35"/>
    </row>
    <row r="51" spans="1:16" s="28" customFormat="1" ht="36.75" thickTop="1" x14ac:dyDescent="0.25">
      <c r="A51" s="162"/>
      <c r="B51" s="163" t="s">
        <v>69</v>
      </c>
      <c r="C51" s="164">
        <f t="shared" si="0"/>
        <v>170828</v>
      </c>
      <c r="D51" s="165">
        <f>SUM(D52,D194)</f>
        <v>170534</v>
      </c>
      <c r="E51" s="166">
        <f t="shared" ref="E51:F51" si="30">SUM(E52,E194)</f>
        <v>0</v>
      </c>
      <c r="F51" s="167">
        <f t="shared" si="30"/>
        <v>170534</v>
      </c>
      <c r="G51" s="165">
        <f>SUM(G52,G194)</f>
        <v>0</v>
      </c>
      <c r="H51" s="166">
        <f t="shared" ref="H51:I51" si="31">SUM(H52,H194)</f>
        <v>0</v>
      </c>
      <c r="I51" s="167">
        <f t="shared" si="31"/>
        <v>0</v>
      </c>
      <c r="J51" s="168">
        <f>SUM(J52,J194)</f>
        <v>293</v>
      </c>
      <c r="K51" s="169">
        <f t="shared" ref="K51:L51" si="32">SUM(K52,K194)</f>
        <v>1</v>
      </c>
      <c r="L51" s="170">
        <f t="shared" si="32"/>
        <v>294</v>
      </c>
      <c r="M51" s="168">
        <f>SUM(M52,M194)</f>
        <v>0</v>
      </c>
      <c r="N51" s="169">
        <f t="shared" ref="N51:O51" si="33">SUM(N52,N194)</f>
        <v>0</v>
      </c>
      <c r="O51" s="170">
        <f t="shared" si="33"/>
        <v>0</v>
      </c>
      <c r="P51" s="171"/>
    </row>
    <row r="52" spans="1:16" s="28" customFormat="1" ht="24" x14ac:dyDescent="0.25">
      <c r="A52" s="24"/>
      <c r="B52" s="22" t="s">
        <v>70</v>
      </c>
      <c r="C52" s="172">
        <f t="shared" si="0"/>
        <v>169143</v>
      </c>
      <c r="D52" s="173">
        <f>SUM(D53,D75,D173,D187)</f>
        <v>169034</v>
      </c>
      <c r="E52" s="174">
        <f t="shared" ref="E52:F52" si="34">SUM(E53,E75,E173,E187)</f>
        <v>101</v>
      </c>
      <c r="F52" s="175">
        <f t="shared" si="34"/>
        <v>169135</v>
      </c>
      <c r="G52" s="173">
        <f>SUM(G53,G75,G173,G187)</f>
        <v>0</v>
      </c>
      <c r="H52" s="174">
        <f t="shared" ref="H52:I52" si="35">SUM(H53,H75,H173,H187)</f>
        <v>0</v>
      </c>
      <c r="I52" s="175">
        <f t="shared" si="35"/>
        <v>0</v>
      </c>
      <c r="J52" s="173">
        <f>SUM(J53,J75,J173,J187)</f>
        <v>8</v>
      </c>
      <c r="K52" s="174">
        <f t="shared" ref="K52:L52" si="36">SUM(K53,K75,K173,K187)</f>
        <v>0</v>
      </c>
      <c r="L52" s="175">
        <f t="shared" si="36"/>
        <v>8</v>
      </c>
      <c r="M52" s="173">
        <f>SUM(M53,M75,M173,M187)</f>
        <v>0</v>
      </c>
      <c r="N52" s="174">
        <f t="shared" ref="N52:O52" si="37">SUM(N53,N75,N173,N187)</f>
        <v>0</v>
      </c>
      <c r="O52" s="175">
        <f t="shared" si="37"/>
        <v>0</v>
      </c>
      <c r="P52" s="176"/>
    </row>
    <row r="53" spans="1:16" s="28" customFormat="1" x14ac:dyDescent="0.25">
      <c r="A53" s="177">
        <v>1000</v>
      </c>
      <c r="B53" s="177" t="s">
        <v>71</v>
      </c>
      <c r="C53" s="178">
        <f t="shared" si="0"/>
        <v>157867</v>
      </c>
      <c r="D53" s="179">
        <f>SUM(D54,D67)</f>
        <v>157867</v>
      </c>
      <c r="E53" s="180">
        <f t="shared" ref="E53:F53" si="38">SUM(E54,E67)</f>
        <v>0</v>
      </c>
      <c r="F53" s="181">
        <f t="shared" si="38"/>
        <v>157867</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119684</v>
      </c>
      <c r="D54" s="184">
        <f>SUM(D55,D58,D66)</f>
        <v>119684</v>
      </c>
      <c r="E54" s="185">
        <f t="shared" ref="E54:F54" si="42">SUM(E55,E58,E66)</f>
        <v>0</v>
      </c>
      <c r="F54" s="73">
        <f t="shared" si="42"/>
        <v>119684</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111580</v>
      </c>
      <c r="D55" s="187">
        <f>SUM(D56:D57)</f>
        <v>111580</v>
      </c>
      <c r="E55" s="188">
        <f t="shared" ref="E55:F55" si="46">SUM(E56:E57)</f>
        <v>0</v>
      </c>
      <c r="F55" s="141">
        <f t="shared" si="46"/>
        <v>111580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75</v>
      </c>
      <c r="C57" s="90">
        <f t="shared" si="0"/>
        <v>111580</v>
      </c>
      <c r="D57" s="53">
        <v>111580</v>
      </c>
      <c r="E57" s="54"/>
      <c r="F57" s="55">
        <f t="shared" si="50"/>
        <v>111580</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8104</v>
      </c>
      <c r="D58" s="190">
        <f>SUM(D59:D65)</f>
        <v>8104</v>
      </c>
      <c r="E58" s="191">
        <f>SUM(E59:E65)</f>
        <v>0</v>
      </c>
      <c r="F58" s="55">
        <f t="shared" ref="F58" si="54">SUM(F59:F65)</f>
        <v>8104</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2425</v>
      </c>
      <c r="D63" s="53">
        <v>2425</v>
      </c>
      <c r="E63" s="54"/>
      <c r="F63" s="55">
        <f t="shared" si="58"/>
        <v>2425</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5679</v>
      </c>
      <c r="D64" s="53">
        <v>5679</v>
      </c>
      <c r="E64" s="54"/>
      <c r="F64" s="55">
        <f t="shared" si="58"/>
        <v>5679</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38183</v>
      </c>
      <c r="D67" s="184">
        <f>SUM(D68:D69)</f>
        <v>38183</v>
      </c>
      <c r="E67" s="185">
        <f t="shared" ref="E67:F67" si="62">SUM(E68:E69)</f>
        <v>0</v>
      </c>
      <c r="F67" s="73">
        <f t="shared" si="62"/>
        <v>38183</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321">
        <v>1210</v>
      </c>
      <c r="B68" s="82" t="s">
        <v>86</v>
      </c>
      <c r="C68" s="83">
        <f t="shared" si="0"/>
        <v>30178</v>
      </c>
      <c r="D68" s="46">
        <v>30178</v>
      </c>
      <c r="E68" s="47"/>
      <c r="F68" s="134">
        <f>D68+E68</f>
        <v>30178</v>
      </c>
      <c r="G68" s="46"/>
      <c r="H68" s="47"/>
      <c r="I68" s="134">
        <f>G68+H68</f>
        <v>0</v>
      </c>
      <c r="J68" s="46"/>
      <c r="K68" s="47"/>
      <c r="L68" s="134">
        <f>K68+J68</f>
        <v>0</v>
      </c>
      <c r="M68" s="46"/>
      <c r="N68" s="47"/>
      <c r="O68" s="134">
        <f>N68+M68</f>
        <v>0</v>
      </c>
      <c r="P68" s="49"/>
    </row>
    <row r="69" spans="1:16" ht="24" x14ac:dyDescent="0.25">
      <c r="A69" s="189">
        <v>1220</v>
      </c>
      <c r="B69" s="89" t="s">
        <v>87</v>
      </c>
      <c r="C69" s="90">
        <f t="shared" si="0"/>
        <v>8005</v>
      </c>
      <c r="D69" s="190">
        <f>SUM(D70:D74)</f>
        <v>8005</v>
      </c>
      <c r="E69" s="191">
        <f t="shared" ref="E69:F69" si="66">SUM(E70:E74)</f>
        <v>0</v>
      </c>
      <c r="F69" s="55">
        <f t="shared" si="66"/>
        <v>8005</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5584</v>
      </c>
      <c r="D70" s="53">
        <v>5584</v>
      </c>
      <c r="E70" s="54"/>
      <c r="F70" s="55">
        <f t="shared" ref="F70:F74" si="70">D70+E70</f>
        <v>5584</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15"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1921</v>
      </c>
      <c r="D73" s="53">
        <v>1921</v>
      </c>
      <c r="E73" s="54"/>
      <c r="F73" s="55">
        <f t="shared" si="70"/>
        <v>1921</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11276</v>
      </c>
      <c r="D75" s="179">
        <f>SUM(D76,D83,D130,D164,D165,D172)</f>
        <v>11167</v>
      </c>
      <c r="E75" s="180">
        <f t="shared" ref="E75:F75" si="74">SUM(E76,E83,E130,E164,E165,E172)</f>
        <v>101</v>
      </c>
      <c r="F75" s="181">
        <f t="shared" si="74"/>
        <v>11268</v>
      </c>
      <c r="G75" s="179">
        <f>SUM(G76,G83,G130,G164,G165,G172)</f>
        <v>0</v>
      </c>
      <c r="H75" s="180">
        <f t="shared" ref="H75:I75" si="75">SUM(H76,H83,H130,H164,H165,H172)</f>
        <v>0</v>
      </c>
      <c r="I75" s="181">
        <f t="shared" si="75"/>
        <v>0</v>
      </c>
      <c r="J75" s="179">
        <f>SUM(J76,J83,J130,J164,J165,J172)</f>
        <v>8</v>
      </c>
      <c r="K75" s="180">
        <f t="shared" ref="K75:L75" si="76">SUM(K76,K83,K130,K164,K165,K172)</f>
        <v>0</v>
      </c>
      <c r="L75" s="181">
        <f t="shared" si="76"/>
        <v>8</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321">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6229</v>
      </c>
      <c r="D83" s="184">
        <f>SUM(D84,D89,D95,D103,D112,D116,D122,D128)</f>
        <v>6260</v>
      </c>
      <c r="E83" s="185">
        <f t="shared" ref="E83:F83" si="98">SUM(E84,E89,E95,E103,E112,E116,E122,E128)</f>
        <v>-39</v>
      </c>
      <c r="F83" s="73">
        <f t="shared" si="98"/>
        <v>6221</v>
      </c>
      <c r="G83" s="184">
        <f>SUM(G84,G89,G95,G103,G112,G116,G122,G128)</f>
        <v>0</v>
      </c>
      <c r="H83" s="185">
        <f t="shared" ref="H83:I83" si="99">SUM(H84,H89,H95,H103,H112,H116,H122,H128)</f>
        <v>0</v>
      </c>
      <c r="I83" s="73">
        <f t="shared" si="99"/>
        <v>0</v>
      </c>
      <c r="J83" s="184">
        <f>SUM(J84,J89,J95,J103,J112,J116,J122,J128)</f>
        <v>8</v>
      </c>
      <c r="K83" s="185">
        <f t="shared" ref="K83:L83" si="100">SUM(K84,K89,K95,K103,K112,K116,K122,K128)</f>
        <v>0</v>
      </c>
      <c r="L83" s="73">
        <f t="shared" si="100"/>
        <v>8</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1387</v>
      </c>
      <c r="D84" s="187">
        <f>SUM(D85:D88)</f>
        <v>1379</v>
      </c>
      <c r="E84" s="188">
        <f t="shared" ref="E84:F84" si="103">SUM(E85:E88)</f>
        <v>0</v>
      </c>
      <c r="F84" s="141">
        <f t="shared" si="103"/>
        <v>1379</v>
      </c>
      <c r="G84" s="187">
        <f>SUM(G85:G88)</f>
        <v>0</v>
      </c>
      <c r="H84" s="188">
        <f t="shared" ref="H84:I84" si="104">SUM(H85:H88)</f>
        <v>0</v>
      </c>
      <c r="I84" s="141">
        <f t="shared" si="104"/>
        <v>0</v>
      </c>
      <c r="J84" s="187">
        <f>SUM(J85:J88)</f>
        <v>8</v>
      </c>
      <c r="K84" s="188">
        <f t="shared" ref="K84:L84" si="105">SUM(K85:K88)</f>
        <v>0</v>
      </c>
      <c r="L84" s="141">
        <f t="shared" si="105"/>
        <v>8</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157</v>
      </c>
      <c r="D86" s="196">
        <v>153</v>
      </c>
      <c r="E86" s="197"/>
      <c r="F86" s="55">
        <f t="shared" si="107"/>
        <v>153</v>
      </c>
      <c r="G86" s="53"/>
      <c r="H86" s="54"/>
      <c r="I86" s="55">
        <f t="shared" si="108"/>
        <v>0</v>
      </c>
      <c r="J86" s="53">
        <v>4</v>
      </c>
      <c r="K86" s="54"/>
      <c r="L86" s="55">
        <f t="shared" si="109"/>
        <v>4</v>
      </c>
      <c r="M86" s="53"/>
      <c r="N86" s="54"/>
      <c r="O86" s="55">
        <f t="shared" si="110"/>
        <v>0</v>
      </c>
      <c r="P86" s="57"/>
    </row>
    <row r="87" spans="1:16" ht="24" customHeight="1" x14ac:dyDescent="0.25">
      <c r="A87" s="51">
        <v>2214</v>
      </c>
      <c r="B87" s="89" t="s">
        <v>103</v>
      </c>
      <c r="C87" s="90">
        <f t="shared" si="102"/>
        <v>157</v>
      </c>
      <c r="D87" s="196">
        <v>153</v>
      </c>
      <c r="E87" s="197"/>
      <c r="F87" s="55">
        <f t="shared" si="107"/>
        <v>153</v>
      </c>
      <c r="G87" s="53"/>
      <c r="H87" s="54"/>
      <c r="I87" s="55">
        <f t="shared" si="108"/>
        <v>0</v>
      </c>
      <c r="J87" s="53">
        <v>4</v>
      </c>
      <c r="K87" s="54"/>
      <c r="L87" s="55">
        <f t="shared" si="109"/>
        <v>4</v>
      </c>
      <c r="M87" s="53"/>
      <c r="N87" s="54"/>
      <c r="O87" s="55">
        <f t="shared" si="110"/>
        <v>0</v>
      </c>
      <c r="P87" s="57"/>
    </row>
    <row r="88" spans="1:16" ht="12" customHeight="1" x14ac:dyDescent="0.25">
      <c r="A88" s="51">
        <v>2219</v>
      </c>
      <c r="B88" s="89" t="s">
        <v>104</v>
      </c>
      <c r="C88" s="90">
        <f t="shared" si="102"/>
        <v>1073</v>
      </c>
      <c r="D88" s="196">
        <v>1073</v>
      </c>
      <c r="E88" s="197"/>
      <c r="F88" s="55">
        <f t="shared" si="107"/>
        <v>1073</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3026</v>
      </c>
      <c r="D89" s="190">
        <f>SUM(D90:D94)</f>
        <v>2990</v>
      </c>
      <c r="E89" s="191">
        <f t="shared" ref="E89:F89" si="111">SUM(E90:E94)</f>
        <v>36</v>
      </c>
      <c r="F89" s="55">
        <f t="shared" si="111"/>
        <v>3026</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90">
        <f t="shared" si="102"/>
        <v>1712</v>
      </c>
      <c r="D90" s="196">
        <v>1712</v>
      </c>
      <c r="E90" s="197"/>
      <c r="F90" s="55">
        <f t="shared" ref="F90:F94" si="115">D90+E90</f>
        <v>1712</v>
      </c>
      <c r="G90" s="53"/>
      <c r="H90" s="54"/>
      <c r="I90" s="55">
        <f t="shared" ref="I90:I94" si="116">G90+H90</f>
        <v>0</v>
      </c>
      <c r="J90" s="53"/>
      <c r="K90" s="54"/>
      <c r="L90" s="55">
        <f t="shared" ref="L90:L94" si="117">K90+J90</f>
        <v>0</v>
      </c>
      <c r="M90" s="53"/>
      <c r="N90" s="54"/>
      <c r="O90" s="55">
        <f t="shared" ref="O90:O94" si="118">N90+M90</f>
        <v>0</v>
      </c>
      <c r="P90" s="57"/>
    </row>
    <row r="91" spans="1:16" ht="26.25" customHeight="1" x14ac:dyDescent="0.25">
      <c r="A91" s="51">
        <v>2222</v>
      </c>
      <c r="B91" s="89" t="s">
        <v>107</v>
      </c>
      <c r="C91" s="90">
        <f t="shared" si="102"/>
        <v>164</v>
      </c>
      <c r="D91" s="196">
        <v>164</v>
      </c>
      <c r="E91" s="197"/>
      <c r="F91" s="55">
        <f t="shared" si="115"/>
        <v>164</v>
      </c>
      <c r="G91" s="53"/>
      <c r="H91" s="54"/>
      <c r="I91" s="55">
        <f t="shared" si="116"/>
        <v>0</v>
      </c>
      <c r="J91" s="53"/>
      <c r="K91" s="54"/>
      <c r="L91" s="55">
        <f t="shared" si="117"/>
        <v>0</v>
      </c>
      <c r="M91" s="53"/>
      <c r="N91" s="54"/>
      <c r="O91" s="55">
        <f t="shared" si="118"/>
        <v>0</v>
      </c>
      <c r="P91" s="57"/>
    </row>
    <row r="92" spans="1:16" ht="23.25" customHeight="1" x14ac:dyDescent="0.25">
      <c r="A92" s="51">
        <v>2223</v>
      </c>
      <c r="B92" s="89" t="s">
        <v>108</v>
      </c>
      <c r="C92" s="90">
        <f t="shared" si="102"/>
        <v>1020</v>
      </c>
      <c r="D92" s="196">
        <v>1005</v>
      </c>
      <c r="E92" s="197">
        <v>15</v>
      </c>
      <c r="F92" s="55">
        <f t="shared" si="115"/>
        <v>1020</v>
      </c>
      <c r="G92" s="53"/>
      <c r="H92" s="54"/>
      <c r="I92" s="55">
        <f t="shared" si="116"/>
        <v>0</v>
      </c>
      <c r="J92" s="53"/>
      <c r="K92" s="54"/>
      <c r="L92" s="55">
        <f t="shared" si="117"/>
        <v>0</v>
      </c>
      <c r="M92" s="53"/>
      <c r="N92" s="54"/>
      <c r="O92" s="55">
        <f t="shared" si="118"/>
        <v>0</v>
      </c>
      <c r="P92" s="57" t="s">
        <v>538</v>
      </c>
    </row>
    <row r="93" spans="1:16" ht="49.5" customHeight="1" x14ac:dyDescent="0.25">
      <c r="A93" s="51">
        <v>2224</v>
      </c>
      <c r="B93" s="89" t="s">
        <v>109</v>
      </c>
      <c r="C93" s="90">
        <f t="shared" si="102"/>
        <v>130</v>
      </c>
      <c r="D93" s="196">
        <v>109</v>
      </c>
      <c r="E93" s="197">
        <v>21</v>
      </c>
      <c r="F93" s="55">
        <f t="shared" si="115"/>
        <v>130</v>
      </c>
      <c r="G93" s="53"/>
      <c r="H93" s="54"/>
      <c r="I93" s="55">
        <f t="shared" si="116"/>
        <v>0</v>
      </c>
      <c r="J93" s="53"/>
      <c r="K93" s="54"/>
      <c r="L93" s="55">
        <f t="shared" si="117"/>
        <v>0</v>
      </c>
      <c r="M93" s="53"/>
      <c r="N93" s="54"/>
      <c r="O93" s="55">
        <f t="shared" si="118"/>
        <v>0</v>
      </c>
      <c r="P93" s="57" t="s">
        <v>539</v>
      </c>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333</v>
      </c>
      <c r="D95" s="190">
        <f>SUM(D96:D102)</f>
        <v>333</v>
      </c>
      <c r="E95" s="191">
        <f t="shared" ref="E95:F95" si="119">SUM(E96:E102)</f>
        <v>0</v>
      </c>
      <c r="F95" s="55">
        <f t="shared" si="119"/>
        <v>333</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210</v>
      </c>
      <c r="D100" s="196">
        <v>210</v>
      </c>
      <c r="E100" s="197"/>
      <c r="F100" s="55">
        <f t="shared" si="123"/>
        <v>210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123</v>
      </c>
      <c r="D102" s="196">
        <v>123</v>
      </c>
      <c r="E102" s="197"/>
      <c r="F102" s="55">
        <f t="shared" si="123"/>
        <v>123</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1140</v>
      </c>
      <c r="D103" s="190">
        <f>SUM(D104:D111)</f>
        <v>1215</v>
      </c>
      <c r="E103" s="191">
        <f t="shared" ref="E103:F103" si="127">SUM(E104:E111)</f>
        <v>-75</v>
      </c>
      <c r="F103" s="55">
        <f t="shared" si="127"/>
        <v>1140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30.75" customHeight="1" x14ac:dyDescent="0.25">
      <c r="A105" s="51">
        <v>2242</v>
      </c>
      <c r="B105" s="89" t="s">
        <v>121</v>
      </c>
      <c r="C105" s="90">
        <f t="shared" si="102"/>
        <v>973</v>
      </c>
      <c r="D105" s="196">
        <v>973</v>
      </c>
      <c r="E105" s="197"/>
      <c r="F105" s="55">
        <f t="shared" si="131"/>
        <v>973</v>
      </c>
      <c r="G105" s="53"/>
      <c r="H105" s="54"/>
      <c r="I105" s="55">
        <f t="shared" si="132"/>
        <v>0</v>
      </c>
      <c r="J105" s="53"/>
      <c r="K105" s="54"/>
      <c r="L105" s="55">
        <f t="shared" si="133"/>
        <v>0</v>
      </c>
      <c r="M105" s="53"/>
      <c r="N105" s="54"/>
      <c r="O105" s="55">
        <f t="shared" si="134"/>
        <v>0</v>
      </c>
      <c r="P105" s="57"/>
    </row>
    <row r="106" spans="1:16" ht="33" customHeight="1" x14ac:dyDescent="0.25">
      <c r="A106" s="51">
        <v>2243</v>
      </c>
      <c r="B106" s="89" t="s">
        <v>122</v>
      </c>
      <c r="C106" s="90">
        <f t="shared" si="102"/>
        <v>37</v>
      </c>
      <c r="D106" s="196">
        <v>112</v>
      </c>
      <c r="E106" s="197">
        <v>-75</v>
      </c>
      <c r="F106" s="55">
        <f t="shared" si="131"/>
        <v>37</v>
      </c>
      <c r="G106" s="53"/>
      <c r="H106" s="54"/>
      <c r="I106" s="55">
        <f t="shared" si="132"/>
        <v>0</v>
      </c>
      <c r="J106" s="53"/>
      <c r="K106" s="54"/>
      <c r="L106" s="55">
        <f t="shared" si="133"/>
        <v>0</v>
      </c>
      <c r="M106" s="53"/>
      <c r="N106" s="54"/>
      <c r="O106" s="55">
        <f t="shared" si="134"/>
        <v>0</v>
      </c>
      <c r="P106" s="57" t="s">
        <v>540</v>
      </c>
    </row>
    <row r="107" spans="1:16" ht="12" customHeight="1" x14ac:dyDescent="0.25">
      <c r="A107" s="51">
        <v>2244</v>
      </c>
      <c r="B107" s="89" t="s">
        <v>123</v>
      </c>
      <c r="C107" s="90">
        <f t="shared" si="102"/>
        <v>130</v>
      </c>
      <c r="D107" s="196">
        <v>130</v>
      </c>
      <c r="E107" s="197"/>
      <c r="F107" s="55">
        <f t="shared" si="131"/>
        <v>130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9</v>
      </c>
      <c r="D116" s="190">
        <f>SUM(D117:D121)</f>
        <v>9</v>
      </c>
      <c r="E116" s="191">
        <f t="shared" ref="E116:F116" si="143">SUM(E117:E121)</f>
        <v>0</v>
      </c>
      <c r="F116" s="55">
        <f t="shared" si="143"/>
        <v>9</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9</v>
      </c>
      <c r="D121" s="196">
        <v>9</v>
      </c>
      <c r="E121" s="197"/>
      <c r="F121" s="55">
        <f t="shared" si="147"/>
        <v>9</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334</v>
      </c>
      <c r="D122" s="190">
        <f>SUM(D123:D127)</f>
        <v>334</v>
      </c>
      <c r="E122" s="191">
        <f t="shared" ref="E122:F122" si="151">SUM(E123:E127)</f>
        <v>0</v>
      </c>
      <c r="F122" s="55">
        <f t="shared" si="151"/>
        <v>334</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customHeight="1" x14ac:dyDescent="0.25">
      <c r="A123" s="51">
        <v>2272</v>
      </c>
      <c r="B123" s="201" t="s">
        <v>139</v>
      </c>
      <c r="C123" s="90">
        <f t="shared" si="102"/>
        <v>86</v>
      </c>
      <c r="D123" s="196">
        <v>86</v>
      </c>
      <c r="E123" s="197"/>
      <c r="F123" s="55">
        <f t="shared" ref="F123:F127" si="155">D123+E123</f>
        <v>86</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248</v>
      </c>
      <c r="D127" s="196">
        <v>248</v>
      </c>
      <c r="E127" s="197"/>
      <c r="F127" s="55">
        <f t="shared" si="155"/>
        <v>248</v>
      </c>
      <c r="G127" s="53"/>
      <c r="H127" s="54"/>
      <c r="I127" s="55">
        <f t="shared" si="156"/>
        <v>0</v>
      </c>
      <c r="J127" s="53"/>
      <c r="K127" s="54"/>
      <c r="L127" s="55">
        <f t="shared" si="157"/>
        <v>0</v>
      </c>
      <c r="M127" s="53"/>
      <c r="N127" s="54"/>
      <c r="O127" s="55">
        <f t="shared" si="158"/>
        <v>0</v>
      </c>
      <c r="P127" s="57"/>
    </row>
    <row r="128" spans="1:16" ht="48" hidden="1" x14ac:dyDescent="0.25">
      <c r="A128" s="321">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4990</v>
      </c>
      <c r="D130" s="184">
        <f>SUM(D131,D136,D140,D141,D144,D151,D159,D160,D163)</f>
        <v>4850</v>
      </c>
      <c r="E130" s="185">
        <f t="shared" ref="E130:F130" si="160">SUM(E131,E136,E140,E141,E144,E151,E159,E160,E163)</f>
        <v>140</v>
      </c>
      <c r="F130" s="73">
        <f t="shared" si="160"/>
        <v>4990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321">
        <v>2310</v>
      </c>
      <c r="B131" s="82" t="s">
        <v>147</v>
      </c>
      <c r="C131" s="83">
        <f t="shared" si="102"/>
        <v>2569</v>
      </c>
      <c r="D131" s="194">
        <f t="shared" ref="D131:O131" si="164">SUM(D132:D135)</f>
        <v>2495</v>
      </c>
      <c r="E131" s="195">
        <f t="shared" si="164"/>
        <v>74</v>
      </c>
      <c r="F131" s="134">
        <f t="shared" si="164"/>
        <v>2569</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750</v>
      </c>
      <c r="D132" s="196">
        <v>750</v>
      </c>
      <c r="E132" s="197"/>
      <c r="F132" s="55">
        <f t="shared" ref="F132:F135" si="165">D132+E132</f>
        <v>750</v>
      </c>
      <c r="G132" s="53"/>
      <c r="H132" s="54"/>
      <c r="I132" s="55">
        <f t="shared" ref="I132:I135" si="166">G132+H132</f>
        <v>0</v>
      </c>
      <c r="J132" s="53"/>
      <c r="K132" s="54"/>
      <c r="L132" s="55">
        <f t="shared" ref="L132:L135" si="167">K132+J132</f>
        <v>0</v>
      </c>
      <c r="M132" s="53"/>
      <c r="N132" s="54"/>
      <c r="O132" s="55">
        <f t="shared" ref="O132:O135" si="168">N132+M132</f>
        <v>0</v>
      </c>
      <c r="P132" s="57"/>
    </row>
    <row r="133" spans="1:16" ht="33" customHeight="1" x14ac:dyDescent="0.25">
      <c r="A133" s="51">
        <v>2312</v>
      </c>
      <c r="B133" s="89" t="s">
        <v>149</v>
      </c>
      <c r="C133" s="90">
        <f t="shared" si="102"/>
        <v>1819</v>
      </c>
      <c r="D133" s="196">
        <v>1745</v>
      </c>
      <c r="E133" s="197">
        <v>74</v>
      </c>
      <c r="F133" s="55">
        <f t="shared" si="165"/>
        <v>1819</v>
      </c>
      <c r="G133" s="53"/>
      <c r="H133" s="54"/>
      <c r="I133" s="55">
        <f t="shared" si="166"/>
        <v>0</v>
      </c>
      <c r="J133" s="53"/>
      <c r="K133" s="54"/>
      <c r="L133" s="55">
        <f t="shared" si="167"/>
        <v>0</v>
      </c>
      <c r="M133" s="53"/>
      <c r="N133" s="54"/>
      <c r="O133" s="55">
        <f t="shared" si="168"/>
        <v>0</v>
      </c>
      <c r="P133" s="57" t="s">
        <v>541</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2005</v>
      </c>
      <c r="D136" s="190">
        <f>SUM(D137:D139)</f>
        <v>2005</v>
      </c>
      <c r="E136" s="191">
        <f t="shared" ref="E136:F136" si="169">SUM(E137:E139)</f>
        <v>0</v>
      </c>
      <c r="F136" s="55">
        <f t="shared" si="169"/>
        <v>2005</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2005</v>
      </c>
      <c r="D138" s="196">
        <v>2005</v>
      </c>
      <c r="E138" s="197"/>
      <c r="F138" s="55">
        <f t="shared" si="173"/>
        <v>2005</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11</v>
      </c>
      <c r="D141" s="190">
        <f>SUM(D142:D143)</f>
        <v>15</v>
      </c>
      <c r="E141" s="191">
        <f t="shared" ref="E141:F141" si="177">SUM(E142:E143)</f>
        <v>-4</v>
      </c>
      <c r="F141" s="55">
        <f t="shared" si="177"/>
        <v>11</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30.75" customHeight="1" x14ac:dyDescent="0.25">
      <c r="A142" s="51">
        <v>2341</v>
      </c>
      <c r="B142" s="89" t="s">
        <v>158</v>
      </c>
      <c r="C142" s="90">
        <f t="shared" si="102"/>
        <v>11</v>
      </c>
      <c r="D142" s="196">
        <v>15</v>
      </c>
      <c r="E142" s="197">
        <v>-4</v>
      </c>
      <c r="F142" s="55">
        <f t="shared" ref="F142:F143" si="181">D142+E142</f>
        <v>11</v>
      </c>
      <c r="G142" s="53"/>
      <c r="H142" s="54"/>
      <c r="I142" s="55">
        <f t="shared" ref="I142:I143" si="182">G142+H142</f>
        <v>0</v>
      </c>
      <c r="J142" s="53"/>
      <c r="K142" s="54"/>
      <c r="L142" s="55">
        <f t="shared" ref="L142:L143" si="183">K142+J142</f>
        <v>0</v>
      </c>
      <c r="M142" s="53"/>
      <c r="N142" s="54"/>
      <c r="O142" s="55">
        <f t="shared" ref="O142:O143" si="184">N142+M142</f>
        <v>0</v>
      </c>
      <c r="P142" s="57" t="s">
        <v>542</v>
      </c>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405</v>
      </c>
      <c r="D144" s="187">
        <f>SUM(D145:D150)</f>
        <v>335</v>
      </c>
      <c r="E144" s="188">
        <f t="shared" ref="E144:F144" si="185">SUM(E145:E150)</f>
        <v>70</v>
      </c>
      <c r="F144" s="141">
        <f t="shared" si="185"/>
        <v>405</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30</v>
      </c>
      <c r="D145" s="199">
        <v>30</v>
      </c>
      <c r="E145" s="200"/>
      <c r="F145" s="134">
        <f t="shared" ref="F145:F150" si="189">D145+E145</f>
        <v>30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36" customHeight="1" x14ac:dyDescent="0.25">
      <c r="A146" s="51">
        <v>2352</v>
      </c>
      <c r="B146" s="89" t="s">
        <v>162</v>
      </c>
      <c r="C146" s="90">
        <f t="shared" si="102"/>
        <v>270</v>
      </c>
      <c r="D146" s="196">
        <v>200</v>
      </c>
      <c r="E146" s="197">
        <v>70</v>
      </c>
      <c r="F146" s="55">
        <f t="shared" si="189"/>
        <v>270</v>
      </c>
      <c r="G146" s="53"/>
      <c r="H146" s="54"/>
      <c r="I146" s="55">
        <f t="shared" si="190"/>
        <v>0</v>
      </c>
      <c r="J146" s="53"/>
      <c r="K146" s="54"/>
      <c r="L146" s="55">
        <f t="shared" si="191"/>
        <v>0</v>
      </c>
      <c r="M146" s="53"/>
      <c r="N146" s="54"/>
      <c r="O146" s="55">
        <f t="shared" si="192"/>
        <v>0</v>
      </c>
      <c r="P146" s="57" t="s">
        <v>543</v>
      </c>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60</v>
      </c>
      <c r="D148" s="196">
        <v>60</v>
      </c>
      <c r="E148" s="197"/>
      <c r="F148" s="55">
        <f t="shared" si="189"/>
        <v>60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45</v>
      </c>
      <c r="D149" s="196">
        <v>45</v>
      </c>
      <c r="E149" s="197"/>
      <c r="F149" s="55">
        <f t="shared" si="189"/>
        <v>45</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57</v>
      </c>
      <c r="D165" s="184">
        <f>SUM(D166,D171)</f>
        <v>57</v>
      </c>
      <c r="E165" s="185">
        <f t="shared" ref="E165:O165" si="210">SUM(E166,E171)</f>
        <v>0</v>
      </c>
      <c r="F165" s="73">
        <f t="shared" si="210"/>
        <v>57</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customHeight="1" x14ac:dyDescent="0.25">
      <c r="A166" s="321">
        <v>2510</v>
      </c>
      <c r="B166" s="82" t="s">
        <v>182</v>
      </c>
      <c r="C166" s="83">
        <f t="shared" si="193"/>
        <v>57</v>
      </c>
      <c r="D166" s="194">
        <f>SUM(D167:D170)</f>
        <v>57</v>
      </c>
      <c r="E166" s="195">
        <f t="shared" ref="E166:O166" si="211">SUM(E167:E170)</f>
        <v>0</v>
      </c>
      <c r="F166" s="134">
        <f t="shared" si="211"/>
        <v>57</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186</v>
      </c>
      <c r="C170" s="90">
        <f t="shared" si="193"/>
        <v>57</v>
      </c>
      <c r="D170" s="196">
        <v>57</v>
      </c>
      <c r="E170" s="197"/>
      <c r="F170" s="55">
        <f t="shared" si="212"/>
        <v>57</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321">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21">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1">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1">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1685</v>
      </c>
      <c r="D194" s="173">
        <f t="shared" ref="D194:O194" si="259">SUM(D195,D230,D269,D283)</f>
        <v>1500</v>
      </c>
      <c r="E194" s="174">
        <f t="shared" si="259"/>
        <v>-101</v>
      </c>
      <c r="F194" s="175">
        <f t="shared" si="259"/>
        <v>1399</v>
      </c>
      <c r="G194" s="173">
        <f t="shared" si="259"/>
        <v>0</v>
      </c>
      <c r="H194" s="174">
        <f t="shared" si="259"/>
        <v>0</v>
      </c>
      <c r="I194" s="175">
        <f t="shared" si="259"/>
        <v>0</v>
      </c>
      <c r="J194" s="173">
        <f t="shared" si="259"/>
        <v>285</v>
      </c>
      <c r="K194" s="174">
        <f t="shared" si="259"/>
        <v>1</v>
      </c>
      <c r="L194" s="175">
        <f t="shared" si="259"/>
        <v>286</v>
      </c>
      <c r="M194" s="173">
        <f t="shared" si="259"/>
        <v>0</v>
      </c>
      <c r="N194" s="174">
        <f t="shared" si="259"/>
        <v>0</v>
      </c>
      <c r="O194" s="175">
        <f t="shared" si="259"/>
        <v>0</v>
      </c>
      <c r="P194" s="176"/>
    </row>
    <row r="195" spans="1:16" x14ac:dyDescent="0.25">
      <c r="A195" s="177">
        <v>5000</v>
      </c>
      <c r="B195" s="177" t="s">
        <v>211</v>
      </c>
      <c r="C195" s="178">
        <f t="shared" si="193"/>
        <v>1399</v>
      </c>
      <c r="D195" s="179">
        <f>D196+D204</f>
        <v>1500</v>
      </c>
      <c r="E195" s="180">
        <f t="shared" ref="E195:F195" si="260">E196+E204</f>
        <v>-101</v>
      </c>
      <c r="F195" s="181">
        <f t="shared" si="260"/>
        <v>1399</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200</v>
      </c>
      <c r="D196" s="184">
        <f>D197+D198+D201+D202+D203</f>
        <v>200</v>
      </c>
      <c r="E196" s="185">
        <f t="shared" ref="E196:F196" si="264">E197+E198+E201+E202+E203</f>
        <v>0</v>
      </c>
      <c r="F196" s="73">
        <f t="shared" si="264"/>
        <v>200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1">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200</v>
      </c>
      <c r="D198" s="190">
        <f>D199+D200</f>
        <v>200</v>
      </c>
      <c r="E198" s="191">
        <f t="shared" ref="E198:F198" si="268">E199+E200</f>
        <v>0</v>
      </c>
      <c r="F198" s="55">
        <f t="shared" si="268"/>
        <v>200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200</v>
      </c>
      <c r="D199" s="196">
        <v>200</v>
      </c>
      <c r="E199" s="197"/>
      <c r="F199" s="55">
        <f t="shared" ref="F199:F203" si="272">D199+E199</f>
        <v>200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1199</v>
      </c>
      <c r="D204" s="184">
        <f>D205+D215+D216+D225+D226+D227+D229</f>
        <v>1300</v>
      </c>
      <c r="E204" s="185">
        <f t="shared" ref="E204:F204" si="276">E205+E215+E216+E225+E226+E227+E229</f>
        <v>-101</v>
      </c>
      <c r="F204" s="73">
        <f t="shared" si="276"/>
        <v>1199</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1199</v>
      </c>
      <c r="D216" s="190">
        <f>SUM(D217:D224)</f>
        <v>1300</v>
      </c>
      <c r="E216" s="191">
        <f t="shared" ref="E216:F216" si="289">SUM(E217:E224)</f>
        <v>-101</v>
      </c>
      <c r="F216" s="55">
        <f t="shared" si="289"/>
        <v>1199</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33" customHeight="1" x14ac:dyDescent="0.25">
      <c r="A223" s="51">
        <v>5238</v>
      </c>
      <c r="B223" s="89" t="s">
        <v>239</v>
      </c>
      <c r="C223" s="90">
        <f t="shared" si="288"/>
        <v>1199</v>
      </c>
      <c r="D223" s="196">
        <v>1300</v>
      </c>
      <c r="E223" s="197">
        <v>-101</v>
      </c>
      <c r="F223" s="55">
        <f t="shared" si="293"/>
        <v>1199</v>
      </c>
      <c r="G223" s="53"/>
      <c r="H223" s="54"/>
      <c r="I223" s="55">
        <f t="shared" si="294"/>
        <v>0</v>
      </c>
      <c r="J223" s="53"/>
      <c r="K223" s="54"/>
      <c r="L223" s="55">
        <f t="shared" si="295"/>
        <v>0</v>
      </c>
      <c r="M223" s="53"/>
      <c r="N223" s="54"/>
      <c r="O223" s="55">
        <f t="shared" si="296"/>
        <v>0</v>
      </c>
      <c r="P223" s="57" t="s">
        <v>544</v>
      </c>
    </row>
    <row r="224" spans="1:16" ht="27.75"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321">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21">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1">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1">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8">
        <v>7000</v>
      </c>
      <c r="B269" s="228" t="s">
        <v>285</v>
      </c>
      <c r="C269" s="229">
        <f t="shared" si="288"/>
        <v>286</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285</v>
      </c>
      <c r="K269" s="231">
        <f t="shared" ref="K269:L269" si="357">SUM(K270,K281)</f>
        <v>1</v>
      </c>
      <c r="L269" s="232">
        <f t="shared" si="357"/>
        <v>286</v>
      </c>
      <c r="M269" s="230">
        <f>SUM(M270,M281)</f>
        <v>0</v>
      </c>
      <c r="N269" s="231">
        <f t="shared" ref="N269:O269" si="358">SUM(N270,N281)</f>
        <v>0</v>
      </c>
      <c r="O269" s="232">
        <f t="shared" si="358"/>
        <v>0</v>
      </c>
      <c r="P269" s="233"/>
    </row>
    <row r="270" spans="1:16" ht="24" x14ac:dyDescent="0.25">
      <c r="A270" s="69">
        <v>7200</v>
      </c>
      <c r="B270" s="183" t="s">
        <v>286</v>
      </c>
      <c r="C270" s="70">
        <f t="shared" si="288"/>
        <v>286</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285</v>
      </c>
      <c r="K270" s="185">
        <f t="shared" ref="K270:L270" si="361">SUM(K271,K272,K275,K276,K280)</f>
        <v>1</v>
      </c>
      <c r="L270" s="73">
        <f t="shared" si="361"/>
        <v>286</v>
      </c>
      <c r="M270" s="184">
        <f>SUM(M271,M272,M275,M276,M280)</f>
        <v>0</v>
      </c>
      <c r="N270" s="185">
        <f t="shared" ref="N270:O270" si="362">SUM(N271,N272,N275,N276,N280)</f>
        <v>0</v>
      </c>
      <c r="O270" s="73">
        <f t="shared" si="362"/>
        <v>0</v>
      </c>
      <c r="P270" s="77"/>
    </row>
    <row r="271" spans="1:16" ht="24" hidden="1" customHeight="1" x14ac:dyDescent="0.25">
      <c r="A271" s="321">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7.75" customHeight="1" x14ac:dyDescent="0.25">
      <c r="A275" s="189">
        <v>7230</v>
      </c>
      <c r="B275" s="89" t="s">
        <v>291</v>
      </c>
      <c r="C275" s="90">
        <f t="shared" si="288"/>
        <v>286</v>
      </c>
      <c r="D275" s="196"/>
      <c r="E275" s="197"/>
      <c r="F275" s="55">
        <f t="shared" si="367"/>
        <v>0</v>
      </c>
      <c r="G275" s="53"/>
      <c r="H275" s="54"/>
      <c r="I275" s="55">
        <f t="shared" si="368"/>
        <v>0</v>
      </c>
      <c r="J275" s="53">
        <v>285</v>
      </c>
      <c r="K275" s="54">
        <v>1</v>
      </c>
      <c r="L275" s="55">
        <f t="shared" si="369"/>
        <v>286</v>
      </c>
      <c r="M275" s="53"/>
      <c r="N275" s="54"/>
      <c r="O275" s="55">
        <f t="shared" si="370"/>
        <v>0</v>
      </c>
      <c r="P275" s="57" t="s">
        <v>545</v>
      </c>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1">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170828</v>
      </c>
      <c r="D289" s="252">
        <f t="shared" ref="D289:O289" si="389">SUM(D286,D269,D230,D195,D187,D173,D75,D53,D283)</f>
        <v>170534</v>
      </c>
      <c r="E289" s="253">
        <f t="shared" si="389"/>
        <v>0</v>
      </c>
      <c r="F289" s="254">
        <f t="shared" si="389"/>
        <v>170534</v>
      </c>
      <c r="G289" s="252">
        <f t="shared" si="389"/>
        <v>0</v>
      </c>
      <c r="H289" s="253">
        <f t="shared" si="389"/>
        <v>0</v>
      </c>
      <c r="I289" s="254">
        <f t="shared" si="389"/>
        <v>0</v>
      </c>
      <c r="J289" s="252">
        <f t="shared" si="389"/>
        <v>293</v>
      </c>
      <c r="K289" s="253">
        <f t="shared" si="389"/>
        <v>1</v>
      </c>
      <c r="L289" s="254">
        <f t="shared" si="389"/>
        <v>294</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ZINME8BHBZ+y7zuvGJwzd3NG+ElEey8ogcBmKrMvhCRDFvg6vjXiH8oyUWdGCjWIrTgaWqpxaOAR8cnP0pvpow==" saltValue="Cr6D9CIxbB9l3hnLVPxFRg==" spinCount="100000" sheet="1" objects="1" scenarios="1" formatCells="0" formatColumns="0" formatRows="0" deleteColumns="0"/>
  <autoFilter ref="A18:P301">
    <filterColumn colId="2">
      <filters>
        <filter val="1 020"/>
        <filter val="1 073"/>
        <filter val="1 140"/>
        <filter val="1 199"/>
        <filter val="1 387"/>
        <filter val="1 399"/>
        <filter val="1 685"/>
        <filter val="1 712"/>
        <filter val="1 819"/>
        <filter val="1 921"/>
        <filter val="11"/>
        <filter val="11 276"/>
        <filter val="111 580"/>
        <filter val="119 684"/>
        <filter val="123"/>
        <filter val="130"/>
        <filter val="157"/>
        <filter val="157 867"/>
        <filter val="164"/>
        <filter val="169 143"/>
        <filter val="170 534"/>
        <filter val="170 828"/>
        <filter val="2 005"/>
        <filter val="2 425"/>
        <filter val="2 569"/>
        <filter val="200"/>
        <filter val="210"/>
        <filter val="248"/>
        <filter val="270"/>
        <filter val="286"/>
        <filter val="294"/>
        <filter val="3 026"/>
        <filter val="30"/>
        <filter val="30 178"/>
        <filter val="333"/>
        <filter val="334"/>
        <filter val="37"/>
        <filter val="38 183"/>
        <filter val="4 990"/>
        <filter val="405"/>
        <filter val="45"/>
        <filter val="5 584"/>
        <filter val="5 679"/>
        <filter val="500"/>
        <filter val="57"/>
        <filter val="6 229"/>
        <filter val="60"/>
        <filter val="750"/>
        <filter val="8 005"/>
        <filter val="8 104"/>
        <filter val="86"/>
        <filter val="9"/>
        <filter val="97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2019.gada 31.oktobra saistošajiem noteikumiem Nr.46
(protokols Nr.14, 28.punkts)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81"/>
  <sheetViews>
    <sheetView view="pageLayout" zoomScaleNormal="100" workbookViewId="0">
      <selection activeCell="L4" sqref="L4"/>
    </sheetView>
  </sheetViews>
  <sheetFormatPr defaultColWidth="9.140625" defaultRowHeight="12" outlineLevelCol="1" x14ac:dyDescent="0.2"/>
  <cols>
    <col min="1" max="1" width="6.140625" style="298" customWidth="1"/>
    <col min="2" max="2" width="17.28515625" style="298" customWidth="1"/>
    <col min="3" max="3" width="16.5703125" style="298" customWidth="1"/>
    <col min="4" max="4" width="10.5703125" style="298" customWidth="1"/>
    <col min="5" max="5" width="13" style="298" hidden="1" customWidth="1" outlineLevel="1"/>
    <col min="6" max="6" width="12.42578125" style="298" hidden="1" customWidth="1" outlineLevel="1"/>
    <col min="7" max="7" width="12.7109375" style="298" customWidth="1" collapsed="1"/>
    <col min="8" max="8" width="25" style="298" hidden="1" customWidth="1" outlineLevel="1"/>
    <col min="9" max="9" width="21.85546875" style="298" customWidth="1" collapsed="1"/>
    <col min="10" max="10" width="11.28515625" style="298" customWidth="1"/>
    <col min="11" max="11" width="11.7109375" style="298" customWidth="1"/>
    <col min="12" max="16384" width="9.140625" style="298"/>
  </cols>
  <sheetData>
    <row r="1" spans="1:9" x14ac:dyDescent="0.2">
      <c r="I1" s="863" t="s">
        <v>927</v>
      </c>
    </row>
    <row r="2" spans="1:9" x14ac:dyDescent="0.2">
      <c r="I2" s="863" t="s">
        <v>434</v>
      </c>
    </row>
    <row r="3" spans="1:9" x14ac:dyDescent="0.2">
      <c r="A3" s="1568" t="s">
        <v>2</v>
      </c>
      <c r="B3" s="1568"/>
      <c r="C3" s="300" t="s">
        <v>3</v>
      </c>
      <c r="D3" s="1569"/>
      <c r="E3" s="1569"/>
      <c r="F3" s="1569"/>
      <c r="G3" s="1569"/>
      <c r="H3" s="1569"/>
      <c r="I3" s="1569"/>
    </row>
    <row r="4" spans="1:9" x14ac:dyDescent="0.2">
      <c r="A4" s="1568" t="s">
        <v>4</v>
      </c>
      <c r="B4" s="1568"/>
      <c r="C4" s="1568">
        <v>90000056357</v>
      </c>
      <c r="D4" s="1568"/>
      <c r="E4" s="1568"/>
      <c r="F4" s="1568"/>
      <c r="G4" s="1568"/>
      <c r="H4" s="1568"/>
      <c r="I4" s="1568"/>
    </row>
    <row r="5" spans="1:9" ht="15.75" x14ac:dyDescent="0.2">
      <c r="A5" s="1570" t="s">
        <v>330</v>
      </c>
      <c r="B5" s="1570"/>
      <c r="C5" s="1570"/>
      <c r="D5" s="1570"/>
      <c r="E5" s="1570"/>
      <c r="F5" s="1570"/>
      <c r="G5" s="1570"/>
      <c r="H5" s="1570"/>
      <c r="I5" s="1570"/>
    </row>
    <row r="6" spans="1:9" ht="15.75" x14ac:dyDescent="0.25">
      <c r="A6" s="864"/>
      <c r="B6" s="864"/>
      <c r="C6" s="864"/>
      <c r="D6" s="864"/>
      <c r="E6" s="864"/>
      <c r="F6" s="864"/>
      <c r="G6" s="864"/>
      <c r="H6" s="864"/>
      <c r="I6" s="864"/>
    </row>
    <row r="7" spans="1:9" ht="15.75" x14ac:dyDescent="0.25">
      <c r="A7" s="1568" t="s">
        <v>435</v>
      </c>
      <c r="B7" s="1568"/>
      <c r="C7" s="865" t="s">
        <v>928</v>
      </c>
      <c r="D7" s="865"/>
      <c r="E7" s="865"/>
      <c r="F7" s="865"/>
      <c r="G7" s="865"/>
      <c r="H7" s="865"/>
      <c r="I7" s="865"/>
    </row>
    <row r="8" spans="1:9" x14ac:dyDescent="0.2">
      <c r="A8" s="1568" t="s">
        <v>333</v>
      </c>
      <c r="B8" s="1568"/>
      <c r="C8" s="866" t="s">
        <v>929</v>
      </c>
      <c r="D8" s="866"/>
      <c r="E8" s="866"/>
      <c r="F8" s="866"/>
      <c r="G8" s="866"/>
      <c r="H8" s="866"/>
      <c r="I8" s="866"/>
    </row>
    <row r="9" spans="1:9" x14ac:dyDescent="0.2">
      <c r="A9" s="1568" t="s">
        <v>334</v>
      </c>
      <c r="B9" s="1568"/>
      <c r="C9" s="867" t="s">
        <v>9</v>
      </c>
      <c r="D9" s="867"/>
      <c r="E9" s="867"/>
      <c r="F9" s="867"/>
      <c r="G9" s="867"/>
      <c r="H9" s="867"/>
      <c r="I9" s="867"/>
    </row>
    <row r="10" spans="1:9" ht="56.25" customHeight="1" x14ac:dyDescent="0.2">
      <c r="A10" s="723" t="s">
        <v>335</v>
      </c>
      <c r="B10" s="1574" t="s">
        <v>336</v>
      </c>
      <c r="C10" s="1575"/>
      <c r="D10" s="327" t="s">
        <v>337</v>
      </c>
      <c r="E10" s="328" t="s">
        <v>338</v>
      </c>
      <c r="F10" s="328" t="s">
        <v>339</v>
      </c>
      <c r="G10" s="328" t="s">
        <v>340</v>
      </c>
      <c r="H10" s="328" t="s">
        <v>35</v>
      </c>
      <c r="I10" s="723" t="s">
        <v>341</v>
      </c>
    </row>
    <row r="11" spans="1:9" ht="12" customHeight="1" x14ac:dyDescent="0.2">
      <c r="A11" s="1576" t="s">
        <v>342</v>
      </c>
      <c r="B11" s="1576"/>
      <c r="C11" s="1576"/>
      <c r="D11" s="868"/>
      <c r="E11" s="868">
        <f>SUM(E12:E16)-1077</f>
        <v>16897</v>
      </c>
      <c r="F11" s="895">
        <f>SUM(F12:F15)+1077</f>
        <v>1077</v>
      </c>
      <c r="G11" s="868">
        <f>E11+F11</f>
        <v>17974</v>
      </c>
      <c r="H11" s="873" t="s">
        <v>992</v>
      </c>
      <c r="I11" s="869"/>
    </row>
    <row r="12" spans="1:9" ht="123.75" customHeight="1" x14ac:dyDescent="0.2">
      <c r="A12" s="1577">
        <v>1</v>
      </c>
      <c r="B12" s="1578" t="s">
        <v>930</v>
      </c>
      <c r="C12" s="1578"/>
      <c r="D12" s="870">
        <v>5250</v>
      </c>
      <c r="E12" s="871">
        <v>3509</v>
      </c>
      <c r="F12" s="872"/>
      <c r="G12" s="873">
        <f t="shared" ref="G12:G16" si="0">E12+F12</f>
        <v>3509</v>
      </c>
      <c r="H12" s="872"/>
      <c r="I12" s="874" t="s">
        <v>931</v>
      </c>
    </row>
    <row r="13" spans="1:9" ht="53.25" customHeight="1" x14ac:dyDescent="0.2">
      <c r="A13" s="1577"/>
      <c r="B13" s="1578"/>
      <c r="C13" s="1578"/>
      <c r="D13" s="870">
        <v>2279</v>
      </c>
      <c r="E13" s="871">
        <v>605</v>
      </c>
      <c r="F13" s="872"/>
      <c r="G13" s="873">
        <f t="shared" si="0"/>
        <v>605</v>
      </c>
      <c r="H13" s="872"/>
      <c r="I13" s="874" t="s">
        <v>932</v>
      </c>
    </row>
    <row r="14" spans="1:9" ht="108" customHeight="1" x14ac:dyDescent="0.2">
      <c r="A14" s="1577"/>
      <c r="B14" s="1578"/>
      <c r="C14" s="1578"/>
      <c r="D14" s="870">
        <v>5240</v>
      </c>
      <c r="E14" s="871">
        <v>9511</v>
      </c>
      <c r="F14" s="292"/>
      <c r="G14" s="873">
        <f t="shared" si="0"/>
        <v>9511</v>
      </c>
      <c r="H14" s="862"/>
      <c r="I14" s="874" t="s">
        <v>933</v>
      </c>
    </row>
    <row r="15" spans="1:9" ht="25.5" customHeight="1" x14ac:dyDescent="0.2">
      <c r="A15" s="1571">
        <v>2</v>
      </c>
      <c r="B15" s="1572" t="s">
        <v>934</v>
      </c>
      <c r="C15" s="1572"/>
      <c r="D15" s="875">
        <v>2312</v>
      </c>
      <c r="E15" s="871">
        <v>3272</v>
      </c>
      <c r="F15" s="876"/>
      <c r="G15" s="873">
        <f t="shared" si="0"/>
        <v>3272</v>
      </c>
      <c r="H15" s="876"/>
      <c r="I15" s="1573" t="s">
        <v>935</v>
      </c>
    </row>
    <row r="16" spans="1:9" ht="25.5" customHeight="1" x14ac:dyDescent="0.2">
      <c r="A16" s="1571"/>
      <c r="B16" s="1572"/>
      <c r="C16" s="1572"/>
      <c r="D16" s="875">
        <v>5250</v>
      </c>
      <c r="E16" s="871">
        <v>1077</v>
      </c>
      <c r="F16" s="894"/>
      <c r="G16" s="873">
        <f t="shared" si="0"/>
        <v>1077</v>
      </c>
      <c r="H16" s="873"/>
      <c r="I16" s="1573"/>
    </row>
    <row r="17" spans="1:9" x14ac:dyDescent="0.2">
      <c r="A17" s="877"/>
      <c r="B17" s="877"/>
      <c r="C17" s="877"/>
      <c r="D17" s="878"/>
      <c r="E17" s="878"/>
      <c r="F17" s="879"/>
      <c r="G17" s="879"/>
      <c r="H17" s="879"/>
      <c r="I17" s="878"/>
    </row>
    <row r="18" spans="1:9" s="880" customFormat="1" x14ac:dyDescent="0.2">
      <c r="A18" s="296" t="s">
        <v>936</v>
      </c>
      <c r="B18" s="298"/>
      <c r="I18" s="881"/>
    </row>
    <row r="19" spans="1:9" s="880" customFormat="1" x14ac:dyDescent="0.2">
      <c r="A19" s="882" t="s">
        <v>937</v>
      </c>
      <c r="B19" s="298"/>
      <c r="I19" s="881"/>
    </row>
    <row r="20" spans="1:9" s="880" customFormat="1" x14ac:dyDescent="0.2">
      <c r="A20" s="298" t="s">
        <v>938</v>
      </c>
      <c r="B20" s="298"/>
      <c r="I20" s="881"/>
    </row>
    <row r="21" spans="1:9" s="880" customFormat="1" x14ac:dyDescent="0.2">
      <c r="A21" s="298" t="s">
        <v>939</v>
      </c>
      <c r="B21" s="298"/>
      <c r="I21" s="881"/>
    </row>
    <row r="22" spans="1:9" s="880" customFormat="1" x14ac:dyDescent="0.2">
      <c r="A22" s="298" t="s">
        <v>940</v>
      </c>
      <c r="B22" s="298"/>
      <c r="I22" s="881"/>
    </row>
    <row r="23" spans="1:9" s="880" customFormat="1" x14ac:dyDescent="0.2">
      <c r="A23" s="298" t="s">
        <v>941</v>
      </c>
      <c r="B23" s="298"/>
      <c r="I23" s="881"/>
    </row>
    <row r="24" spans="1:9" s="880" customFormat="1" x14ac:dyDescent="0.2">
      <c r="A24" s="298" t="s">
        <v>942</v>
      </c>
      <c r="B24" s="298"/>
      <c r="I24" s="881"/>
    </row>
    <row r="25" spans="1:9" s="880" customFormat="1" x14ac:dyDescent="0.2">
      <c r="A25" s="298" t="s">
        <v>943</v>
      </c>
      <c r="B25" s="298"/>
      <c r="I25" s="881"/>
    </row>
    <row r="26" spans="1:9" s="883" customFormat="1" x14ac:dyDescent="0.2">
      <c r="A26" s="882" t="s">
        <v>944</v>
      </c>
      <c r="B26" s="882"/>
      <c r="I26" s="884"/>
    </row>
    <row r="27" spans="1:9" s="880" customFormat="1" x14ac:dyDescent="0.2">
      <c r="A27" s="298" t="s">
        <v>945</v>
      </c>
      <c r="B27" s="298"/>
      <c r="I27" s="881"/>
    </row>
    <row r="28" spans="1:9" s="880" customFormat="1" x14ac:dyDescent="0.2">
      <c r="A28" s="298" t="s">
        <v>946</v>
      </c>
      <c r="B28" s="298"/>
      <c r="I28" s="881"/>
    </row>
    <row r="29" spans="1:9" s="880" customFormat="1" x14ac:dyDescent="0.2">
      <c r="A29" s="298" t="s">
        <v>947</v>
      </c>
      <c r="B29" s="298"/>
      <c r="I29" s="881"/>
    </row>
    <row r="30" spans="1:9" s="880" customFormat="1" x14ac:dyDescent="0.2">
      <c r="A30" s="298" t="s">
        <v>948</v>
      </c>
      <c r="B30" s="298"/>
      <c r="I30" s="881"/>
    </row>
    <row r="31" spans="1:9" s="880" customFormat="1" x14ac:dyDescent="0.2">
      <c r="A31" s="298" t="s">
        <v>949</v>
      </c>
      <c r="B31" s="298"/>
      <c r="I31" s="881"/>
    </row>
    <row r="32" spans="1:9" s="880" customFormat="1" x14ac:dyDescent="0.2">
      <c r="A32" s="298" t="s">
        <v>950</v>
      </c>
      <c r="B32" s="298"/>
      <c r="I32" s="881"/>
    </row>
    <row r="33" spans="1:9" s="883" customFormat="1" x14ac:dyDescent="0.2">
      <c r="A33" s="882" t="s">
        <v>951</v>
      </c>
      <c r="B33" s="882"/>
      <c r="I33" s="884"/>
    </row>
    <row r="34" spans="1:9" s="880" customFormat="1" x14ac:dyDescent="0.2">
      <c r="A34" s="298" t="s">
        <v>952</v>
      </c>
      <c r="B34" s="298"/>
      <c r="I34" s="881"/>
    </row>
    <row r="35" spans="1:9" s="880" customFormat="1" x14ac:dyDescent="0.2">
      <c r="A35" s="298" t="s">
        <v>953</v>
      </c>
      <c r="B35" s="298"/>
      <c r="I35" s="881"/>
    </row>
    <row r="36" spans="1:9" s="880" customFormat="1" x14ac:dyDescent="0.2">
      <c r="A36" s="298" t="s">
        <v>954</v>
      </c>
      <c r="B36" s="298"/>
      <c r="I36" s="881"/>
    </row>
    <row r="37" spans="1:9" s="880" customFormat="1" x14ac:dyDescent="0.2">
      <c r="A37" s="298" t="s">
        <v>955</v>
      </c>
      <c r="B37" s="298"/>
      <c r="I37" s="881"/>
    </row>
    <row r="38" spans="1:9" s="880" customFormat="1" x14ac:dyDescent="0.2">
      <c r="A38" s="298" t="s">
        <v>956</v>
      </c>
      <c r="B38" s="298"/>
      <c r="I38" s="881"/>
    </row>
    <row r="39" spans="1:9" s="880" customFormat="1" x14ac:dyDescent="0.2">
      <c r="A39" s="298" t="s">
        <v>957</v>
      </c>
      <c r="B39" s="298"/>
      <c r="I39" s="881"/>
    </row>
    <row r="40" spans="1:9" s="880" customFormat="1" x14ac:dyDescent="0.2">
      <c r="A40" s="298" t="s">
        <v>958</v>
      </c>
      <c r="B40" s="298"/>
      <c r="I40" s="881"/>
    </row>
    <row r="41" spans="1:9" s="880" customFormat="1" x14ac:dyDescent="0.2">
      <c r="A41" s="298" t="s">
        <v>959</v>
      </c>
      <c r="B41" s="298"/>
      <c r="I41" s="881"/>
    </row>
    <row r="42" spans="1:9" s="880" customFormat="1" x14ac:dyDescent="0.2">
      <c r="A42" s="298" t="s">
        <v>960</v>
      </c>
      <c r="B42" s="298"/>
      <c r="I42" s="881"/>
    </row>
    <row r="43" spans="1:9" s="880" customFormat="1" x14ac:dyDescent="0.2">
      <c r="A43" s="298" t="s">
        <v>961</v>
      </c>
      <c r="B43" s="298"/>
      <c r="I43" s="881"/>
    </row>
    <row r="44" spans="1:9" s="880" customFormat="1" x14ac:dyDescent="0.2">
      <c r="A44" s="298" t="s">
        <v>962</v>
      </c>
      <c r="B44" s="298"/>
      <c r="I44" s="881"/>
    </row>
    <row r="45" spans="1:9" s="880" customFormat="1" ht="7.5" customHeight="1" x14ac:dyDescent="0.2">
      <c r="A45" s="298"/>
      <c r="B45" s="298"/>
      <c r="I45" s="881"/>
    </row>
    <row r="46" spans="1:9" s="880" customFormat="1" x14ac:dyDescent="0.2">
      <c r="A46" s="296" t="s">
        <v>963</v>
      </c>
      <c r="B46" s="296"/>
      <c r="C46" s="885"/>
      <c r="I46" s="881"/>
    </row>
    <row r="47" spans="1:9" s="880" customFormat="1" x14ac:dyDescent="0.2">
      <c r="A47" s="298" t="s">
        <v>964</v>
      </c>
      <c r="B47" s="298"/>
      <c r="I47" s="881"/>
    </row>
    <row r="48" spans="1:9" s="880" customFormat="1" x14ac:dyDescent="0.2">
      <c r="A48" s="298" t="s">
        <v>965</v>
      </c>
      <c r="B48" s="298"/>
      <c r="I48" s="881"/>
    </row>
    <row r="49" spans="1:9" s="880" customFormat="1" x14ac:dyDescent="0.2">
      <c r="A49" s="298" t="s">
        <v>966</v>
      </c>
      <c r="B49" s="298"/>
      <c r="I49" s="881"/>
    </row>
    <row r="50" spans="1:9" s="880" customFormat="1" ht="6.75" customHeight="1" x14ac:dyDescent="0.2">
      <c r="A50" s="298"/>
      <c r="B50" s="298"/>
      <c r="I50" s="881"/>
    </row>
    <row r="51" spans="1:9" s="880" customFormat="1" x14ac:dyDescent="0.2">
      <c r="A51" s="296" t="s">
        <v>967</v>
      </c>
      <c r="B51" s="298"/>
      <c r="I51" s="881"/>
    </row>
    <row r="52" spans="1:9" s="880" customFormat="1" x14ac:dyDescent="0.2">
      <c r="A52" s="298" t="s">
        <v>968</v>
      </c>
      <c r="B52" s="298"/>
      <c r="I52" s="881"/>
    </row>
    <row r="53" spans="1:9" s="880" customFormat="1" x14ac:dyDescent="0.2">
      <c r="A53" s="298" t="s">
        <v>969</v>
      </c>
      <c r="B53" s="298"/>
      <c r="I53" s="881"/>
    </row>
    <row r="54" spans="1:9" s="880" customFormat="1" x14ac:dyDescent="0.2">
      <c r="A54" s="298" t="s">
        <v>970</v>
      </c>
      <c r="B54" s="298"/>
      <c r="I54" s="881"/>
    </row>
    <row r="55" spans="1:9" s="880" customFormat="1" ht="7.5" customHeight="1" x14ac:dyDescent="0.2">
      <c r="A55" s="298"/>
      <c r="B55" s="298"/>
      <c r="I55" s="881"/>
    </row>
    <row r="56" spans="1:9" s="880" customFormat="1" x14ac:dyDescent="0.2">
      <c r="A56" s="296" t="s">
        <v>971</v>
      </c>
      <c r="B56" s="298"/>
      <c r="I56" s="881"/>
    </row>
    <row r="57" spans="1:9" s="880" customFormat="1" x14ac:dyDescent="0.2">
      <c r="A57" s="886" t="s">
        <v>972</v>
      </c>
      <c r="B57" s="298"/>
      <c r="I57" s="881"/>
    </row>
    <row r="58" spans="1:9" s="880" customFormat="1" x14ac:dyDescent="0.2">
      <c r="A58" s="887" t="s">
        <v>973</v>
      </c>
      <c r="B58" s="298"/>
      <c r="I58" s="881"/>
    </row>
    <row r="59" spans="1:9" s="880" customFormat="1" x14ac:dyDescent="0.2">
      <c r="A59" s="887" t="s">
        <v>974</v>
      </c>
      <c r="B59" s="298"/>
      <c r="I59" s="881"/>
    </row>
    <row r="60" spans="1:9" s="880" customFormat="1" x14ac:dyDescent="0.2">
      <c r="A60" s="886" t="s">
        <v>975</v>
      </c>
      <c r="B60" s="298"/>
      <c r="I60" s="881"/>
    </row>
    <row r="61" spans="1:9" s="880" customFormat="1" x14ac:dyDescent="0.2">
      <c r="A61" s="887" t="s">
        <v>976</v>
      </c>
      <c r="B61" s="298"/>
      <c r="I61" s="881"/>
    </row>
    <row r="62" spans="1:9" s="880" customFormat="1" x14ac:dyDescent="0.2">
      <c r="A62" s="887" t="s">
        <v>977</v>
      </c>
      <c r="B62" s="298"/>
      <c r="I62" s="881"/>
    </row>
    <row r="63" spans="1:9" s="880" customFormat="1" x14ac:dyDescent="0.2">
      <c r="A63" s="887" t="s">
        <v>978</v>
      </c>
      <c r="B63" s="298"/>
      <c r="I63" s="881"/>
    </row>
    <row r="64" spans="1:9" s="880" customFormat="1" x14ac:dyDescent="0.2">
      <c r="A64" s="886" t="s">
        <v>979</v>
      </c>
      <c r="B64" s="298"/>
      <c r="I64" s="881"/>
    </row>
    <row r="65" spans="1:9" s="880" customFormat="1" x14ac:dyDescent="0.2">
      <c r="A65" s="887" t="s">
        <v>980</v>
      </c>
      <c r="B65" s="298"/>
      <c r="I65" s="881"/>
    </row>
    <row r="66" spans="1:9" s="880" customFormat="1" x14ac:dyDescent="0.2">
      <c r="A66" s="888" t="s">
        <v>981</v>
      </c>
      <c r="B66" s="298"/>
      <c r="I66" s="881"/>
    </row>
    <row r="67" spans="1:9" s="880" customFormat="1" x14ac:dyDescent="0.2">
      <c r="A67" s="889" t="s">
        <v>982</v>
      </c>
      <c r="B67" s="298"/>
      <c r="I67" s="881"/>
    </row>
    <row r="68" spans="1:9" s="880" customFormat="1" x14ac:dyDescent="0.2">
      <c r="A68" s="890" t="s">
        <v>983</v>
      </c>
      <c r="B68" s="298"/>
      <c r="I68" s="881"/>
    </row>
    <row r="69" spans="1:9" s="880" customFormat="1" ht="7.5" customHeight="1" x14ac:dyDescent="0.2">
      <c r="A69" s="296"/>
      <c r="B69" s="298"/>
      <c r="I69" s="881"/>
    </row>
    <row r="70" spans="1:9" s="880" customFormat="1" x14ac:dyDescent="0.2">
      <c r="A70" s="296" t="s">
        <v>984</v>
      </c>
      <c r="B70" s="298"/>
      <c r="I70" s="881"/>
    </row>
    <row r="71" spans="1:9" s="880" customFormat="1" x14ac:dyDescent="0.2">
      <c r="A71" s="882" t="s">
        <v>944</v>
      </c>
      <c r="B71" s="298"/>
      <c r="I71" s="881"/>
    </row>
    <row r="72" spans="1:9" s="880" customFormat="1" x14ac:dyDescent="0.2">
      <c r="A72" s="890" t="s">
        <v>985</v>
      </c>
      <c r="B72" s="298"/>
      <c r="I72" s="881"/>
    </row>
    <row r="73" spans="1:9" s="880" customFormat="1" x14ac:dyDescent="0.2">
      <c r="A73" s="891" t="s">
        <v>986</v>
      </c>
      <c r="B73" s="298"/>
      <c r="I73" s="881"/>
    </row>
    <row r="74" spans="1:9" s="880" customFormat="1" x14ac:dyDescent="0.2">
      <c r="A74" s="890" t="s">
        <v>987</v>
      </c>
      <c r="B74" s="298"/>
      <c r="I74" s="881"/>
    </row>
    <row r="75" spans="1:9" s="880" customFormat="1" x14ac:dyDescent="0.2">
      <c r="A75" s="882" t="s">
        <v>979</v>
      </c>
      <c r="B75" s="298"/>
      <c r="I75" s="881"/>
    </row>
    <row r="76" spans="1:9" s="880" customFormat="1" x14ac:dyDescent="0.2">
      <c r="A76" s="890" t="s">
        <v>988</v>
      </c>
      <c r="B76" s="298"/>
      <c r="I76" s="881"/>
    </row>
    <row r="77" spans="1:9" s="880" customFormat="1" ht="6.75" customHeight="1" x14ac:dyDescent="0.2">
      <c r="A77" s="890"/>
      <c r="B77" s="298"/>
      <c r="I77" s="881"/>
    </row>
    <row r="78" spans="1:9" s="880" customFormat="1" x14ac:dyDescent="0.2">
      <c r="A78" s="892" t="s">
        <v>989</v>
      </c>
      <c r="B78" s="296"/>
      <c r="C78" s="885"/>
      <c r="I78" s="881"/>
    </row>
    <row r="79" spans="1:9" s="880" customFormat="1" x14ac:dyDescent="0.2">
      <c r="A79" s="891" t="s">
        <v>990</v>
      </c>
      <c r="B79" s="298"/>
      <c r="I79" s="881"/>
    </row>
    <row r="80" spans="1:9" s="880" customFormat="1" x14ac:dyDescent="0.2">
      <c r="A80" s="890" t="s">
        <v>991</v>
      </c>
      <c r="B80" s="298"/>
      <c r="I80" s="881"/>
    </row>
    <row r="81" spans="1:9" x14ac:dyDescent="0.2">
      <c r="A81" s="890"/>
      <c r="I81" s="893"/>
    </row>
  </sheetData>
  <sheetProtection algorithmName="SHA-512" hashValue="ilXJisOQAt5uPdqaGzzbi/2I2O4qfZNnSHCV6//Dd4ZtbWFKSPgIypUBJPUWXD3CjWqEujKvV3G5kxmju2VPSQ==" saltValue="p9KiqkjX01Xkgrv+HzUvJg==" spinCount="100000" sheet="1" objects="1" scenarios="1"/>
  <mergeCells count="15">
    <mergeCell ref="A15:A16"/>
    <mergeCell ref="B15:C16"/>
    <mergeCell ref="I15:I16"/>
    <mergeCell ref="A8:B8"/>
    <mergeCell ref="A9:B9"/>
    <mergeCell ref="B10:C10"/>
    <mergeCell ref="A11:C11"/>
    <mergeCell ref="A12:A14"/>
    <mergeCell ref="B12:C14"/>
    <mergeCell ref="A7:B7"/>
    <mergeCell ref="A3:B3"/>
    <mergeCell ref="D3:I3"/>
    <mergeCell ref="A4:B4"/>
    <mergeCell ref="C4:I4"/>
    <mergeCell ref="A5:I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29.pielikums Jūrmalas pilsētas domes
2019.gada 31.oktobra saistošajiem noteikumiem Nr.46
(protokols Nr.14, 28.punkts)
 </firstHeader>
    <firstFooter>&amp;L&amp;9&amp;D; &amp;T&amp;R&amp;9&amp;P (&amp;N)</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6"/>
  <sheetViews>
    <sheetView view="pageLayout" zoomScaleNormal="100" workbookViewId="0">
      <selection activeCell="K13" sqref="K13"/>
    </sheetView>
  </sheetViews>
  <sheetFormatPr defaultColWidth="9.140625" defaultRowHeight="12" outlineLevelCol="1" x14ac:dyDescent="0.2"/>
  <cols>
    <col min="1" max="1" width="6.140625" style="323" customWidth="1"/>
    <col min="2" max="2" width="30.140625" style="323" customWidth="1"/>
    <col min="3" max="3" width="10.5703125" style="323" customWidth="1"/>
    <col min="4" max="4" width="12.5703125" style="323" hidden="1" customWidth="1" outlineLevel="1"/>
    <col min="5" max="5" width="11.5703125" style="323" hidden="1" customWidth="1" outlineLevel="1"/>
    <col min="6" max="6" width="14.28515625" style="323" customWidth="1" collapsed="1"/>
    <col min="7" max="7" width="29.28515625" style="323" hidden="1" customWidth="1" outlineLevel="1"/>
    <col min="8" max="8" width="19.7109375" style="323" customWidth="1" collapsed="1"/>
    <col min="9" max="16384" width="9.140625" style="323"/>
  </cols>
  <sheetData>
    <row r="1" spans="1:10" x14ac:dyDescent="0.2">
      <c r="H1" s="344" t="s">
        <v>426</v>
      </c>
    </row>
    <row r="2" spans="1:10" x14ac:dyDescent="0.2">
      <c r="H2" s="344" t="s">
        <v>427</v>
      </c>
    </row>
    <row r="3" spans="1:10" x14ac:dyDescent="0.2">
      <c r="A3" s="1580" t="s">
        <v>412</v>
      </c>
      <c r="B3" s="1580"/>
      <c r="C3" s="322" t="s">
        <v>3</v>
      </c>
      <c r="D3" s="322"/>
      <c r="E3" s="322"/>
      <c r="F3" s="322"/>
      <c r="G3" s="322"/>
      <c r="H3" s="322"/>
    </row>
    <row r="4" spans="1:10" x14ac:dyDescent="0.2">
      <c r="A4" s="1580" t="s">
        <v>413</v>
      </c>
      <c r="B4" s="1580"/>
      <c r="C4" s="324">
        <v>90000056357</v>
      </c>
      <c r="D4" s="322"/>
      <c r="E4" s="322"/>
      <c r="F4" s="322"/>
      <c r="G4" s="322"/>
      <c r="H4" s="322"/>
    </row>
    <row r="5" spans="1:10" ht="15.75" x14ac:dyDescent="0.25">
      <c r="A5" s="1581" t="s">
        <v>414</v>
      </c>
      <c r="B5" s="1581"/>
      <c r="C5" s="1581"/>
      <c r="D5" s="1581"/>
      <c r="E5" s="1581"/>
      <c r="F5" s="1581"/>
      <c r="G5" s="1581"/>
      <c r="H5" s="1581"/>
    </row>
    <row r="6" spans="1:10" ht="15.75" x14ac:dyDescent="0.25">
      <c r="A6" s="325"/>
      <c r="B6" s="325"/>
      <c r="C6" s="325"/>
      <c r="D6" s="325"/>
      <c r="E6" s="325"/>
      <c r="F6" s="325"/>
      <c r="G6" s="325"/>
      <c r="H6" s="325"/>
    </row>
    <row r="7" spans="1:10" ht="15.75" x14ac:dyDescent="0.25">
      <c r="A7" s="322" t="s">
        <v>331</v>
      </c>
      <c r="B7" s="322"/>
      <c r="C7" s="326" t="s">
        <v>415</v>
      </c>
      <c r="D7" s="326"/>
      <c r="E7" s="326"/>
      <c r="F7" s="326"/>
      <c r="G7" s="326"/>
      <c r="H7" s="326"/>
      <c r="I7" s="326"/>
    </row>
    <row r="8" spans="1:10" x14ac:dyDescent="0.2">
      <c r="A8" s="322" t="s">
        <v>333</v>
      </c>
      <c r="B8" s="322"/>
      <c r="C8" s="1582" t="s">
        <v>410</v>
      </c>
      <c r="D8" s="1582"/>
      <c r="E8" s="1582"/>
      <c r="F8" s="1582"/>
      <c r="G8" s="1582"/>
      <c r="H8" s="1582"/>
      <c r="I8" s="1582"/>
      <c r="J8" s="1582"/>
    </row>
    <row r="9" spans="1:10" x14ac:dyDescent="0.2">
      <c r="A9" s="322" t="s">
        <v>334</v>
      </c>
      <c r="B9" s="322"/>
      <c r="C9" s="282" t="s">
        <v>409</v>
      </c>
      <c r="D9" s="283"/>
      <c r="E9" s="283"/>
      <c r="F9" s="283"/>
      <c r="G9" s="283"/>
      <c r="H9" s="283"/>
      <c r="I9" s="283"/>
      <c r="J9" s="283"/>
    </row>
    <row r="10" spans="1:10" ht="58.5" customHeight="1" x14ac:dyDescent="0.2">
      <c r="A10" s="327" t="s">
        <v>335</v>
      </c>
      <c r="B10" s="327" t="s">
        <v>336</v>
      </c>
      <c r="C10" s="327" t="s">
        <v>337</v>
      </c>
      <c r="D10" s="328" t="s">
        <v>338</v>
      </c>
      <c r="E10" s="328" t="s">
        <v>339</v>
      </c>
      <c r="F10" s="328" t="s">
        <v>340</v>
      </c>
      <c r="G10" s="328" t="s">
        <v>35</v>
      </c>
      <c r="H10" s="327" t="s">
        <v>341</v>
      </c>
    </row>
    <row r="11" spans="1:10" ht="12.75" customHeight="1" x14ac:dyDescent="0.2">
      <c r="A11" s="1583" t="s">
        <v>342</v>
      </c>
      <c r="B11" s="1583"/>
      <c r="C11" s="329"/>
      <c r="D11" s="329">
        <f>SUM(D12:D17)</f>
        <v>314770</v>
      </c>
      <c r="E11" s="329">
        <f>SUM(E12:E17)</f>
        <v>-127000</v>
      </c>
      <c r="F11" s="329">
        <f>D11+E11</f>
        <v>187770</v>
      </c>
      <c r="G11" s="329"/>
      <c r="H11" s="330"/>
    </row>
    <row r="12" spans="1:10" ht="52.5" customHeight="1" x14ac:dyDescent="0.2">
      <c r="A12" s="286">
        <v>1</v>
      </c>
      <c r="B12" s="331" t="s">
        <v>416</v>
      </c>
      <c r="C12" s="287">
        <v>2244</v>
      </c>
      <c r="D12" s="288">
        <v>130000</v>
      </c>
      <c r="E12" s="332"/>
      <c r="F12" s="333">
        <f t="shared" ref="F12:F16" si="0">D12+E12</f>
        <v>130000</v>
      </c>
      <c r="G12" s="334"/>
      <c r="H12" s="1584" t="s">
        <v>417</v>
      </c>
    </row>
    <row r="13" spans="1:10" ht="252" x14ac:dyDescent="0.2">
      <c r="A13" s="286">
        <v>2</v>
      </c>
      <c r="B13" s="331" t="s">
        <v>418</v>
      </c>
      <c r="C13" s="287">
        <v>2244</v>
      </c>
      <c r="D13" s="288">
        <v>167700</v>
      </c>
      <c r="E13" s="335">
        <v>-127000</v>
      </c>
      <c r="F13" s="333">
        <f t="shared" si="0"/>
        <v>40700</v>
      </c>
      <c r="G13" s="334" t="s">
        <v>419</v>
      </c>
      <c r="H13" s="1585"/>
    </row>
    <row r="14" spans="1:10" ht="48" x14ac:dyDescent="0.2">
      <c r="A14" s="336">
        <v>3</v>
      </c>
      <c r="B14" s="337" t="s">
        <v>420</v>
      </c>
      <c r="C14" s="338">
        <v>2244</v>
      </c>
      <c r="D14" s="339">
        <v>15000</v>
      </c>
      <c r="E14" s="340"/>
      <c r="F14" s="333">
        <f t="shared" si="0"/>
        <v>15000</v>
      </c>
      <c r="G14" s="341"/>
      <c r="H14" s="1585"/>
    </row>
    <row r="15" spans="1:10" ht="38.25" customHeight="1" x14ac:dyDescent="0.2">
      <c r="A15" s="1587">
        <v>4</v>
      </c>
      <c r="B15" s="1589" t="s">
        <v>421</v>
      </c>
      <c r="C15" s="287">
        <v>2519</v>
      </c>
      <c r="D15" s="288">
        <v>120</v>
      </c>
      <c r="E15" s="288"/>
      <c r="F15" s="333">
        <f t="shared" si="0"/>
        <v>120</v>
      </c>
      <c r="G15" s="334"/>
      <c r="H15" s="1585"/>
    </row>
    <row r="16" spans="1:10" ht="38.25" customHeight="1" x14ac:dyDescent="0.2">
      <c r="A16" s="1588"/>
      <c r="B16" s="1590"/>
      <c r="C16" s="287">
        <v>2276</v>
      </c>
      <c r="D16" s="288">
        <v>1950</v>
      </c>
      <c r="E16" s="288"/>
      <c r="F16" s="333">
        <f t="shared" si="0"/>
        <v>1950</v>
      </c>
      <c r="G16" s="334"/>
      <c r="H16" s="1586"/>
    </row>
    <row r="17" spans="1:10" x14ac:dyDescent="0.2">
      <c r="A17" s="342"/>
      <c r="B17" s="342"/>
      <c r="C17" s="342"/>
      <c r="D17" s="342"/>
      <c r="E17" s="342"/>
      <c r="F17" s="342"/>
      <c r="G17" s="342"/>
      <c r="H17" s="342"/>
    </row>
    <row r="19" spans="1:10" s="279" customFormat="1" x14ac:dyDescent="0.25">
      <c r="A19" s="279" t="s">
        <v>360</v>
      </c>
      <c r="C19" s="1579"/>
      <c r="D19" s="1579"/>
      <c r="E19" s="1579"/>
      <c r="F19" s="1579"/>
      <c r="G19" s="1579"/>
      <c r="H19" s="1579"/>
      <c r="I19" s="1579"/>
      <c r="J19" s="1579"/>
    </row>
    <row r="20" spans="1:10" s="279" customFormat="1" x14ac:dyDescent="0.25">
      <c r="A20" s="279" t="s">
        <v>361</v>
      </c>
    </row>
    <row r="21" spans="1:10" s="279" customFormat="1" ht="12" customHeight="1" x14ac:dyDescent="0.25"/>
    <row r="22" spans="1:10" s="279" customFormat="1" ht="12" customHeight="1" x14ac:dyDescent="0.25">
      <c r="A22" s="343" t="s">
        <v>422</v>
      </c>
    </row>
    <row r="23" spans="1:10" s="279" customFormat="1" x14ac:dyDescent="0.25">
      <c r="A23" s="279" t="s">
        <v>423</v>
      </c>
    </row>
    <row r="24" spans="1:10" s="279" customFormat="1" ht="12" customHeight="1" x14ac:dyDescent="0.25">
      <c r="A24" s="302" t="s">
        <v>424</v>
      </c>
      <c r="B24" s="302"/>
      <c r="C24" s="302"/>
      <c r="D24" s="302"/>
      <c r="E24" s="302"/>
      <c r="F24" s="302"/>
      <c r="G24" s="302"/>
      <c r="H24" s="302"/>
      <c r="I24" s="302"/>
      <c r="J24" s="302"/>
    </row>
    <row r="25" spans="1:10" s="279" customFormat="1" x14ac:dyDescent="0.25">
      <c r="A25" s="302" t="s">
        <v>425</v>
      </c>
      <c r="B25" s="302"/>
      <c r="C25" s="302"/>
      <c r="D25" s="302"/>
      <c r="E25" s="302"/>
      <c r="F25" s="302"/>
      <c r="G25" s="302"/>
      <c r="H25" s="302"/>
      <c r="I25" s="302"/>
      <c r="J25" s="302"/>
    </row>
    <row r="26" spans="1:10" s="279" customFormat="1" x14ac:dyDescent="0.25">
      <c r="A26" s="302"/>
      <c r="B26" s="302"/>
      <c r="C26" s="302"/>
      <c r="D26" s="302"/>
      <c r="E26" s="302"/>
      <c r="F26" s="302"/>
      <c r="G26" s="302"/>
      <c r="H26" s="302"/>
      <c r="I26" s="302"/>
      <c r="J26" s="302"/>
    </row>
  </sheetData>
  <sheetProtection algorithmName="SHA-512" hashValue="dFZsH5/FaDDQS8bnVc1d8HORbf1h5JPu+EsbpzQKQWoSaFUG+IomJhtQ3iXw3zD5X51DOnclWwA4tf6nUB81oQ==" saltValue="pxRS7BxhUXGgpNOBN0+rSw==" spinCount="100000" sheet="1" objects="1" scenarios="1"/>
  <mergeCells count="9">
    <mergeCell ref="C19:J19"/>
    <mergeCell ref="A3:B3"/>
    <mergeCell ref="A4:B4"/>
    <mergeCell ref="A5:H5"/>
    <mergeCell ref="C8:J8"/>
    <mergeCell ref="A11:B11"/>
    <mergeCell ref="H12:H16"/>
    <mergeCell ref="A15:A16"/>
    <mergeCell ref="B15:B16"/>
  </mergeCells>
  <pageMargins left="0.98425196850393704" right="0.39370078740157483" top="0.59055118110236227" bottom="0.39370078740157483" header="0.23622047244094491" footer="0.23622047244094491"/>
  <pageSetup paperSize="9" scale="70" orientation="portrait" horizontalDpi="4294967294" verticalDpi="4294967294" r:id="rId1"/>
  <headerFooter differentFirst="1">
    <oddFooter>&amp;L&amp;"Times New Roman,Regular"&amp;9&amp;D; &amp;T&amp;R&amp;"Times New Roman,Regular"&amp;9&amp;P (&amp;N)</oddFooter>
    <firstHeader xml:space="preserve">&amp;R&amp;"Times New Roman,Regular"&amp;9 30.pielikums Jūrmalas pilsētas domes
2019.gada 31.oktobra saistošajiem noteikumiem Nr.46
(protokols Nr.14, 28.punkts)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view="pageLayout" zoomScaleNormal="100" workbookViewId="0">
      <selection activeCell="M6" sqref="M6"/>
    </sheetView>
  </sheetViews>
  <sheetFormatPr defaultRowHeight="12" outlineLevelCol="1" x14ac:dyDescent="0.25"/>
  <cols>
    <col min="1" max="1" width="6.140625" style="279" customWidth="1"/>
    <col min="2" max="2" width="17.28515625" style="279" customWidth="1"/>
    <col min="3" max="3" width="8.28515625" style="279" customWidth="1"/>
    <col min="4" max="4" width="10.5703125" style="279" customWidth="1"/>
    <col min="5" max="5" width="14.140625" style="279" hidden="1" customWidth="1" outlineLevel="1"/>
    <col min="6" max="6" width="12.140625" style="279" hidden="1" customWidth="1" outlineLevel="1"/>
    <col min="7" max="7" width="14.7109375" style="279" customWidth="1" collapsed="1"/>
    <col min="8" max="8" width="31.28515625" style="279" hidden="1" customWidth="1" outlineLevel="1"/>
    <col min="9" max="9" width="23.140625" style="279" customWidth="1" collapsed="1"/>
    <col min="10" max="16384" width="9.140625" style="279"/>
  </cols>
  <sheetData>
    <row r="1" spans="1:9" x14ac:dyDescent="0.25">
      <c r="I1" s="303" t="s">
        <v>373</v>
      </c>
    </row>
    <row r="2" spans="1:9" x14ac:dyDescent="0.25">
      <c r="I2" s="303" t="s">
        <v>374</v>
      </c>
    </row>
    <row r="3" spans="1:9" x14ac:dyDescent="0.25">
      <c r="A3" s="1582" t="s">
        <v>2</v>
      </c>
      <c r="B3" s="1582"/>
      <c r="C3" s="721" t="s">
        <v>3</v>
      </c>
      <c r="D3" s="721"/>
      <c r="E3" s="721"/>
      <c r="F3" s="721"/>
      <c r="G3" s="721"/>
      <c r="H3" s="721"/>
      <c r="I3" s="721"/>
    </row>
    <row r="4" spans="1:9" x14ac:dyDescent="0.25">
      <c r="A4" s="1582" t="s">
        <v>4</v>
      </c>
      <c r="B4" s="1582"/>
      <c r="C4" s="280" t="s">
        <v>5</v>
      </c>
      <c r="D4" s="721"/>
      <c r="E4" s="721"/>
      <c r="F4" s="721"/>
      <c r="G4" s="721"/>
      <c r="H4" s="721"/>
      <c r="I4" s="721"/>
    </row>
    <row r="5" spans="1:9" ht="15.75" x14ac:dyDescent="0.25">
      <c r="A5" s="1591" t="s">
        <v>330</v>
      </c>
      <c r="B5" s="1591"/>
      <c r="C5" s="1591"/>
      <c r="D5" s="1591"/>
      <c r="E5" s="1591"/>
      <c r="F5" s="1591"/>
      <c r="G5" s="1591"/>
      <c r="H5" s="1591"/>
      <c r="I5" s="1591"/>
    </row>
    <row r="6" spans="1:9" ht="15.75" x14ac:dyDescent="0.25">
      <c r="A6" s="722"/>
      <c r="B6" s="722"/>
      <c r="C6" s="722"/>
      <c r="D6" s="722"/>
      <c r="E6" s="722"/>
      <c r="F6" s="722"/>
      <c r="G6" s="722"/>
      <c r="H6" s="722"/>
      <c r="I6" s="722"/>
    </row>
    <row r="7" spans="1:9" ht="15.75" x14ac:dyDescent="0.25">
      <c r="A7" s="1582" t="s">
        <v>331</v>
      </c>
      <c r="B7" s="1582"/>
      <c r="C7" s="281" t="s">
        <v>332</v>
      </c>
      <c r="D7" s="281"/>
      <c r="E7" s="281"/>
      <c r="F7" s="281"/>
      <c r="G7" s="281"/>
      <c r="H7" s="281"/>
      <c r="I7" s="281"/>
    </row>
    <row r="8" spans="1:9" x14ac:dyDescent="0.25">
      <c r="A8" s="1582" t="s">
        <v>333</v>
      </c>
      <c r="B8" s="1582"/>
      <c r="C8" s="279" t="s">
        <v>11</v>
      </c>
    </row>
    <row r="9" spans="1:9" x14ac:dyDescent="0.25">
      <c r="A9" s="1582" t="s">
        <v>334</v>
      </c>
      <c r="B9" s="1582"/>
      <c r="C9" s="282" t="s">
        <v>9</v>
      </c>
      <c r="D9" s="283"/>
      <c r="E9" s="283"/>
      <c r="F9" s="283"/>
      <c r="G9" s="283"/>
      <c r="H9" s="283"/>
      <c r="I9" s="283"/>
    </row>
    <row r="10" spans="1:9" ht="16.5" customHeight="1" x14ac:dyDescent="0.25">
      <c r="A10" s="1600" t="s">
        <v>335</v>
      </c>
      <c r="B10" s="1600" t="s">
        <v>336</v>
      </c>
      <c r="C10" s="1600"/>
      <c r="D10" s="1600" t="s">
        <v>337</v>
      </c>
      <c r="E10" s="1598" t="s">
        <v>338</v>
      </c>
      <c r="F10" s="1598" t="s">
        <v>339</v>
      </c>
      <c r="G10" s="1598" t="s">
        <v>340</v>
      </c>
      <c r="H10" s="1598" t="s">
        <v>35</v>
      </c>
      <c r="I10" s="1600" t="s">
        <v>341</v>
      </c>
    </row>
    <row r="11" spans="1:9" ht="33.75" customHeight="1" x14ac:dyDescent="0.25">
      <c r="A11" s="1600"/>
      <c r="B11" s="1600"/>
      <c r="C11" s="1600"/>
      <c r="D11" s="1600"/>
      <c r="E11" s="1599"/>
      <c r="F11" s="1599"/>
      <c r="G11" s="1599"/>
      <c r="H11" s="1599"/>
      <c r="I11" s="1600"/>
    </row>
    <row r="12" spans="1:9" x14ac:dyDescent="0.25">
      <c r="A12" s="1601" t="s">
        <v>342</v>
      </c>
      <c r="B12" s="1602"/>
      <c r="C12" s="1603"/>
      <c r="D12" s="284"/>
      <c r="E12" s="284">
        <f>SUM(E13:E23)</f>
        <v>42844</v>
      </c>
      <c r="F12" s="284">
        <f t="shared" ref="F12:G12" si="0">SUM(F13:F23)</f>
        <v>0</v>
      </c>
      <c r="G12" s="284">
        <f t="shared" si="0"/>
        <v>42844</v>
      </c>
      <c r="H12" s="284">
        <f t="shared" ref="H12" si="1">SUM(H13:H22)</f>
        <v>0</v>
      </c>
      <c r="I12" s="285"/>
    </row>
    <row r="13" spans="1:9" ht="67.5" customHeight="1" x14ac:dyDescent="0.25">
      <c r="A13" s="286">
        <v>1</v>
      </c>
      <c r="B13" s="1604" t="s">
        <v>343</v>
      </c>
      <c r="C13" s="1605"/>
      <c r="D13" s="287">
        <v>2231</v>
      </c>
      <c r="E13" s="288">
        <v>5000</v>
      </c>
      <c r="F13" s="289">
        <v>-1500</v>
      </c>
      <c r="G13" s="285">
        <f t="shared" ref="G13:G23" si="2">E13+F13</f>
        <v>3500</v>
      </c>
      <c r="H13" s="290" t="s">
        <v>344</v>
      </c>
      <c r="I13" s="291" t="s">
        <v>345</v>
      </c>
    </row>
    <row r="14" spans="1:9" ht="90.75" customHeight="1" x14ac:dyDescent="0.25">
      <c r="A14" s="286">
        <v>2</v>
      </c>
      <c r="B14" s="1604" t="s">
        <v>346</v>
      </c>
      <c r="C14" s="1605"/>
      <c r="D14" s="287">
        <v>2122</v>
      </c>
      <c r="E14" s="288">
        <v>8000</v>
      </c>
      <c r="F14" s="289">
        <v>1500</v>
      </c>
      <c r="G14" s="285">
        <f t="shared" si="2"/>
        <v>9500</v>
      </c>
      <c r="H14" s="290" t="s">
        <v>913</v>
      </c>
      <c r="I14" s="291" t="s">
        <v>347</v>
      </c>
    </row>
    <row r="15" spans="1:9" ht="66" customHeight="1" x14ac:dyDescent="0.25">
      <c r="A15" s="286">
        <v>3</v>
      </c>
      <c r="B15" s="1604" t="s">
        <v>348</v>
      </c>
      <c r="C15" s="1605"/>
      <c r="D15" s="287">
        <v>2121</v>
      </c>
      <c r="E15" s="288">
        <v>1700</v>
      </c>
      <c r="F15" s="289">
        <v>500</v>
      </c>
      <c r="G15" s="285">
        <f t="shared" si="2"/>
        <v>2200</v>
      </c>
      <c r="H15" s="290" t="s">
        <v>914</v>
      </c>
      <c r="I15" s="291" t="s">
        <v>347</v>
      </c>
    </row>
    <row r="16" spans="1:9" ht="99.75" customHeight="1" x14ac:dyDescent="0.25">
      <c r="A16" s="286">
        <v>4</v>
      </c>
      <c r="B16" s="1604" t="s">
        <v>915</v>
      </c>
      <c r="C16" s="1605"/>
      <c r="D16" s="287">
        <v>2231</v>
      </c>
      <c r="E16" s="288">
        <v>20941</v>
      </c>
      <c r="F16" s="289">
        <f>-3000-500</f>
        <v>-3500</v>
      </c>
      <c r="G16" s="285">
        <f t="shared" si="2"/>
        <v>17441</v>
      </c>
      <c r="H16" s="290" t="s">
        <v>916</v>
      </c>
      <c r="I16" s="291" t="s">
        <v>345</v>
      </c>
    </row>
    <row r="17" spans="1:9" ht="54.75" customHeight="1" x14ac:dyDescent="0.25">
      <c r="A17" s="286">
        <v>5</v>
      </c>
      <c r="B17" s="1604" t="s">
        <v>349</v>
      </c>
      <c r="C17" s="1605"/>
      <c r="D17" s="287">
        <v>2314</v>
      </c>
      <c r="E17" s="288">
        <v>1500</v>
      </c>
      <c r="F17" s="289">
        <v>3000</v>
      </c>
      <c r="G17" s="285">
        <f t="shared" si="2"/>
        <v>4500</v>
      </c>
      <c r="H17" s="290" t="s">
        <v>917</v>
      </c>
      <c r="I17" s="291" t="s">
        <v>350</v>
      </c>
    </row>
    <row r="18" spans="1:9" ht="75" customHeight="1" x14ac:dyDescent="0.25">
      <c r="A18" s="286">
        <v>6</v>
      </c>
      <c r="B18" s="1604" t="s">
        <v>351</v>
      </c>
      <c r="C18" s="1605"/>
      <c r="D18" s="287">
        <v>2232</v>
      </c>
      <c r="E18" s="288">
        <v>340</v>
      </c>
      <c r="F18" s="292"/>
      <c r="G18" s="285">
        <f t="shared" si="2"/>
        <v>340</v>
      </c>
      <c r="H18" s="290"/>
      <c r="I18" s="291" t="s">
        <v>352</v>
      </c>
    </row>
    <row r="19" spans="1:9" ht="27" customHeight="1" x14ac:dyDescent="0.25">
      <c r="A19" s="286">
        <v>7</v>
      </c>
      <c r="B19" s="1604" t="s">
        <v>353</v>
      </c>
      <c r="C19" s="1605"/>
      <c r="D19" s="287">
        <v>2279</v>
      </c>
      <c r="E19" s="288">
        <v>3250</v>
      </c>
      <c r="F19" s="290"/>
      <c r="G19" s="285">
        <f t="shared" si="2"/>
        <v>3250</v>
      </c>
      <c r="H19" s="290"/>
      <c r="I19" s="291" t="s">
        <v>354</v>
      </c>
    </row>
    <row r="20" spans="1:9" ht="63.75" customHeight="1" x14ac:dyDescent="0.25">
      <c r="A20" s="293">
        <v>8</v>
      </c>
      <c r="B20" s="1604" t="s">
        <v>355</v>
      </c>
      <c r="C20" s="1605"/>
      <c r="D20" s="294">
        <v>2262</v>
      </c>
      <c r="E20" s="288">
        <v>800</v>
      </c>
      <c r="F20" s="290"/>
      <c r="G20" s="285">
        <f t="shared" si="2"/>
        <v>800</v>
      </c>
      <c r="H20" s="290"/>
      <c r="I20" s="291" t="s">
        <v>356</v>
      </c>
    </row>
    <row r="21" spans="1:9" ht="18" customHeight="1" x14ac:dyDescent="0.25">
      <c r="A21" s="1592">
        <v>9</v>
      </c>
      <c r="B21" s="1594" t="s">
        <v>357</v>
      </c>
      <c r="C21" s="1595"/>
      <c r="D21" s="294">
        <v>1150</v>
      </c>
      <c r="E21" s="288">
        <v>1250</v>
      </c>
      <c r="F21" s="289">
        <v>-500</v>
      </c>
      <c r="G21" s="285">
        <f t="shared" si="2"/>
        <v>750</v>
      </c>
      <c r="H21" s="290" t="s">
        <v>918</v>
      </c>
      <c r="I21" s="1584" t="s">
        <v>358</v>
      </c>
    </row>
    <row r="22" spans="1:9" ht="18" customHeight="1" x14ac:dyDescent="0.25">
      <c r="A22" s="1593"/>
      <c r="B22" s="1596"/>
      <c r="C22" s="1597"/>
      <c r="D22" s="294">
        <v>1210</v>
      </c>
      <c r="E22" s="288">
        <v>63</v>
      </c>
      <c r="F22" s="862"/>
      <c r="G22" s="285">
        <f t="shared" si="2"/>
        <v>63</v>
      </c>
      <c r="H22" s="290"/>
      <c r="I22" s="1586"/>
    </row>
    <row r="23" spans="1:9" ht="132" x14ac:dyDescent="0.25">
      <c r="A23" s="293">
        <v>10</v>
      </c>
      <c r="B23" s="1604" t="s">
        <v>359</v>
      </c>
      <c r="C23" s="1605"/>
      <c r="D23" s="294">
        <v>2279</v>
      </c>
      <c r="E23" s="288">
        <v>0</v>
      </c>
      <c r="F23" s="289">
        <v>500</v>
      </c>
      <c r="G23" s="285">
        <f t="shared" si="2"/>
        <v>500</v>
      </c>
      <c r="H23" s="290" t="s">
        <v>919</v>
      </c>
      <c r="I23" s="295" t="s">
        <v>358</v>
      </c>
    </row>
    <row r="25" spans="1:9" x14ac:dyDescent="0.25">
      <c r="A25" s="279" t="s">
        <v>360</v>
      </c>
    </row>
    <row r="26" spans="1:9" x14ac:dyDescent="0.25">
      <c r="A26" s="279" t="s">
        <v>361</v>
      </c>
    </row>
    <row r="28" spans="1:9" s="297" customFormat="1" x14ac:dyDescent="0.2">
      <c r="A28" s="296" t="s">
        <v>362</v>
      </c>
      <c r="B28" s="279"/>
      <c r="C28" s="279"/>
      <c r="D28" s="279"/>
      <c r="E28" s="279"/>
      <c r="F28" s="279"/>
      <c r="G28" s="279"/>
      <c r="H28" s="279"/>
      <c r="I28" s="279"/>
    </row>
    <row r="29" spans="1:9" s="297" customFormat="1" x14ac:dyDescent="0.2">
      <c r="A29" s="298"/>
      <c r="B29" s="299" t="s">
        <v>363</v>
      </c>
      <c r="C29" s="279"/>
      <c r="D29" s="279"/>
      <c r="E29" s="279"/>
      <c r="F29" s="279"/>
      <c r="G29" s="279"/>
      <c r="H29" s="279"/>
      <c r="I29" s="279"/>
    </row>
    <row r="30" spans="1:9" s="297" customFormat="1" x14ac:dyDescent="0.2">
      <c r="A30" s="299"/>
      <c r="B30" s="300" t="s">
        <v>364</v>
      </c>
      <c r="C30" s="279"/>
      <c r="D30" s="279"/>
      <c r="E30" s="279"/>
      <c r="F30" s="279"/>
      <c r="G30" s="279"/>
      <c r="H30" s="279"/>
      <c r="I30" s="279"/>
    </row>
    <row r="31" spans="1:9" s="297" customFormat="1" x14ac:dyDescent="0.2">
      <c r="A31" s="301"/>
      <c r="B31" s="298" t="s">
        <v>365</v>
      </c>
      <c r="C31" s="279"/>
      <c r="D31" s="279"/>
      <c r="E31" s="279"/>
      <c r="F31" s="279"/>
      <c r="G31" s="279"/>
      <c r="H31" s="279"/>
      <c r="I31" s="279"/>
    </row>
    <row r="32" spans="1:9" s="297" customFormat="1" x14ac:dyDescent="0.2">
      <c r="A32" s="299"/>
      <c r="B32" s="300" t="s">
        <v>366</v>
      </c>
      <c r="C32" s="279"/>
      <c r="D32" s="279"/>
      <c r="E32" s="279"/>
      <c r="F32" s="279"/>
      <c r="G32" s="279"/>
      <c r="H32" s="279"/>
      <c r="I32" s="279"/>
    </row>
    <row r="33" spans="1:10" s="297" customFormat="1" x14ac:dyDescent="0.2">
      <c r="A33" s="301"/>
      <c r="B33" s="298" t="s">
        <v>367</v>
      </c>
      <c r="C33" s="279"/>
      <c r="D33" s="279"/>
      <c r="E33" s="279"/>
      <c r="F33" s="279"/>
      <c r="G33" s="279"/>
      <c r="H33" s="279"/>
      <c r="I33" s="279"/>
    </row>
    <row r="34" spans="1:10" s="297" customFormat="1" x14ac:dyDescent="0.2">
      <c r="A34" s="301"/>
      <c r="B34" s="300" t="s">
        <v>368</v>
      </c>
      <c r="C34" s="279"/>
      <c r="D34" s="279"/>
      <c r="E34" s="279"/>
      <c r="F34" s="279"/>
      <c r="G34" s="279"/>
      <c r="H34" s="279"/>
      <c r="I34" s="279"/>
    </row>
    <row r="35" spans="1:10" s="297" customFormat="1" x14ac:dyDescent="0.2">
      <c r="A35" s="299"/>
      <c r="B35" s="298" t="s">
        <v>369</v>
      </c>
      <c r="C35" s="279"/>
      <c r="D35" s="279"/>
      <c r="E35" s="279"/>
      <c r="F35" s="279"/>
      <c r="G35" s="279"/>
      <c r="H35" s="279"/>
      <c r="I35" s="279"/>
    </row>
    <row r="36" spans="1:10" s="297" customFormat="1" x14ac:dyDescent="0.2">
      <c r="A36" s="301"/>
      <c r="B36" s="300" t="s">
        <v>370</v>
      </c>
      <c r="C36" s="279"/>
      <c r="D36" s="279"/>
      <c r="E36" s="279"/>
      <c r="F36" s="279"/>
      <c r="G36" s="279"/>
      <c r="H36" s="279"/>
      <c r="I36" s="279"/>
    </row>
    <row r="37" spans="1:10" s="297" customFormat="1" x14ac:dyDescent="0.2">
      <c r="A37" s="299"/>
      <c r="B37" s="298" t="s">
        <v>371</v>
      </c>
      <c r="C37" s="279"/>
      <c r="D37" s="279"/>
      <c r="E37" s="279"/>
      <c r="F37" s="279"/>
      <c r="G37" s="279"/>
      <c r="H37" s="279"/>
      <c r="I37" s="279"/>
    </row>
    <row r="38" spans="1:10" s="297" customFormat="1" x14ac:dyDescent="0.2">
      <c r="A38" s="301"/>
      <c r="B38" s="300" t="s">
        <v>372</v>
      </c>
      <c r="C38" s="279"/>
      <c r="D38" s="279"/>
      <c r="E38" s="279"/>
      <c r="F38" s="279"/>
      <c r="G38" s="279"/>
      <c r="H38" s="279"/>
      <c r="I38" s="279"/>
    </row>
    <row r="39" spans="1:10" x14ac:dyDescent="0.25">
      <c r="A39" s="302"/>
      <c r="B39" s="302"/>
      <c r="C39" s="302"/>
      <c r="D39" s="302"/>
      <c r="E39" s="302"/>
      <c r="F39" s="302"/>
      <c r="G39" s="302"/>
      <c r="H39" s="302"/>
      <c r="I39" s="302"/>
      <c r="J39" s="302"/>
    </row>
  </sheetData>
  <sheetProtection algorithmName="SHA-512" hashValue="Cl0kcT5fCgJiPhWl7afywo+gFaGaJkqER12vwkxze14FKSGuQU0FsRju8zaTVimpZanpe/NCoZyDuV2DO1Hw0Q==" saltValue="vhij6WAeNqgFicwZzz94RQ==" spinCount="100000" sheet="1" objects="1" scenarios="1"/>
  <mergeCells count="27">
    <mergeCell ref="B23:C23"/>
    <mergeCell ref="B16:C16"/>
    <mergeCell ref="B17:C17"/>
    <mergeCell ref="B18:C18"/>
    <mergeCell ref="B19:C19"/>
    <mergeCell ref="B20:C20"/>
    <mergeCell ref="A21:A22"/>
    <mergeCell ref="B21:C22"/>
    <mergeCell ref="H10:H11"/>
    <mergeCell ref="I10:I11"/>
    <mergeCell ref="A12:C12"/>
    <mergeCell ref="B13:C13"/>
    <mergeCell ref="B14:C14"/>
    <mergeCell ref="B15:C15"/>
    <mergeCell ref="A10:A11"/>
    <mergeCell ref="B10:C11"/>
    <mergeCell ref="D10:D11"/>
    <mergeCell ref="E10:E11"/>
    <mergeCell ref="F10:F11"/>
    <mergeCell ref="G10:G11"/>
    <mergeCell ref="I21:I22"/>
    <mergeCell ref="A9:B9"/>
    <mergeCell ref="A3:B3"/>
    <mergeCell ref="A4:B4"/>
    <mergeCell ref="A5:I5"/>
    <mergeCell ref="A7:B7"/>
    <mergeCell ref="A8:B8"/>
  </mergeCells>
  <pageMargins left="0.98425196850393704" right="0.39370078740157483" top="0.59055118110236227" bottom="0.39370078740157483" header="0.23622047244094491" footer="0.23622047244094491"/>
  <pageSetup paperSize="9" scale="70" fitToHeight="0" orientation="portrait" horizontalDpi="4294967294" verticalDpi="4294967294" r:id="rId1"/>
  <headerFooter differentFirst="1">
    <oddFooter>&amp;L&amp;"Times New Roman,Regular"&amp;9&amp;D; &amp;T&amp;R&amp;"Times New Roman,Regular"&amp;9&amp;P (&amp;N)</oddFooter>
    <firstHeader xml:space="preserve">&amp;R&amp;"Times New Roman,Regular"&amp;9 31.pielikums Jūrmalas pilsētas domes
2019.gada 31.oktobra saistošajiem noteikumiem Nr.46
(protokols Nr.14, 28.punkts)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T7" sqref="T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384</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385</v>
      </c>
      <c r="D3" s="1517"/>
      <c r="E3" s="1517"/>
      <c r="F3" s="1517"/>
      <c r="G3" s="1517"/>
      <c r="H3" s="1517"/>
      <c r="I3" s="1517"/>
      <c r="J3" s="1517"/>
      <c r="K3" s="1517"/>
      <c r="L3" s="1517"/>
      <c r="M3" s="1517"/>
      <c r="N3" s="1517"/>
      <c r="O3" s="1517"/>
      <c r="P3" s="1518"/>
      <c r="Q3" s="277"/>
    </row>
    <row r="4" spans="1:17" ht="12.75" customHeight="1" x14ac:dyDescent="0.25">
      <c r="A4" s="5" t="s">
        <v>4</v>
      </c>
      <c r="B4" s="6"/>
      <c r="C4" s="1517" t="s">
        <v>386</v>
      </c>
      <c r="D4" s="1517"/>
      <c r="E4" s="1517"/>
      <c r="F4" s="1517"/>
      <c r="G4" s="1517"/>
      <c r="H4" s="1517"/>
      <c r="I4" s="1517"/>
      <c r="J4" s="1517"/>
      <c r="K4" s="1517"/>
      <c r="L4" s="1517"/>
      <c r="M4" s="1517"/>
      <c r="N4" s="1517"/>
      <c r="O4" s="1517"/>
      <c r="P4" s="1518"/>
      <c r="Q4" s="277"/>
    </row>
    <row r="5" spans="1:17" ht="12.75" customHeight="1" x14ac:dyDescent="0.25">
      <c r="A5" s="7" t="s">
        <v>6</v>
      </c>
      <c r="B5" s="8"/>
      <c r="C5" s="1512" t="s">
        <v>387</v>
      </c>
      <c r="D5" s="1512"/>
      <c r="E5" s="1512"/>
      <c r="F5" s="1512"/>
      <c r="G5" s="1512"/>
      <c r="H5" s="1512"/>
      <c r="I5" s="1512"/>
      <c r="J5" s="1512"/>
      <c r="K5" s="1512"/>
      <c r="L5" s="1512"/>
      <c r="M5" s="1512"/>
      <c r="N5" s="1512"/>
      <c r="O5" s="1512"/>
      <c r="P5" s="1513"/>
      <c r="Q5" s="277"/>
    </row>
    <row r="6" spans="1:17" ht="12.75" customHeight="1" x14ac:dyDescent="0.25">
      <c r="A6" s="7" t="s">
        <v>8</v>
      </c>
      <c r="B6" s="8"/>
      <c r="C6" s="1512" t="s">
        <v>388</v>
      </c>
      <c r="D6" s="1512"/>
      <c r="E6" s="1512"/>
      <c r="F6" s="1512"/>
      <c r="G6" s="1512"/>
      <c r="H6" s="1512"/>
      <c r="I6" s="1512"/>
      <c r="J6" s="1512"/>
      <c r="K6" s="1512"/>
      <c r="L6" s="1512"/>
      <c r="M6" s="1512"/>
      <c r="N6" s="1512"/>
      <c r="O6" s="1512"/>
      <c r="P6" s="1513"/>
      <c r="Q6" s="277"/>
    </row>
    <row r="7" spans="1:17" ht="24" customHeight="1" x14ac:dyDescent="0.25">
      <c r="A7" s="7" t="s">
        <v>10</v>
      </c>
      <c r="B7" s="8"/>
      <c r="C7" s="1517" t="s">
        <v>389</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390</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391</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2498402</v>
      </c>
      <c r="D20" s="32">
        <f>SUM(D21,D24,D25,D41,D43)</f>
        <v>2472072</v>
      </c>
      <c r="E20" s="33">
        <f t="shared" ref="E20:F20" si="1">SUM(E21,E24,E25,E41,E43)</f>
        <v>0</v>
      </c>
      <c r="F20" s="34">
        <f t="shared" si="1"/>
        <v>2472072</v>
      </c>
      <c r="G20" s="32">
        <f>SUM(G21,G24,G43)</f>
        <v>0</v>
      </c>
      <c r="H20" s="33">
        <f t="shared" ref="H20:I20" si="2">SUM(H21,H24,H43)</f>
        <v>0</v>
      </c>
      <c r="I20" s="34">
        <f t="shared" si="2"/>
        <v>0</v>
      </c>
      <c r="J20" s="32">
        <f>SUM(J21,J26,J43)</f>
        <v>31051</v>
      </c>
      <c r="K20" s="33">
        <f t="shared" ref="K20:L20" si="3">SUM(K21,K26,K43)</f>
        <v>-4721</v>
      </c>
      <c r="L20" s="34">
        <f t="shared" si="3"/>
        <v>26330</v>
      </c>
      <c r="M20" s="32">
        <f>SUM(M21,M45)</f>
        <v>0</v>
      </c>
      <c r="N20" s="33">
        <f t="shared" ref="N20:O20" si="4">SUM(N21,N45)</f>
        <v>0</v>
      </c>
      <c r="O20" s="34">
        <f t="shared" si="4"/>
        <v>0</v>
      </c>
      <c r="P20" s="35"/>
    </row>
    <row r="21" spans="1:16" ht="12.75" thickTop="1" x14ac:dyDescent="0.25">
      <c r="A21" s="36"/>
      <c r="B21" s="37" t="s">
        <v>39</v>
      </c>
      <c r="C21" s="38">
        <f t="shared" si="0"/>
        <v>4445</v>
      </c>
      <c r="D21" s="39">
        <f>SUM(D22:D23)</f>
        <v>0</v>
      </c>
      <c r="E21" s="40">
        <f t="shared" ref="E21:F21" si="5">SUM(E22:E23)</f>
        <v>0</v>
      </c>
      <c r="F21" s="41">
        <f t="shared" si="5"/>
        <v>0</v>
      </c>
      <c r="G21" s="39">
        <f>SUM(G22:G23)</f>
        <v>0</v>
      </c>
      <c r="H21" s="40">
        <f t="shared" ref="H21:I21" si="6">SUM(H22:H23)</f>
        <v>0</v>
      </c>
      <c r="I21" s="41">
        <f t="shared" si="6"/>
        <v>0</v>
      </c>
      <c r="J21" s="39">
        <f>SUM(J22:J23)</f>
        <v>4445</v>
      </c>
      <c r="K21" s="40">
        <f t="shared" ref="K21:L21" si="7">SUM(K22:K23)</f>
        <v>0</v>
      </c>
      <c r="L21" s="41">
        <f t="shared" si="7"/>
        <v>4445</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4445</v>
      </c>
      <c r="D23" s="53"/>
      <c r="E23" s="54"/>
      <c r="F23" s="55">
        <f t="shared" ref="F23:F25" si="9">D23+E23</f>
        <v>0</v>
      </c>
      <c r="G23" s="53"/>
      <c r="H23" s="54"/>
      <c r="I23" s="55">
        <f t="shared" ref="I23:I24" si="10">G23+H23</f>
        <v>0</v>
      </c>
      <c r="J23" s="53">
        <v>4445</v>
      </c>
      <c r="K23" s="54"/>
      <c r="L23" s="56">
        <f>K23+J23</f>
        <v>4445</v>
      </c>
      <c r="M23" s="53"/>
      <c r="N23" s="54"/>
      <c r="O23" s="55">
        <f>N23+M23</f>
        <v>0</v>
      </c>
      <c r="P23" s="57"/>
    </row>
    <row r="24" spans="1:16" s="28" customFormat="1" ht="24.75" customHeight="1" thickBot="1" x14ac:dyDescent="0.3">
      <c r="A24" s="58">
        <v>19300</v>
      </c>
      <c r="B24" s="58" t="s">
        <v>42</v>
      </c>
      <c r="C24" s="59">
        <f>F24+I24</f>
        <v>2472072</v>
      </c>
      <c r="D24" s="60">
        <v>2472072</v>
      </c>
      <c r="E24" s="63"/>
      <c r="F24" s="62">
        <f t="shared" si="9"/>
        <v>2472072</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16555</v>
      </c>
      <c r="D26" s="74" t="s">
        <v>43</v>
      </c>
      <c r="E26" s="75" t="s">
        <v>43</v>
      </c>
      <c r="F26" s="76" t="s">
        <v>43</v>
      </c>
      <c r="G26" s="74" t="s">
        <v>43</v>
      </c>
      <c r="H26" s="75" t="s">
        <v>43</v>
      </c>
      <c r="I26" s="76" t="s">
        <v>43</v>
      </c>
      <c r="J26" s="78">
        <f>SUM(J27,J31,J33,J36)</f>
        <v>21276</v>
      </c>
      <c r="K26" s="79">
        <f t="shared" ref="K26:L26" si="11">SUM(K27,K31,K33,K36)</f>
        <v>-4721</v>
      </c>
      <c r="L26" s="80">
        <f t="shared" si="11"/>
        <v>16555</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16555</v>
      </c>
      <c r="D36" s="74" t="s">
        <v>43</v>
      </c>
      <c r="E36" s="75" t="s">
        <v>43</v>
      </c>
      <c r="F36" s="76" t="s">
        <v>43</v>
      </c>
      <c r="G36" s="74" t="s">
        <v>43</v>
      </c>
      <c r="H36" s="75" t="s">
        <v>43</v>
      </c>
      <c r="I36" s="76" t="s">
        <v>43</v>
      </c>
      <c r="J36" s="78">
        <f>SUM(J37:J40)</f>
        <v>21276</v>
      </c>
      <c r="K36" s="79">
        <f t="shared" ref="K36:L36" si="19">SUM(K37:K40)</f>
        <v>-4721</v>
      </c>
      <c r="L36" s="80">
        <f t="shared" si="19"/>
        <v>16555</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9.25" customHeight="1" x14ac:dyDescent="0.25">
      <c r="A40" s="108">
        <v>21399</v>
      </c>
      <c r="B40" s="109" t="s">
        <v>59</v>
      </c>
      <c r="C40" s="110">
        <f t="shared" si="16"/>
        <v>16555</v>
      </c>
      <c r="D40" s="111" t="s">
        <v>43</v>
      </c>
      <c r="E40" s="112" t="s">
        <v>43</v>
      </c>
      <c r="F40" s="113" t="s">
        <v>43</v>
      </c>
      <c r="G40" s="111" t="s">
        <v>43</v>
      </c>
      <c r="H40" s="112" t="s">
        <v>43</v>
      </c>
      <c r="I40" s="113" t="s">
        <v>43</v>
      </c>
      <c r="J40" s="114">
        <v>21276</v>
      </c>
      <c r="K40" s="115">
        <v>-4721</v>
      </c>
      <c r="L40" s="116">
        <f t="shared" si="20"/>
        <v>16555</v>
      </c>
      <c r="M40" s="117" t="s">
        <v>43</v>
      </c>
      <c r="N40" s="118" t="s">
        <v>43</v>
      </c>
      <c r="O40" s="116" t="s">
        <v>43</v>
      </c>
      <c r="P40" s="119" t="s">
        <v>392</v>
      </c>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5330</v>
      </c>
      <c r="D43" s="78">
        <f>D44</f>
        <v>0</v>
      </c>
      <c r="E43" s="79">
        <f t="shared" ref="E43:L43" si="22">E44</f>
        <v>0</v>
      </c>
      <c r="F43" s="80">
        <f t="shared" si="22"/>
        <v>0</v>
      </c>
      <c r="G43" s="78">
        <f t="shared" si="22"/>
        <v>0</v>
      </c>
      <c r="H43" s="79">
        <f t="shared" si="22"/>
        <v>0</v>
      </c>
      <c r="I43" s="80">
        <f t="shared" si="22"/>
        <v>0</v>
      </c>
      <c r="J43" s="78">
        <f t="shared" si="22"/>
        <v>5330</v>
      </c>
      <c r="K43" s="79">
        <f t="shared" si="22"/>
        <v>0</v>
      </c>
      <c r="L43" s="80">
        <f t="shared" si="22"/>
        <v>5330</v>
      </c>
      <c r="M43" s="78" t="s">
        <v>43</v>
      </c>
      <c r="N43" s="79" t="s">
        <v>43</v>
      </c>
      <c r="O43" s="80" t="s">
        <v>43</v>
      </c>
      <c r="P43" s="77"/>
    </row>
    <row r="44" spans="1:16" s="28" customFormat="1" ht="24" customHeight="1" x14ac:dyDescent="0.25">
      <c r="A44" s="51">
        <v>21499</v>
      </c>
      <c r="B44" s="89" t="s">
        <v>63</v>
      </c>
      <c r="C44" s="133">
        <f>F44+I44+L44</f>
        <v>5330</v>
      </c>
      <c r="D44" s="46"/>
      <c r="E44" s="47"/>
      <c r="F44" s="134">
        <f>D44+E44</f>
        <v>0</v>
      </c>
      <c r="G44" s="46"/>
      <c r="H44" s="47"/>
      <c r="I44" s="134">
        <f>G44+H44</f>
        <v>0</v>
      </c>
      <c r="J44" s="46">
        <v>5330</v>
      </c>
      <c r="K44" s="47"/>
      <c r="L44" s="48">
        <f>K44+J44</f>
        <v>5330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2498402</v>
      </c>
      <c r="D50" s="159">
        <f>SUM(D51,D286)</f>
        <v>2472072</v>
      </c>
      <c r="E50" s="160">
        <f t="shared" ref="E50:F50" si="26">SUM(E51,E286)</f>
        <v>0</v>
      </c>
      <c r="F50" s="161">
        <f t="shared" si="26"/>
        <v>2472072</v>
      </c>
      <c r="G50" s="159">
        <f>SUM(G51,G286)</f>
        <v>0</v>
      </c>
      <c r="H50" s="160">
        <f>SUM(H51,H286)</f>
        <v>0</v>
      </c>
      <c r="I50" s="161">
        <f t="shared" ref="I50" si="27">SUM(I51,I286)</f>
        <v>0</v>
      </c>
      <c r="J50" s="32">
        <f>SUM(J51,J286)</f>
        <v>31051</v>
      </c>
      <c r="K50" s="33">
        <f t="shared" ref="K50:L50" si="28">SUM(K51,K286)</f>
        <v>-4721</v>
      </c>
      <c r="L50" s="34">
        <f t="shared" si="28"/>
        <v>26330</v>
      </c>
      <c r="M50" s="32">
        <f>SUM(M51,M286)</f>
        <v>0</v>
      </c>
      <c r="N50" s="33">
        <f t="shared" ref="N50:O50" si="29">SUM(N51,N286)</f>
        <v>0</v>
      </c>
      <c r="O50" s="34">
        <f t="shared" si="29"/>
        <v>0</v>
      </c>
      <c r="P50" s="35"/>
    </row>
    <row r="51" spans="1:16" s="28" customFormat="1" ht="36.75" thickTop="1" x14ac:dyDescent="0.25">
      <c r="A51" s="162"/>
      <c r="B51" s="163" t="s">
        <v>69</v>
      </c>
      <c r="C51" s="164">
        <f t="shared" si="0"/>
        <v>2498402</v>
      </c>
      <c r="D51" s="165">
        <f>SUM(D52,D194)</f>
        <v>2472072</v>
      </c>
      <c r="E51" s="166">
        <f t="shared" ref="E51:F51" si="30">SUM(E52,E194)</f>
        <v>0</v>
      </c>
      <c r="F51" s="167">
        <f t="shared" si="30"/>
        <v>2472072</v>
      </c>
      <c r="G51" s="165">
        <f>SUM(G52,G194)</f>
        <v>0</v>
      </c>
      <c r="H51" s="166">
        <f t="shared" ref="H51:I51" si="31">SUM(H52,H194)</f>
        <v>0</v>
      </c>
      <c r="I51" s="167">
        <f t="shared" si="31"/>
        <v>0</v>
      </c>
      <c r="J51" s="168">
        <f>SUM(J52,J194)</f>
        <v>31051</v>
      </c>
      <c r="K51" s="169">
        <f t="shared" ref="K51:L51" si="32">SUM(K52,K194)</f>
        <v>-4721</v>
      </c>
      <c r="L51" s="170">
        <f t="shared" si="32"/>
        <v>26330</v>
      </c>
      <c r="M51" s="168">
        <f>SUM(M52,M194)</f>
        <v>0</v>
      </c>
      <c r="N51" s="169">
        <f t="shared" ref="N51:O51" si="33">SUM(N52,N194)</f>
        <v>0</v>
      </c>
      <c r="O51" s="170">
        <f t="shared" si="33"/>
        <v>0</v>
      </c>
      <c r="P51" s="171"/>
    </row>
    <row r="52" spans="1:16" s="28" customFormat="1" ht="24" x14ac:dyDescent="0.25">
      <c r="A52" s="24"/>
      <c r="B52" s="22" t="s">
        <v>70</v>
      </c>
      <c r="C52" s="172">
        <f t="shared" si="0"/>
        <v>2485943</v>
      </c>
      <c r="D52" s="173">
        <f>SUM(D53,D75,D173,D187)</f>
        <v>2464813</v>
      </c>
      <c r="E52" s="174">
        <f t="shared" ref="E52:F52" si="34">SUM(E53,E75,E173,E187)</f>
        <v>0</v>
      </c>
      <c r="F52" s="175">
        <f t="shared" si="34"/>
        <v>2464813</v>
      </c>
      <c r="G52" s="173">
        <f>SUM(G53,G75,G173,G187)</f>
        <v>0</v>
      </c>
      <c r="H52" s="174">
        <f t="shared" ref="H52:I52" si="35">SUM(H53,H75,H173,H187)</f>
        <v>0</v>
      </c>
      <c r="I52" s="175">
        <f t="shared" si="35"/>
        <v>0</v>
      </c>
      <c r="J52" s="173">
        <f>SUM(J53,J75,J173,J187)</f>
        <v>25851</v>
      </c>
      <c r="K52" s="174">
        <f t="shared" ref="K52:L52" si="36">SUM(K53,K75,K173,K187)</f>
        <v>-4721</v>
      </c>
      <c r="L52" s="175">
        <f t="shared" si="36"/>
        <v>21130</v>
      </c>
      <c r="M52" s="173">
        <f>SUM(M53,M75,M173,M187)</f>
        <v>0</v>
      </c>
      <c r="N52" s="174">
        <f t="shared" ref="N52:O52" si="37">SUM(N53,N75,N173,N187)</f>
        <v>0</v>
      </c>
      <c r="O52" s="175">
        <f t="shared" si="37"/>
        <v>0</v>
      </c>
      <c r="P52" s="176"/>
    </row>
    <row r="53" spans="1:16" s="28" customFormat="1" x14ac:dyDescent="0.25">
      <c r="A53" s="177">
        <v>1000</v>
      </c>
      <c r="B53" s="177" t="s">
        <v>71</v>
      </c>
      <c r="C53" s="178">
        <f t="shared" si="0"/>
        <v>2087759</v>
      </c>
      <c r="D53" s="179">
        <f>SUM(D54,D67)</f>
        <v>2083533</v>
      </c>
      <c r="E53" s="180">
        <f t="shared" ref="E53:F53" si="38">SUM(E54,E67)</f>
        <v>-897</v>
      </c>
      <c r="F53" s="181">
        <f t="shared" si="38"/>
        <v>2082636</v>
      </c>
      <c r="G53" s="179">
        <f>SUM(G54,G67)</f>
        <v>0</v>
      </c>
      <c r="H53" s="180">
        <f t="shared" ref="H53:I53" si="39">SUM(H54,H67)</f>
        <v>0</v>
      </c>
      <c r="I53" s="181">
        <f t="shared" si="39"/>
        <v>0</v>
      </c>
      <c r="J53" s="179">
        <f>SUM(J54,J67)</f>
        <v>5123</v>
      </c>
      <c r="K53" s="180">
        <f t="shared" ref="K53:L53" si="40">SUM(K54,K67)</f>
        <v>0</v>
      </c>
      <c r="L53" s="181">
        <f t="shared" si="40"/>
        <v>5123</v>
      </c>
      <c r="M53" s="179">
        <f>SUM(M54,M67)</f>
        <v>0</v>
      </c>
      <c r="N53" s="180">
        <f t="shared" ref="N53:O53" si="41">SUM(N54,N67)</f>
        <v>0</v>
      </c>
      <c r="O53" s="181">
        <f t="shared" si="41"/>
        <v>0</v>
      </c>
      <c r="P53" s="182"/>
    </row>
    <row r="54" spans="1:16" x14ac:dyDescent="0.25">
      <c r="A54" s="69">
        <v>1100</v>
      </c>
      <c r="B54" s="183" t="s">
        <v>72</v>
      </c>
      <c r="C54" s="70">
        <f t="shared" si="0"/>
        <v>1544716</v>
      </c>
      <c r="D54" s="184">
        <f>SUM(D55,D58,D66)</f>
        <v>1541485</v>
      </c>
      <c r="E54" s="185">
        <f t="shared" ref="E54:F54" si="42">SUM(E55,E58,E66)</f>
        <v>-897</v>
      </c>
      <c r="F54" s="73">
        <f t="shared" si="42"/>
        <v>1540588</v>
      </c>
      <c r="G54" s="184">
        <f>SUM(G55,G58,G66)</f>
        <v>0</v>
      </c>
      <c r="H54" s="185">
        <f t="shared" ref="H54:I54" si="43">SUM(H55,H58,H66)</f>
        <v>0</v>
      </c>
      <c r="I54" s="73">
        <f t="shared" si="43"/>
        <v>0</v>
      </c>
      <c r="J54" s="184">
        <f>SUM(J55,J58,J66)</f>
        <v>4128</v>
      </c>
      <c r="K54" s="185">
        <f t="shared" ref="K54:L54" si="44">SUM(K55,K58,K66)</f>
        <v>0</v>
      </c>
      <c r="L54" s="73">
        <f t="shared" si="44"/>
        <v>4128</v>
      </c>
      <c r="M54" s="184">
        <f>SUM(M55,M58,M66)</f>
        <v>0</v>
      </c>
      <c r="N54" s="185">
        <f t="shared" ref="N54:O54" si="45">SUM(N55,N58,N66)</f>
        <v>0</v>
      </c>
      <c r="O54" s="73">
        <f t="shared" si="45"/>
        <v>0</v>
      </c>
      <c r="P54" s="77"/>
    </row>
    <row r="55" spans="1:16" x14ac:dyDescent="0.25">
      <c r="A55" s="186">
        <v>1110</v>
      </c>
      <c r="B55" s="138" t="s">
        <v>73</v>
      </c>
      <c r="C55" s="143">
        <f t="shared" si="0"/>
        <v>1302539</v>
      </c>
      <c r="D55" s="187">
        <f>SUM(D56:D57)</f>
        <v>1298411</v>
      </c>
      <c r="E55" s="188">
        <f t="shared" ref="E55:F55" si="46">SUM(E56:E57)</f>
        <v>0</v>
      </c>
      <c r="F55" s="141">
        <f t="shared" si="46"/>
        <v>1298411</v>
      </c>
      <c r="G55" s="187">
        <f>SUM(G56:G57)</f>
        <v>0</v>
      </c>
      <c r="H55" s="188">
        <f t="shared" ref="H55:I55" si="47">SUM(H56:H57)</f>
        <v>0</v>
      </c>
      <c r="I55" s="141">
        <f t="shared" si="47"/>
        <v>0</v>
      </c>
      <c r="J55" s="187">
        <f>SUM(J56:J57)</f>
        <v>4128</v>
      </c>
      <c r="K55" s="188">
        <f t="shared" ref="K55:L55" si="48">SUM(K56:K57)</f>
        <v>0</v>
      </c>
      <c r="L55" s="141">
        <f t="shared" si="48"/>
        <v>4128</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75</v>
      </c>
      <c r="C57" s="90">
        <f t="shared" si="0"/>
        <v>1302539</v>
      </c>
      <c r="D57" s="53">
        <v>1298411</v>
      </c>
      <c r="E57" s="54"/>
      <c r="F57" s="55">
        <f t="shared" si="50"/>
        <v>1298411</v>
      </c>
      <c r="G57" s="53"/>
      <c r="H57" s="54"/>
      <c r="I57" s="55">
        <f t="shared" si="51"/>
        <v>0</v>
      </c>
      <c r="J57" s="53">
        <v>4128</v>
      </c>
      <c r="K57" s="54"/>
      <c r="L57" s="55">
        <f t="shared" si="52"/>
        <v>4128</v>
      </c>
      <c r="M57" s="53"/>
      <c r="N57" s="54"/>
      <c r="O57" s="55">
        <f t="shared" si="53"/>
        <v>0</v>
      </c>
      <c r="P57" s="57"/>
    </row>
    <row r="58" spans="1:16" x14ac:dyDescent="0.25">
      <c r="A58" s="189">
        <v>1140</v>
      </c>
      <c r="B58" s="89" t="s">
        <v>76</v>
      </c>
      <c r="C58" s="90">
        <f t="shared" si="0"/>
        <v>242177</v>
      </c>
      <c r="D58" s="190">
        <f>SUM(D59:D65)</f>
        <v>243074</v>
      </c>
      <c r="E58" s="191">
        <f>SUM(E59:E65)</f>
        <v>-897</v>
      </c>
      <c r="F58" s="55">
        <f t="shared" ref="F58" si="54">SUM(F59:F65)</f>
        <v>242177</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53520</v>
      </c>
      <c r="D59" s="53">
        <v>53520</v>
      </c>
      <c r="E59" s="54"/>
      <c r="F59" s="55">
        <f t="shared" ref="F59:F66" si="58">D59+E59</f>
        <v>53520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94879</v>
      </c>
      <c r="D60" s="53">
        <v>94879</v>
      </c>
      <c r="E60" s="54"/>
      <c r="F60" s="55">
        <f t="shared" si="58"/>
        <v>94879</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7.75" customHeight="1" x14ac:dyDescent="0.25">
      <c r="A63" s="51">
        <v>1147</v>
      </c>
      <c r="B63" s="89" t="s">
        <v>81</v>
      </c>
      <c r="C63" s="90">
        <f t="shared" si="0"/>
        <v>29177</v>
      </c>
      <c r="D63" s="53">
        <v>30074</v>
      </c>
      <c r="E63" s="54">
        <v>-897</v>
      </c>
      <c r="F63" s="55">
        <f t="shared" si="58"/>
        <v>29177</v>
      </c>
      <c r="G63" s="53"/>
      <c r="H63" s="54"/>
      <c r="I63" s="55">
        <f t="shared" si="59"/>
        <v>0</v>
      </c>
      <c r="J63" s="53"/>
      <c r="K63" s="54"/>
      <c r="L63" s="55">
        <f t="shared" si="60"/>
        <v>0</v>
      </c>
      <c r="M63" s="53"/>
      <c r="N63" s="54"/>
      <c r="O63" s="55">
        <f t="shared" si="61"/>
        <v>0</v>
      </c>
      <c r="P63" s="319" t="s">
        <v>393</v>
      </c>
    </row>
    <row r="64" spans="1:16" ht="12" customHeight="1" x14ac:dyDescent="0.25">
      <c r="A64" s="51">
        <v>1148</v>
      </c>
      <c r="B64" s="89" t="s">
        <v>82</v>
      </c>
      <c r="C64" s="90">
        <f t="shared" si="0"/>
        <v>64601</v>
      </c>
      <c r="D64" s="53">
        <v>64601</v>
      </c>
      <c r="E64" s="54"/>
      <c r="F64" s="55">
        <f t="shared" si="58"/>
        <v>64601</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543043</v>
      </c>
      <c r="D67" s="184">
        <f>SUM(D68:D69)</f>
        <v>542048</v>
      </c>
      <c r="E67" s="185">
        <f t="shared" ref="E67:F67" si="62">SUM(E68:E69)</f>
        <v>0</v>
      </c>
      <c r="F67" s="73">
        <f t="shared" si="62"/>
        <v>542048</v>
      </c>
      <c r="G67" s="184">
        <f>SUM(G68:G69)</f>
        <v>0</v>
      </c>
      <c r="H67" s="185">
        <f t="shared" ref="H67:I67" si="63">SUM(H68:H69)</f>
        <v>0</v>
      </c>
      <c r="I67" s="73">
        <f t="shared" si="63"/>
        <v>0</v>
      </c>
      <c r="J67" s="184">
        <f>SUM(J68:J69)</f>
        <v>995</v>
      </c>
      <c r="K67" s="185">
        <f t="shared" ref="K67:L67" si="64">SUM(K68:K69)</f>
        <v>0</v>
      </c>
      <c r="L67" s="73">
        <f t="shared" si="64"/>
        <v>995</v>
      </c>
      <c r="M67" s="184">
        <f>SUM(M68:M69)</f>
        <v>0</v>
      </c>
      <c r="N67" s="185">
        <f t="shared" ref="N67:O67" si="65">SUM(N68:N69)</f>
        <v>0</v>
      </c>
      <c r="O67" s="73">
        <f t="shared" si="65"/>
        <v>0</v>
      </c>
      <c r="P67" s="77"/>
    </row>
    <row r="68" spans="1:16" ht="26.25" customHeight="1" x14ac:dyDescent="0.25">
      <c r="A68" s="193">
        <v>1210</v>
      </c>
      <c r="B68" s="82" t="s">
        <v>86</v>
      </c>
      <c r="C68" s="83">
        <f t="shared" si="0"/>
        <v>389379</v>
      </c>
      <c r="D68" s="46">
        <v>388634</v>
      </c>
      <c r="E68" s="47">
        <f>-250</f>
        <v>-250</v>
      </c>
      <c r="F68" s="134">
        <f>D68+E68</f>
        <v>388384</v>
      </c>
      <c r="G68" s="46"/>
      <c r="H68" s="47"/>
      <c r="I68" s="134">
        <f>G68+H68</f>
        <v>0</v>
      </c>
      <c r="J68" s="46">
        <v>995</v>
      </c>
      <c r="K68" s="47"/>
      <c r="L68" s="134">
        <f>K68+J68</f>
        <v>995</v>
      </c>
      <c r="M68" s="46"/>
      <c r="N68" s="47"/>
      <c r="O68" s="134">
        <f>N68+M68</f>
        <v>0</v>
      </c>
      <c r="P68" s="49" t="s">
        <v>394</v>
      </c>
    </row>
    <row r="69" spans="1:16" ht="24" x14ac:dyDescent="0.25">
      <c r="A69" s="189">
        <v>1220</v>
      </c>
      <c r="B69" s="89" t="s">
        <v>87</v>
      </c>
      <c r="C69" s="90">
        <f t="shared" si="0"/>
        <v>153664</v>
      </c>
      <c r="D69" s="190">
        <f>SUM(D70:D74)</f>
        <v>153414</v>
      </c>
      <c r="E69" s="191">
        <f t="shared" ref="E69:F69" si="66">SUM(E70:E74)</f>
        <v>250</v>
      </c>
      <c r="F69" s="55">
        <f t="shared" si="66"/>
        <v>153664</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70620</v>
      </c>
      <c r="D70" s="53">
        <v>70620</v>
      </c>
      <c r="E70" s="54"/>
      <c r="F70" s="55">
        <f t="shared" ref="F70:F74" si="70">D70+E70</f>
        <v>70620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18" customHeight="1" x14ac:dyDescent="0.25">
      <c r="A72" s="51">
        <v>1225</v>
      </c>
      <c r="B72" s="89" t="s">
        <v>90</v>
      </c>
      <c r="C72" s="90">
        <f t="shared" si="0"/>
        <v>54526</v>
      </c>
      <c r="D72" s="53">
        <v>54526</v>
      </c>
      <c r="E72" s="54"/>
      <c r="F72" s="55">
        <f t="shared" si="70"/>
        <v>54526</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25018</v>
      </c>
      <c r="D73" s="53">
        <v>25018</v>
      </c>
      <c r="E73" s="54"/>
      <c r="F73" s="55">
        <f t="shared" si="70"/>
        <v>25018</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3500</v>
      </c>
      <c r="D74" s="53">
        <v>3250</v>
      </c>
      <c r="E74" s="54">
        <f>250</f>
        <v>250</v>
      </c>
      <c r="F74" s="55">
        <f t="shared" si="70"/>
        <v>3500</v>
      </c>
      <c r="G74" s="53"/>
      <c r="H74" s="54"/>
      <c r="I74" s="55">
        <f t="shared" si="71"/>
        <v>0</v>
      </c>
      <c r="J74" s="53"/>
      <c r="K74" s="54"/>
      <c r="L74" s="55">
        <f t="shared" si="72"/>
        <v>0</v>
      </c>
      <c r="M74" s="53"/>
      <c r="N74" s="54"/>
      <c r="O74" s="55">
        <f t="shared" si="73"/>
        <v>0</v>
      </c>
      <c r="P74" s="57" t="s">
        <v>395</v>
      </c>
    </row>
    <row r="75" spans="1:16" x14ac:dyDescent="0.25">
      <c r="A75" s="177">
        <v>2000</v>
      </c>
      <c r="B75" s="177" t="s">
        <v>93</v>
      </c>
      <c r="C75" s="178">
        <f t="shared" si="0"/>
        <v>398184</v>
      </c>
      <c r="D75" s="179">
        <f>SUM(D76,D83,D130,D164,D165,D172)</f>
        <v>381280</v>
      </c>
      <c r="E75" s="180">
        <f t="shared" ref="E75:F75" si="74">SUM(E76,E83,E130,E164,E165,E172)</f>
        <v>897</v>
      </c>
      <c r="F75" s="181">
        <f t="shared" si="74"/>
        <v>382177</v>
      </c>
      <c r="G75" s="179">
        <f>SUM(G76,G83,G130,G164,G165,G172)</f>
        <v>0</v>
      </c>
      <c r="H75" s="180">
        <f t="shared" ref="H75:I75" si="75">SUM(H76,H83,H130,H164,H165,H172)</f>
        <v>0</v>
      </c>
      <c r="I75" s="181">
        <f t="shared" si="75"/>
        <v>0</v>
      </c>
      <c r="J75" s="179">
        <f>SUM(J76,J83,J130,J164,J165,J172)</f>
        <v>20728</v>
      </c>
      <c r="K75" s="180">
        <f t="shared" ref="K75:L75" si="76">SUM(K76,K83,K130,K164,K165,K172)</f>
        <v>-4721</v>
      </c>
      <c r="L75" s="181">
        <f t="shared" si="76"/>
        <v>16007</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9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299532</v>
      </c>
      <c r="D83" s="184">
        <f>SUM(D84,D89,D95,D103,D112,D116,D122,D128)</f>
        <v>280155</v>
      </c>
      <c r="E83" s="185">
        <f t="shared" ref="E83:F83" si="98">SUM(E84,E89,E95,E103,E112,E116,E122,E128)</f>
        <v>10697</v>
      </c>
      <c r="F83" s="73">
        <f t="shared" si="98"/>
        <v>290852</v>
      </c>
      <c r="G83" s="184">
        <f>SUM(G84,G89,G95,G103,G112,G116,G122,G128)</f>
        <v>0</v>
      </c>
      <c r="H83" s="185">
        <f t="shared" ref="H83:I83" si="99">SUM(H84,H89,H95,H103,H112,H116,H122,H128)</f>
        <v>0</v>
      </c>
      <c r="I83" s="73">
        <f t="shared" si="99"/>
        <v>0</v>
      </c>
      <c r="J83" s="184">
        <f>SUM(J84,J89,J95,J103,J112,J116,J122,J128)</f>
        <v>9005</v>
      </c>
      <c r="K83" s="185">
        <f t="shared" ref="K83:L83" si="100">SUM(K84,K89,K95,K103,K112,K116,K122,K128)</f>
        <v>-325</v>
      </c>
      <c r="L83" s="73">
        <f t="shared" si="100"/>
        <v>8680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72390</v>
      </c>
      <c r="D84" s="187">
        <f>SUM(D85:D88)</f>
        <v>61658</v>
      </c>
      <c r="E84" s="188">
        <f t="shared" ref="E84:F84" si="103">SUM(E85:E88)</f>
        <v>10665</v>
      </c>
      <c r="F84" s="141">
        <f t="shared" si="103"/>
        <v>72323</v>
      </c>
      <c r="G84" s="187">
        <f>SUM(G85:G88)</f>
        <v>0</v>
      </c>
      <c r="H84" s="188">
        <f t="shared" ref="H84:I84" si="104">SUM(H85:H88)</f>
        <v>0</v>
      </c>
      <c r="I84" s="141">
        <f t="shared" si="104"/>
        <v>0</v>
      </c>
      <c r="J84" s="187">
        <f>SUM(J85:J88)</f>
        <v>67</v>
      </c>
      <c r="K84" s="188">
        <f t="shared" ref="K84:L84" si="105">SUM(K85:K88)</f>
        <v>0</v>
      </c>
      <c r="L84" s="141">
        <f t="shared" si="105"/>
        <v>67</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41.25" customHeight="1" x14ac:dyDescent="0.25">
      <c r="A86" s="51">
        <v>2212</v>
      </c>
      <c r="B86" s="89" t="s">
        <v>102</v>
      </c>
      <c r="C86" s="90">
        <f t="shared" si="102"/>
        <v>2934</v>
      </c>
      <c r="D86" s="196">
        <v>4464</v>
      </c>
      <c r="E86" s="197">
        <v>-1550</v>
      </c>
      <c r="F86" s="55">
        <f t="shared" si="107"/>
        <v>2914</v>
      </c>
      <c r="G86" s="53"/>
      <c r="H86" s="54"/>
      <c r="I86" s="55">
        <f t="shared" si="108"/>
        <v>0</v>
      </c>
      <c r="J86" s="53">
        <v>20</v>
      </c>
      <c r="K86" s="54"/>
      <c r="L86" s="55">
        <f t="shared" si="109"/>
        <v>20</v>
      </c>
      <c r="M86" s="53"/>
      <c r="N86" s="54"/>
      <c r="O86" s="55">
        <f t="shared" si="110"/>
        <v>0</v>
      </c>
      <c r="P86" s="57" t="s">
        <v>396</v>
      </c>
    </row>
    <row r="87" spans="1:16" ht="24" customHeight="1" x14ac:dyDescent="0.25">
      <c r="A87" s="51">
        <v>2214</v>
      </c>
      <c r="B87" s="89" t="s">
        <v>103</v>
      </c>
      <c r="C87" s="90">
        <f t="shared" si="102"/>
        <v>1624</v>
      </c>
      <c r="D87" s="196">
        <v>1577</v>
      </c>
      <c r="E87" s="197"/>
      <c r="F87" s="55">
        <f t="shared" si="107"/>
        <v>1577</v>
      </c>
      <c r="G87" s="53"/>
      <c r="H87" s="54"/>
      <c r="I87" s="55">
        <f t="shared" si="108"/>
        <v>0</v>
      </c>
      <c r="J87" s="53">
        <v>47</v>
      </c>
      <c r="K87" s="54"/>
      <c r="L87" s="55">
        <f t="shared" si="109"/>
        <v>47</v>
      </c>
      <c r="M87" s="53"/>
      <c r="N87" s="54"/>
      <c r="O87" s="55">
        <f t="shared" si="110"/>
        <v>0</v>
      </c>
      <c r="P87" s="57"/>
    </row>
    <row r="88" spans="1:16" ht="18.75" customHeight="1" x14ac:dyDescent="0.25">
      <c r="A88" s="51">
        <v>2219</v>
      </c>
      <c r="B88" s="89" t="s">
        <v>104</v>
      </c>
      <c r="C88" s="90">
        <f t="shared" si="102"/>
        <v>67832</v>
      </c>
      <c r="D88" s="196">
        <v>55617</v>
      </c>
      <c r="E88" s="197">
        <v>12215</v>
      </c>
      <c r="F88" s="55">
        <f t="shared" si="107"/>
        <v>67832</v>
      </c>
      <c r="G88" s="53"/>
      <c r="H88" s="54"/>
      <c r="I88" s="55">
        <f t="shared" si="108"/>
        <v>0</v>
      </c>
      <c r="J88" s="53"/>
      <c r="K88" s="54"/>
      <c r="L88" s="55">
        <f t="shared" si="109"/>
        <v>0</v>
      </c>
      <c r="M88" s="53"/>
      <c r="N88" s="54"/>
      <c r="O88" s="55">
        <f t="shared" si="110"/>
        <v>0</v>
      </c>
      <c r="P88" s="57" t="s">
        <v>397</v>
      </c>
    </row>
    <row r="89" spans="1:16" ht="24" x14ac:dyDescent="0.25">
      <c r="A89" s="189">
        <v>2220</v>
      </c>
      <c r="B89" s="89" t="s">
        <v>105</v>
      </c>
      <c r="C89" s="90">
        <f t="shared" si="102"/>
        <v>54025</v>
      </c>
      <c r="D89" s="190">
        <f>SUM(D90:D94)</f>
        <v>45762</v>
      </c>
      <c r="E89" s="191">
        <f t="shared" ref="E89:F89" si="111">SUM(E90:E94)</f>
        <v>0</v>
      </c>
      <c r="F89" s="55">
        <f t="shared" si="111"/>
        <v>45762</v>
      </c>
      <c r="G89" s="190">
        <f>SUM(G90:G94)</f>
        <v>0</v>
      </c>
      <c r="H89" s="191">
        <f t="shared" ref="H89:I89" si="112">SUM(H90:H94)</f>
        <v>0</v>
      </c>
      <c r="I89" s="55">
        <f t="shared" si="112"/>
        <v>0</v>
      </c>
      <c r="J89" s="190">
        <f>SUM(J90:J94)</f>
        <v>8614</v>
      </c>
      <c r="K89" s="191">
        <f t="shared" ref="K89:L89" si="113">SUM(K90:K94)</f>
        <v>-351</v>
      </c>
      <c r="L89" s="55">
        <f t="shared" si="113"/>
        <v>8263</v>
      </c>
      <c r="M89" s="190">
        <f>SUM(M90:M94)</f>
        <v>0</v>
      </c>
      <c r="N89" s="191">
        <f t="shared" ref="N89:O89" si="114">SUM(N90:N94)</f>
        <v>0</v>
      </c>
      <c r="O89" s="55">
        <f t="shared" si="114"/>
        <v>0</v>
      </c>
      <c r="P89" s="57"/>
    </row>
    <row r="90" spans="1:16" ht="24" customHeight="1" x14ac:dyDescent="0.25">
      <c r="A90" s="51">
        <v>2221</v>
      </c>
      <c r="B90" s="89" t="s">
        <v>106</v>
      </c>
      <c r="C90" s="90">
        <f t="shared" si="102"/>
        <v>19105</v>
      </c>
      <c r="D90" s="196">
        <v>19105</v>
      </c>
      <c r="E90" s="197"/>
      <c r="F90" s="55">
        <f t="shared" ref="F90:F94" si="115">D90+E90</f>
        <v>19105</v>
      </c>
      <c r="G90" s="53"/>
      <c r="H90" s="54"/>
      <c r="I90" s="55">
        <f t="shared" ref="I90:I94" si="116">G90+H90</f>
        <v>0</v>
      </c>
      <c r="J90" s="53"/>
      <c r="K90" s="54"/>
      <c r="L90" s="55">
        <f t="shared" ref="L90:L94" si="117">K90+J90</f>
        <v>0</v>
      </c>
      <c r="M90" s="53"/>
      <c r="N90" s="54"/>
      <c r="O90" s="55">
        <f t="shared" ref="O90:O94" si="118">N90+M90</f>
        <v>0</v>
      </c>
      <c r="P90" s="57"/>
    </row>
    <row r="91" spans="1:16" ht="20.25" customHeight="1" x14ac:dyDescent="0.25">
      <c r="A91" s="51">
        <v>2222</v>
      </c>
      <c r="B91" s="89" t="s">
        <v>107</v>
      </c>
      <c r="C91" s="90">
        <f t="shared" si="102"/>
        <v>5066</v>
      </c>
      <c r="D91" s="196">
        <v>2015</v>
      </c>
      <c r="E91" s="197"/>
      <c r="F91" s="55">
        <f t="shared" si="115"/>
        <v>2015</v>
      </c>
      <c r="G91" s="53"/>
      <c r="H91" s="54"/>
      <c r="I91" s="55">
        <f t="shared" si="116"/>
        <v>0</v>
      </c>
      <c r="J91" s="53">
        <v>3051</v>
      </c>
      <c r="K91" s="54"/>
      <c r="L91" s="55">
        <f t="shared" si="117"/>
        <v>3051</v>
      </c>
      <c r="M91" s="53"/>
      <c r="N91" s="54"/>
      <c r="O91" s="55">
        <f t="shared" si="118"/>
        <v>0</v>
      </c>
      <c r="P91" s="57"/>
    </row>
    <row r="92" spans="1:16" ht="12" customHeight="1" x14ac:dyDescent="0.25">
      <c r="A92" s="51">
        <v>2223</v>
      </c>
      <c r="B92" s="89" t="s">
        <v>108</v>
      </c>
      <c r="C92" s="90">
        <f t="shared" si="102"/>
        <v>28923</v>
      </c>
      <c r="D92" s="196">
        <v>23911</v>
      </c>
      <c r="E92" s="197"/>
      <c r="F92" s="55">
        <f t="shared" si="115"/>
        <v>23911</v>
      </c>
      <c r="G92" s="53"/>
      <c r="H92" s="54"/>
      <c r="I92" s="55">
        <f t="shared" si="116"/>
        <v>0</v>
      </c>
      <c r="J92" s="53">
        <v>5363</v>
      </c>
      <c r="K92" s="54">
        <v>-351</v>
      </c>
      <c r="L92" s="55">
        <f t="shared" si="117"/>
        <v>5012</v>
      </c>
      <c r="M92" s="53"/>
      <c r="N92" s="54"/>
      <c r="O92" s="55">
        <f t="shared" si="118"/>
        <v>0</v>
      </c>
      <c r="P92" s="57" t="s">
        <v>398</v>
      </c>
    </row>
    <row r="93" spans="1:16" ht="48" customHeight="1" x14ac:dyDescent="0.25">
      <c r="A93" s="51">
        <v>2224</v>
      </c>
      <c r="B93" s="89" t="s">
        <v>109</v>
      </c>
      <c r="C93" s="90">
        <f t="shared" si="102"/>
        <v>931</v>
      </c>
      <c r="D93" s="196">
        <v>731</v>
      </c>
      <c r="E93" s="197"/>
      <c r="F93" s="55">
        <f t="shared" si="115"/>
        <v>731</v>
      </c>
      <c r="G93" s="53"/>
      <c r="H93" s="54"/>
      <c r="I93" s="55">
        <f t="shared" si="116"/>
        <v>0</v>
      </c>
      <c r="J93" s="53">
        <v>200</v>
      </c>
      <c r="K93" s="54"/>
      <c r="L93" s="55">
        <f t="shared" si="117"/>
        <v>200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3275</v>
      </c>
      <c r="D95" s="190">
        <f>SUM(D96:D102)</f>
        <v>2875</v>
      </c>
      <c r="E95" s="191">
        <f t="shared" ref="E95:F95" si="119">SUM(E96:E102)</f>
        <v>400</v>
      </c>
      <c r="F95" s="55">
        <f t="shared" si="119"/>
        <v>3275</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customHeight="1" x14ac:dyDescent="0.25">
      <c r="A98" s="44">
        <v>2233</v>
      </c>
      <c r="B98" s="82" t="s">
        <v>114</v>
      </c>
      <c r="C98" s="83">
        <f t="shared" si="102"/>
        <v>320</v>
      </c>
      <c r="D98" s="199">
        <v>320</v>
      </c>
      <c r="E98" s="200"/>
      <c r="F98" s="134">
        <f t="shared" si="123"/>
        <v>320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560</v>
      </c>
      <c r="D100" s="196">
        <v>560</v>
      </c>
      <c r="E100" s="197"/>
      <c r="F100" s="55">
        <f t="shared" si="123"/>
        <v>560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7.75" customHeight="1" x14ac:dyDescent="0.25">
      <c r="A102" s="51">
        <v>2239</v>
      </c>
      <c r="B102" s="89" t="s">
        <v>118</v>
      </c>
      <c r="C102" s="90">
        <f t="shared" si="102"/>
        <v>2395</v>
      </c>
      <c r="D102" s="196">
        <v>1995</v>
      </c>
      <c r="E102" s="197">
        <v>400</v>
      </c>
      <c r="F102" s="55">
        <f t="shared" si="123"/>
        <v>2395</v>
      </c>
      <c r="G102" s="53"/>
      <c r="H102" s="54"/>
      <c r="I102" s="55">
        <f t="shared" si="124"/>
        <v>0</v>
      </c>
      <c r="J102" s="53"/>
      <c r="K102" s="54"/>
      <c r="L102" s="55">
        <f t="shared" si="125"/>
        <v>0</v>
      </c>
      <c r="M102" s="53"/>
      <c r="N102" s="54"/>
      <c r="O102" s="55">
        <f t="shared" si="126"/>
        <v>0</v>
      </c>
      <c r="P102" s="57" t="s">
        <v>399</v>
      </c>
    </row>
    <row r="103" spans="1:16" ht="36" x14ac:dyDescent="0.25">
      <c r="A103" s="189">
        <v>2240</v>
      </c>
      <c r="B103" s="89" t="s">
        <v>119</v>
      </c>
      <c r="C103" s="90">
        <f t="shared" si="102"/>
        <v>56568</v>
      </c>
      <c r="D103" s="190">
        <f>SUM(D104:D111)</f>
        <v>56470</v>
      </c>
      <c r="E103" s="191">
        <f t="shared" ref="E103:F103" si="127">SUM(E104:E111)</f>
        <v>-48</v>
      </c>
      <c r="F103" s="55">
        <f t="shared" si="127"/>
        <v>56422</v>
      </c>
      <c r="G103" s="190">
        <f>SUM(G104:G111)</f>
        <v>0</v>
      </c>
      <c r="H103" s="191">
        <f t="shared" ref="H103:I103" si="128">SUM(H104:H111)</f>
        <v>0</v>
      </c>
      <c r="I103" s="55">
        <f t="shared" si="128"/>
        <v>0</v>
      </c>
      <c r="J103" s="190">
        <f>SUM(J104:J111)</f>
        <v>146</v>
      </c>
      <c r="K103" s="191">
        <f t="shared" ref="K103:L103" si="129">SUM(K104:K111)</f>
        <v>0</v>
      </c>
      <c r="L103" s="55">
        <f t="shared" si="129"/>
        <v>146</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39189</v>
      </c>
      <c r="D105" s="196">
        <v>39189</v>
      </c>
      <c r="E105" s="197"/>
      <c r="F105" s="55">
        <f t="shared" si="131"/>
        <v>39189</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4107</v>
      </c>
      <c r="D106" s="196">
        <v>4107</v>
      </c>
      <c r="E106" s="197"/>
      <c r="F106" s="55">
        <f t="shared" si="131"/>
        <v>4107</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12833</v>
      </c>
      <c r="D107" s="196">
        <v>12687</v>
      </c>
      <c r="E107" s="197"/>
      <c r="F107" s="55">
        <f t="shared" si="131"/>
        <v>12687</v>
      </c>
      <c r="G107" s="53"/>
      <c r="H107" s="54"/>
      <c r="I107" s="55">
        <f t="shared" si="132"/>
        <v>0</v>
      </c>
      <c r="J107" s="53">
        <v>146</v>
      </c>
      <c r="K107" s="54"/>
      <c r="L107" s="55">
        <f t="shared" si="133"/>
        <v>146</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7.25" customHeight="1" x14ac:dyDescent="0.25">
      <c r="A109" s="51">
        <v>2247</v>
      </c>
      <c r="B109" s="89" t="s">
        <v>125</v>
      </c>
      <c r="C109" s="90">
        <f t="shared" si="102"/>
        <v>439</v>
      </c>
      <c r="D109" s="196">
        <v>417</v>
      </c>
      <c r="E109" s="197">
        <v>22</v>
      </c>
      <c r="F109" s="55">
        <f t="shared" si="131"/>
        <v>439</v>
      </c>
      <c r="G109" s="53"/>
      <c r="H109" s="54"/>
      <c r="I109" s="55">
        <f t="shared" si="132"/>
        <v>0</v>
      </c>
      <c r="J109" s="53"/>
      <c r="K109" s="54"/>
      <c r="L109" s="55">
        <f t="shared" si="133"/>
        <v>0</v>
      </c>
      <c r="M109" s="53"/>
      <c r="N109" s="54"/>
      <c r="O109" s="55">
        <f t="shared" si="134"/>
        <v>0</v>
      </c>
      <c r="P109" s="57" t="s">
        <v>400</v>
      </c>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105.75" hidden="1" customHeight="1" x14ac:dyDescent="0.25">
      <c r="A111" s="51">
        <v>2249</v>
      </c>
      <c r="B111" s="89" t="s">
        <v>127</v>
      </c>
      <c r="C111" s="90">
        <f t="shared" si="102"/>
        <v>0</v>
      </c>
      <c r="D111" s="196">
        <v>70</v>
      </c>
      <c r="E111" s="197">
        <v>-70</v>
      </c>
      <c r="F111" s="55">
        <f t="shared" si="131"/>
        <v>0</v>
      </c>
      <c r="G111" s="53"/>
      <c r="H111" s="54"/>
      <c r="I111" s="55">
        <f t="shared" si="132"/>
        <v>0</v>
      </c>
      <c r="J111" s="53"/>
      <c r="K111" s="54"/>
      <c r="L111" s="55">
        <f t="shared" si="133"/>
        <v>0</v>
      </c>
      <c r="M111" s="53"/>
      <c r="N111" s="54"/>
      <c r="O111" s="55">
        <f t="shared" si="134"/>
        <v>0</v>
      </c>
      <c r="P111" s="57" t="s">
        <v>401</v>
      </c>
    </row>
    <row r="112" spans="1:16" x14ac:dyDescent="0.25">
      <c r="A112" s="189">
        <v>2250</v>
      </c>
      <c r="B112" s="89" t="s">
        <v>128</v>
      </c>
      <c r="C112" s="90">
        <f t="shared" si="102"/>
        <v>1035</v>
      </c>
      <c r="D112" s="190">
        <f>SUM(D113:D115)</f>
        <v>1035</v>
      </c>
      <c r="E112" s="191">
        <f t="shared" ref="E112:F112" si="135">SUM(E113:E115)</f>
        <v>0</v>
      </c>
      <c r="F112" s="55">
        <f t="shared" si="135"/>
        <v>1035</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454</v>
      </c>
      <c r="D113" s="196">
        <v>454</v>
      </c>
      <c r="E113" s="197"/>
      <c r="F113" s="55">
        <f t="shared" ref="F113:F115" si="139">D113+E113</f>
        <v>454</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581</v>
      </c>
      <c r="D115" s="196">
        <v>581</v>
      </c>
      <c r="E115" s="197"/>
      <c r="F115" s="55">
        <f t="shared" si="139"/>
        <v>581</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112014</v>
      </c>
      <c r="D116" s="190">
        <f>SUM(D117:D121)</f>
        <v>112256</v>
      </c>
      <c r="E116" s="191">
        <f t="shared" ref="E116:F116" si="143">SUM(E117:E121)</f>
        <v>-320</v>
      </c>
      <c r="F116" s="55">
        <f t="shared" si="143"/>
        <v>111936</v>
      </c>
      <c r="G116" s="190">
        <f>SUM(G117:G121)</f>
        <v>0</v>
      </c>
      <c r="H116" s="191">
        <f t="shared" ref="H116:I116" si="144">SUM(H117:H121)</f>
        <v>0</v>
      </c>
      <c r="I116" s="55">
        <f t="shared" si="144"/>
        <v>0</v>
      </c>
      <c r="J116" s="190">
        <f>SUM(J117:J121)</f>
        <v>78</v>
      </c>
      <c r="K116" s="191">
        <f t="shared" ref="K116:L116" si="145">SUM(K117:K121)</f>
        <v>0</v>
      </c>
      <c r="L116" s="55">
        <f t="shared" si="145"/>
        <v>78</v>
      </c>
      <c r="M116" s="190">
        <f>SUM(M117:M121)</f>
        <v>0</v>
      </c>
      <c r="N116" s="191">
        <f t="shared" ref="N116:O116" si="146">SUM(N117:N121)</f>
        <v>0</v>
      </c>
      <c r="O116" s="55">
        <f t="shared" si="146"/>
        <v>0</v>
      </c>
      <c r="P116" s="57"/>
    </row>
    <row r="117" spans="1:16" ht="14.25" customHeight="1" x14ac:dyDescent="0.25">
      <c r="A117" s="51">
        <v>2261</v>
      </c>
      <c r="B117" s="89" t="s">
        <v>133</v>
      </c>
      <c r="C117" s="90">
        <f t="shared" si="102"/>
        <v>105227</v>
      </c>
      <c r="D117" s="196">
        <v>105547</v>
      </c>
      <c r="E117" s="197">
        <v>-320</v>
      </c>
      <c r="F117" s="55">
        <f t="shared" ref="F117:F121" si="147">D117+E117</f>
        <v>105227</v>
      </c>
      <c r="G117" s="53"/>
      <c r="H117" s="54"/>
      <c r="I117" s="55">
        <f t="shared" ref="I117:I121" si="148">G117+H117</f>
        <v>0</v>
      </c>
      <c r="J117" s="53"/>
      <c r="K117" s="54"/>
      <c r="L117" s="55">
        <f t="shared" ref="L117:L121" si="149">K117+J117</f>
        <v>0</v>
      </c>
      <c r="M117" s="53"/>
      <c r="N117" s="54"/>
      <c r="O117" s="55">
        <f t="shared" ref="O117:O121" si="150">N117+M117</f>
        <v>0</v>
      </c>
      <c r="P117" s="57" t="s">
        <v>402</v>
      </c>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9" t="s">
        <v>135</v>
      </c>
      <c r="C119" s="90">
        <f t="shared" si="102"/>
        <v>2721</v>
      </c>
      <c r="D119" s="196">
        <v>2721</v>
      </c>
      <c r="E119" s="197"/>
      <c r="F119" s="55">
        <f t="shared" si="147"/>
        <v>2721</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4066</v>
      </c>
      <c r="D121" s="196">
        <v>3988</v>
      </c>
      <c r="E121" s="197"/>
      <c r="F121" s="55">
        <f t="shared" si="147"/>
        <v>3988</v>
      </c>
      <c r="G121" s="53"/>
      <c r="H121" s="54"/>
      <c r="I121" s="55">
        <f t="shared" si="148"/>
        <v>0</v>
      </c>
      <c r="J121" s="53">
        <v>78</v>
      </c>
      <c r="K121" s="54"/>
      <c r="L121" s="55">
        <f t="shared" si="149"/>
        <v>78</v>
      </c>
      <c r="M121" s="53"/>
      <c r="N121" s="54"/>
      <c r="O121" s="55">
        <f t="shared" si="150"/>
        <v>0</v>
      </c>
      <c r="P121" s="57"/>
    </row>
    <row r="122" spans="1:16" x14ac:dyDescent="0.25">
      <c r="A122" s="189">
        <v>2270</v>
      </c>
      <c r="B122" s="89" t="s">
        <v>138</v>
      </c>
      <c r="C122" s="90">
        <f t="shared" si="102"/>
        <v>225</v>
      </c>
      <c r="D122" s="190">
        <f>SUM(D123:D127)</f>
        <v>99</v>
      </c>
      <c r="E122" s="191">
        <f t="shared" ref="E122:F122" si="151">SUM(E123:E127)</f>
        <v>0</v>
      </c>
      <c r="F122" s="55">
        <f t="shared" si="151"/>
        <v>99</v>
      </c>
      <c r="G122" s="190">
        <f>SUM(G123:G127)</f>
        <v>0</v>
      </c>
      <c r="H122" s="191">
        <f t="shared" ref="H122:I122" si="152">SUM(H123:H127)</f>
        <v>0</v>
      </c>
      <c r="I122" s="55">
        <f t="shared" si="152"/>
        <v>0</v>
      </c>
      <c r="J122" s="190">
        <f>SUM(J123:J127)</f>
        <v>100</v>
      </c>
      <c r="K122" s="191">
        <f t="shared" ref="K122:L122" si="153">SUM(K123:K127)</f>
        <v>26</v>
      </c>
      <c r="L122" s="55">
        <f t="shared" si="153"/>
        <v>126</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9" customHeight="1" x14ac:dyDescent="0.25">
      <c r="A126" s="51">
        <v>2276</v>
      </c>
      <c r="B126" s="89" t="s">
        <v>142</v>
      </c>
      <c r="C126" s="90">
        <f t="shared" si="102"/>
        <v>125</v>
      </c>
      <c r="D126" s="196">
        <v>99</v>
      </c>
      <c r="E126" s="197"/>
      <c r="F126" s="55">
        <f t="shared" si="155"/>
        <v>99</v>
      </c>
      <c r="G126" s="53"/>
      <c r="H126" s="54"/>
      <c r="I126" s="55">
        <f t="shared" si="156"/>
        <v>0</v>
      </c>
      <c r="J126" s="53"/>
      <c r="K126" s="54">
        <v>26</v>
      </c>
      <c r="L126" s="55">
        <f t="shared" si="157"/>
        <v>26</v>
      </c>
      <c r="M126" s="53"/>
      <c r="N126" s="54"/>
      <c r="O126" s="55">
        <f t="shared" si="158"/>
        <v>0</v>
      </c>
      <c r="P126" s="57" t="s">
        <v>403</v>
      </c>
    </row>
    <row r="127" spans="1:16" ht="24" customHeight="1" x14ac:dyDescent="0.25">
      <c r="A127" s="51">
        <v>2279</v>
      </c>
      <c r="B127" s="89" t="s">
        <v>143</v>
      </c>
      <c r="C127" s="90">
        <f t="shared" si="102"/>
        <v>100</v>
      </c>
      <c r="D127" s="196">
        <v>0</v>
      </c>
      <c r="E127" s="197"/>
      <c r="F127" s="55">
        <f t="shared" si="155"/>
        <v>0</v>
      </c>
      <c r="G127" s="53"/>
      <c r="H127" s="54"/>
      <c r="I127" s="55">
        <f t="shared" si="156"/>
        <v>0</v>
      </c>
      <c r="J127" s="53">
        <v>100</v>
      </c>
      <c r="K127" s="54"/>
      <c r="L127" s="55">
        <f t="shared" si="157"/>
        <v>100</v>
      </c>
      <c r="M127" s="53"/>
      <c r="N127" s="54"/>
      <c r="O127" s="55">
        <f t="shared" si="158"/>
        <v>0</v>
      </c>
      <c r="P127" s="57"/>
    </row>
    <row r="128" spans="1:16" ht="48" hidden="1" x14ac:dyDescent="0.25">
      <c r="A128" s="19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81637</v>
      </c>
      <c r="D130" s="184">
        <f>SUM(D131,D136,D140,D141,D144,D151,D159,D160,D163)</f>
        <v>76207</v>
      </c>
      <c r="E130" s="185">
        <f t="shared" ref="E130:F130" si="160">SUM(E131,E136,E140,E141,E144,E151,E159,E160,E163)</f>
        <v>-233</v>
      </c>
      <c r="F130" s="73">
        <f t="shared" si="160"/>
        <v>75974</v>
      </c>
      <c r="G130" s="184">
        <f>SUM(G131,G136,G140,G141,G144,G151,G159,G160,G163)</f>
        <v>0</v>
      </c>
      <c r="H130" s="185">
        <f t="shared" ref="H130:I130" si="161">SUM(H131,H136,H140,H141,H144,H151,H159,H160,H163)</f>
        <v>0</v>
      </c>
      <c r="I130" s="73">
        <f t="shared" si="161"/>
        <v>0</v>
      </c>
      <c r="J130" s="184">
        <f>SUM(J131,J136,J140,J141,J144,J151,J159,J160,J163)</f>
        <v>5663</v>
      </c>
      <c r="K130" s="185">
        <f t="shared" ref="K130:L130" si="162">SUM(K131,K136,K140,K141,K144,K151,K159,K160,K163)</f>
        <v>0</v>
      </c>
      <c r="L130" s="73">
        <f t="shared" si="162"/>
        <v>5663</v>
      </c>
      <c r="M130" s="184">
        <f>SUM(M131,M136,M140,M141,M144,M151,M159,M160,M163)</f>
        <v>0</v>
      </c>
      <c r="N130" s="185">
        <f t="shared" ref="N130:O130" si="163">SUM(N131,N136,N140,N141,N144,N151,N159,N160,N163)</f>
        <v>0</v>
      </c>
      <c r="O130" s="73">
        <f t="shared" si="163"/>
        <v>0</v>
      </c>
      <c r="P130" s="77"/>
    </row>
    <row r="131" spans="1:16" ht="24" x14ac:dyDescent="0.25">
      <c r="A131" s="193">
        <v>2310</v>
      </c>
      <c r="B131" s="82" t="s">
        <v>147</v>
      </c>
      <c r="C131" s="83">
        <f t="shared" si="102"/>
        <v>20394</v>
      </c>
      <c r="D131" s="194">
        <f t="shared" ref="D131:O131" si="164">SUM(D132:D135)</f>
        <v>20157</v>
      </c>
      <c r="E131" s="195">
        <f t="shared" si="164"/>
        <v>-263</v>
      </c>
      <c r="F131" s="134">
        <f t="shared" si="164"/>
        <v>19894</v>
      </c>
      <c r="G131" s="194">
        <f t="shared" si="164"/>
        <v>0</v>
      </c>
      <c r="H131" s="195">
        <f t="shared" si="164"/>
        <v>0</v>
      </c>
      <c r="I131" s="134">
        <f t="shared" si="164"/>
        <v>0</v>
      </c>
      <c r="J131" s="194">
        <f t="shared" si="164"/>
        <v>500</v>
      </c>
      <c r="K131" s="195">
        <f t="shared" si="164"/>
        <v>0</v>
      </c>
      <c r="L131" s="134">
        <f t="shared" si="164"/>
        <v>500</v>
      </c>
      <c r="M131" s="194">
        <f t="shared" si="164"/>
        <v>0</v>
      </c>
      <c r="N131" s="195">
        <f t="shared" si="164"/>
        <v>0</v>
      </c>
      <c r="O131" s="134">
        <f t="shared" si="164"/>
        <v>0</v>
      </c>
      <c r="P131" s="49"/>
    </row>
    <row r="132" spans="1:16" ht="12" customHeight="1" x14ac:dyDescent="0.25">
      <c r="A132" s="51">
        <v>2311</v>
      </c>
      <c r="B132" s="89" t="s">
        <v>148</v>
      </c>
      <c r="C132" s="90">
        <f t="shared" si="102"/>
        <v>12186</v>
      </c>
      <c r="D132" s="196">
        <v>11686</v>
      </c>
      <c r="E132" s="197"/>
      <c r="F132" s="55">
        <f t="shared" ref="F132:F135" si="165">D132+E132</f>
        <v>11686</v>
      </c>
      <c r="G132" s="53"/>
      <c r="H132" s="54"/>
      <c r="I132" s="55">
        <f t="shared" ref="I132:I135" si="166">G132+H132</f>
        <v>0</v>
      </c>
      <c r="J132" s="53">
        <v>500</v>
      </c>
      <c r="K132" s="54"/>
      <c r="L132" s="55">
        <f t="shared" ref="L132:L135" si="167">K132+J132</f>
        <v>500</v>
      </c>
      <c r="M132" s="53"/>
      <c r="N132" s="54"/>
      <c r="O132" s="55">
        <f t="shared" ref="O132:O135" si="168">N132+M132</f>
        <v>0</v>
      </c>
      <c r="P132" s="57"/>
    </row>
    <row r="133" spans="1:16" ht="12" customHeight="1" x14ac:dyDescent="0.25">
      <c r="A133" s="51">
        <v>2312</v>
      </c>
      <c r="B133" s="89" t="s">
        <v>149</v>
      </c>
      <c r="C133" s="90">
        <f t="shared" si="102"/>
        <v>6432</v>
      </c>
      <c r="D133" s="196">
        <v>6432</v>
      </c>
      <c r="E133" s="197"/>
      <c r="F133" s="55">
        <f t="shared" si="165"/>
        <v>6432</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9" t="s">
        <v>150</v>
      </c>
      <c r="C134" s="90">
        <f t="shared" si="102"/>
        <v>1676</v>
      </c>
      <c r="D134" s="196">
        <v>1676</v>
      </c>
      <c r="E134" s="197"/>
      <c r="F134" s="55">
        <f t="shared" si="165"/>
        <v>1676</v>
      </c>
      <c r="G134" s="53"/>
      <c r="H134" s="54"/>
      <c r="I134" s="55">
        <f t="shared" si="166"/>
        <v>0</v>
      </c>
      <c r="J134" s="53"/>
      <c r="K134" s="54"/>
      <c r="L134" s="55">
        <f t="shared" si="167"/>
        <v>0</v>
      </c>
      <c r="M134" s="53"/>
      <c r="N134" s="54"/>
      <c r="O134" s="55">
        <f t="shared" si="168"/>
        <v>0</v>
      </c>
      <c r="P134" s="57"/>
    </row>
    <row r="135" spans="1:16" ht="39" customHeight="1" x14ac:dyDescent="0.25">
      <c r="A135" s="51">
        <v>2314</v>
      </c>
      <c r="B135" s="89" t="s">
        <v>151</v>
      </c>
      <c r="C135" s="90">
        <f t="shared" si="102"/>
        <v>100</v>
      </c>
      <c r="D135" s="196">
        <v>363</v>
      </c>
      <c r="E135" s="197">
        <v>-263</v>
      </c>
      <c r="F135" s="55">
        <f t="shared" si="165"/>
        <v>100</v>
      </c>
      <c r="G135" s="53"/>
      <c r="H135" s="54"/>
      <c r="I135" s="55">
        <f t="shared" si="166"/>
        <v>0</v>
      </c>
      <c r="J135" s="53"/>
      <c r="K135" s="54"/>
      <c r="L135" s="55">
        <f t="shared" si="167"/>
        <v>0</v>
      </c>
      <c r="M135" s="53"/>
      <c r="N135" s="54"/>
      <c r="O135" s="55">
        <f t="shared" si="168"/>
        <v>0</v>
      </c>
      <c r="P135" s="57" t="s">
        <v>404</v>
      </c>
    </row>
    <row r="136" spans="1:16" x14ac:dyDescent="0.25">
      <c r="A136" s="189">
        <v>2320</v>
      </c>
      <c r="B136" s="89" t="s">
        <v>152</v>
      </c>
      <c r="C136" s="90">
        <f t="shared" si="102"/>
        <v>38552</v>
      </c>
      <c r="D136" s="190">
        <f>SUM(D137:D139)</f>
        <v>33389</v>
      </c>
      <c r="E136" s="191">
        <f t="shared" ref="E136:F136" si="169">SUM(E137:E139)</f>
        <v>0</v>
      </c>
      <c r="F136" s="55">
        <f t="shared" si="169"/>
        <v>33389</v>
      </c>
      <c r="G136" s="190">
        <f>SUM(G137:G139)</f>
        <v>0</v>
      </c>
      <c r="H136" s="191">
        <f t="shared" ref="H136:I136" si="170">SUM(H137:H139)</f>
        <v>0</v>
      </c>
      <c r="I136" s="55">
        <f t="shared" si="170"/>
        <v>0</v>
      </c>
      <c r="J136" s="190">
        <f>SUM(J137:J139)</f>
        <v>5163</v>
      </c>
      <c r="K136" s="191">
        <f t="shared" ref="K136:L136" si="171">SUM(K137:K139)</f>
        <v>0</v>
      </c>
      <c r="L136" s="55">
        <f t="shared" si="171"/>
        <v>5163</v>
      </c>
      <c r="M136" s="190">
        <f>SUM(M137:M139)</f>
        <v>0</v>
      </c>
      <c r="N136" s="191">
        <f t="shared" ref="N136:O136" si="172">SUM(N137:N139)</f>
        <v>0</v>
      </c>
      <c r="O136" s="55">
        <f t="shared" si="172"/>
        <v>0</v>
      </c>
      <c r="P136" s="57"/>
    </row>
    <row r="137" spans="1:16" ht="12" customHeight="1" x14ac:dyDescent="0.25">
      <c r="A137" s="51">
        <v>2321</v>
      </c>
      <c r="B137" s="89" t="s">
        <v>153</v>
      </c>
      <c r="C137" s="90">
        <f t="shared" si="102"/>
        <v>8582</v>
      </c>
      <c r="D137" s="196">
        <v>5023</v>
      </c>
      <c r="E137" s="197"/>
      <c r="F137" s="55">
        <f t="shared" ref="F137:F140" si="173">D137+E137</f>
        <v>5023</v>
      </c>
      <c r="G137" s="53"/>
      <c r="H137" s="54"/>
      <c r="I137" s="55">
        <f t="shared" ref="I137:I140" si="174">G137+H137</f>
        <v>0</v>
      </c>
      <c r="J137" s="53">
        <v>3559</v>
      </c>
      <c r="K137" s="54"/>
      <c r="L137" s="55">
        <f t="shared" ref="L137:L140" si="175">K137+J137</f>
        <v>3559</v>
      </c>
      <c r="M137" s="53"/>
      <c r="N137" s="54"/>
      <c r="O137" s="55">
        <f t="shared" ref="O137:O140" si="176">N137+M137</f>
        <v>0</v>
      </c>
      <c r="P137" s="57"/>
    </row>
    <row r="138" spans="1:16" ht="15" customHeight="1" x14ac:dyDescent="0.25">
      <c r="A138" s="51">
        <v>2322</v>
      </c>
      <c r="B138" s="89" t="s">
        <v>154</v>
      </c>
      <c r="C138" s="90">
        <f t="shared" si="102"/>
        <v>29970</v>
      </c>
      <c r="D138" s="196">
        <v>28366</v>
      </c>
      <c r="E138" s="197"/>
      <c r="F138" s="55">
        <f t="shared" si="173"/>
        <v>28366</v>
      </c>
      <c r="G138" s="53"/>
      <c r="H138" s="54"/>
      <c r="I138" s="55">
        <f t="shared" si="174"/>
        <v>0</v>
      </c>
      <c r="J138" s="53">
        <v>1604</v>
      </c>
      <c r="K138" s="54"/>
      <c r="L138" s="55">
        <f t="shared" si="175"/>
        <v>1604</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545</v>
      </c>
      <c r="D141" s="190">
        <f>SUM(D142:D143)</f>
        <v>545</v>
      </c>
      <c r="E141" s="191">
        <f t="shared" ref="E141:F141" si="177">SUM(E142:E143)</f>
        <v>0</v>
      </c>
      <c r="F141" s="55">
        <f t="shared" si="177"/>
        <v>545</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545</v>
      </c>
      <c r="D142" s="196">
        <v>545</v>
      </c>
      <c r="E142" s="197"/>
      <c r="F142" s="55">
        <f t="shared" ref="F142:F143" si="181">D142+E142</f>
        <v>545</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8098</v>
      </c>
      <c r="D144" s="187">
        <f>SUM(D145:D150)</f>
        <v>8098</v>
      </c>
      <c r="E144" s="188">
        <f t="shared" ref="E144:F144" si="185">SUM(E145:E150)</f>
        <v>0</v>
      </c>
      <c r="F144" s="141">
        <f t="shared" si="185"/>
        <v>8098</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815</v>
      </c>
      <c r="D145" s="199">
        <v>815</v>
      </c>
      <c r="E145" s="200"/>
      <c r="F145" s="134">
        <f t="shared" ref="F145:F150" si="189">D145+E145</f>
        <v>815</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3459</v>
      </c>
      <c r="D146" s="196">
        <v>3459</v>
      </c>
      <c r="E146" s="197"/>
      <c r="F146" s="55">
        <f t="shared" si="189"/>
        <v>3459</v>
      </c>
      <c r="G146" s="53"/>
      <c r="H146" s="54"/>
      <c r="I146" s="55">
        <f t="shared" si="190"/>
        <v>0</v>
      </c>
      <c r="J146" s="53"/>
      <c r="K146" s="54"/>
      <c r="L146" s="55">
        <f t="shared" si="191"/>
        <v>0</v>
      </c>
      <c r="M146" s="53"/>
      <c r="N146" s="54"/>
      <c r="O146" s="55">
        <f t="shared" si="192"/>
        <v>0</v>
      </c>
      <c r="P146" s="57"/>
    </row>
    <row r="147" spans="1:16" ht="24" customHeight="1" x14ac:dyDescent="0.25">
      <c r="A147" s="51">
        <v>2353</v>
      </c>
      <c r="B147" s="89" t="s">
        <v>163</v>
      </c>
      <c r="C147" s="90">
        <f t="shared" si="102"/>
        <v>158</v>
      </c>
      <c r="D147" s="196">
        <v>158</v>
      </c>
      <c r="E147" s="197"/>
      <c r="F147" s="55">
        <f t="shared" si="189"/>
        <v>158</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3666</v>
      </c>
      <c r="D148" s="196">
        <v>3666</v>
      </c>
      <c r="E148" s="197"/>
      <c r="F148" s="55">
        <f t="shared" si="189"/>
        <v>3666</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13608</v>
      </c>
      <c r="D151" s="190">
        <f>SUM(D152:D158)</f>
        <v>13458</v>
      </c>
      <c r="E151" s="191">
        <f t="shared" ref="E151:F151" si="194">SUM(E152:E158)</f>
        <v>150</v>
      </c>
      <c r="F151" s="55">
        <f t="shared" si="194"/>
        <v>13608</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160</v>
      </c>
      <c r="D152" s="196">
        <v>160</v>
      </c>
      <c r="E152" s="197"/>
      <c r="F152" s="55">
        <f t="shared" ref="F152:F159" si="198">D152+E152</f>
        <v>160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5" customHeight="1" x14ac:dyDescent="0.25">
      <c r="A155" s="50">
        <v>2364</v>
      </c>
      <c r="B155" s="89" t="s">
        <v>171</v>
      </c>
      <c r="C155" s="90">
        <f t="shared" si="193"/>
        <v>13203</v>
      </c>
      <c r="D155" s="196">
        <v>13053</v>
      </c>
      <c r="E155" s="197">
        <v>150</v>
      </c>
      <c r="F155" s="55">
        <f t="shared" si="198"/>
        <v>13203</v>
      </c>
      <c r="G155" s="53"/>
      <c r="H155" s="54"/>
      <c r="I155" s="55">
        <f t="shared" si="199"/>
        <v>0</v>
      </c>
      <c r="J155" s="53"/>
      <c r="K155" s="54"/>
      <c r="L155" s="55">
        <f t="shared" si="200"/>
        <v>0</v>
      </c>
      <c r="M155" s="53"/>
      <c r="N155" s="54"/>
      <c r="O155" s="55">
        <f t="shared" si="201"/>
        <v>0</v>
      </c>
      <c r="P155" s="57" t="s">
        <v>405</v>
      </c>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customHeight="1" x14ac:dyDescent="0.25">
      <c r="A158" s="50">
        <v>2369</v>
      </c>
      <c r="B158" s="89" t="s">
        <v>174</v>
      </c>
      <c r="C158" s="90">
        <f t="shared" si="193"/>
        <v>245</v>
      </c>
      <c r="D158" s="196">
        <v>245</v>
      </c>
      <c r="E158" s="197"/>
      <c r="F158" s="55">
        <f t="shared" si="198"/>
        <v>245</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x14ac:dyDescent="0.25">
      <c r="A160" s="186">
        <v>2380</v>
      </c>
      <c r="B160" s="138" t="s">
        <v>176</v>
      </c>
      <c r="C160" s="143">
        <f t="shared" si="193"/>
        <v>440</v>
      </c>
      <c r="D160" s="187">
        <f>SUM(D161:D162)</f>
        <v>560</v>
      </c>
      <c r="E160" s="188">
        <f t="shared" ref="E160:F160" si="202">SUM(E161:E162)</f>
        <v>-120</v>
      </c>
      <c r="F160" s="141">
        <f t="shared" si="202"/>
        <v>440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75" customHeight="1" x14ac:dyDescent="0.25">
      <c r="A162" s="50">
        <v>2389</v>
      </c>
      <c r="B162" s="89" t="s">
        <v>178</v>
      </c>
      <c r="C162" s="90">
        <f t="shared" si="193"/>
        <v>440</v>
      </c>
      <c r="D162" s="196">
        <v>560</v>
      </c>
      <c r="E162" s="197">
        <v>-120</v>
      </c>
      <c r="F162" s="55">
        <f t="shared" si="206"/>
        <v>440</v>
      </c>
      <c r="G162" s="53"/>
      <c r="H162" s="54"/>
      <c r="I162" s="55">
        <f t="shared" si="207"/>
        <v>0</v>
      </c>
      <c r="J162" s="53"/>
      <c r="K162" s="54"/>
      <c r="L162" s="55">
        <f t="shared" si="208"/>
        <v>0</v>
      </c>
      <c r="M162" s="53"/>
      <c r="N162" s="54"/>
      <c r="O162" s="55">
        <f t="shared" si="209"/>
        <v>0</v>
      </c>
      <c r="P162" s="57" t="s">
        <v>406</v>
      </c>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17015</v>
      </c>
      <c r="D165" s="184">
        <f>SUM(D166,D171)</f>
        <v>24918</v>
      </c>
      <c r="E165" s="185">
        <f t="shared" ref="E165:O165" si="210">SUM(E166,E171)</f>
        <v>-9567</v>
      </c>
      <c r="F165" s="73">
        <f t="shared" si="210"/>
        <v>15351</v>
      </c>
      <c r="G165" s="184">
        <f t="shared" si="210"/>
        <v>0</v>
      </c>
      <c r="H165" s="185">
        <f t="shared" si="210"/>
        <v>0</v>
      </c>
      <c r="I165" s="73">
        <f t="shared" si="210"/>
        <v>0</v>
      </c>
      <c r="J165" s="184">
        <f t="shared" si="210"/>
        <v>6060</v>
      </c>
      <c r="K165" s="185">
        <f t="shared" si="210"/>
        <v>-4396</v>
      </c>
      <c r="L165" s="73">
        <f t="shared" si="210"/>
        <v>1664</v>
      </c>
      <c r="M165" s="184">
        <f t="shared" si="210"/>
        <v>0</v>
      </c>
      <c r="N165" s="185">
        <f t="shared" si="210"/>
        <v>0</v>
      </c>
      <c r="O165" s="73">
        <f t="shared" si="210"/>
        <v>0</v>
      </c>
      <c r="P165" s="77"/>
    </row>
    <row r="166" spans="1:16" ht="24" x14ac:dyDescent="0.25">
      <c r="A166" s="193">
        <v>2510</v>
      </c>
      <c r="B166" s="82" t="s">
        <v>182</v>
      </c>
      <c r="C166" s="83">
        <f t="shared" si="193"/>
        <v>17015</v>
      </c>
      <c r="D166" s="194">
        <f>SUM(D167:D170)</f>
        <v>24918</v>
      </c>
      <c r="E166" s="195">
        <f t="shared" ref="E166:O166" si="211">SUM(E167:E170)</f>
        <v>-9567</v>
      </c>
      <c r="F166" s="134">
        <f t="shared" si="211"/>
        <v>15351</v>
      </c>
      <c r="G166" s="194">
        <f t="shared" si="211"/>
        <v>0</v>
      </c>
      <c r="H166" s="195">
        <f t="shared" si="211"/>
        <v>0</v>
      </c>
      <c r="I166" s="134">
        <f t="shared" si="211"/>
        <v>0</v>
      </c>
      <c r="J166" s="194">
        <f t="shared" si="211"/>
        <v>6060</v>
      </c>
      <c r="K166" s="195">
        <f t="shared" si="211"/>
        <v>-4396</v>
      </c>
      <c r="L166" s="134">
        <f t="shared" si="211"/>
        <v>1664</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customHeight="1" x14ac:dyDescent="0.25">
      <c r="A168" s="51">
        <v>2513</v>
      </c>
      <c r="B168" s="89" t="s">
        <v>184</v>
      </c>
      <c r="C168" s="90">
        <f t="shared" si="193"/>
        <v>290</v>
      </c>
      <c r="D168" s="196">
        <v>290</v>
      </c>
      <c r="E168" s="197"/>
      <c r="F168" s="55">
        <f t="shared" si="212"/>
        <v>290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35.25" customHeight="1" x14ac:dyDescent="0.25">
      <c r="A170" s="51">
        <v>2519</v>
      </c>
      <c r="B170" s="89" t="s">
        <v>186</v>
      </c>
      <c r="C170" s="90">
        <f t="shared" si="193"/>
        <v>16725</v>
      </c>
      <c r="D170" s="196">
        <v>24628</v>
      </c>
      <c r="E170" s="197">
        <v>-9567</v>
      </c>
      <c r="F170" s="55">
        <f t="shared" si="212"/>
        <v>15061</v>
      </c>
      <c r="G170" s="53"/>
      <c r="H170" s="54"/>
      <c r="I170" s="55">
        <f t="shared" si="213"/>
        <v>0</v>
      </c>
      <c r="J170" s="53">
        <v>6060</v>
      </c>
      <c r="K170" s="54">
        <v>-4396</v>
      </c>
      <c r="L170" s="55">
        <f t="shared" si="214"/>
        <v>1664</v>
      </c>
      <c r="M170" s="53"/>
      <c r="N170" s="54"/>
      <c r="O170" s="55">
        <f t="shared" si="215"/>
        <v>0</v>
      </c>
      <c r="P170" s="57" t="s">
        <v>407</v>
      </c>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9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9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9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12459</v>
      </c>
      <c r="D194" s="173">
        <f t="shared" ref="D194:O194" si="259">SUM(D195,D230,D269,D283)</f>
        <v>7259</v>
      </c>
      <c r="E194" s="174">
        <f t="shared" si="259"/>
        <v>0</v>
      </c>
      <c r="F194" s="175">
        <f t="shared" si="259"/>
        <v>7259</v>
      </c>
      <c r="G194" s="173">
        <f t="shared" si="259"/>
        <v>0</v>
      </c>
      <c r="H194" s="174">
        <f t="shared" si="259"/>
        <v>0</v>
      </c>
      <c r="I194" s="175">
        <f t="shared" si="259"/>
        <v>0</v>
      </c>
      <c r="J194" s="173">
        <f t="shared" si="259"/>
        <v>5200</v>
      </c>
      <c r="K194" s="174">
        <f t="shared" si="259"/>
        <v>0</v>
      </c>
      <c r="L194" s="175">
        <f t="shared" si="259"/>
        <v>5200</v>
      </c>
      <c r="M194" s="173">
        <f t="shared" si="259"/>
        <v>0</v>
      </c>
      <c r="N194" s="174">
        <f t="shared" si="259"/>
        <v>0</v>
      </c>
      <c r="O194" s="175">
        <f t="shared" si="259"/>
        <v>0</v>
      </c>
      <c r="P194" s="176"/>
    </row>
    <row r="195" spans="1:16" x14ac:dyDescent="0.25">
      <c r="A195" s="177">
        <v>5000</v>
      </c>
      <c r="B195" s="177" t="s">
        <v>211</v>
      </c>
      <c r="C195" s="178">
        <f t="shared" si="193"/>
        <v>7259</v>
      </c>
      <c r="D195" s="179">
        <f>D196+D204</f>
        <v>7259</v>
      </c>
      <c r="E195" s="180">
        <f t="shared" ref="E195:F195" si="260">E196+E204</f>
        <v>0</v>
      </c>
      <c r="F195" s="181">
        <f t="shared" si="260"/>
        <v>7259</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400</v>
      </c>
      <c r="D196" s="184">
        <f>D197+D198+D201+D202+D203</f>
        <v>400</v>
      </c>
      <c r="E196" s="185">
        <f t="shared" ref="E196:F196" si="264">E197+E198+E201+E202+E203</f>
        <v>0</v>
      </c>
      <c r="F196" s="73">
        <f t="shared" si="264"/>
        <v>400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9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400</v>
      </c>
      <c r="D198" s="190">
        <f>D199+D200</f>
        <v>400</v>
      </c>
      <c r="E198" s="191">
        <f t="shared" ref="E198:F198" si="268">E199+E200</f>
        <v>0</v>
      </c>
      <c r="F198" s="55">
        <f t="shared" si="268"/>
        <v>400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400</v>
      </c>
      <c r="D199" s="196">
        <v>400</v>
      </c>
      <c r="E199" s="197"/>
      <c r="F199" s="55">
        <f t="shared" ref="F199:F203" si="272">D199+E199</f>
        <v>400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6859</v>
      </c>
      <c r="D204" s="184">
        <f>D205+D215+D216+D225+D226+D227+D229</f>
        <v>6859</v>
      </c>
      <c r="E204" s="185">
        <f t="shared" ref="E204:F204" si="276">E205+E215+E216+E225+E226+E227+E229</f>
        <v>0</v>
      </c>
      <c r="F204" s="73">
        <f t="shared" si="276"/>
        <v>6859</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6859</v>
      </c>
      <c r="D216" s="190">
        <f>SUM(D217:D224)</f>
        <v>6859</v>
      </c>
      <c r="E216" s="191">
        <f t="shared" ref="E216:F216" si="289">SUM(E217:E224)</f>
        <v>0</v>
      </c>
      <c r="F216" s="55">
        <f t="shared" si="289"/>
        <v>6859</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5059</v>
      </c>
      <c r="D223" s="196">
        <v>5059</v>
      </c>
      <c r="E223" s="197"/>
      <c r="F223" s="55">
        <f t="shared" si="293"/>
        <v>5059</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1800</v>
      </c>
      <c r="D224" s="196">
        <v>1800</v>
      </c>
      <c r="E224" s="197"/>
      <c r="F224" s="55">
        <f t="shared" si="293"/>
        <v>1800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246</v>
      </c>
      <c r="C230" s="178">
        <f t="shared" si="288"/>
        <v>1000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1000</v>
      </c>
      <c r="K230" s="180">
        <f t="shared" ref="K230:L230" si="307">K231+K251+K259</f>
        <v>0</v>
      </c>
      <c r="L230" s="181">
        <f t="shared" si="307"/>
        <v>1000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9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9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275</v>
      </c>
      <c r="C259" s="70">
        <f t="shared" si="288"/>
        <v>1000</v>
      </c>
      <c r="D259" s="184">
        <f>SUM(D260,D264)</f>
        <v>0</v>
      </c>
      <c r="E259" s="185">
        <f t="shared" ref="E259:O259" si="341">SUM(E260,E264)</f>
        <v>0</v>
      </c>
      <c r="F259" s="73">
        <f t="shared" si="341"/>
        <v>0</v>
      </c>
      <c r="G259" s="184">
        <f t="shared" si="341"/>
        <v>0</v>
      </c>
      <c r="H259" s="185">
        <f t="shared" si="341"/>
        <v>0</v>
      </c>
      <c r="I259" s="73">
        <f t="shared" si="341"/>
        <v>0</v>
      </c>
      <c r="J259" s="184">
        <f t="shared" si="341"/>
        <v>1000</v>
      </c>
      <c r="K259" s="185">
        <f t="shared" si="341"/>
        <v>0</v>
      </c>
      <c r="L259" s="73">
        <f t="shared" si="341"/>
        <v>1000</v>
      </c>
      <c r="M259" s="184">
        <f t="shared" si="341"/>
        <v>0</v>
      </c>
      <c r="N259" s="185">
        <f t="shared" si="341"/>
        <v>0</v>
      </c>
      <c r="O259" s="73">
        <f t="shared" si="341"/>
        <v>0</v>
      </c>
      <c r="P259" s="77"/>
    </row>
    <row r="260" spans="1:16" ht="24" hidden="1" x14ac:dyDescent="0.25">
      <c r="A260" s="19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x14ac:dyDescent="0.25">
      <c r="A264" s="189">
        <v>6420</v>
      </c>
      <c r="B264" s="89" t="s">
        <v>280</v>
      </c>
      <c r="C264" s="90">
        <f t="shared" si="288"/>
        <v>1000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1000</v>
      </c>
      <c r="K264" s="191">
        <f t="shared" ref="K264:L264" si="349">SUM(K265:K268)</f>
        <v>0</v>
      </c>
      <c r="L264" s="55">
        <f t="shared" si="349"/>
        <v>1000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customHeight="1" x14ac:dyDescent="0.25">
      <c r="A268" s="51">
        <v>6424</v>
      </c>
      <c r="B268" s="89" t="s">
        <v>284</v>
      </c>
      <c r="C268" s="90">
        <f t="shared" si="288"/>
        <v>1000</v>
      </c>
      <c r="D268" s="196"/>
      <c r="E268" s="197"/>
      <c r="F268" s="55">
        <f t="shared" si="351"/>
        <v>0</v>
      </c>
      <c r="G268" s="53"/>
      <c r="H268" s="54"/>
      <c r="I268" s="55">
        <f t="shared" si="352"/>
        <v>0</v>
      </c>
      <c r="J268" s="53">
        <v>1000</v>
      </c>
      <c r="K268" s="54"/>
      <c r="L268" s="55">
        <f t="shared" si="353"/>
        <v>1000</v>
      </c>
      <c r="M268" s="53"/>
      <c r="N268" s="54"/>
      <c r="O268" s="55">
        <f t="shared" si="354"/>
        <v>0</v>
      </c>
      <c r="P268" s="57"/>
    </row>
    <row r="269" spans="1:16" ht="48" x14ac:dyDescent="0.25">
      <c r="A269" s="228">
        <v>7000</v>
      </c>
      <c r="B269" s="228" t="s">
        <v>285</v>
      </c>
      <c r="C269" s="229">
        <f t="shared" si="288"/>
        <v>4200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4200</v>
      </c>
      <c r="K269" s="231">
        <f t="shared" ref="K269:L269" si="357">SUM(K270,K281)</f>
        <v>0</v>
      </c>
      <c r="L269" s="232">
        <f t="shared" si="357"/>
        <v>4200</v>
      </c>
      <c r="M269" s="230">
        <f>SUM(M270,M281)</f>
        <v>0</v>
      </c>
      <c r="N269" s="231">
        <f t="shared" ref="N269:O269" si="358">SUM(N270,N281)</f>
        <v>0</v>
      </c>
      <c r="O269" s="232">
        <f t="shared" si="358"/>
        <v>0</v>
      </c>
      <c r="P269" s="233"/>
    </row>
    <row r="270" spans="1:16" ht="24" x14ac:dyDescent="0.25">
      <c r="A270" s="69">
        <v>7200</v>
      </c>
      <c r="B270" s="183" t="s">
        <v>286</v>
      </c>
      <c r="C270" s="70">
        <f t="shared" si="288"/>
        <v>4200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4200</v>
      </c>
      <c r="K270" s="185">
        <f t="shared" ref="K270:L270" si="361">SUM(K271,K272,K275,K276,K280)</f>
        <v>0</v>
      </c>
      <c r="L270" s="73">
        <f t="shared" si="361"/>
        <v>4200</v>
      </c>
      <c r="M270" s="184">
        <f>SUM(M271,M272,M275,M276,M280)</f>
        <v>0</v>
      </c>
      <c r="N270" s="185">
        <f t="shared" ref="N270:O270" si="362">SUM(N271,N272,N275,N276,N280)</f>
        <v>0</v>
      </c>
      <c r="O270" s="73">
        <f t="shared" si="362"/>
        <v>0</v>
      </c>
      <c r="P270" s="77"/>
    </row>
    <row r="271" spans="1:16" ht="24" hidden="1" customHeight="1" x14ac:dyDescent="0.25">
      <c r="A271" s="19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291</v>
      </c>
      <c r="C275" s="90">
        <f t="shared" si="288"/>
        <v>4200</v>
      </c>
      <c r="D275" s="196"/>
      <c r="E275" s="197"/>
      <c r="F275" s="55">
        <f t="shared" si="367"/>
        <v>0</v>
      </c>
      <c r="G275" s="53"/>
      <c r="H275" s="54"/>
      <c r="I275" s="55">
        <f t="shared" si="368"/>
        <v>0</v>
      </c>
      <c r="J275" s="53">
        <v>4200</v>
      </c>
      <c r="K275" s="54"/>
      <c r="L275" s="55">
        <f t="shared" si="369"/>
        <v>4200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2498402</v>
      </c>
      <c r="D289" s="252">
        <f t="shared" ref="D289:O289" si="389">SUM(D286,D269,D230,D195,D187,D173,D75,D53,D283)</f>
        <v>2472072</v>
      </c>
      <c r="E289" s="253">
        <f t="shared" si="389"/>
        <v>0</v>
      </c>
      <c r="F289" s="254">
        <f t="shared" si="389"/>
        <v>2472072</v>
      </c>
      <c r="G289" s="252">
        <f t="shared" si="389"/>
        <v>0</v>
      </c>
      <c r="H289" s="253">
        <f t="shared" si="389"/>
        <v>0</v>
      </c>
      <c r="I289" s="254">
        <f t="shared" si="389"/>
        <v>0</v>
      </c>
      <c r="J289" s="252">
        <f t="shared" si="389"/>
        <v>31051</v>
      </c>
      <c r="K289" s="253">
        <f t="shared" si="389"/>
        <v>-4721</v>
      </c>
      <c r="L289" s="254">
        <f t="shared" si="389"/>
        <v>26330</v>
      </c>
      <c r="M289" s="252">
        <f t="shared" si="389"/>
        <v>0</v>
      </c>
      <c r="N289" s="253">
        <f t="shared" si="389"/>
        <v>0</v>
      </c>
      <c r="O289" s="254">
        <f t="shared" si="389"/>
        <v>0</v>
      </c>
      <c r="P289" s="255"/>
    </row>
    <row r="290" spans="1:16" s="28" customFormat="1" ht="13.5" thickTop="1" thickBot="1" x14ac:dyDescent="0.3">
      <c r="A290" s="1544" t="s">
        <v>308</v>
      </c>
      <c r="B290" s="1545"/>
      <c r="C290" s="256">
        <f t="shared" si="371"/>
        <v>-4445</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-4445</v>
      </c>
      <c r="K290" s="258">
        <f t="shared" ref="K290:L290" si="392">(K26+K43)-K51</f>
        <v>0</v>
      </c>
      <c r="L290" s="259">
        <f t="shared" si="392"/>
        <v>-4445</v>
      </c>
      <c r="M290" s="257">
        <f>M45-M51</f>
        <v>0</v>
      </c>
      <c r="N290" s="258">
        <f t="shared" ref="N290:O290" si="393">N45-N51</f>
        <v>0</v>
      </c>
      <c r="O290" s="259">
        <f t="shared" si="393"/>
        <v>0</v>
      </c>
      <c r="P290" s="260"/>
    </row>
    <row r="291" spans="1:16" s="28" customFormat="1" ht="12.75" thickTop="1" x14ac:dyDescent="0.25">
      <c r="A291" s="1546" t="s">
        <v>309</v>
      </c>
      <c r="B291" s="1547"/>
      <c r="C291" s="261">
        <f t="shared" si="371"/>
        <v>4445</v>
      </c>
      <c r="D291" s="262">
        <f t="shared" ref="D291:O291" si="394">SUM(D292,D293)-D300+D301</f>
        <v>0</v>
      </c>
      <c r="E291" s="263">
        <f t="shared" si="394"/>
        <v>0</v>
      </c>
      <c r="F291" s="264">
        <f t="shared" si="394"/>
        <v>0</v>
      </c>
      <c r="G291" s="262">
        <f t="shared" si="394"/>
        <v>0</v>
      </c>
      <c r="H291" s="263">
        <f t="shared" si="394"/>
        <v>0</v>
      </c>
      <c r="I291" s="264">
        <f t="shared" si="394"/>
        <v>0</v>
      </c>
      <c r="J291" s="262">
        <f t="shared" si="394"/>
        <v>4445</v>
      </c>
      <c r="K291" s="263">
        <f t="shared" si="394"/>
        <v>0</v>
      </c>
      <c r="L291" s="264">
        <f t="shared" si="394"/>
        <v>4445</v>
      </c>
      <c r="M291" s="262">
        <f t="shared" si="394"/>
        <v>0</v>
      </c>
      <c r="N291" s="263">
        <f t="shared" si="394"/>
        <v>0</v>
      </c>
      <c r="O291" s="264">
        <f t="shared" si="394"/>
        <v>0</v>
      </c>
      <c r="P291" s="265"/>
    </row>
    <row r="292" spans="1:16" s="28" customFormat="1" ht="12.75" thickBot="1" x14ac:dyDescent="0.3">
      <c r="A292" s="157" t="s">
        <v>310</v>
      </c>
      <c r="B292" s="157" t="s">
        <v>311</v>
      </c>
      <c r="C292" s="158">
        <f t="shared" si="371"/>
        <v>4445</v>
      </c>
      <c r="D292" s="159">
        <f t="shared" ref="D292:O292" si="395">D21-D286</f>
        <v>0</v>
      </c>
      <c r="E292" s="160">
        <f t="shared" si="395"/>
        <v>0</v>
      </c>
      <c r="F292" s="161">
        <f t="shared" si="395"/>
        <v>0</v>
      </c>
      <c r="G292" s="159">
        <f t="shared" si="395"/>
        <v>0</v>
      </c>
      <c r="H292" s="160">
        <f t="shared" si="395"/>
        <v>0</v>
      </c>
      <c r="I292" s="161">
        <f t="shared" si="395"/>
        <v>0</v>
      </c>
      <c r="J292" s="159">
        <f t="shared" si="395"/>
        <v>4445</v>
      </c>
      <c r="K292" s="160">
        <f t="shared" si="395"/>
        <v>0</v>
      </c>
      <c r="L292" s="161">
        <f t="shared" si="395"/>
        <v>4445</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HZU7XhrjVKj7gInq/VcUseZrw1whhY0Ta6ftDdsp5RQqvzhmzuj0BqrG9yn6cU85PSMSvHYNWF3zmXm1EURlxQ==" saltValue="cI4DltWpI1qY3o/YM47saQ==" spinCount="100000" sheet="1" objects="1" scenarios="1" formatCells="0" formatColumns="0" formatRows="0" deleteColumns="0"/>
  <autoFilter ref="A18:P301">
    <filterColumn colId="2">
      <filters>
        <filter val="1 000"/>
        <filter val="1 035"/>
        <filter val="1 302 539"/>
        <filter val="1 544 716"/>
        <filter val="1 624"/>
        <filter val="1 676"/>
        <filter val="1 800"/>
        <filter val="100"/>
        <filter val="105 227"/>
        <filter val="112 014"/>
        <filter val="12 186"/>
        <filter val="12 459"/>
        <filter val="12 833"/>
        <filter val="125"/>
        <filter val="13 203"/>
        <filter val="13 608"/>
        <filter val="153 414"/>
        <filter val="158"/>
        <filter val="16 555"/>
        <filter val="16 725"/>
        <filter val="160"/>
        <filter val="17 015"/>
        <filter val="19 105"/>
        <filter val="2 087 759"/>
        <filter val="2 395"/>
        <filter val="2 472 072"/>
        <filter val="2 485 943"/>
        <filter val="2 498 402"/>
        <filter val="2 721"/>
        <filter val="2 934"/>
        <filter val="20 394"/>
        <filter val="225"/>
        <filter val="242 177"/>
        <filter val="245"/>
        <filter val="25 018"/>
        <filter val="28 923"/>
        <filter val="29 177"/>
        <filter val="29 970"/>
        <filter val="290"/>
        <filter val="299 532"/>
        <filter val="3 250"/>
        <filter val="3 275"/>
        <filter val="3 459"/>
        <filter val="3 666"/>
        <filter val="320"/>
        <filter val="38 552"/>
        <filter val="389 629"/>
        <filter val="39 189"/>
        <filter val="398 184"/>
        <filter val="4 066"/>
        <filter val="4 107"/>
        <filter val="4 200"/>
        <filter val="4 445"/>
        <filter val="-4 445"/>
        <filter val="400"/>
        <filter val="439"/>
        <filter val="440"/>
        <filter val="454"/>
        <filter val="5 059"/>
        <filter val="5 066"/>
        <filter val="5 330"/>
        <filter val="53 520"/>
        <filter val="54 025"/>
        <filter val="54 526"/>
        <filter val="543 043"/>
        <filter val="545"/>
        <filter val="56 568"/>
        <filter val="560"/>
        <filter val="581"/>
        <filter val="6 432"/>
        <filter val="6 859"/>
        <filter val="64 601"/>
        <filter val="67 832"/>
        <filter val="7 259"/>
        <filter val="70 620"/>
        <filter val="72 390"/>
        <filter val="8 098"/>
        <filter val="8 582"/>
        <filter val="81 637"/>
        <filter val="815"/>
        <filter val="931"/>
        <filter val="94 87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2019.gada 31.oktobra saistošajiem noteikumiem Nr.46
(protokols Nr.14, 28.punkts)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3"/>
  <sheetViews>
    <sheetView view="pageLayout" zoomScaleNormal="100" workbookViewId="0">
      <selection activeCell="L6" sqref="L6"/>
    </sheetView>
  </sheetViews>
  <sheetFormatPr defaultRowHeight="12" outlineLevelCol="1" x14ac:dyDescent="0.25"/>
  <cols>
    <col min="1" max="1" width="6.140625" style="375" customWidth="1"/>
    <col min="2" max="2" width="17.28515625" style="976" customWidth="1"/>
    <col min="3" max="3" width="15.28515625" style="976" customWidth="1"/>
    <col min="4" max="4" width="10.5703125" style="375" customWidth="1"/>
    <col min="5" max="5" width="12" style="375" hidden="1" customWidth="1" outlineLevel="1"/>
    <col min="6" max="6" width="11.28515625" style="375" hidden="1" customWidth="1" outlineLevel="1"/>
    <col min="7" max="7" width="12.7109375" style="375" customWidth="1" collapsed="1"/>
    <col min="8" max="8" width="28.7109375" style="375" hidden="1" customWidth="1" outlineLevel="1"/>
    <col min="9" max="9" width="19" style="375" customWidth="1" collapsed="1"/>
    <col min="10" max="16384" width="9.140625" style="375"/>
  </cols>
  <sheetData>
    <row r="1" spans="1:9" x14ac:dyDescent="0.2">
      <c r="I1" s="369" t="s">
        <v>1258</v>
      </c>
    </row>
    <row r="2" spans="1:9" x14ac:dyDescent="0.2">
      <c r="I2" s="369" t="s">
        <v>434</v>
      </c>
    </row>
    <row r="3" spans="1:9" x14ac:dyDescent="0.25">
      <c r="A3" s="1610" t="s">
        <v>2</v>
      </c>
      <c r="B3" s="1610"/>
      <c r="C3" s="1610" t="s">
        <v>3</v>
      </c>
      <c r="D3" s="1610"/>
      <c r="E3" s="1610"/>
      <c r="F3" s="1610"/>
      <c r="G3" s="1610"/>
      <c r="H3" s="1610"/>
      <c r="I3" s="1610"/>
    </row>
    <row r="4" spans="1:9" x14ac:dyDescent="0.25">
      <c r="A4" s="1610" t="s">
        <v>4</v>
      </c>
      <c r="B4" s="1610"/>
      <c r="C4" s="1610">
        <v>90000056357</v>
      </c>
      <c r="D4" s="1610"/>
      <c r="E4" s="1610"/>
      <c r="F4" s="1610"/>
      <c r="G4" s="1610"/>
      <c r="H4" s="1610"/>
      <c r="I4" s="1610"/>
    </row>
    <row r="5" spans="1:9" ht="15.75" x14ac:dyDescent="0.25">
      <c r="A5" s="1611" t="s">
        <v>330</v>
      </c>
      <c r="B5" s="1611"/>
      <c r="C5" s="1611"/>
      <c r="D5" s="1611"/>
      <c r="E5" s="1611"/>
      <c r="F5" s="1611"/>
      <c r="G5" s="1611"/>
      <c r="H5" s="1611"/>
      <c r="I5" s="1611"/>
    </row>
    <row r="6" spans="1:9" ht="15.75" x14ac:dyDescent="0.25">
      <c r="A6" s="977"/>
      <c r="B6" s="978"/>
      <c r="C6" s="978"/>
      <c r="D6" s="977"/>
      <c r="E6" s="977"/>
      <c r="F6" s="977"/>
      <c r="G6" s="977"/>
      <c r="H6" s="977"/>
      <c r="I6" s="977"/>
    </row>
    <row r="7" spans="1:9" ht="15.75" x14ac:dyDescent="0.25">
      <c r="A7" s="1610" t="s">
        <v>331</v>
      </c>
      <c r="B7" s="1610"/>
      <c r="C7" s="374" t="s">
        <v>1259</v>
      </c>
      <c r="D7" s="374"/>
      <c r="E7" s="374"/>
      <c r="F7" s="374"/>
      <c r="G7" s="374"/>
      <c r="H7" s="374"/>
      <c r="I7" s="374"/>
    </row>
    <row r="8" spans="1:9" x14ac:dyDescent="0.25">
      <c r="A8" s="1610" t="s">
        <v>333</v>
      </c>
      <c r="B8" s="1610"/>
      <c r="C8" s="375" t="s">
        <v>1257</v>
      </c>
    </row>
    <row r="9" spans="1:9" x14ac:dyDescent="0.25">
      <c r="A9" s="1610" t="s">
        <v>334</v>
      </c>
      <c r="B9" s="1610"/>
      <c r="C9" s="908" t="s">
        <v>1256</v>
      </c>
      <c r="D9" s="910"/>
      <c r="E9" s="910"/>
      <c r="F9" s="910"/>
      <c r="G9" s="910"/>
      <c r="H9" s="910"/>
      <c r="I9" s="910"/>
    </row>
    <row r="10" spans="1:9" ht="46.5" customHeight="1" x14ac:dyDescent="0.25">
      <c r="A10" s="327" t="s">
        <v>335</v>
      </c>
      <c r="B10" s="1612" t="s">
        <v>336</v>
      </c>
      <c r="C10" s="1612"/>
      <c r="D10" s="327" t="s">
        <v>337</v>
      </c>
      <c r="E10" s="327" t="s">
        <v>338</v>
      </c>
      <c r="F10" s="327" t="s">
        <v>339</v>
      </c>
      <c r="G10" s="327" t="s">
        <v>340</v>
      </c>
      <c r="H10" s="327" t="s">
        <v>35</v>
      </c>
      <c r="I10" s="327" t="s">
        <v>341</v>
      </c>
    </row>
    <row r="11" spans="1:9" ht="12.75" customHeight="1" x14ac:dyDescent="0.25">
      <c r="A11" s="1583" t="s">
        <v>342</v>
      </c>
      <c r="B11" s="1583"/>
      <c r="C11" s="1583"/>
      <c r="D11" s="330"/>
      <c r="E11" s="330">
        <f>SUM(E12:E22)</f>
        <v>174568</v>
      </c>
      <c r="F11" s="330">
        <f t="shared" ref="F11" si="0">SUM(F12:F13)</f>
        <v>0</v>
      </c>
      <c r="G11" s="330">
        <f>E11+F11</f>
        <v>174568</v>
      </c>
      <c r="H11" s="330"/>
      <c r="I11" s="330"/>
    </row>
    <row r="12" spans="1:9" ht="60.75" customHeight="1" x14ac:dyDescent="0.25">
      <c r="A12" s="899">
        <v>1</v>
      </c>
      <c r="B12" s="1609" t="s">
        <v>1260</v>
      </c>
      <c r="C12" s="1609"/>
      <c r="D12" s="384">
        <v>2239</v>
      </c>
      <c r="E12" s="903">
        <v>49400</v>
      </c>
      <c r="F12" s="979">
        <v>1500</v>
      </c>
      <c r="G12" s="980">
        <f t="shared" ref="G12:G22" si="1">E12+F12</f>
        <v>50900</v>
      </c>
      <c r="H12" s="903" t="s">
        <v>1261</v>
      </c>
      <c r="I12" s="913" t="s">
        <v>1262</v>
      </c>
    </row>
    <row r="13" spans="1:9" ht="108" x14ac:dyDescent="0.25">
      <c r="A13" s="899">
        <v>2</v>
      </c>
      <c r="B13" s="1609" t="s">
        <v>1263</v>
      </c>
      <c r="C13" s="1609"/>
      <c r="D13" s="384">
        <v>2219</v>
      </c>
      <c r="E13" s="903">
        <v>56650</v>
      </c>
      <c r="F13" s="979">
        <v>-1500</v>
      </c>
      <c r="G13" s="980">
        <f t="shared" si="1"/>
        <v>55150</v>
      </c>
      <c r="H13" s="903" t="s">
        <v>1264</v>
      </c>
      <c r="I13" s="913" t="s">
        <v>1262</v>
      </c>
    </row>
    <row r="14" spans="1:9" ht="43.5" customHeight="1" x14ac:dyDescent="0.25">
      <c r="A14" s="899">
        <v>3</v>
      </c>
      <c r="B14" s="1607" t="s">
        <v>1265</v>
      </c>
      <c r="C14" s="1607"/>
      <c r="D14" s="529">
        <v>2212</v>
      </c>
      <c r="E14" s="385">
        <v>18200</v>
      </c>
      <c r="F14" s="385"/>
      <c r="G14" s="980">
        <f t="shared" si="1"/>
        <v>18200</v>
      </c>
      <c r="H14" s="385"/>
      <c r="I14" s="861" t="s">
        <v>1262</v>
      </c>
    </row>
    <row r="15" spans="1:9" ht="60" x14ac:dyDescent="0.25">
      <c r="A15" s="1606">
        <v>4</v>
      </c>
      <c r="B15" s="1607" t="s">
        <v>1266</v>
      </c>
      <c r="C15" s="1607"/>
      <c r="D15" s="529">
        <v>2231</v>
      </c>
      <c r="E15" s="385">
        <v>5145</v>
      </c>
      <c r="F15" s="979">
        <f>-1500-3000</f>
        <v>-4500</v>
      </c>
      <c r="G15" s="980">
        <f t="shared" si="1"/>
        <v>645</v>
      </c>
      <c r="H15" s="903" t="s">
        <v>1267</v>
      </c>
      <c r="I15" s="1608" t="s">
        <v>1268</v>
      </c>
    </row>
    <row r="16" spans="1:9" ht="36" x14ac:dyDescent="0.25">
      <c r="A16" s="1606"/>
      <c r="B16" s="1607"/>
      <c r="C16" s="1607"/>
      <c r="D16" s="529">
        <v>2279</v>
      </c>
      <c r="E16" s="385">
        <v>1000</v>
      </c>
      <c r="F16" s="979">
        <v>1500</v>
      </c>
      <c r="G16" s="980">
        <f t="shared" si="1"/>
        <v>2500</v>
      </c>
      <c r="H16" s="385" t="s">
        <v>1269</v>
      </c>
      <c r="I16" s="1608"/>
    </row>
    <row r="17" spans="1:9" ht="36" x14ac:dyDescent="0.25">
      <c r="A17" s="1606"/>
      <c r="B17" s="1607"/>
      <c r="C17" s="1607"/>
      <c r="D17" s="529">
        <v>2314</v>
      </c>
      <c r="E17" s="385">
        <v>18963</v>
      </c>
      <c r="F17" s="979">
        <v>3000</v>
      </c>
      <c r="G17" s="980">
        <f t="shared" si="1"/>
        <v>21963</v>
      </c>
      <c r="H17" s="385" t="s">
        <v>1270</v>
      </c>
      <c r="I17" s="1608"/>
    </row>
    <row r="18" spans="1:9" ht="38.25" customHeight="1" x14ac:dyDescent="0.25">
      <c r="A18" s="899">
        <v>5</v>
      </c>
      <c r="B18" s="1607" t="s">
        <v>1271</v>
      </c>
      <c r="C18" s="1607"/>
      <c r="D18" s="529">
        <v>2239</v>
      </c>
      <c r="E18" s="385">
        <v>8000</v>
      </c>
      <c r="F18" s="385"/>
      <c r="G18" s="980">
        <f t="shared" si="1"/>
        <v>8000</v>
      </c>
      <c r="H18" s="385"/>
      <c r="I18" s="861" t="s">
        <v>1272</v>
      </c>
    </row>
    <row r="19" spans="1:9" ht="39" customHeight="1" x14ac:dyDescent="0.25">
      <c r="A19" s="899">
        <v>6</v>
      </c>
      <c r="B19" s="1607" t="s">
        <v>1273</v>
      </c>
      <c r="C19" s="1607"/>
      <c r="D19" s="529">
        <v>5140</v>
      </c>
      <c r="E19" s="385">
        <v>9500</v>
      </c>
      <c r="F19" s="385"/>
      <c r="G19" s="980">
        <f t="shared" si="1"/>
        <v>9500</v>
      </c>
      <c r="H19" s="385"/>
      <c r="I19" s="861" t="s">
        <v>1274</v>
      </c>
    </row>
    <row r="20" spans="1:9" ht="40.5" customHeight="1" x14ac:dyDescent="0.25">
      <c r="A20" s="1606">
        <v>7</v>
      </c>
      <c r="B20" s="1607" t="s">
        <v>1275</v>
      </c>
      <c r="C20" s="1607"/>
      <c r="D20" s="529">
        <v>1150</v>
      </c>
      <c r="E20" s="385">
        <v>5000</v>
      </c>
      <c r="F20" s="979">
        <f>700+400</f>
        <v>1100</v>
      </c>
      <c r="G20" s="980">
        <f t="shared" si="1"/>
        <v>6100</v>
      </c>
      <c r="H20" s="385" t="s">
        <v>1276</v>
      </c>
      <c r="I20" s="1608" t="s">
        <v>1277</v>
      </c>
    </row>
    <row r="21" spans="1:9" ht="72" x14ac:dyDescent="0.25">
      <c r="A21" s="1606"/>
      <c r="B21" s="1607"/>
      <c r="C21" s="1607"/>
      <c r="D21" s="529">
        <v>1210</v>
      </c>
      <c r="E21" s="385">
        <v>1210</v>
      </c>
      <c r="F21" s="979">
        <v>-700</v>
      </c>
      <c r="G21" s="980">
        <f t="shared" si="1"/>
        <v>510</v>
      </c>
      <c r="H21" s="903" t="s">
        <v>1278</v>
      </c>
      <c r="I21" s="1608"/>
    </row>
    <row r="22" spans="1:9" ht="48.75" customHeight="1" x14ac:dyDescent="0.25">
      <c r="A22" s="899">
        <v>8</v>
      </c>
      <c r="B22" s="1607" t="s">
        <v>1279</v>
      </c>
      <c r="C22" s="1607"/>
      <c r="D22" s="562">
        <v>2239</v>
      </c>
      <c r="E22" s="385">
        <v>1500</v>
      </c>
      <c r="F22" s="979">
        <v>-400</v>
      </c>
      <c r="G22" s="980">
        <f t="shared" si="1"/>
        <v>1100</v>
      </c>
      <c r="H22" s="903" t="s">
        <v>1280</v>
      </c>
      <c r="I22" s="861" t="s">
        <v>1262</v>
      </c>
    </row>
    <row r="23" spans="1:9" x14ac:dyDescent="0.25">
      <c r="A23" s="905"/>
      <c r="B23" s="858"/>
      <c r="C23" s="858"/>
      <c r="D23" s="905"/>
      <c r="E23" s="981"/>
      <c r="F23" s="981"/>
      <c r="G23" s="981"/>
      <c r="H23" s="981"/>
      <c r="I23" s="981"/>
    </row>
    <row r="24" spans="1:9" s="323" customFormat="1" x14ac:dyDescent="0.2">
      <c r="A24" s="323" t="s">
        <v>360</v>
      </c>
      <c r="B24" s="976"/>
      <c r="C24" s="976"/>
      <c r="E24" s="856"/>
      <c r="F24" s="856"/>
      <c r="G24" s="856"/>
      <c r="H24" s="856"/>
      <c r="I24" s="375"/>
    </row>
    <row r="25" spans="1:9" s="323" customFormat="1" x14ac:dyDescent="0.2">
      <c r="A25" s="982" t="s">
        <v>1281</v>
      </c>
      <c r="B25" s="299"/>
      <c r="C25" s="299"/>
      <c r="D25" s="301"/>
      <c r="E25" s="301"/>
      <c r="F25" s="301"/>
      <c r="G25" s="301"/>
      <c r="H25" s="301"/>
      <c r="I25" s="375"/>
    </row>
    <row r="26" spans="1:9" s="323" customFormat="1" x14ac:dyDescent="0.2">
      <c r="A26" s="299" t="s">
        <v>1282</v>
      </c>
      <c r="B26" s="299"/>
      <c r="C26" s="299"/>
      <c r="D26" s="301"/>
      <c r="E26" s="301"/>
      <c r="F26" s="301"/>
      <c r="G26" s="301"/>
      <c r="H26" s="301"/>
      <c r="I26" s="375"/>
    </row>
    <row r="27" spans="1:9" s="323" customFormat="1" x14ac:dyDescent="0.2">
      <c r="A27" s="299"/>
      <c r="B27" s="411" t="s">
        <v>1283</v>
      </c>
      <c r="C27" s="299"/>
      <c r="D27" s="301"/>
      <c r="E27" s="301"/>
      <c r="F27" s="301"/>
      <c r="G27" s="301"/>
      <c r="H27" s="301"/>
      <c r="I27" s="375"/>
    </row>
    <row r="28" spans="1:9" s="323" customFormat="1" x14ac:dyDescent="0.2">
      <c r="A28" s="299"/>
      <c r="B28" s="514" t="s">
        <v>1284</v>
      </c>
      <c r="C28" s="299"/>
      <c r="D28" s="301"/>
      <c r="E28" s="301"/>
      <c r="F28" s="301"/>
      <c r="G28" s="301"/>
      <c r="H28" s="301"/>
      <c r="I28" s="375"/>
    </row>
    <row r="29" spans="1:9" s="323" customFormat="1" x14ac:dyDescent="0.2">
      <c r="A29" s="299"/>
      <c r="B29" s="411" t="s">
        <v>1285</v>
      </c>
      <c r="C29" s="299"/>
      <c r="D29" s="301"/>
      <c r="E29" s="301"/>
      <c r="F29" s="301"/>
      <c r="G29" s="301"/>
      <c r="H29" s="301"/>
      <c r="I29" s="375"/>
    </row>
    <row r="30" spans="1:9" s="323" customFormat="1" x14ac:dyDescent="0.2">
      <c r="B30" s="411" t="s">
        <v>1286</v>
      </c>
      <c r="C30" s="976"/>
      <c r="E30" s="856"/>
      <c r="F30" s="856"/>
      <c r="G30" s="856"/>
      <c r="H30" s="856"/>
      <c r="I30" s="375"/>
    </row>
    <row r="31" spans="1:9" s="323" customFormat="1" x14ac:dyDescent="0.2">
      <c r="B31" s="411" t="s">
        <v>1287</v>
      </c>
      <c r="C31" s="976"/>
      <c r="E31" s="856"/>
      <c r="F31" s="856"/>
      <c r="G31" s="856"/>
      <c r="H31" s="856"/>
      <c r="I31" s="375"/>
    </row>
    <row r="32" spans="1:9" s="323" customFormat="1" x14ac:dyDescent="0.2">
      <c r="B32" s="411" t="s">
        <v>1288</v>
      </c>
      <c r="C32" s="976"/>
      <c r="E32" s="856"/>
      <c r="F32" s="856"/>
      <c r="G32" s="856"/>
      <c r="H32" s="856"/>
      <c r="I32" s="375"/>
    </row>
    <row r="33" spans="2:9" s="323" customFormat="1" x14ac:dyDescent="0.2">
      <c r="B33" s="411" t="s">
        <v>1289</v>
      </c>
      <c r="C33" s="976"/>
      <c r="E33" s="856"/>
      <c r="F33" s="856"/>
      <c r="G33" s="856"/>
      <c r="H33" s="856"/>
      <c r="I33" s="375"/>
    </row>
  </sheetData>
  <sheetProtection algorithmName="SHA-512" hashValue="rAkIIMeW6700Ei2dXXwPCbIDlKld0OkDFmsSSKmLOX6ArInEqB8FF1bshhN6x+H9Y0pXNWdJ690u36Q/OyHN/Q==" saltValue="os0/5wDXkONiUbdpR/YP7w==" spinCount="100000" sheet="1" objects="1" scenarios="1"/>
  <mergeCells count="22">
    <mergeCell ref="B13:C13"/>
    <mergeCell ref="A3:B3"/>
    <mergeCell ref="C3:I3"/>
    <mergeCell ref="A4:B4"/>
    <mergeCell ref="C4:I4"/>
    <mergeCell ref="A5:I5"/>
    <mergeCell ref="A7:B7"/>
    <mergeCell ref="A8:B8"/>
    <mergeCell ref="A9:B9"/>
    <mergeCell ref="B10:C10"/>
    <mergeCell ref="A11:C11"/>
    <mergeCell ref="B12:C12"/>
    <mergeCell ref="A20:A21"/>
    <mergeCell ref="B20:C21"/>
    <mergeCell ref="I20:I21"/>
    <mergeCell ref="B22:C22"/>
    <mergeCell ref="B14:C14"/>
    <mergeCell ref="A15:A17"/>
    <mergeCell ref="B15:C17"/>
    <mergeCell ref="I15:I17"/>
    <mergeCell ref="B18:C18"/>
    <mergeCell ref="B19:C1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32.pielikums Jūrmalas pilsētas domes
2019.gada 31.oktobra saistošajiem noteikumiem Nr.46
(protokols Nr.14, 28.punkts)</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8"/>
  <sheetViews>
    <sheetView view="pageLayout" zoomScaleNormal="100" workbookViewId="0">
      <selection activeCell="N7" sqref="N7"/>
    </sheetView>
  </sheetViews>
  <sheetFormatPr defaultRowHeight="12" outlineLevelCol="1" x14ac:dyDescent="0.2"/>
  <cols>
    <col min="1" max="1" width="6.140625" style="323" customWidth="1"/>
    <col min="2" max="2" width="17.28515625" style="323" customWidth="1"/>
    <col min="3" max="3" width="10.28515625" style="323" customWidth="1"/>
    <col min="4" max="4" width="10.5703125" style="323" customWidth="1"/>
    <col min="5" max="5" width="11.85546875" style="323" hidden="1" customWidth="1" outlineLevel="1"/>
    <col min="6" max="6" width="10.85546875" style="323" hidden="1" customWidth="1" outlineLevel="1"/>
    <col min="7" max="7" width="12.7109375" style="323" customWidth="1" collapsed="1"/>
    <col min="8" max="8" width="32" style="323" hidden="1" customWidth="1" outlineLevel="1"/>
    <col min="9" max="9" width="21.140625" style="323" customWidth="1" collapsed="1"/>
    <col min="10" max="16384" width="9.140625" style="323"/>
  </cols>
  <sheetData>
    <row r="1" spans="1:9" x14ac:dyDescent="0.2">
      <c r="I1" s="495" t="s">
        <v>993</v>
      </c>
    </row>
    <row r="2" spans="1:9" x14ac:dyDescent="0.2">
      <c r="I2" s="495" t="s">
        <v>434</v>
      </c>
    </row>
    <row r="3" spans="1:9" x14ac:dyDescent="0.2">
      <c r="A3" s="1580" t="s">
        <v>2</v>
      </c>
      <c r="B3" s="1580"/>
      <c r="C3" s="322" t="s">
        <v>3</v>
      </c>
      <c r="D3" s="322"/>
      <c r="E3" s="322"/>
      <c r="F3" s="322"/>
      <c r="G3" s="322"/>
      <c r="H3" s="322"/>
      <c r="I3" s="322"/>
    </row>
    <row r="4" spans="1:9" x14ac:dyDescent="0.2">
      <c r="A4" s="1580" t="s">
        <v>4</v>
      </c>
      <c r="B4" s="1580"/>
      <c r="C4" s="856">
        <v>90000056357</v>
      </c>
      <c r="D4" s="322"/>
      <c r="E4" s="322"/>
      <c r="F4" s="322"/>
      <c r="G4" s="322"/>
      <c r="H4" s="322"/>
      <c r="I4" s="322"/>
    </row>
    <row r="5" spans="1:9" ht="15.75" x14ac:dyDescent="0.25">
      <c r="A5" s="1581" t="s">
        <v>330</v>
      </c>
      <c r="B5" s="1581"/>
      <c r="C5" s="1581"/>
      <c r="D5" s="1581"/>
      <c r="E5" s="1581"/>
      <c r="F5" s="1581"/>
      <c r="G5" s="1581"/>
      <c r="H5" s="1581"/>
      <c r="I5" s="1581"/>
    </row>
    <row r="6" spans="1:9" ht="12" customHeight="1" x14ac:dyDescent="0.25">
      <c r="A6" s="857"/>
      <c r="B6" s="857"/>
      <c r="C6" s="857"/>
      <c r="D6" s="857"/>
      <c r="E6" s="857"/>
      <c r="F6" s="857"/>
      <c r="G6" s="857"/>
      <c r="H6" s="857"/>
      <c r="I6" s="857"/>
    </row>
    <row r="7" spans="1:9" ht="15.75" x14ac:dyDescent="0.25">
      <c r="A7" s="1580" t="s">
        <v>331</v>
      </c>
      <c r="B7" s="1580"/>
      <c r="C7" s="326" t="s">
        <v>994</v>
      </c>
      <c r="D7" s="326"/>
      <c r="E7" s="326"/>
      <c r="F7" s="326"/>
      <c r="G7" s="326"/>
      <c r="H7" s="326"/>
      <c r="I7" s="326"/>
    </row>
    <row r="8" spans="1:9" x14ac:dyDescent="0.2">
      <c r="A8" s="1580" t="s">
        <v>333</v>
      </c>
      <c r="B8" s="1580"/>
      <c r="C8" s="322" t="s">
        <v>995</v>
      </c>
      <c r="D8" s="322"/>
      <c r="E8" s="322"/>
      <c r="F8" s="322"/>
      <c r="G8" s="322"/>
      <c r="H8" s="322"/>
      <c r="I8" s="322"/>
    </row>
    <row r="9" spans="1:9" x14ac:dyDescent="0.2">
      <c r="A9" s="1580" t="s">
        <v>334</v>
      </c>
      <c r="B9" s="1580"/>
      <c r="C9" s="897" t="s">
        <v>996</v>
      </c>
      <c r="D9" s="898"/>
      <c r="E9" s="898"/>
      <c r="F9" s="898"/>
      <c r="G9" s="898"/>
      <c r="H9" s="898"/>
      <c r="I9" s="898"/>
    </row>
    <row r="10" spans="1:9" ht="12" customHeight="1" x14ac:dyDescent="0.2">
      <c r="A10" s="1600" t="s">
        <v>335</v>
      </c>
      <c r="B10" s="1600" t="s">
        <v>336</v>
      </c>
      <c r="C10" s="1600"/>
      <c r="D10" s="1600" t="s">
        <v>337</v>
      </c>
      <c r="E10" s="1598" t="s">
        <v>338</v>
      </c>
      <c r="F10" s="1598" t="s">
        <v>339</v>
      </c>
      <c r="G10" s="1598" t="s">
        <v>340</v>
      </c>
      <c r="H10" s="1598" t="s">
        <v>35</v>
      </c>
      <c r="I10" s="1598" t="s">
        <v>341</v>
      </c>
    </row>
    <row r="11" spans="1:9" ht="37.5" customHeight="1" x14ac:dyDescent="0.2">
      <c r="A11" s="1600"/>
      <c r="B11" s="1600"/>
      <c r="C11" s="1600"/>
      <c r="D11" s="1600"/>
      <c r="E11" s="1599"/>
      <c r="F11" s="1599"/>
      <c r="G11" s="1599"/>
      <c r="H11" s="1599"/>
      <c r="I11" s="1599"/>
    </row>
    <row r="12" spans="1:9" ht="12.75" customHeight="1" x14ac:dyDescent="0.2">
      <c r="A12" s="1583" t="s">
        <v>342</v>
      </c>
      <c r="B12" s="1583"/>
      <c r="C12" s="1583"/>
      <c r="D12" s="330"/>
      <c r="E12" s="330">
        <f>SUM(E13:E14)</f>
        <v>152563</v>
      </c>
      <c r="F12" s="330">
        <f t="shared" ref="F12:G12" si="0">SUM(F13:F14)</f>
        <v>0</v>
      </c>
      <c r="G12" s="330">
        <f t="shared" si="0"/>
        <v>152563</v>
      </c>
      <c r="H12" s="330"/>
      <c r="I12" s="330"/>
    </row>
    <row r="13" spans="1:9" ht="25.5" customHeight="1" x14ac:dyDescent="0.2">
      <c r="A13" s="899">
        <v>1</v>
      </c>
      <c r="B13" s="1609" t="s">
        <v>997</v>
      </c>
      <c r="C13" s="1609"/>
      <c r="D13" s="384">
        <v>5110</v>
      </c>
      <c r="E13" s="900">
        <v>69181</v>
      </c>
      <c r="F13" s="571"/>
      <c r="G13" s="900">
        <f>SUM(E13:F13)</f>
        <v>69181</v>
      </c>
      <c r="H13" s="901"/>
      <c r="I13" s="902" t="s">
        <v>998</v>
      </c>
    </row>
    <row r="14" spans="1:9" ht="24.75" customHeight="1" x14ac:dyDescent="0.2">
      <c r="A14" s="899">
        <v>2</v>
      </c>
      <c r="B14" s="1609" t="s">
        <v>999</v>
      </c>
      <c r="C14" s="1609"/>
      <c r="D14" s="384">
        <v>5110</v>
      </c>
      <c r="E14" s="903">
        <v>83382</v>
      </c>
      <c r="F14" s="524"/>
      <c r="G14" s="903">
        <f>SUM(E14:F14)</f>
        <v>83382</v>
      </c>
      <c r="H14" s="903"/>
      <c r="I14" s="904" t="s">
        <v>998</v>
      </c>
    </row>
    <row r="15" spans="1:9" x14ac:dyDescent="0.2">
      <c r="A15" s="905"/>
      <c r="B15" s="905"/>
      <c r="C15" s="905"/>
      <c r="D15" s="906"/>
      <c r="E15" s="905"/>
      <c r="F15" s="905"/>
      <c r="G15" s="905"/>
      <c r="H15" s="905"/>
      <c r="I15" s="905"/>
    </row>
    <row r="16" spans="1:9" x14ac:dyDescent="0.2">
      <c r="A16" s="1610" t="s">
        <v>333</v>
      </c>
      <c r="B16" s="1610"/>
      <c r="C16" s="375" t="s">
        <v>1000</v>
      </c>
      <c r="D16" s="907"/>
      <c r="E16" s="375"/>
      <c r="F16" s="375"/>
      <c r="G16" s="375"/>
      <c r="H16" s="375"/>
      <c r="I16" s="375"/>
    </row>
    <row r="17" spans="1:9" x14ac:dyDescent="0.2">
      <c r="A17" s="1610" t="s">
        <v>334</v>
      </c>
      <c r="B17" s="1610"/>
      <c r="C17" s="908" t="s">
        <v>409</v>
      </c>
      <c r="D17" s="909"/>
      <c r="E17" s="910"/>
      <c r="F17" s="910"/>
      <c r="G17" s="910"/>
      <c r="H17" s="910"/>
      <c r="I17" s="910"/>
    </row>
    <row r="18" spans="1:9" ht="12" customHeight="1" x14ac:dyDescent="0.2">
      <c r="A18" s="1600" t="s">
        <v>335</v>
      </c>
      <c r="B18" s="1600" t="s">
        <v>336</v>
      </c>
      <c r="C18" s="1600"/>
      <c r="D18" s="1600" t="s">
        <v>337</v>
      </c>
      <c r="E18" s="1598" t="s">
        <v>338</v>
      </c>
      <c r="F18" s="1598" t="s">
        <v>339</v>
      </c>
      <c r="G18" s="1598" t="s">
        <v>340</v>
      </c>
      <c r="H18" s="1598" t="s">
        <v>35</v>
      </c>
      <c r="I18" s="1598" t="s">
        <v>341</v>
      </c>
    </row>
    <row r="19" spans="1:9" ht="37.5" customHeight="1" x14ac:dyDescent="0.2">
      <c r="A19" s="1600"/>
      <c r="B19" s="1600"/>
      <c r="C19" s="1600"/>
      <c r="D19" s="1600"/>
      <c r="E19" s="1599"/>
      <c r="F19" s="1599"/>
      <c r="G19" s="1599"/>
      <c r="H19" s="1599"/>
      <c r="I19" s="1599"/>
    </row>
    <row r="20" spans="1:9" x14ac:dyDescent="0.2">
      <c r="A20" s="1583" t="s">
        <v>342</v>
      </c>
      <c r="B20" s="1583"/>
      <c r="C20" s="1583"/>
      <c r="D20" s="911"/>
      <c r="E20" s="330">
        <f>SUM(E21:E32)</f>
        <v>186882</v>
      </c>
      <c r="F20" s="330">
        <f t="shared" ref="F20:G20" si="1">SUM(F21:F32)</f>
        <v>0</v>
      </c>
      <c r="G20" s="330">
        <f t="shared" si="1"/>
        <v>186882</v>
      </c>
      <c r="H20" s="330"/>
      <c r="I20" s="330"/>
    </row>
    <row r="21" spans="1:9" ht="36" customHeight="1" x14ac:dyDescent="0.2">
      <c r="A21" s="899">
        <v>1</v>
      </c>
      <c r="B21" s="1618" t="s">
        <v>1001</v>
      </c>
      <c r="C21" s="1618"/>
      <c r="D21" s="912">
        <v>2279</v>
      </c>
      <c r="E21" s="903">
        <v>38500</v>
      </c>
      <c r="F21" s="903"/>
      <c r="G21" s="903">
        <f t="shared" ref="G21:G32" si="2">SUM(E21:F21)</f>
        <v>38500</v>
      </c>
      <c r="H21" s="903"/>
      <c r="I21" s="913" t="s">
        <v>1002</v>
      </c>
    </row>
    <row r="22" spans="1:9" ht="24" customHeight="1" x14ac:dyDescent="0.2">
      <c r="A22" s="899">
        <v>2</v>
      </c>
      <c r="B22" s="1618" t="s">
        <v>1003</v>
      </c>
      <c r="C22" s="1618"/>
      <c r="D22" s="912">
        <v>2279</v>
      </c>
      <c r="E22" s="903">
        <v>10000</v>
      </c>
      <c r="F22" s="903"/>
      <c r="G22" s="903">
        <f t="shared" si="2"/>
        <v>10000</v>
      </c>
      <c r="H22" s="903"/>
      <c r="I22" s="913" t="s">
        <v>1002</v>
      </c>
    </row>
    <row r="23" spans="1:9" ht="12.75" customHeight="1" x14ac:dyDescent="0.2">
      <c r="A23" s="1606">
        <v>3</v>
      </c>
      <c r="B23" s="1618" t="s">
        <v>1004</v>
      </c>
      <c r="C23" s="1618"/>
      <c r="D23" s="912">
        <v>2279</v>
      </c>
      <c r="E23" s="903">
        <v>4800</v>
      </c>
      <c r="F23" s="903"/>
      <c r="G23" s="903">
        <f t="shared" si="2"/>
        <v>4800</v>
      </c>
      <c r="H23" s="903"/>
      <c r="I23" s="1619" t="s">
        <v>1002</v>
      </c>
    </row>
    <row r="24" spans="1:9" ht="12.75" customHeight="1" x14ac:dyDescent="0.2">
      <c r="A24" s="1606"/>
      <c r="B24" s="1618"/>
      <c r="C24" s="1618"/>
      <c r="D24" s="912">
        <v>2312</v>
      </c>
      <c r="E24" s="903">
        <v>7000</v>
      </c>
      <c r="F24" s="903"/>
      <c r="G24" s="903">
        <f t="shared" si="2"/>
        <v>7000</v>
      </c>
      <c r="H24" s="903"/>
      <c r="I24" s="1619"/>
    </row>
    <row r="25" spans="1:9" ht="12.75" customHeight="1" x14ac:dyDescent="0.2">
      <c r="A25" s="1606"/>
      <c r="B25" s="1618"/>
      <c r="C25" s="1618"/>
      <c r="D25" s="912">
        <v>2390</v>
      </c>
      <c r="E25" s="903">
        <v>2000</v>
      </c>
      <c r="F25" s="903"/>
      <c r="G25" s="903">
        <f t="shared" si="2"/>
        <v>2000</v>
      </c>
      <c r="H25" s="903"/>
      <c r="I25" s="1619"/>
    </row>
    <row r="26" spans="1:9" ht="12.75" customHeight="1" x14ac:dyDescent="0.2">
      <c r="A26" s="1606"/>
      <c r="B26" s="1618"/>
      <c r="C26" s="1618"/>
      <c r="D26" s="912">
        <v>5240</v>
      </c>
      <c r="E26" s="903">
        <v>14000</v>
      </c>
      <c r="F26" s="903"/>
      <c r="G26" s="903">
        <f t="shared" si="2"/>
        <v>14000</v>
      </c>
      <c r="H26" s="903"/>
      <c r="I26" s="1619"/>
    </row>
    <row r="27" spans="1:9" ht="19.5" customHeight="1" x14ac:dyDescent="0.2">
      <c r="A27" s="1606">
        <v>4</v>
      </c>
      <c r="B27" s="1618" t="s">
        <v>1005</v>
      </c>
      <c r="C27" s="1618"/>
      <c r="D27" s="912">
        <v>2231</v>
      </c>
      <c r="E27" s="903">
        <v>1300</v>
      </c>
      <c r="F27" s="903"/>
      <c r="G27" s="903">
        <f t="shared" si="2"/>
        <v>1300</v>
      </c>
      <c r="H27" s="903"/>
      <c r="I27" s="1619" t="s">
        <v>1002</v>
      </c>
    </row>
    <row r="28" spans="1:9" ht="19.5" customHeight="1" x14ac:dyDescent="0.2">
      <c r="A28" s="1606"/>
      <c r="B28" s="1618"/>
      <c r="C28" s="1618"/>
      <c r="D28" s="912">
        <v>2314</v>
      </c>
      <c r="E28" s="903">
        <v>2282</v>
      </c>
      <c r="F28" s="903"/>
      <c r="G28" s="903">
        <f t="shared" si="2"/>
        <v>2282</v>
      </c>
      <c r="H28" s="903"/>
      <c r="I28" s="1619"/>
    </row>
    <row r="29" spans="1:9" ht="57.75" customHeight="1" x14ac:dyDescent="0.2">
      <c r="A29" s="914">
        <v>5</v>
      </c>
      <c r="B29" s="1620" t="s">
        <v>1006</v>
      </c>
      <c r="C29" s="1620"/>
      <c r="D29" s="912">
        <v>5240</v>
      </c>
      <c r="E29" s="903">
        <v>50000</v>
      </c>
      <c r="F29" s="915">
        <v>-3228</v>
      </c>
      <c r="G29" s="903">
        <f t="shared" si="2"/>
        <v>46772</v>
      </c>
      <c r="H29" s="423" t="s">
        <v>1007</v>
      </c>
      <c r="I29" s="913" t="s">
        <v>1002</v>
      </c>
    </row>
    <row r="30" spans="1:9" ht="69.75" customHeight="1" x14ac:dyDescent="0.2">
      <c r="A30" s="914">
        <v>6</v>
      </c>
      <c r="B30" s="1620" t="s">
        <v>1008</v>
      </c>
      <c r="C30" s="1620"/>
      <c r="D30" s="912">
        <v>5240</v>
      </c>
      <c r="E30" s="903">
        <v>5000</v>
      </c>
      <c r="F30" s="916">
        <v>3228</v>
      </c>
      <c r="G30" s="917">
        <f t="shared" si="2"/>
        <v>8228</v>
      </c>
      <c r="H30" s="918" t="s">
        <v>1009</v>
      </c>
      <c r="I30" s="919" t="s">
        <v>1010</v>
      </c>
    </row>
    <row r="31" spans="1:9" ht="21" customHeight="1" x14ac:dyDescent="0.2">
      <c r="A31" s="1606">
        <v>7</v>
      </c>
      <c r="B31" s="1620" t="s">
        <v>1011</v>
      </c>
      <c r="C31" s="1620"/>
      <c r="D31" s="912">
        <v>2243</v>
      </c>
      <c r="E31" s="903">
        <v>12000</v>
      </c>
      <c r="F31" s="903"/>
      <c r="G31" s="903">
        <f t="shared" si="2"/>
        <v>12000</v>
      </c>
      <c r="H31" s="903"/>
      <c r="I31" s="1619" t="s">
        <v>1012</v>
      </c>
    </row>
    <row r="32" spans="1:9" ht="21" customHeight="1" x14ac:dyDescent="0.2">
      <c r="A32" s="1606"/>
      <c r="B32" s="1620"/>
      <c r="C32" s="1620"/>
      <c r="D32" s="912">
        <v>5240</v>
      </c>
      <c r="E32" s="903">
        <v>40000</v>
      </c>
      <c r="F32" s="903"/>
      <c r="G32" s="903">
        <f t="shared" si="2"/>
        <v>40000</v>
      </c>
      <c r="H32" s="903"/>
      <c r="I32" s="1619"/>
    </row>
    <row r="33" spans="1:9" x14ac:dyDescent="0.2">
      <c r="A33" s="920"/>
      <c r="B33" s="1617"/>
      <c r="C33" s="1617"/>
      <c r="D33" s="921"/>
      <c r="E33" s="922"/>
      <c r="F33" s="922"/>
      <c r="G33" s="922"/>
      <c r="H33" s="922"/>
      <c r="I33" s="923"/>
    </row>
    <row r="34" spans="1:9" x14ac:dyDescent="0.2">
      <c r="A34" s="1610" t="s">
        <v>333</v>
      </c>
      <c r="B34" s="1610"/>
      <c r="C34" s="375" t="s">
        <v>1013</v>
      </c>
      <c r="D34" s="907"/>
      <c r="E34" s="375"/>
      <c r="F34" s="375"/>
      <c r="G34" s="375"/>
      <c r="H34" s="375"/>
      <c r="I34" s="375"/>
    </row>
    <row r="35" spans="1:9" x14ac:dyDescent="0.2">
      <c r="A35" s="1610" t="s">
        <v>334</v>
      </c>
      <c r="B35" s="1610"/>
      <c r="C35" s="908" t="s">
        <v>1014</v>
      </c>
      <c r="D35" s="909"/>
      <c r="E35" s="910"/>
      <c r="F35" s="910"/>
      <c r="G35" s="910"/>
      <c r="H35" s="910"/>
      <c r="I35" s="910"/>
    </row>
    <row r="36" spans="1:9" ht="12" customHeight="1" x14ac:dyDescent="0.2">
      <c r="A36" s="1600" t="s">
        <v>335</v>
      </c>
      <c r="B36" s="1600" t="s">
        <v>336</v>
      </c>
      <c r="C36" s="1600"/>
      <c r="D36" s="1600" t="s">
        <v>337</v>
      </c>
      <c r="E36" s="1598" t="s">
        <v>338</v>
      </c>
      <c r="F36" s="1598" t="s">
        <v>339</v>
      </c>
      <c r="G36" s="1598" t="s">
        <v>340</v>
      </c>
      <c r="H36" s="1598" t="s">
        <v>35</v>
      </c>
      <c r="I36" s="1598" t="s">
        <v>341</v>
      </c>
    </row>
    <row r="37" spans="1:9" ht="35.25" customHeight="1" x14ac:dyDescent="0.2">
      <c r="A37" s="1600"/>
      <c r="B37" s="1600"/>
      <c r="C37" s="1600"/>
      <c r="D37" s="1600"/>
      <c r="E37" s="1599"/>
      <c r="F37" s="1599"/>
      <c r="G37" s="1599"/>
      <c r="H37" s="1599"/>
      <c r="I37" s="1599"/>
    </row>
    <row r="38" spans="1:9" x14ac:dyDescent="0.2">
      <c r="A38" s="1583" t="s">
        <v>342</v>
      </c>
      <c r="B38" s="1583"/>
      <c r="C38" s="1583"/>
      <c r="D38" s="911"/>
      <c r="E38" s="330">
        <f>SUM(E39:E41)</f>
        <v>64000</v>
      </c>
      <c r="F38" s="330">
        <f t="shared" ref="F38:G38" si="3">SUM(F39:F41)</f>
        <v>0</v>
      </c>
      <c r="G38" s="330">
        <f t="shared" si="3"/>
        <v>64000</v>
      </c>
      <c r="H38" s="330"/>
      <c r="I38" s="330"/>
    </row>
    <row r="39" spans="1:9" ht="48" customHeight="1" x14ac:dyDescent="0.2">
      <c r="A39" s="899">
        <v>1</v>
      </c>
      <c r="B39" s="1609" t="s">
        <v>1015</v>
      </c>
      <c r="C39" s="1609"/>
      <c r="D39" s="384">
        <v>3263</v>
      </c>
      <c r="E39" s="903">
        <v>40000</v>
      </c>
      <c r="F39" s="524"/>
      <c r="G39" s="903">
        <f>SUM(E39:F39)</f>
        <v>40000</v>
      </c>
      <c r="H39" s="903"/>
      <c r="I39" s="913" t="s">
        <v>1016</v>
      </c>
    </row>
    <row r="40" spans="1:9" ht="36" x14ac:dyDescent="0.2">
      <c r="A40" s="899">
        <v>2</v>
      </c>
      <c r="B40" s="1613" t="s">
        <v>1017</v>
      </c>
      <c r="C40" s="1613"/>
      <c r="D40" s="384">
        <v>5140</v>
      </c>
      <c r="E40" s="903">
        <v>16000</v>
      </c>
      <c r="F40" s="524"/>
      <c r="G40" s="903">
        <f t="shared" ref="G40:G41" si="4">SUM(E40:F40)</f>
        <v>16000</v>
      </c>
      <c r="H40" s="903"/>
      <c r="I40" s="924" t="s">
        <v>1018</v>
      </c>
    </row>
    <row r="41" spans="1:9" ht="36" x14ac:dyDescent="0.2">
      <c r="A41" s="899">
        <v>3</v>
      </c>
      <c r="B41" s="1613" t="s">
        <v>1019</v>
      </c>
      <c r="C41" s="1613"/>
      <c r="D41" s="384">
        <v>2314</v>
      </c>
      <c r="E41" s="903">
        <v>8000</v>
      </c>
      <c r="F41" s="524"/>
      <c r="G41" s="903">
        <f t="shared" si="4"/>
        <v>8000</v>
      </c>
      <c r="H41" s="903"/>
      <c r="I41" s="924" t="s">
        <v>1018</v>
      </c>
    </row>
    <row r="42" spans="1:9" x14ac:dyDescent="0.2">
      <c r="A42" s="375"/>
      <c r="B42" s="375"/>
      <c r="C42" s="375"/>
      <c r="D42" s="375"/>
      <c r="E42" s="925"/>
      <c r="F42" s="925"/>
      <c r="G42" s="925"/>
      <c r="H42" s="925"/>
      <c r="I42" s="925"/>
    </row>
    <row r="43" spans="1:9" x14ac:dyDescent="0.2">
      <c r="A43" s="375" t="s">
        <v>360</v>
      </c>
      <c r="B43" s="375"/>
      <c r="C43" s="375"/>
      <c r="D43" s="375"/>
      <c r="E43" s="375"/>
      <c r="F43" s="375"/>
      <c r="G43" s="375"/>
      <c r="H43" s="375"/>
      <c r="I43" s="375"/>
    </row>
    <row r="44" spans="1:9" x14ac:dyDescent="0.2">
      <c r="A44" s="375" t="s">
        <v>361</v>
      </c>
      <c r="B44" s="375"/>
      <c r="C44" s="375"/>
      <c r="D44" s="375"/>
      <c r="E44" s="375"/>
      <c r="F44" s="375"/>
      <c r="G44" s="375"/>
      <c r="H44" s="375"/>
      <c r="I44" s="375"/>
    </row>
    <row r="45" spans="1:9" x14ac:dyDescent="0.2">
      <c r="A45" s="343" t="s">
        <v>514</v>
      </c>
      <c r="B45" s="279"/>
      <c r="C45" s="926"/>
      <c r="D45" s="279"/>
    </row>
    <row r="46" spans="1:9" x14ac:dyDescent="0.2">
      <c r="A46" s="279"/>
      <c r="B46" s="279" t="s">
        <v>1020</v>
      </c>
      <c r="C46" s="926"/>
      <c r="D46" s="279"/>
    </row>
    <row r="47" spans="1:9" x14ac:dyDescent="0.2">
      <c r="A47" s="279"/>
      <c r="B47" s="927"/>
      <c r="C47" s="927" t="s">
        <v>1021</v>
      </c>
      <c r="D47" s="927"/>
    </row>
    <row r="48" spans="1:9" x14ac:dyDescent="0.2">
      <c r="A48" s="279"/>
      <c r="B48" s="927" t="s">
        <v>1022</v>
      </c>
      <c r="C48" s="927"/>
      <c r="D48" s="927"/>
    </row>
    <row r="49" spans="1:10" x14ac:dyDescent="0.2">
      <c r="A49" s="279"/>
      <c r="B49" s="927"/>
      <c r="C49" s="927" t="s">
        <v>1023</v>
      </c>
      <c r="D49" s="927"/>
    </row>
    <row r="50" spans="1:10" x14ac:dyDescent="0.2">
      <c r="A50" s="279"/>
      <c r="B50" s="927" t="s">
        <v>1024</v>
      </c>
      <c r="C50" s="927"/>
      <c r="D50" s="927"/>
      <c r="E50" s="928"/>
      <c r="F50" s="928"/>
      <c r="G50" s="928"/>
      <c r="H50" s="928"/>
      <c r="I50" s="928"/>
      <c r="J50" s="928"/>
    </row>
    <row r="51" spans="1:10" x14ac:dyDescent="0.2">
      <c r="A51" s="279"/>
      <c r="B51" s="927"/>
      <c r="C51" s="927" t="s">
        <v>1025</v>
      </c>
      <c r="D51" s="927"/>
    </row>
    <row r="52" spans="1:10" x14ac:dyDescent="0.2">
      <c r="A52" s="279"/>
      <c r="B52" s="927" t="s">
        <v>1026</v>
      </c>
      <c r="C52" s="927"/>
      <c r="D52" s="927"/>
    </row>
    <row r="53" spans="1:10" x14ac:dyDescent="0.2">
      <c r="A53" s="279"/>
      <c r="B53" s="927"/>
      <c r="C53" s="927" t="s">
        <v>1027</v>
      </c>
      <c r="D53" s="927"/>
    </row>
    <row r="54" spans="1:10" x14ac:dyDescent="0.2">
      <c r="A54" s="435" t="s">
        <v>1028</v>
      </c>
      <c r="B54" s="514"/>
      <c r="C54" s="514"/>
      <c r="D54" s="514"/>
    </row>
    <row r="55" spans="1:10" x14ac:dyDescent="0.2">
      <c r="B55" s="1614" t="s">
        <v>1029</v>
      </c>
      <c r="C55" s="1614"/>
      <c r="D55" s="1614"/>
    </row>
    <row r="56" spans="1:10" ht="12" customHeight="1" x14ac:dyDescent="0.25">
      <c r="A56" s="929"/>
      <c r="B56" s="930" t="s">
        <v>1030</v>
      </c>
      <c r="C56" s="931"/>
      <c r="D56" s="932"/>
    </row>
    <row r="57" spans="1:10" x14ac:dyDescent="0.2">
      <c r="B57" s="933" t="s">
        <v>1031</v>
      </c>
      <c r="C57" s="933"/>
      <c r="D57" s="933"/>
    </row>
    <row r="58" spans="1:10" ht="12.75" customHeight="1" x14ac:dyDescent="0.2">
      <c r="A58" s="934" t="s">
        <v>1032</v>
      </c>
      <c r="B58" s="935"/>
      <c r="C58" s="935"/>
      <c r="D58" s="936"/>
    </row>
    <row r="59" spans="1:10" ht="12.75" customHeight="1" x14ac:dyDescent="0.2">
      <c r="A59" s="929"/>
      <c r="B59" s="937" t="s">
        <v>1033</v>
      </c>
      <c r="C59" s="933"/>
      <c r="D59" s="936"/>
    </row>
    <row r="60" spans="1:10" ht="12.75" customHeight="1" x14ac:dyDescent="0.2">
      <c r="A60" s="929"/>
      <c r="B60" s="930" t="s">
        <v>1034</v>
      </c>
      <c r="C60" s="887"/>
      <c r="D60" s="932"/>
    </row>
    <row r="61" spans="1:10" ht="12.75" customHeight="1" x14ac:dyDescent="0.2">
      <c r="A61" s="929"/>
      <c r="B61" s="937" t="s">
        <v>1035</v>
      </c>
      <c r="C61" s="887"/>
      <c r="D61" s="932"/>
    </row>
    <row r="62" spans="1:10" ht="12.75" customHeight="1" x14ac:dyDescent="0.2">
      <c r="A62" s="929"/>
      <c r="B62" s="1615" t="s">
        <v>1036</v>
      </c>
      <c r="C62" s="1616"/>
      <c r="D62" s="932"/>
    </row>
    <row r="63" spans="1:10" ht="12.75" customHeight="1" x14ac:dyDescent="0.2">
      <c r="A63" s="929"/>
      <c r="B63" s="937" t="s">
        <v>1037</v>
      </c>
      <c r="C63" s="933"/>
      <c r="D63" s="932"/>
    </row>
    <row r="64" spans="1:10" x14ac:dyDescent="0.2">
      <c r="A64" s="929"/>
      <c r="B64" s="1615" t="s">
        <v>1038</v>
      </c>
      <c r="C64" s="1616"/>
      <c r="D64" s="932"/>
    </row>
    <row r="65" spans="1:4" x14ac:dyDescent="0.2">
      <c r="A65" s="929"/>
      <c r="B65" s="930"/>
      <c r="C65" s="933"/>
      <c r="D65" s="932"/>
    </row>
    <row r="66" spans="1:4" s="375" customFormat="1" ht="15" x14ac:dyDescent="0.25">
      <c r="A66" s="929"/>
      <c r="B66" s="938"/>
      <c r="C66" s="939"/>
      <c r="D66" s="940"/>
    </row>
    <row r="67" spans="1:4" x14ac:dyDescent="0.2">
      <c r="A67" s="928"/>
      <c r="B67" s="928"/>
      <c r="C67" s="928"/>
      <c r="D67" s="928"/>
    </row>
    <row r="68" spans="1:4" x14ac:dyDescent="0.2">
      <c r="A68" s="928"/>
      <c r="B68" s="928"/>
      <c r="C68" s="928"/>
      <c r="D68" s="928"/>
    </row>
  </sheetData>
  <sheetProtection algorithmName="SHA-512" hashValue="P3XopBBHx5jiLAzuPxzLawVJmSGAylga8PkCVd0cy/kaL9N74ichbowkGMt9wRQIx8mQGV1Ium+Wm2sSEM5N8w==" saltValue="GTANwE9YIXTHz44L24DoCQ==" spinCount="100000" sheet="1" objects="1" scenarios="1"/>
  <mergeCells count="59">
    <mergeCell ref="A9:B9"/>
    <mergeCell ref="A3:B3"/>
    <mergeCell ref="A4:B4"/>
    <mergeCell ref="A5:I5"/>
    <mergeCell ref="A7:B7"/>
    <mergeCell ref="A8:B8"/>
    <mergeCell ref="A16:B16"/>
    <mergeCell ref="A10:A11"/>
    <mergeCell ref="B10:C11"/>
    <mergeCell ref="D10:D11"/>
    <mergeCell ref="E10:E11"/>
    <mergeCell ref="H10:H11"/>
    <mergeCell ref="I10:I11"/>
    <mergeCell ref="A12:C12"/>
    <mergeCell ref="B13:C13"/>
    <mergeCell ref="B14:C14"/>
    <mergeCell ref="F10:F11"/>
    <mergeCell ref="G10:G11"/>
    <mergeCell ref="B22:C22"/>
    <mergeCell ref="A17:B17"/>
    <mergeCell ref="A18:A19"/>
    <mergeCell ref="B18:C19"/>
    <mergeCell ref="D18:D19"/>
    <mergeCell ref="G18:G19"/>
    <mergeCell ref="H18:H19"/>
    <mergeCell ref="I18:I19"/>
    <mergeCell ref="A20:C20"/>
    <mergeCell ref="B21:C21"/>
    <mergeCell ref="E18:E19"/>
    <mergeCell ref="F18:F19"/>
    <mergeCell ref="B33:C33"/>
    <mergeCell ref="A23:A26"/>
    <mergeCell ref="B23:C26"/>
    <mergeCell ref="I23:I26"/>
    <mergeCell ref="A27:A28"/>
    <mergeCell ref="B27:C28"/>
    <mergeCell ref="I27:I28"/>
    <mergeCell ref="B29:C29"/>
    <mergeCell ref="B30:C30"/>
    <mergeCell ref="A31:A32"/>
    <mergeCell ref="B31:C32"/>
    <mergeCell ref="I31:I32"/>
    <mergeCell ref="B39:C39"/>
    <mergeCell ref="A34:B34"/>
    <mergeCell ref="A35:B35"/>
    <mergeCell ref="A36:A37"/>
    <mergeCell ref="B36:C37"/>
    <mergeCell ref="F36:F37"/>
    <mergeCell ref="G36:G37"/>
    <mergeCell ref="H36:H37"/>
    <mergeCell ref="I36:I37"/>
    <mergeCell ref="A38:C38"/>
    <mergeCell ref="D36:D37"/>
    <mergeCell ref="E36:E37"/>
    <mergeCell ref="B40:C40"/>
    <mergeCell ref="B41:C41"/>
    <mergeCell ref="B55:D55"/>
    <mergeCell ref="B62:C62"/>
    <mergeCell ref="B64:C6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33.pielikums Jūrmalas pilsētas domes
2019.gada 31.oktobra saistošajiem noteikumiem Nr.46
(protokols Nr.14, 28.punkts)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A123"/>
  <sheetViews>
    <sheetView view="pageLayout" zoomScaleNormal="100" workbookViewId="0">
      <selection activeCell="B114" sqref="B114"/>
    </sheetView>
  </sheetViews>
  <sheetFormatPr defaultRowHeight="12.75" outlineLevelCol="1" x14ac:dyDescent="0.2"/>
  <cols>
    <col min="1" max="1" width="6.140625" style="367" customWidth="1"/>
    <col min="2" max="2" width="31" style="367" customWidth="1"/>
    <col min="3" max="3" width="10.5703125" style="367" customWidth="1"/>
    <col min="4" max="4" width="11.7109375" style="367" hidden="1" customWidth="1" outlineLevel="1"/>
    <col min="5" max="5" width="11.28515625" style="367" hidden="1" customWidth="1" outlineLevel="1"/>
    <col min="6" max="6" width="13.85546875" style="438" customWidth="1" collapsed="1"/>
    <col min="7" max="7" width="23.7109375" style="367" hidden="1" customWidth="1" outlineLevel="1"/>
    <col min="8" max="8" width="21.7109375" style="367" customWidth="1" collapsed="1"/>
    <col min="9" max="9" width="2.42578125" style="367" customWidth="1"/>
    <col min="10" max="16384" width="9.140625" style="367"/>
  </cols>
  <sheetData>
    <row r="1" spans="1:8" ht="12" customHeight="1" x14ac:dyDescent="0.2">
      <c r="C1" s="368"/>
      <c r="D1" s="368"/>
      <c r="E1" s="368"/>
      <c r="F1" s="367"/>
      <c r="H1" s="369" t="s">
        <v>1292</v>
      </c>
    </row>
    <row r="2" spans="1:8" ht="12" x14ac:dyDescent="0.2">
      <c r="C2" s="370"/>
      <c r="D2" s="370"/>
      <c r="E2" s="370"/>
      <c r="F2" s="367"/>
      <c r="H2" s="369" t="s">
        <v>434</v>
      </c>
    </row>
    <row r="3" spans="1:8" x14ac:dyDescent="0.2">
      <c r="A3" s="1621" t="s">
        <v>2</v>
      </c>
      <c r="B3" s="1621"/>
      <c r="C3" s="371" t="s">
        <v>3</v>
      </c>
      <c r="D3" s="371"/>
      <c r="E3" s="372"/>
      <c r="F3" s="367"/>
      <c r="G3" s="372"/>
      <c r="H3" s="372"/>
    </row>
    <row r="4" spans="1:8" x14ac:dyDescent="0.2">
      <c r="A4" s="1621" t="s">
        <v>4</v>
      </c>
      <c r="B4" s="1621"/>
      <c r="C4" s="371">
        <v>90000056357</v>
      </c>
      <c r="D4" s="372"/>
      <c r="E4" s="372"/>
      <c r="F4" s="367"/>
      <c r="G4" s="372"/>
      <c r="H4" s="372"/>
    </row>
    <row r="5" spans="1:8" ht="15.75" x14ac:dyDescent="0.25">
      <c r="A5" s="1634" t="s">
        <v>414</v>
      </c>
      <c r="B5" s="1634"/>
      <c r="C5" s="1634"/>
      <c r="D5" s="1634"/>
      <c r="E5" s="1634"/>
      <c r="F5" s="1634"/>
      <c r="G5" s="1634"/>
      <c r="H5" s="1634"/>
    </row>
    <row r="6" spans="1:8" ht="15.75" x14ac:dyDescent="0.25">
      <c r="A6" s="373"/>
      <c r="B6" s="373"/>
      <c r="C6" s="373"/>
      <c r="D6" s="373"/>
      <c r="E6" s="373"/>
      <c r="F6" s="367"/>
      <c r="G6" s="373"/>
      <c r="H6" s="373"/>
    </row>
    <row r="7" spans="1:8" ht="15.75" x14ac:dyDescent="0.25">
      <c r="A7" s="1621" t="s">
        <v>435</v>
      </c>
      <c r="B7" s="1621"/>
      <c r="C7" s="326" t="s">
        <v>436</v>
      </c>
      <c r="D7" s="374"/>
      <c r="E7" s="375"/>
      <c r="F7" s="375"/>
      <c r="G7" s="372"/>
      <c r="H7" s="372"/>
    </row>
    <row r="8" spans="1:8" ht="13.5" x14ac:dyDescent="0.2">
      <c r="A8" s="1621" t="s">
        <v>333</v>
      </c>
      <c r="B8" s="1621"/>
      <c r="C8" s="376" t="s">
        <v>431</v>
      </c>
      <c r="D8" s="376"/>
      <c r="E8" s="372"/>
      <c r="F8" s="367"/>
      <c r="G8" s="372"/>
      <c r="H8" s="372"/>
    </row>
    <row r="9" spans="1:8" ht="12" x14ac:dyDescent="0.2">
      <c r="A9" s="1621" t="s">
        <v>334</v>
      </c>
      <c r="B9" s="1621"/>
      <c r="C9" s="377" t="s">
        <v>430</v>
      </c>
      <c r="D9" s="372"/>
      <c r="E9" s="372"/>
      <c r="F9" s="367"/>
      <c r="G9" s="372"/>
      <c r="H9" s="372"/>
    </row>
    <row r="10" spans="1:8" ht="64.5" customHeight="1" x14ac:dyDescent="0.2">
      <c r="A10" s="378" t="s">
        <v>335</v>
      </c>
      <c r="B10" s="379" t="s">
        <v>336</v>
      </c>
      <c r="C10" s="378" t="s">
        <v>337</v>
      </c>
      <c r="D10" s="378" t="s">
        <v>338</v>
      </c>
      <c r="E10" s="378" t="s">
        <v>339</v>
      </c>
      <c r="F10" s="378" t="s">
        <v>340</v>
      </c>
      <c r="G10" s="378" t="s">
        <v>35</v>
      </c>
      <c r="H10" s="378" t="s">
        <v>341</v>
      </c>
    </row>
    <row r="11" spans="1:8" ht="12.75" customHeight="1" x14ac:dyDescent="0.2">
      <c r="A11" s="1622" t="s">
        <v>342</v>
      </c>
      <c r="B11" s="1623"/>
      <c r="C11" s="380"/>
      <c r="D11" s="380">
        <f>SUM(D12:D45)</f>
        <v>696982</v>
      </c>
      <c r="E11" s="380">
        <f>SUM(E12:E45)</f>
        <v>-3991</v>
      </c>
      <c r="F11" s="380">
        <f>SUM(F12:F45)</f>
        <v>692991</v>
      </c>
      <c r="G11" s="381"/>
      <c r="H11" s="1626" t="s">
        <v>437</v>
      </c>
    </row>
    <row r="12" spans="1:8" ht="21.75" customHeight="1" x14ac:dyDescent="0.2">
      <c r="A12" s="382">
        <v>1</v>
      </c>
      <c r="B12" s="383" t="s">
        <v>438</v>
      </c>
      <c r="C12" s="384">
        <v>2279</v>
      </c>
      <c r="D12" s="385">
        <v>4840</v>
      </c>
      <c r="E12" s="386"/>
      <c r="F12" s="387">
        <f>D12+E12</f>
        <v>4840</v>
      </c>
      <c r="G12" s="381"/>
      <c r="H12" s="1627"/>
    </row>
    <row r="13" spans="1:8" ht="20.25" customHeight="1" x14ac:dyDescent="0.2">
      <c r="A13" s="382">
        <v>2</v>
      </c>
      <c r="B13" s="383" t="s">
        <v>439</v>
      </c>
      <c r="C13" s="388">
        <v>2279</v>
      </c>
      <c r="D13" s="389">
        <v>5400</v>
      </c>
      <c r="E13" s="386"/>
      <c r="F13" s="387">
        <f t="shared" ref="F13:F45" si="0">D13+E13</f>
        <v>5400</v>
      </c>
      <c r="G13" s="381"/>
      <c r="H13" s="1627"/>
    </row>
    <row r="14" spans="1:8" ht="12.75" customHeight="1" x14ac:dyDescent="0.2">
      <c r="A14" s="382">
        <v>3</v>
      </c>
      <c r="B14" s="390" t="s">
        <v>440</v>
      </c>
      <c r="C14" s="388">
        <v>2279</v>
      </c>
      <c r="D14" s="389">
        <v>3400</v>
      </c>
      <c r="E14" s="386"/>
      <c r="F14" s="387">
        <f t="shared" si="0"/>
        <v>3400</v>
      </c>
      <c r="G14" s="381"/>
      <c r="H14" s="1627"/>
    </row>
    <row r="15" spans="1:8" ht="12.75" customHeight="1" x14ac:dyDescent="0.2">
      <c r="A15" s="382">
        <v>4</v>
      </c>
      <c r="B15" s="390" t="s">
        <v>441</v>
      </c>
      <c r="C15" s="388">
        <v>2279</v>
      </c>
      <c r="D15" s="389">
        <v>3000</v>
      </c>
      <c r="E15" s="386"/>
      <c r="F15" s="387">
        <f t="shared" si="0"/>
        <v>3000</v>
      </c>
      <c r="G15" s="381"/>
      <c r="H15" s="1627"/>
    </row>
    <row r="16" spans="1:8" ht="12.75" customHeight="1" x14ac:dyDescent="0.2">
      <c r="A16" s="382">
        <v>5</v>
      </c>
      <c r="B16" s="390" t="s">
        <v>442</v>
      </c>
      <c r="C16" s="388">
        <v>2279</v>
      </c>
      <c r="D16" s="389">
        <v>36300</v>
      </c>
      <c r="E16" s="391"/>
      <c r="F16" s="387">
        <f t="shared" si="0"/>
        <v>36300</v>
      </c>
      <c r="G16" s="381"/>
      <c r="H16" s="1627"/>
    </row>
    <row r="17" spans="1:8" ht="24" customHeight="1" x14ac:dyDescent="0.2">
      <c r="A17" s="382">
        <v>6</v>
      </c>
      <c r="B17" s="390" t="s">
        <v>443</v>
      </c>
      <c r="C17" s="388">
        <v>2279</v>
      </c>
      <c r="D17" s="389">
        <v>200000</v>
      </c>
      <c r="E17" s="391"/>
      <c r="F17" s="387">
        <f t="shared" si="0"/>
        <v>200000</v>
      </c>
      <c r="G17" s="381"/>
      <c r="H17" s="1627"/>
    </row>
    <row r="18" spans="1:8" ht="12.75" customHeight="1" x14ac:dyDescent="0.2">
      <c r="A18" s="382">
        <v>7</v>
      </c>
      <c r="B18" s="390" t="s">
        <v>444</v>
      </c>
      <c r="C18" s="388">
        <v>2279</v>
      </c>
      <c r="D18" s="385">
        <v>30820</v>
      </c>
      <c r="E18" s="391"/>
      <c r="F18" s="387">
        <f t="shared" si="0"/>
        <v>30820</v>
      </c>
      <c r="G18" s="381"/>
      <c r="H18" s="1627"/>
    </row>
    <row r="19" spans="1:8" ht="12.75" customHeight="1" x14ac:dyDescent="0.2">
      <c r="A19" s="382">
        <v>8</v>
      </c>
      <c r="B19" s="390" t="s">
        <v>445</v>
      </c>
      <c r="C19" s="388">
        <v>2279</v>
      </c>
      <c r="D19" s="385">
        <v>0</v>
      </c>
      <c r="E19" s="391"/>
      <c r="F19" s="387">
        <f t="shared" si="0"/>
        <v>0</v>
      </c>
      <c r="G19" s="381"/>
      <c r="H19" s="1627"/>
    </row>
    <row r="20" spans="1:8" ht="12.75" customHeight="1" x14ac:dyDescent="0.2">
      <c r="A20" s="382">
        <v>9</v>
      </c>
      <c r="B20" s="390" t="s">
        <v>446</v>
      </c>
      <c r="C20" s="388">
        <v>2279</v>
      </c>
      <c r="D20" s="385">
        <v>38820</v>
      </c>
      <c r="E20" s="391"/>
      <c r="F20" s="387">
        <f t="shared" si="0"/>
        <v>38820</v>
      </c>
      <c r="G20" s="381"/>
      <c r="H20" s="1627"/>
    </row>
    <row r="21" spans="1:8" ht="12.75" customHeight="1" x14ac:dyDescent="0.2">
      <c r="A21" s="382">
        <v>10</v>
      </c>
      <c r="B21" s="390" t="s">
        <v>447</v>
      </c>
      <c r="C21" s="388">
        <v>2279</v>
      </c>
      <c r="D21" s="385">
        <v>50820</v>
      </c>
      <c r="E21" s="391"/>
      <c r="F21" s="387">
        <f t="shared" si="0"/>
        <v>50820</v>
      </c>
      <c r="G21" s="381"/>
      <c r="H21" s="1627"/>
    </row>
    <row r="22" spans="1:8" ht="12.75" customHeight="1" x14ac:dyDescent="0.2">
      <c r="A22" s="382">
        <v>11</v>
      </c>
      <c r="B22" s="390" t="s">
        <v>448</v>
      </c>
      <c r="C22" s="388">
        <v>2279</v>
      </c>
      <c r="D22" s="385">
        <v>50820</v>
      </c>
      <c r="E22" s="386"/>
      <c r="F22" s="387">
        <f t="shared" si="0"/>
        <v>50820</v>
      </c>
      <c r="G22" s="381"/>
      <c r="H22" s="1627"/>
    </row>
    <row r="23" spans="1:8" ht="33.75" customHeight="1" x14ac:dyDescent="0.2">
      <c r="A23" s="382">
        <v>12</v>
      </c>
      <c r="B23" s="390" t="s">
        <v>449</v>
      </c>
      <c r="C23" s="388">
        <v>2279</v>
      </c>
      <c r="D23" s="385">
        <v>50820</v>
      </c>
      <c r="E23" s="386">
        <v>-3991</v>
      </c>
      <c r="F23" s="387">
        <f t="shared" si="0"/>
        <v>46829</v>
      </c>
      <c r="G23" s="381" t="s">
        <v>450</v>
      </c>
      <c r="H23" s="1627"/>
    </row>
    <row r="24" spans="1:8" ht="12.75" customHeight="1" x14ac:dyDescent="0.2">
      <c r="A24" s="382">
        <v>13</v>
      </c>
      <c r="B24" s="390" t="s">
        <v>451</v>
      </c>
      <c r="C24" s="388">
        <v>3263</v>
      </c>
      <c r="D24" s="385">
        <v>5600</v>
      </c>
      <c r="E24" s="386"/>
      <c r="F24" s="387">
        <f t="shared" si="0"/>
        <v>5600</v>
      </c>
      <c r="G24" s="381"/>
      <c r="H24" s="1627"/>
    </row>
    <row r="25" spans="1:8" ht="37.5" customHeight="1" x14ac:dyDescent="0.2">
      <c r="A25" s="382">
        <v>14</v>
      </c>
      <c r="B25" s="390" t="s">
        <v>452</v>
      </c>
      <c r="C25" s="388">
        <v>3263</v>
      </c>
      <c r="D25" s="385">
        <v>12100</v>
      </c>
      <c r="E25" s="386"/>
      <c r="F25" s="387">
        <f t="shared" si="0"/>
        <v>12100</v>
      </c>
      <c r="G25" s="381"/>
      <c r="H25" s="1627"/>
    </row>
    <row r="26" spans="1:8" ht="12.75" customHeight="1" x14ac:dyDescent="0.2">
      <c r="A26" s="382">
        <v>15</v>
      </c>
      <c r="B26" s="390" t="s">
        <v>453</v>
      </c>
      <c r="C26" s="388">
        <v>2279</v>
      </c>
      <c r="D26" s="385">
        <v>15000</v>
      </c>
      <c r="E26" s="386"/>
      <c r="F26" s="387">
        <f t="shared" si="0"/>
        <v>15000</v>
      </c>
      <c r="G26" s="381"/>
      <c r="H26" s="1627"/>
    </row>
    <row r="27" spans="1:8" ht="24" customHeight="1" x14ac:dyDescent="0.2">
      <c r="A27" s="382">
        <v>16</v>
      </c>
      <c r="B27" s="390" t="s">
        <v>454</v>
      </c>
      <c r="C27" s="388">
        <v>3263</v>
      </c>
      <c r="D27" s="385">
        <v>3622</v>
      </c>
      <c r="E27" s="386"/>
      <c r="F27" s="387">
        <f t="shared" si="0"/>
        <v>3622</v>
      </c>
      <c r="G27" s="381"/>
      <c r="H27" s="1627"/>
    </row>
    <row r="28" spans="1:8" ht="21" customHeight="1" x14ac:dyDescent="0.2">
      <c r="A28" s="382">
        <v>17</v>
      </c>
      <c r="B28" s="390" t="s">
        <v>455</v>
      </c>
      <c r="C28" s="388">
        <v>3263</v>
      </c>
      <c r="D28" s="385">
        <v>6163</v>
      </c>
      <c r="E28" s="386"/>
      <c r="F28" s="387">
        <f t="shared" si="0"/>
        <v>6163</v>
      </c>
      <c r="G28" s="381"/>
      <c r="H28" s="1627"/>
    </row>
    <row r="29" spans="1:8" ht="12.75" customHeight="1" x14ac:dyDescent="0.2">
      <c r="A29" s="382">
        <v>18</v>
      </c>
      <c r="B29" s="390" t="s">
        <v>456</v>
      </c>
      <c r="C29" s="388">
        <v>3263</v>
      </c>
      <c r="D29" s="389">
        <v>3184</v>
      </c>
      <c r="E29" s="386"/>
      <c r="F29" s="387">
        <f t="shared" si="0"/>
        <v>3184</v>
      </c>
      <c r="G29" s="381"/>
      <c r="H29" s="1627"/>
    </row>
    <row r="30" spans="1:8" ht="27.75" customHeight="1" x14ac:dyDescent="0.2">
      <c r="A30" s="382">
        <v>19</v>
      </c>
      <c r="B30" s="390" t="s">
        <v>457</v>
      </c>
      <c r="C30" s="384">
        <v>3263</v>
      </c>
      <c r="D30" s="385">
        <v>1290</v>
      </c>
      <c r="E30" s="386"/>
      <c r="F30" s="387">
        <f t="shared" si="0"/>
        <v>1290</v>
      </c>
      <c r="G30" s="381"/>
      <c r="H30" s="1627"/>
    </row>
    <row r="31" spans="1:8" ht="15.75" customHeight="1" x14ac:dyDescent="0.2">
      <c r="A31" s="382">
        <v>20</v>
      </c>
      <c r="B31" s="390" t="s">
        <v>458</v>
      </c>
      <c r="C31" s="384">
        <v>3263</v>
      </c>
      <c r="D31" s="385">
        <v>25000</v>
      </c>
      <c r="E31" s="386"/>
      <c r="F31" s="387">
        <f t="shared" si="0"/>
        <v>25000</v>
      </c>
      <c r="G31" s="381"/>
      <c r="H31" s="1627"/>
    </row>
    <row r="32" spans="1:8" ht="21.75" customHeight="1" x14ac:dyDescent="0.2">
      <c r="A32" s="382">
        <v>21</v>
      </c>
      <c r="B32" s="390" t="s">
        <v>459</v>
      </c>
      <c r="C32" s="384">
        <v>3263</v>
      </c>
      <c r="D32" s="385">
        <v>6562</v>
      </c>
      <c r="E32" s="386"/>
      <c r="F32" s="387">
        <f t="shared" si="0"/>
        <v>6562</v>
      </c>
      <c r="G32" s="381"/>
      <c r="H32" s="1627"/>
    </row>
    <row r="33" spans="1:8" ht="12.75" customHeight="1" x14ac:dyDescent="0.2">
      <c r="A33" s="382">
        <v>22</v>
      </c>
      <c r="B33" s="390" t="s">
        <v>460</v>
      </c>
      <c r="C33" s="384">
        <v>3263</v>
      </c>
      <c r="D33" s="385">
        <v>3294</v>
      </c>
      <c r="E33" s="386"/>
      <c r="F33" s="387">
        <f t="shared" si="0"/>
        <v>3294</v>
      </c>
      <c r="G33" s="381"/>
      <c r="H33" s="1627"/>
    </row>
    <row r="34" spans="1:8" ht="12.75" customHeight="1" x14ac:dyDescent="0.2">
      <c r="A34" s="382">
        <v>23</v>
      </c>
      <c r="B34" s="390" t="s">
        <v>461</v>
      </c>
      <c r="C34" s="384">
        <v>3263</v>
      </c>
      <c r="D34" s="385">
        <v>3430</v>
      </c>
      <c r="E34" s="386"/>
      <c r="F34" s="387">
        <f t="shared" si="0"/>
        <v>3430</v>
      </c>
      <c r="G34" s="381"/>
      <c r="H34" s="1627"/>
    </row>
    <row r="35" spans="1:8" ht="12.75" customHeight="1" x14ac:dyDescent="0.2">
      <c r="A35" s="382">
        <v>24</v>
      </c>
      <c r="B35" s="390" t="s">
        <v>462</v>
      </c>
      <c r="C35" s="384">
        <v>3263</v>
      </c>
      <c r="D35" s="385">
        <v>669</v>
      </c>
      <c r="E35" s="386"/>
      <c r="F35" s="387">
        <f t="shared" si="0"/>
        <v>669</v>
      </c>
      <c r="G35" s="381"/>
      <c r="H35" s="1627"/>
    </row>
    <row r="36" spans="1:8" ht="12.75" customHeight="1" x14ac:dyDescent="0.2">
      <c r="A36" s="382">
        <v>25</v>
      </c>
      <c r="B36" s="390" t="s">
        <v>463</v>
      </c>
      <c r="C36" s="384">
        <v>3263</v>
      </c>
      <c r="D36" s="385">
        <v>6554</v>
      </c>
      <c r="E36" s="386"/>
      <c r="F36" s="387">
        <f t="shared" si="0"/>
        <v>6554</v>
      </c>
      <c r="G36" s="381"/>
      <c r="H36" s="1627"/>
    </row>
    <row r="37" spans="1:8" ht="12.75" customHeight="1" x14ac:dyDescent="0.2">
      <c r="A37" s="382">
        <v>26</v>
      </c>
      <c r="B37" s="390" t="s">
        <v>464</v>
      </c>
      <c r="C37" s="384">
        <v>3263</v>
      </c>
      <c r="D37" s="385">
        <v>2219</v>
      </c>
      <c r="E37" s="386"/>
      <c r="F37" s="387">
        <f t="shared" si="0"/>
        <v>2219</v>
      </c>
      <c r="G37" s="381"/>
      <c r="H37" s="1627"/>
    </row>
    <row r="38" spans="1:8" ht="26.25" customHeight="1" x14ac:dyDescent="0.2">
      <c r="A38" s="382">
        <v>27</v>
      </c>
      <c r="B38" s="390" t="s">
        <v>465</v>
      </c>
      <c r="C38" s="392" t="s">
        <v>466</v>
      </c>
      <c r="D38" s="385">
        <v>300</v>
      </c>
      <c r="E38" s="386"/>
      <c r="F38" s="387">
        <f t="shared" si="0"/>
        <v>300</v>
      </c>
      <c r="G38" s="381"/>
      <c r="H38" s="1627"/>
    </row>
    <row r="39" spans="1:8" ht="12.75" customHeight="1" x14ac:dyDescent="0.2">
      <c r="A39" s="382">
        <v>28</v>
      </c>
      <c r="B39" s="390" t="s">
        <v>467</v>
      </c>
      <c r="C39" s="384">
        <v>3263</v>
      </c>
      <c r="D39" s="393">
        <v>1845</v>
      </c>
      <c r="E39" s="386"/>
      <c r="F39" s="387">
        <f t="shared" si="0"/>
        <v>1845</v>
      </c>
      <c r="G39" s="381"/>
      <c r="H39" s="1627"/>
    </row>
    <row r="40" spans="1:8" ht="25.5" customHeight="1" x14ac:dyDescent="0.2">
      <c r="A40" s="382">
        <v>29</v>
      </c>
      <c r="B40" s="390" t="s">
        <v>468</v>
      </c>
      <c r="C40" s="384">
        <v>3263</v>
      </c>
      <c r="D40" s="393">
        <v>1500</v>
      </c>
      <c r="E40" s="386"/>
      <c r="F40" s="387">
        <f t="shared" si="0"/>
        <v>1500</v>
      </c>
      <c r="G40" s="381"/>
      <c r="H40" s="1627"/>
    </row>
    <row r="41" spans="1:8" ht="17.25" customHeight="1" x14ac:dyDescent="0.2">
      <c r="A41" s="382">
        <v>30</v>
      </c>
      <c r="B41" s="1493" t="s">
        <v>469</v>
      </c>
      <c r="C41" s="395">
        <v>2279</v>
      </c>
      <c r="D41" s="396">
        <v>40000</v>
      </c>
      <c r="E41" s="386"/>
      <c r="F41" s="387">
        <f t="shared" si="0"/>
        <v>40000</v>
      </c>
      <c r="G41" s="381"/>
      <c r="H41" s="1627"/>
    </row>
    <row r="42" spans="1:8" ht="17.25" customHeight="1" x14ac:dyDescent="0.2">
      <c r="A42" s="397">
        <v>31</v>
      </c>
      <c r="B42" s="398" t="s">
        <v>470</v>
      </c>
      <c r="C42" s="384">
        <v>3263</v>
      </c>
      <c r="D42" s="385">
        <v>1140</v>
      </c>
      <c r="E42" s="399"/>
      <c r="F42" s="400">
        <f t="shared" si="0"/>
        <v>1140</v>
      </c>
      <c r="G42" s="401"/>
      <c r="H42" s="1627"/>
    </row>
    <row r="43" spans="1:8" ht="24" customHeight="1" x14ac:dyDescent="0.2">
      <c r="A43" s="382">
        <v>32</v>
      </c>
      <c r="B43" s="402" t="s">
        <v>471</v>
      </c>
      <c r="C43" s="403">
        <v>2279</v>
      </c>
      <c r="D43" s="404">
        <v>50470</v>
      </c>
      <c r="E43" s="404"/>
      <c r="F43" s="405">
        <f t="shared" si="0"/>
        <v>50470</v>
      </c>
      <c r="G43" s="406"/>
      <c r="H43" s="1627"/>
    </row>
    <row r="44" spans="1:8" ht="26.25" customHeight="1" x14ac:dyDescent="0.2">
      <c r="A44" s="1498">
        <v>33</v>
      </c>
      <c r="B44" s="1499" t="s">
        <v>472</v>
      </c>
      <c r="C44" s="1500" t="s">
        <v>473</v>
      </c>
      <c r="D44" s="1501">
        <v>32000</v>
      </c>
      <c r="E44" s="1502"/>
      <c r="F44" s="1503">
        <f t="shared" si="0"/>
        <v>32000</v>
      </c>
      <c r="G44" s="1504"/>
      <c r="H44" s="1628"/>
    </row>
    <row r="45" spans="1:8" ht="12.75" customHeight="1" x14ac:dyDescent="0.2">
      <c r="A45" s="1496"/>
      <c r="B45" s="433"/>
      <c r="C45" s="408"/>
      <c r="D45" s="408"/>
      <c r="E45" s="408"/>
      <c r="F45" s="1497">
        <f t="shared" si="0"/>
        <v>0</v>
      </c>
      <c r="G45" s="1496"/>
      <c r="H45" s="408"/>
    </row>
    <row r="46" spans="1:8" ht="12" x14ac:dyDescent="0.2">
      <c r="A46" s="409"/>
      <c r="B46" s="409"/>
      <c r="C46" s="409"/>
      <c r="D46" s="409"/>
      <c r="E46" s="409"/>
      <c r="F46" s="367"/>
      <c r="G46" s="409"/>
      <c r="H46" s="409"/>
    </row>
    <row r="47" spans="1:8" ht="13.5" x14ac:dyDescent="0.2">
      <c r="A47" s="1621" t="s">
        <v>333</v>
      </c>
      <c r="B47" s="1621"/>
      <c r="C47" s="410" t="s">
        <v>474</v>
      </c>
      <c r="D47" s="411"/>
      <c r="E47" s="372"/>
      <c r="F47" s="367"/>
      <c r="G47" s="372"/>
      <c r="H47" s="372"/>
    </row>
    <row r="48" spans="1:8" ht="12" x14ac:dyDescent="0.2">
      <c r="A48" s="1621" t="s">
        <v>334</v>
      </c>
      <c r="B48" s="1621"/>
      <c r="C48" s="377" t="s">
        <v>430</v>
      </c>
      <c r="D48" s="372"/>
      <c r="E48" s="372"/>
      <c r="F48" s="367"/>
      <c r="G48" s="372"/>
      <c r="H48" s="372"/>
    </row>
    <row r="49" spans="1:8" ht="48" x14ac:dyDescent="0.2">
      <c r="A49" s="378" t="s">
        <v>335</v>
      </c>
      <c r="B49" s="379" t="s">
        <v>336</v>
      </c>
      <c r="C49" s="378" t="s">
        <v>337</v>
      </c>
      <c r="D49" s="378" t="s">
        <v>338</v>
      </c>
      <c r="E49" s="378" t="s">
        <v>339</v>
      </c>
      <c r="F49" s="378" t="s">
        <v>340</v>
      </c>
      <c r="G49" s="378" t="s">
        <v>35</v>
      </c>
      <c r="H49" s="378" t="s">
        <v>341</v>
      </c>
    </row>
    <row r="50" spans="1:8" ht="18" customHeight="1" x14ac:dyDescent="0.2">
      <c r="A50" s="1622" t="s">
        <v>342</v>
      </c>
      <c r="B50" s="1623"/>
      <c r="C50" s="380"/>
      <c r="D50" s="380">
        <f>SUM(D51:D86)</f>
        <v>384218</v>
      </c>
      <c r="E50" s="380">
        <f t="shared" ref="E50" si="1">SUM(E51:E86)</f>
        <v>3991</v>
      </c>
      <c r="F50" s="380">
        <f>SUM(F51:F86)</f>
        <v>388209</v>
      </c>
      <c r="G50" s="381"/>
      <c r="H50" s="380"/>
    </row>
    <row r="51" spans="1:8" ht="23.25" customHeight="1" x14ac:dyDescent="0.2">
      <c r="A51" s="382">
        <v>1</v>
      </c>
      <c r="B51" s="390" t="s">
        <v>475</v>
      </c>
      <c r="C51" s="384">
        <v>3263</v>
      </c>
      <c r="D51" s="385">
        <v>140000</v>
      </c>
      <c r="E51" s="386"/>
      <c r="F51" s="387">
        <f t="shared" ref="F51:F86" si="2">D51+E51</f>
        <v>140000</v>
      </c>
      <c r="G51" s="381"/>
      <c r="H51" s="1626" t="s">
        <v>476</v>
      </c>
    </row>
    <row r="52" spans="1:8" ht="24" x14ac:dyDescent="0.2">
      <c r="A52" s="382">
        <v>2</v>
      </c>
      <c r="B52" s="390" t="s">
        <v>477</v>
      </c>
      <c r="C52" s="384">
        <v>3263</v>
      </c>
      <c r="D52" s="385">
        <v>60191</v>
      </c>
      <c r="E52" s="386"/>
      <c r="F52" s="387">
        <f t="shared" si="2"/>
        <v>60191</v>
      </c>
      <c r="G52" s="381"/>
      <c r="H52" s="1627"/>
    </row>
    <row r="53" spans="1:8" ht="12.75" customHeight="1" x14ac:dyDescent="0.2">
      <c r="A53" s="382">
        <v>3</v>
      </c>
      <c r="B53" s="390" t="s">
        <v>478</v>
      </c>
      <c r="C53" s="384">
        <v>3263</v>
      </c>
      <c r="D53" s="385">
        <v>10000</v>
      </c>
      <c r="E53" s="386"/>
      <c r="F53" s="387">
        <f t="shared" si="2"/>
        <v>10000</v>
      </c>
      <c r="G53" s="381"/>
      <c r="H53" s="1627"/>
    </row>
    <row r="54" spans="1:8" ht="24" x14ac:dyDescent="0.2">
      <c r="A54" s="382">
        <v>4</v>
      </c>
      <c r="B54" s="390" t="s">
        <v>479</v>
      </c>
      <c r="C54" s="384">
        <v>3263</v>
      </c>
      <c r="D54" s="385">
        <v>9306</v>
      </c>
      <c r="E54" s="386"/>
      <c r="F54" s="387">
        <f t="shared" si="2"/>
        <v>9306</v>
      </c>
      <c r="G54" s="381"/>
      <c r="H54" s="1627"/>
    </row>
    <row r="55" spans="1:8" ht="24" x14ac:dyDescent="0.2">
      <c r="A55" s="382">
        <v>5</v>
      </c>
      <c r="B55" s="390" t="s">
        <v>480</v>
      </c>
      <c r="C55" s="384">
        <v>3263</v>
      </c>
      <c r="D55" s="385">
        <v>6070</v>
      </c>
      <c r="E55" s="386"/>
      <c r="F55" s="387">
        <f t="shared" si="2"/>
        <v>6070</v>
      </c>
      <c r="G55" s="381"/>
      <c r="H55" s="1627"/>
    </row>
    <row r="56" spans="1:8" ht="24" x14ac:dyDescent="0.2">
      <c r="A56" s="382">
        <v>6</v>
      </c>
      <c r="B56" s="390" t="s">
        <v>481</v>
      </c>
      <c r="C56" s="384">
        <v>3263</v>
      </c>
      <c r="D56" s="385">
        <v>9994</v>
      </c>
      <c r="E56" s="386"/>
      <c r="F56" s="387">
        <f t="shared" si="2"/>
        <v>9994</v>
      </c>
      <c r="G56" s="381"/>
      <c r="H56" s="1627"/>
    </row>
    <row r="57" spans="1:8" ht="24" x14ac:dyDescent="0.2">
      <c r="A57" s="382">
        <v>7</v>
      </c>
      <c r="B57" s="390" t="s">
        <v>482</v>
      </c>
      <c r="C57" s="384">
        <v>3263</v>
      </c>
      <c r="D57" s="385">
        <v>7797</v>
      </c>
      <c r="E57" s="386"/>
      <c r="F57" s="387">
        <f t="shared" si="2"/>
        <v>7797</v>
      </c>
      <c r="G57" s="381"/>
      <c r="H57" s="1627"/>
    </row>
    <row r="58" spans="1:8" ht="12.75" customHeight="1" x14ac:dyDescent="0.2">
      <c r="A58" s="382">
        <v>8</v>
      </c>
      <c r="B58" s="390" t="s">
        <v>483</v>
      </c>
      <c r="C58" s="384">
        <v>3263</v>
      </c>
      <c r="D58" s="385">
        <v>7000</v>
      </c>
      <c r="E58" s="386"/>
      <c r="F58" s="387">
        <f t="shared" si="2"/>
        <v>7000</v>
      </c>
      <c r="G58" s="381"/>
      <c r="H58" s="1627"/>
    </row>
    <row r="59" spans="1:8" ht="21.75" customHeight="1" x14ac:dyDescent="0.2">
      <c r="A59" s="382">
        <v>9</v>
      </c>
      <c r="B59" s="390" t="s">
        <v>484</v>
      </c>
      <c r="C59" s="384">
        <v>3263</v>
      </c>
      <c r="D59" s="385">
        <v>4440</v>
      </c>
      <c r="E59" s="386"/>
      <c r="F59" s="387">
        <f t="shared" si="2"/>
        <v>4440</v>
      </c>
      <c r="G59" s="381"/>
      <c r="H59" s="1627"/>
    </row>
    <row r="60" spans="1:8" ht="24" x14ac:dyDescent="0.2">
      <c r="A60" s="382">
        <v>10</v>
      </c>
      <c r="B60" s="390" t="s">
        <v>485</v>
      </c>
      <c r="C60" s="384">
        <v>3263</v>
      </c>
      <c r="D60" s="412">
        <v>2213</v>
      </c>
      <c r="E60" s="386"/>
      <c r="F60" s="387">
        <f t="shared" si="2"/>
        <v>2213</v>
      </c>
      <c r="G60" s="381"/>
      <c r="H60" s="1627"/>
    </row>
    <row r="61" spans="1:8" ht="12.75" customHeight="1" x14ac:dyDescent="0.2">
      <c r="A61" s="382">
        <v>11</v>
      </c>
      <c r="B61" s="390" t="s">
        <v>486</v>
      </c>
      <c r="C61" s="384">
        <v>3263</v>
      </c>
      <c r="D61" s="412">
        <v>1000</v>
      </c>
      <c r="E61" s="386"/>
      <c r="F61" s="387">
        <f t="shared" si="2"/>
        <v>1000</v>
      </c>
      <c r="G61" s="381"/>
      <c r="H61" s="1627"/>
    </row>
    <row r="62" spans="1:8" ht="24" x14ac:dyDescent="0.2">
      <c r="A62" s="382">
        <v>12</v>
      </c>
      <c r="B62" s="390" t="s">
        <v>487</v>
      </c>
      <c r="C62" s="384">
        <v>3263</v>
      </c>
      <c r="D62" s="412">
        <v>16500</v>
      </c>
      <c r="E62" s="386"/>
      <c r="F62" s="387">
        <f t="shared" si="2"/>
        <v>16500</v>
      </c>
      <c r="G62" s="381"/>
      <c r="H62" s="1627"/>
    </row>
    <row r="63" spans="1:8" ht="12.75" customHeight="1" x14ac:dyDescent="0.2">
      <c r="A63" s="382">
        <v>13</v>
      </c>
      <c r="B63" s="390" t="s">
        <v>488</v>
      </c>
      <c r="C63" s="384">
        <v>3263</v>
      </c>
      <c r="D63" s="412">
        <v>21150</v>
      </c>
      <c r="E63" s="386"/>
      <c r="F63" s="387">
        <f t="shared" si="2"/>
        <v>21150</v>
      </c>
      <c r="G63" s="381"/>
      <c r="H63" s="1627"/>
    </row>
    <row r="64" spans="1:8" ht="12.75" customHeight="1" x14ac:dyDescent="0.2">
      <c r="A64" s="382">
        <v>14</v>
      </c>
      <c r="B64" s="390" t="s">
        <v>489</v>
      </c>
      <c r="C64" s="384">
        <v>3263</v>
      </c>
      <c r="D64" s="412">
        <v>5209</v>
      </c>
      <c r="E64" s="386"/>
      <c r="F64" s="387">
        <f t="shared" si="2"/>
        <v>5209</v>
      </c>
      <c r="G64" s="381"/>
      <c r="H64" s="1627"/>
    </row>
    <row r="65" spans="1:8" ht="12.75" customHeight="1" x14ac:dyDescent="0.2">
      <c r="A65" s="382">
        <v>15</v>
      </c>
      <c r="B65" s="390" t="s">
        <v>490</v>
      </c>
      <c r="C65" s="384">
        <v>3263</v>
      </c>
      <c r="D65" s="412">
        <v>7000</v>
      </c>
      <c r="E65" s="386"/>
      <c r="F65" s="387">
        <f t="shared" si="2"/>
        <v>7000</v>
      </c>
      <c r="G65" s="381"/>
      <c r="H65" s="1627"/>
    </row>
    <row r="66" spans="1:8" ht="12.75" customHeight="1" x14ac:dyDescent="0.2">
      <c r="A66" s="382">
        <v>16</v>
      </c>
      <c r="B66" s="390" t="s">
        <v>491</v>
      </c>
      <c r="C66" s="384">
        <v>3263</v>
      </c>
      <c r="D66" s="412">
        <v>7000</v>
      </c>
      <c r="E66" s="386"/>
      <c r="F66" s="387">
        <f t="shared" si="2"/>
        <v>7000</v>
      </c>
      <c r="G66" s="381"/>
      <c r="H66" s="1627"/>
    </row>
    <row r="67" spans="1:8" ht="12.75" customHeight="1" x14ac:dyDescent="0.2">
      <c r="A67" s="382">
        <v>17</v>
      </c>
      <c r="B67" s="390" t="s">
        <v>492</v>
      </c>
      <c r="C67" s="384">
        <v>3263</v>
      </c>
      <c r="D67" s="412">
        <v>935</v>
      </c>
      <c r="E67" s="386"/>
      <c r="F67" s="387">
        <f t="shared" si="2"/>
        <v>935</v>
      </c>
      <c r="G67" s="381"/>
      <c r="H67" s="1627"/>
    </row>
    <row r="68" spans="1:8" ht="12.75" customHeight="1" x14ac:dyDescent="0.2">
      <c r="A68" s="382">
        <v>18</v>
      </c>
      <c r="B68" s="390" t="s">
        <v>493</v>
      </c>
      <c r="C68" s="384">
        <v>3263</v>
      </c>
      <c r="D68" s="412">
        <v>1800</v>
      </c>
      <c r="E68" s="386"/>
      <c r="F68" s="387">
        <f t="shared" si="2"/>
        <v>1800</v>
      </c>
      <c r="G68" s="381"/>
      <c r="H68" s="1627"/>
    </row>
    <row r="69" spans="1:8" ht="12.75" customHeight="1" x14ac:dyDescent="0.2">
      <c r="A69" s="382">
        <v>19</v>
      </c>
      <c r="B69" s="390" t="s">
        <v>494</v>
      </c>
      <c r="C69" s="384">
        <v>3263</v>
      </c>
      <c r="D69" s="412">
        <v>1070</v>
      </c>
      <c r="E69" s="386"/>
      <c r="F69" s="387">
        <f t="shared" si="2"/>
        <v>1070</v>
      </c>
      <c r="G69" s="381"/>
      <c r="H69" s="1627"/>
    </row>
    <row r="70" spans="1:8" ht="12.75" customHeight="1" x14ac:dyDescent="0.2">
      <c r="A70" s="382">
        <v>20</v>
      </c>
      <c r="B70" s="390" t="s">
        <v>495</v>
      </c>
      <c r="C70" s="384">
        <v>3263</v>
      </c>
      <c r="D70" s="412">
        <v>1000</v>
      </c>
      <c r="E70" s="386"/>
      <c r="F70" s="387">
        <f t="shared" si="2"/>
        <v>1000</v>
      </c>
      <c r="G70" s="381"/>
      <c r="H70" s="1627"/>
    </row>
    <row r="71" spans="1:8" ht="12.75" customHeight="1" x14ac:dyDescent="0.2">
      <c r="A71" s="382">
        <v>21</v>
      </c>
      <c r="B71" s="390" t="s">
        <v>496</v>
      </c>
      <c r="C71" s="384">
        <v>3263</v>
      </c>
      <c r="D71" s="412">
        <v>500</v>
      </c>
      <c r="E71" s="386"/>
      <c r="F71" s="387">
        <f t="shared" si="2"/>
        <v>500</v>
      </c>
      <c r="G71" s="381"/>
      <c r="H71" s="1627"/>
    </row>
    <row r="72" spans="1:8" ht="19.5" customHeight="1" x14ac:dyDescent="0.2">
      <c r="A72" s="382">
        <v>22</v>
      </c>
      <c r="B72" s="390" t="s">
        <v>497</v>
      </c>
      <c r="C72" s="384">
        <v>3263</v>
      </c>
      <c r="D72" s="412">
        <v>500</v>
      </c>
      <c r="E72" s="386"/>
      <c r="F72" s="387">
        <f t="shared" si="2"/>
        <v>500</v>
      </c>
      <c r="G72" s="381"/>
      <c r="H72" s="1627"/>
    </row>
    <row r="73" spans="1:8" ht="12.75" customHeight="1" x14ac:dyDescent="0.2">
      <c r="A73" s="382">
        <v>23</v>
      </c>
      <c r="B73" s="390" t="s">
        <v>498</v>
      </c>
      <c r="C73" s="384">
        <v>3263</v>
      </c>
      <c r="D73" s="412">
        <v>500</v>
      </c>
      <c r="E73" s="386"/>
      <c r="F73" s="387">
        <f t="shared" si="2"/>
        <v>500</v>
      </c>
      <c r="G73" s="381"/>
      <c r="H73" s="1627"/>
    </row>
    <row r="74" spans="1:8" ht="12.75" customHeight="1" x14ac:dyDescent="0.2">
      <c r="A74" s="382">
        <v>24</v>
      </c>
      <c r="B74" s="390" t="s">
        <v>499</v>
      </c>
      <c r="C74" s="384">
        <v>3263</v>
      </c>
      <c r="D74" s="412">
        <v>300</v>
      </c>
      <c r="E74" s="386"/>
      <c r="F74" s="387">
        <f t="shared" si="2"/>
        <v>300</v>
      </c>
      <c r="G74" s="381"/>
      <c r="H74" s="1627"/>
    </row>
    <row r="75" spans="1:8" ht="24" x14ac:dyDescent="0.2">
      <c r="A75" s="382">
        <v>25</v>
      </c>
      <c r="B75" s="390" t="s">
        <v>500</v>
      </c>
      <c r="C75" s="384">
        <v>3263</v>
      </c>
      <c r="D75" s="412">
        <v>300</v>
      </c>
      <c r="E75" s="386"/>
      <c r="F75" s="387">
        <f t="shared" si="2"/>
        <v>300</v>
      </c>
      <c r="G75" s="381"/>
      <c r="H75" s="1627"/>
    </row>
    <row r="76" spans="1:8" ht="24" x14ac:dyDescent="0.2">
      <c r="A76" s="382">
        <v>26</v>
      </c>
      <c r="B76" s="390" t="s">
        <v>501</v>
      </c>
      <c r="C76" s="384">
        <v>3263</v>
      </c>
      <c r="D76" s="412">
        <v>1652</v>
      </c>
      <c r="E76" s="386"/>
      <c r="F76" s="387">
        <f t="shared" si="2"/>
        <v>1652</v>
      </c>
      <c r="G76" s="381"/>
      <c r="H76" s="1627"/>
    </row>
    <row r="77" spans="1:8" ht="12.75" customHeight="1" x14ac:dyDescent="0.2">
      <c r="A77" s="382">
        <v>27</v>
      </c>
      <c r="B77" s="390" t="s">
        <v>502</v>
      </c>
      <c r="C77" s="384">
        <v>3263</v>
      </c>
      <c r="D77" s="412">
        <v>1320</v>
      </c>
      <c r="E77" s="386"/>
      <c r="F77" s="387">
        <f t="shared" si="2"/>
        <v>1320</v>
      </c>
      <c r="G77" s="381"/>
      <c r="H77" s="1627"/>
    </row>
    <row r="78" spans="1:8" ht="24" x14ac:dyDescent="0.2">
      <c r="A78" s="382">
        <v>28</v>
      </c>
      <c r="B78" s="390" t="s">
        <v>503</v>
      </c>
      <c r="C78" s="384">
        <v>3263</v>
      </c>
      <c r="D78" s="412">
        <v>1977</v>
      </c>
      <c r="E78" s="386"/>
      <c r="F78" s="387">
        <f t="shared" si="2"/>
        <v>1977</v>
      </c>
      <c r="G78" s="413"/>
      <c r="H78" s="1627"/>
    </row>
    <row r="79" spans="1:8" ht="24" x14ac:dyDescent="0.2">
      <c r="A79" s="414">
        <v>29</v>
      </c>
      <c r="B79" s="415" t="s">
        <v>504</v>
      </c>
      <c r="C79" s="416">
        <v>3263</v>
      </c>
      <c r="D79" s="417">
        <v>475</v>
      </c>
      <c r="E79" s="391"/>
      <c r="F79" s="418">
        <f t="shared" si="2"/>
        <v>475</v>
      </c>
      <c r="G79" s="419"/>
      <c r="H79" s="1627"/>
    </row>
    <row r="80" spans="1:8" ht="84" x14ac:dyDescent="0.2">
      <c r="A80" s="414">
        <v>30</v>
      </c>
      <c r="B80" s="415" t="s">
        <v>505</v>
      </c>
      <c r="C80" s="416">
        <v>6422</v>
      </c>
      <c r="D80" s="417">
        <v>11169</v>
      </c>
      <c r="E80" s="420">
        <v>18880</v>
      </c>
      <c r="F80" s="421">
        <f t="shared" si="2"/>
        <v>30049</v>
      </c>
      <c r="G80" s="422" t="s">
        <v>506</v>
      </c>
      <c r="H80" s="1627"/>
    </row>
    <row r="81" spans="1:313" s="424" customFormat="1" ht="12" customHeight="1" x14ac:dyDescent="0.2">
      <c r="A81" s="1629">
        <v>31</v>
      </c>
      <c r="B81" s="1631" t="s">
        <v>507</v>
      </c>
      <c r="C81" s="416">
        <v>2361</v>
      </c>
      <c r="D81" s="423">
        <f>17000+3500</f>
        <v>20500</v>
      </c>
      <c r="E81" s="391">
        <v>-216</v>
      </c>
      <c r="F81" s="418">
        <f t="shared" si="2"/>
        <v>20284</v>
      </c>
      <c r="G81" s="1629" t="s">
        <v>508</v>
      </c>
      <c r="H81" s="162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c r="AQ81" s="367"/>
      <c r="AR81" s="367"/>
      <c r="AS81" s="367"/>
      <c r="AT81" s="367"/>
      <c r="AU81" s="367"/>
      <c r="AV81" s="367"/>
      <c r="AW81" s="367"/>
      <c r="AX81" s="367"/>
      <c r="AY81" s="367"/>
      <c r="AZ81" s="367"/>
      <c r="BA81" s="367"/>
      <c r="BB81" s="367"/>
      <c r="BC81" s="367"/>
      <c r="BD81" s="367"/>
      <c r="BE81" s="367"/>
      <c r="BF81" s="367"/>
      <c r="BG81" s="367"/>
      <c r="BH81" s="367"/>
      <c r="BI81" s="367"/>
      <c r="BJ81" s="367"/>
      <c r="BK81" s="367"/>
      <c r="BL81" s="367"/>
      <c r="BM81" s="367"/>
      <c r="BN81" s="367"/>
      <c r="BO81" s="367"/>
      <c r="BP81" s="367"/>
      <c r="BQ81" s="367"/>
      <c r="BR81" s="367"/>
      <c r="BS81" s="367"/>
      <c r="BT81" s="367"/>
      <c r="BU81" s="367"/>
      <c r="BV81" s="367"/>
      <c r="BW81" s="367"/>
      <c r="BX81" s="367"/>
      <c r="BY81" s="367"/>
      <c r="BZ81" s="367"/>
      <c r="CA81" s="367"/>
      <c r="CB81" s="367"/>
      <c r="CC81" s="367"/>
      <c r="CD81" s="367"/>
      <c r="CE81" s="367"/>
      <c r="CF81" s="367"/>
      <c r="CG81" s="367"/>
      <c r="CH81" s="367"/>
      <c r="CI81" s="367"/>
      <c r="CJ81" s="367"/>
      <c r="CK81" s="367"/>
      <c r="CL81" s="367"/>
      <c r="CM81" s="367"/>
      <c r="CN81" s="367"/>
      <c r="CO81" s="367"/>
      <c r="CP81" s="367"/>
      <c r="CQ81" s="367"/>
      <c r="CR81" s="367"/>
      <c r="CS81" s="367"/>
      <c r="CT81" s="367"/>
      <c r="CU81" s="367"/>
      <c r="CV81" s="367"/>
      <c r="CW81" s="367"/>
      <c r="CX81" s="367"/>
      <c r="CY81" s="367"/>
      <c r="CZ81" s="367"/>
      <c r="DA81" s="367"/>
      <c r="DB81" s="367"/>
      <c r="DC81" s="367"/>
      <c r="DD81" s="367"/>
      <c r="DE81" s="367"/>
      <c r="DF81" s="367"/>
      <c r="DG81" s="367"/>
      <c r="DH81" s="367"/>
      <c r="DI81" s="367"/>
      <c r="DJ81" s="367"/>
      <c r="DK81" s="367"/>
      <c r="DL81" s="367"/>
      <c r="DM81" s="367"/>
      <c r="DN81" s="367"/>
      <c r="DO81" s="367"/>
      <c r="DP81" s="367"/>
      <c r="DQ81" s="367"/>
      <c r="DR81" s="367"/>
      <c r="DS81" s="367"/>
      <c r="DT81" s="367"/>
      <c r="DU81" s="367"/>
      <c r="DV81" s="367"/>
      <c r="DW81" s="367"/>
      <c r="DX81" s="367"/>
      <c r="DY81" s="367"/>
      <c r="DZ81" s="367"/>
      <c r="EA81" s="367"/>
      <c r="EB81" s="367"/>
      <c r="EC81" s="367"/>
      <c r="ED81" s="367"/>
      <c r="EE81" s="367"/>
      <c r="EF81" s="367"/>
      <c r="EG81" s="367"/>
      <c r="EH81" s="367"/>
      <c r="EI81" s="367"/>
      <c r="EJ81" s="367"/>
      <c r="EK81" s="367"/>
      <c r="EL81" s="367"/>
      <c r="EM81" s="367"/>
      <c r="EN81" s="367"/>
      <c r="EO81" s="367"/>
      <c r="EP81" s="367"/>
      <c r="EQ81" s="367"/>
      <c r="ER81" s="367"/>
      <c r="ES81" s="367"/>
      <c r="ET81" s="367"/>
      <c r="EU81" s="367"/>
      <c r="EV81" s="367"/>
      <c r="EW81" s="367"/>
      <c r="EX81" s="367"/>
      <c r="EY81" s="367"/>
      <c r="EZ81" s="367"/>
      <c r="FA81" s="367"/>
      <c r="FB81" s="367"/>
      <c r="FC81" s="367"/>
      <c r="FD81" s="367"/>
      <c r="FE81" s="367"/>
      <c r="FF81" s="367"/>
      <c r="FG81" s="367"/>
      <c r="FH81" s="367"/>
      <c r="FI81" s="367"/>
      <c r="FJ81" s="367"/>
      <c r="FK81" s="367"/>
      <c r="FL81" s="367"/>
      <c r="FM81" s="367"/>
      <c r="FN81" s="367"/>
      <c r="FO81" s="367"/>
      <c r="FP81" s="367"/>
      <c r="FQ81" s="367"/>
      <c r="FR81" s="367"/>
      <c r="FS81" s="367"/>
      <c r="FT81" s="367"/>
      <c r="FU81" s="367"/>
      <c r="FV81" s="367"/>
      <c r="FW81" s="367"/>
      <c r="FX81" s="367"/>
      <c r="FY81" s="367"/>
      <c r="FZ81" s="367"/>
      <c r="GA81" s="367"/>
      <c r="GB81" s="367"/>
      <c r="GC81" s="367"/>
      <c r="GD81" s="367"/>
      <c r="GE81" s="367"/>
      <c r="GF81" s="367"/>
      <c r="GG81" s="367"/>
      <c r="GH81" s="367"/>
      <c r="GI81" s="367"/>
      <c r="GJ81" s="367"/>
      <c r="GK81" s="367"/>
      <c r="GL81" s="367"/>
      <c r="GM81" s="367"/>
      <c r="GN81" s="367"/>
      <c r="GO81" s="367"/>
      <c r="GP81" s="367"/>
      <c r="GQ81" s="367"/>
      <c r="GR81" s="367"/>
      <c r="GS81" s="367"/>
      <c r="GT81" s="367"/>
      <c r="GU81" s="367"/>
      <c r="GV81" s="367"/>
      <c r="GW81" s="367"/>
      <c r="GX81" s="367"/>
      <c r="GY81" s="367"/>
      <c r="GZ81" s="367"/>
      <c r="HA81" s="367"/>
      <c r="HB81" s="367"/>
      <c r="HC81" s="367"/>
      <c r="HD81" s="367"/>
      <c r="HE81" s="367"/>
      <c r="HF81" s="367"/>
      <c r="HG81" s="367"/>
      <c r="HH81" s="367"/>
      <c r="HI81" s="367"/>
      <c r="HJ81" s="367"/>
      <c r="HK81" s="367"/>
      <c r="HL81" s="367"/>
      <c r="HM81" s="367"/>
      <c r="HN81" s="367"/>
      <c r="HO81" s="367"/>
      <c r="HP81" s="367"/>
      <c r="HQ81" s="367"/>
      <c r="HR81" s="367"/>
      <c r="HS81" s="367"/>
      <c r="HT81" s="367"/>
      <c r="HU81" s="367"/>
      <c r="HV81" s="367"/>
      <c r="HW81" s="367"/>
      <c r="HX81" s="367"/>
      <c r="HY81" s="367"/>
      <c r="HZ81" s="367"/>
      <c r="IA81" s="367"/>
      <c r="IB81" s="367"/>
      <c r="IC81" s="367"/>
      <c r="ID81" s="367"/>
      <c r="IE81" s="367"/>
      <c r="IF81" s="367"/>
      <c r="IG81" s="367"/>
      <c r="IH81" s="367"/>
      <c r="II81" s="367"/>
      <c r="IJ81" s="367"/>
      <c r="IK81" s="367"/>
      <c r="IL81" s="367"/>
      <c r="IM81" s="367"/>
      <c r="IN81" s="367"/>
      <c r="IO81" s="367"/>
      <c r="IP81" s="367"/>
      <c r="IQ81" s="367"/>
      <c r="IR81" s="367"/>
      <c r="IS81" s="367"/>
      <c r="IT81" s="367"/>
      <c r="IU81" s="367"/>
      <c r="IV81" s="367"/>
      <c r="IW81" s="367"/>
      <c r="IX81" s="367"/>
      <c r="IY81" s="367"/>
      <c r="IZ81" s="367"/>
      <c r="JA81" s="367"/>
      <c r="JB81" s="367"/>
      <c r="JC81" s="367"/>
      <c r="JD81" s="367"/>
      <c r="JE81" s="367"/>
      <c r="JF81" s="367"/>
      <c r="JG81" s="367"/>
      <c r="JH81" s="367"/>
      <c r="JI81" s="367"/>
      <c r="JJ81" s="367"/>
      <c r="JK81" s="367"/>
      <c r="JL81" s="367"/>
      <c r="JM81" s="367"/>
      <c r="JN81" s="367"/>
      <c r="JO81" s="367"/>
      <c r="JP81" s="367"/>
      <c r="JQ81" s="367"/>
      <c r="JR81" s="367"/>
      <c r="JS81" s="367"/>
      <c r="JT81" s="367"/>
      <c r="JU81" s="367"/>
      <c r="JV81" s="367"/>
      <c r="JW81" s="367"/>
      <c r="JX81" s="367"/>
      <c r="JY81" s="367"/>
      <c r="JZ81" s="367"/>
      <c r="KA81" s="367"/>
      <c r="KB81" s="367"/>
      <c r="KC81" s="367"/>
      <c r="KD81" s="367"/>
      <c r="KE81" s="367"/>
      <c r="KF81" s="367"/>
      <c r="KG81" s="367"/>
      <c r="KH81" s="367"/>
      <c r="KI81" s="367"/>
      <c r="KJ81" s="367"/>
      <c r="KK81" s="367"/>
      <c r="KL81" s="367"/>
      <c r="KM81" s="367"/>
      <c r="KN81" s="367"/>
      <c r="KO81" s="367"/>
      <c r="KP81" s="367"/>
      <c r="KQ81" s="367"/>
      <c r="KR81" s="367"/>
      <c r="KS81" s="367"/>
      <c r="KT81" s="367"/>
      <c r="KU81" s="367"/>
      <c r="KV81" s="367"/>
      <c r="KW81" s="367"/>
      <c r="KX81" s="367"/>
      <c r="KY81" s="367"/>
      <c r="KZ81" s="367"/>
      <c r="LA81" s="367"/>
    </row>
    <row r="82" spans="1:313" s="424" customFormat="1" ht="12" customHeight="1" x14ac:dyDescent="0.2">
      <c r="A82" s="1630"/>
      <c r="B82" s="1632"/>
      <c r="C82" s="416">
        <v>2363</v>
      </c>
      <c r="D82" s="423">
        <v>10000</v>
      </c>
      <c r="E82" s="391">
        <v>-6587</v>
      </c>
      <c r="F82" s="418">
        <f t="shared" si="2"/>
        <v>3413</v>
      </c>
      <c r="G82" s="1630"/>
      <c r="H82" s="162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367"/>
      <c r="CN82" s="367"/>
      <c r="CO82" s="367"/>
      <c r="CP82" s="367"/>
      <c r="CQ82" s="367"/>
      <c r="CR82" s="367"/>
      <c r="CS82" s="367"/>
      <c r="CT82" s="367"/>
      <c r="CU82" s="367"/>
      <c r="CV82" s="367"/>
      <c r="CW82" s="367"/>
      <c r="CX82" s="367"/>
      <c r="CY82" s="367"/>
      <c r="CZ82" s="367"/>
      <c r="DA82" s="367"/>
      <c r="DB82" s="367"/>
      <c r="DC82" s="367"/>
      <c r="DD82" s="367"/>
      <c r="DE82" s="367"/>
      <c r="DF82" s="367"/>
      <c r="DG82" s="367"/>
      <c r="DH82" s="367"/>
      <c r="DI82" s="367"/>
      <c r="DJ82" s="367"/>
      <c r="DK82" s="367"/>
      <c r="DL82" s="367"/>
      <c r="DM82" s="367"/>
      <c r="DN82" s="367"/>
      <c r="DO82" s="367"/>
      <c r="DP82" s="367"/>
      <c r="DQ82" s="367"/>
      <c r="DR82" s="367"/>
      <c r="DS82" s="367"/>
      <c r="DT82" s="367"/>
      <c r="DU82" s="367"/>
      <c r="DV82" s="367"/>
      <c r="DW82" s="367"/>
      <c r="DX82" s="367"/>
      <c r="DY82" s="367"/>
      <c r="DZ82" s="367"/>
      <c r="EA82" s="367"/>
      <c r="EB82" s="367"/>
      <c r="EC82" s="367"/>
      <c r="ED82" s="367"/>
      <c r="EE82" s="367"/>
      <c r="EF82" s="367"/>
      <c r="EG82" s="367"/>
      <c r="EH82" s="367"/>
      <c r="EI82" s="367"/>
      <c r="EJ82" s="367"/>
      <c r="EK82" s="367"/>
      <c r="EL82" s="367"/>
      <c r="EM82" s="367"/>
      <c r="EN82" s="367"/>
      <c r="EO82" s="367"/>
      <c r="EP82" s="367"/>
      <c r="EQ82" s="367"/>
      <c r="ER82" s="367"/>
      <c r="ES82" s="367"/>
      <c r="ET82" s="367"/>
      <c r="EU82" s="367"/>
      <c r="EV82" s="367"/>
      <c r="EW82" s="367"/>
      <c r="EX82" s="367"/>
      <c r="EY82" s="367"/>
      <c r="EZ82" s="367"/>
      <c r="FA82" s="367"/>
      <c r="FB82" s="367"/>
      <c r="FC82" s="367"/>
      <c r="FD82" s="367"/>
      <c r="FE82" s="367"/>
      <c r="FF82" s="367"/>
      <c r="FG82" s="367"/>
      <c r="FH82" s="367"/>
      <c r="FI82" s="367"/>
      <c r="FJ82" s="367"/>
      <c r="FK82" s="367"/>
      <c r="FL82" s="367"/>
      <c r="FM82" s="367"/>
      <c r="FN82" s="367"/>
      <c r="FO82" s="367"/>
      <c r="FP82" s="367"/>
      <c r="FQ82" s="367"/>
      <c r="FR82" s="367"/>
      <c r="FS82" s="367"/>
      <c r="FT82" s="367"/>
      <c r="FU82" s="367"/>
      <c r="FV82" s="367"/>
      <c r="FW82" s="367"/>
      <c r="FX82" s="367"/>
      <c r="FY82" s="367"/>
      <c r="FZ82" s="367"/>
      <c r="GA82" s="367"/>
      <c r="GB82" s="367"/>
      <c r="GC82" s="367"/>
      <c r="GD82" s="367"/>
      <c r="GE82" s="367"/>
      <c r="GF82" s="367"/>
      <c r="GG82" s="367"/>
      <c r="GH82" s="367"/>
      <c r="GI82" s="367"/>
      <c r="GJ82" s="367"/>
      <c r="GK82" s="367"/>
      <c r="GL82" s="367"/>
      <c r="GM82" s="367"/>
      <c r="GN82" s="367"/>
      <c r="GO82" s="367"/>
      <c r="GP82" s="367"/>
      <c r="GQ82" s="367"/>
      <c r="GR82" s="367"/>
      <c r="GS82" s="367"/>
      <c r="GT82" s="367"/>
      <c r="GU82" s="367"/>
      <c r="GV82" s="367"/>
      <c r="GW82" s="367"/>
      <c r="GX82" s="367"/>
      <c r="GY82" s="367"/>
      <c r="GZ82" s="367"/>
      <c r="HA82" s="367"/>
      <c r="HB82" s="367"/>
      <c r="HC82" s="367"/>
      <c r="HD82" s="367"/>
      <c r="HE82" s="367"/>
      <c r="HF82" s="367"/>
      <c r="HG82" s="367"/>
      <c r="HH82" s="367"/>
      <c r="HI82" s="367"/>
      <c r="HJ82" s="367"/>
      <c r="HK82" s="367"/>
      <c r="HL82" s="367"/>
      <c r="HM82" s="367"/>
      <c r="HN82" s="367"/>
      <c r="HO82" s="367"/>
      <c r="HP82" s="367"/>
      <c r="HQ82" s="367"/>
      <c r="HR82" s="367"/>
      <c r="HS82" s="367"/>
      <c r="HT82" s="367"/>
      <c r="HU82" s="367"/>
      <c r="HV82" s="367"/>
      <c r="HW82" s="367"/>
      <c r="HX82" s="367"/>
      <c r="HY82" s="367"/>
      <c r="HZ82" s="367"/>
      <c r="IA82" s="367"/>
      <c r="IB82" s="367"/>
      <c r="IC82" s="367"/>
      <c r="ID82" s="367"/>
      <c r="IE82" s="367"/>
      <c r="IF82" s="367"/>
      <c r="IG82" s="367"/>
      <c r="IH82" s="367"/>
      <c r="II82" s="367"/>
      <c r="IJ82" s="367"/>
      <c r="IK82" s="367"/>
      <c r="IL82" s="367"/>
      <c r="IM82" s="367"/>
      <c r="IN82" s="367"/>
      <c r="IO82" s="367"/>
      <c r="IP82" s="367"/>
      <c r="IQ82" s="367"/>
      <c r="IR82" s="367"/>
      <c r="IS82" s="367"/>
      <c r="IT82" s="367"/>
      <c r="IU82" s="367"/>
      <c r="IV82" s="367"/>
      <c r="IW82" s="367"/>
      <c r="IX82" s="367"/>
      <c r="IY82" s="367"/>
      <c r="IZ82" s="367"/>
      <c r="JA82" s="367"/>
      <c r="JB82" s="367"/>
      <c r="JC82" s="367"/>
      <c r="JD82" s="367"/>
      <c r="JE82" s="367"/>
      <c r="JF82" s="367"/>
      <c r="JG82" s="367"/>
      <c r="JH82" s="367"/>
      <c r="JI82" s="367"/>
      <c r="JJ82" s="367"/>
      <c r="JK82" s="367"/>
      <c r="JL82" s="367"/>
      <c r="JM82" s="367"/>
      <c r="JN82" s="367"/>
      <c r="JO82" s="367"/>
      <c r="JP82" s="367"/>
      <c r="JQ82" s="367"/>
      <c r="JR82" s="367"/>
      <c r="JS82" s="367"/>
      <c r="JT82" s="367"/>
      <c r="JU82" s="367"/>
      <c r="JV82" s="367"/>
      <c r="JW82" s="367"/>
      <c r="JX82" s="367"/>
      <c r="JY82" s="367"/>
      <c r="JZ82" s="367"/>
      <c r="KA82" s="367"/>
      <c r="KB82" s="367"/>
      <c r="KC82" s="367"/>
      <c r="KD82" s="367"/>
      <c r="KE82" s="367"/>
      <c r="KF82" s="367"/>
      <c r="KG82" s="367"/>
      <c r="KH82" s="367"/>
      <c r="KI82" s="367"/>
      <c r="KJ82" s="367"/>
      <c r="KK82" s="367"/>
      <c r="KL82" s="367"/>
      <c r="KM82" s="367"/>
      <c r="KN82" s="367"/>
      <c r="KO82" s="367"/>
      <c r="KP82" s="367"/>
      <c r="KQ82" s="367"/>
      <c r="KR82" s="367"/>
      <c r="KS82" s="367"/>
      <c r="KT82" s="367"/>
      <c r="KU82" s="367"/>
      <c r="KV82" s="367"/>
      <c r="KW82" s="367"/>
      <c r="KX82" s="367"/>
      <c r="KY82" s="367"/>
      <c r="KZ82" s="367"/>
      <c r="LA82" s="367"/>
    </row>
    <row r="83" spans="1:313" s="424" customFormat="1" ht="12.75" customHeight="1" x14ac:dyDescent="0.2">
      <c r="A83" s="1630"/>
      <c r="B83" s="1632"/>
      <c r="C83" s="416">
        <v>2262</v>
      </c>
      <c r="D83" s="423">
        <f>20000-3500-3500</f>
        <v>13000</v>
      </c>
      <c r="E83" s="391">
        <v>-7163</v>
      </c>
      <c r="F83" s="418">
        <f t="shared" si="2"/>
        <v>5837</v>
      </c>
      <c r="G83" s="1630"/>
      <c r="H83" s="162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367"/>
      <c r="CN83" s="367"/>
      <c r="CO83" s="367"/>
      <c r="CP83" s="367"/>
      <c r="CQ83" s="367"/>
      <c r="CR83" s="367"/>
      <c r="CS83" s="367"/>
      <c r="CT83" s="367"/>
      <c r="CU83" s="367"/>
      <c r="CV83" s="367"/>
      <c r="CW83" s="367"/>
      <c r="CX83" s="367"/>
      <c r="CY83" s="367"/>
      <c r="CZ83" s="367"/>
      <c r="DA83" s="367"/>
      <c r="DB83" s="367"/>
      <c r="DC83" s="367"/>
      <c r="DD83" s="367"/>
      <c r="DE83" s="367"/>
      <c r="DF83" s="367"/>
      <c r="DG83" s="367"/>
      <c r="DH83" s="367"/>
      <c r="DI83" s="367"/>
      <c r="DJ83" s="367"/>
      <c r="DK83" s="367"/>
      <c r="DL83" s="367"/>
      <c r="DM83" s="367"/>
      <c r="DN83" s="367"/>
      <c r="DO83" s="367"/>
      <c r="DP83" s="367"/>
      <c r="DQ83" s="367"/>
      <c r="DR83" s="367"/>
      <c r="DS83" s="367"/>
      <c r="DT83" s="367"/>
      <c r="DU83" s="367"/>
      <c r="DV83" s="367"/>
      <c r="DW83" s="367"/>
      <c r="DX83" s="367"/>
      <c r="DY83" s="367"/>
      <c r="DZ83" s="367"/>
      <c r="EA83" s="367"/>
      <c r="EB83" s="367"/>
      <c r="EC83" s="367"/>
      <c r="ED83" s="367"/>
      <c r="EE83" s="367"/>
      <c r="EF83" s="367"/>
      <c r="EG83" s="367"/>
      <c r="EH83" s="367"/>
      <c r="EI83" s="367"/>
      <c r="EJ83" s="367"/>
      <c r="EK83" s="367"/>
      <c r="EL83" s="367"/>
      <c r="EM83" s="367"/>
      <c r="EN83" s="367"/>
      <c r="EO83" s="367"/>
      <c r="EP83" s="367"/>
      <c r="EQ83" s="367"/>
      <c r="ER83" s="367"/>
      <c r="ES83" s="367"/>
      <c r="ET83" s="367"/>
      <c r="EU83" s="367"/>
      <c r="EV83" s="367"/>
      <c r="EW83" s="367"/>
      <c r="EX83" s="367"/>
      <c r="EY83" s="367"/>
      <c r="EZ83" s="367"/>
      <c r="FA83" s="367"/>
      <c r="FB83" s="367"/>
      <c r="FC83" s="367"/>
      <c r="FD83" s="367"/>
      <c r="FE83" s="367"/>
      <c r="FF83" s="367"/>
      <c r="FG83" s="367"/>
      <c r="FH83" s="367"/>
      <c r="FI83" s="367"/>
      <c r="FJ83" s="367"/>
      <c r="FK83" s="367"/>
      <c r="FL83" s="367"/>
      <c r="FM83" s="367"/>
      <c r="FN83" s="367"/>
      <c r="FO83" s="367"/>
      <c r="FP83" s="367"/>
      <c r="FQ83" s="367"/>
      <c r="FR83" s="367"/>
      <c r="FS83" s="367"/>
      <c r="FT83" s="367"/>
      <c r="FU83" s="367"/>
      <c r="FV83" s="367"/>
      <c r="FW83" s="367"/>
      <c r="FX83" s="367"/>
      <c r="FY83" s="367"/>
      <c r="FZ83" s="367"/>
      <c r="GA83" s="367"/>
      <c r="GB83" s="367"/>
      <c r="GC83" s="367"/>
      <c r="GD83" s="367"/>
      <c r="GE83" s="367"/>
      <c r="GF83" s="367"/>
      <c r="GG83" s="367"/>
      <c r="GH83" s="367"/>
      <c r="GI83" s="367"/>
      <c r="GJ83" s="367"/>
      <c r="GK83" s="367"/>
      <c r="GL83" s="367"/>
      <c r="GM83" s="367"/>
      <c r="GN83" s="367"/>
      <c r="GO83" s="367"/>
      <c r="GP83" s="367"/>
      <c r="GQ83" s="367"/>
      <c r="GR83" s="367"/>
      <c r="GS83" s="367"/>
      <c r="GT83" s="367"/>
      <c r="GU83" s="367"/>
      <c r="GV83" s="367"/>
      <c r="GW83" s="367"/>
      <c r="GX83" s="367"/>
      <c r="GY83" s="367"/>
      <c r="GZ83" s="367"/>
      <c r="HA83" s="367"/>
      <c r="HB83" s="367"/>
      <c r="HC83" s="367"/>
      <c r="HD83" s="367"/>
      <c r="HE83" s="367"/>
      <c r="HF83" s="367"/>
      <c r="HG83" s="367"/>
      <c r="HH83" s="367"/>
      <c r="HI83" s="367"/>
      <c r="HJ83" s="367"/>
      <c r="HK83" s="367"/>
      <c r="HL83" s="367"/>
      <c r="HM83" s="367"/>
      <c r="HN83" s="367"/>
      <c r="HO83" s="367"/>
      <c r="HP83" s="367"/>
      <c r="HQ83" s="367"/>
      <c r="HR83" s="367"/>
      <c r="HS83" s="367"/>
      <c r="HT83" s="367"/>
      <c r="HU83" s="367"/>
      <c r="HV83" s="367"/>
      <c r="HW83" s="367"/>
      <c r="HX83" s="367"/>
      <c r="HY83" s="367"/>
      <c r="HZ83" s="367"/>
      <c r="IA83" s="367"/>
      <c r="IB83" s="367"/>
      <c r="IC83" s="367"/>
      <c r="ID83" s="367"/>
      <c r="IE83" s="367"/>
      <c r="IF83" s="367"/>
      <c r="IG83" s="367"/>
      <c r="IH83" s="367"/>
      <c r="II83" s="367"/>
      <c r="IJ83" s="367"/>
      <c r="IK83" s="367"/>
      <c r="IL83" s="367"/>
      <c r="IM83" s="367"/>
      <c r="IN83" s="367"/>
      <c r="IO83" s="367"/>
      <c r="IP83" s="367"/>
      <c r="IQ83" s="367"/>
      <c r="IR83" s="367"/>
      <c r="IS83" s="367"/>
      <c r="IT83" s="367"/>
      <c r="IU83" s="367"/>
      <c r="IV83" s="367"/>
      <c r="IW83" s="367"/>
      <c r="IX83" s="367"/>
      <c r="IY83" s="367"/>
      <c r="IZ83" s="367"/>
      <c r="JA83" s="367"/>
      <c r="JB83" s="367"/>
      <c r="JC83" s="367"/>
      <c r="JD83" s="367"/>
      <c r="JE83" s="367"/>
      <c r="JF83" s="367"/>
      <c r="JG83" s="367"/>
      <c r="JH83" s="367"/>
      <c r="JI83" s="367"/>
      <c r="JJ83" s="367"/>
      <c r="JK83" s="367"/>
      <c r="JL83" s="367"/>
      <c r="JM83" s="367"/>
      <c r="JN83" s="367"/>
      <c r="JO83" s="367"/>
      <c r="JP83" s="367"/>
      <c r="JQ83" s="367"/>
      <c r="JR83" s="367"/>
      <c r="JS83" s="367"/>
      <c r="JT83" s="367"/>
      <c r="JU83" s="367"/>
      <c r="JV83" s="367"/>
      <c r="JW83" s="367"/>
      <c r="JX83" s="367"/>
      <c r="JY83" s="367"/>
      <c r="JZ83" s="367"/>
      <c r="KA83" s="367"/>
      <c r="KB83" s="367"/>
      <c r="KC83" s="367"/>
      <c r="KD83" s="367"/>
      <c r="KE83" s="367"/>
      <c r="KF83" s="367"/>
      <c r="KG83" s="367"/>
      <c r="KH83" s="367"/>
      <c r="KI83" s="367"/>
      <c r="KJ83" s="367"/>
      <c r="KK83" s="367"/>
      <c r="KL83" s="367"/>
      <c r="KM83" s="367"/>
      <c r="KN83" s="367"/>
      <c r="KO83" s="367"/>
      <c r="KP83" s="367"/>
      <c r="KQ83" s="367"/>
      <c r="KR83" s="367"/>
      <c r="KS83" s="367"/>
      <c r="KT83" s="367"/>
      <c r="KU83" s="367"/>
      <c r="KV83" s="367"/>
      <c r="KW83" s="367"/>
      <c r="KX83" s="367"/>
      <c r="KY83" s="367"/>
      <c r="KZ83" s="367"/>
      <c r="LA83" s="367"/>
    </row>
    <row r="84" spans="1:313" ht="12.75" customHeight="1" x14ac:dyDescent="0.2">
      <c r="A84" s="1630"/>
      <c r="B84" s="1632"/>
      <c r="C84" s="416">
        <v>2261</v>
      </c>
      <c r="D84" s="423">
        <f>8000-6500</f>
        <v>1500</v>
      </c>
      <c r="E84" s="391">
        <v>-923</v>
      </c>
      <c r="F84" s="418">
        <f t="shared" si="2"/>
        <v>577</v>
      </c>
      <c r="G84" s="1630"/>
      <c r="H84" s="1627"/>
    </row>
    <row r="85" spans="1:313" ht="20.25" customHeight="1" x14ac:dyDescent="0.2">
      <c r="A85" s="1630"/>
      <c r="B85" s="1632"/>
      <c r="C85" s="425">
        <v>2279</v>
      </c>
      <c r="D85" s="426">
        <v>500</v>
      </c>
      <c r="E85" s="391"/>
      <c r="F85" s="427">
        <f t="shared" si="2"/>
        <v>500</v>
      </c>
      <c r="G85" s="1633"/>
      <c r="H85" s="1627"/>
    </row>
    <row r="86" spans="1:313" ht="12.75" customHeight="1" x14ac:dyDescent="0.2">
      <c r="A86" s="1510">
        <v>32</v>
      </c>
      <c r="B86" s="1493" t="s">
        <v>509</v>
      </c>
      <c r="C86" s="529">
        <v>3263</v>
      </c>
      <c r="D86" s="385">
        <v>350</v>
      </c>
      <c r="E86" s="404"/>
      <c r="F86" s="418">
        <f t="shared" si="2"/>
        <v>350</v>
      </c>
      <c r="G86" s="1511"/>
      <c r="H86" s="1628"/>
    </row>
    <row r="87" spans="1:313" ht="13.5" customHeight="1" x14ac:dyDescent="0.2">
      <c r="A87" s="1505"/>
      <c r="B87" s="1506"/>
      <c r="C87" s="1507"/>
      <c r="D87" s="922"/>
      <c r="E87" s="1508"/>
      <c r="F87" s="429"/>
      <c r="G87" s="1509"/>
      <c r="H87" s="1508"/>
    </row>
    <row r="88" spans="1:313" ht="12" x14ac:dyDescent="0.2">
      <c r="A88" s="409"/>
      <c r="B88" s="409"/>
      <c r="C88" s="409"/>
      <c r="D88" s="428"/>
      <c r="E88" s="428"/>
      <c r="F88" s="429"/>
      <c r="G88" s="409"/>
      <c r="H88" s="428"/>
    </row>
    <row r="89" spans="1:313" ht="13.5" x14ac:dyDescent="0.2">
      <c r="A89" s="1621" t="s">
        <v>333</v>
      </c>
      <c r="B89" s="1621"/>
      <c r="C89" s="410" t="s">
        <v>510</v>
      </c>
      <c r="D89" s="430"/>
      <c r="E89" s="375"/>
      <c r="F89" s="375"/>
      <c r="G89" s="372"/>
      <c r="H89" s="372"/>
    </row>
    <row r="90" spans="1:313" ht="12" x14ac:dyDescent="0.2">
      <c r="A90" s="1621" t="s">
        <v>334</v>
      </c>
      <c r="B90" s="1621"/>
      <c r="C90" s="377" t="s">
        <v>511</v>
      </c>
      <c r="D90" s="372"/>
      <c r="E90" s="372"/>
      <c r="F90" s="367"/>
      <c r="G90" s="372"/>
      <c r="H90" s="372"/>
    </row>
    <row r="91" spans="1:313" ht="48" x14ac:dyDescent="0.2">
      <c r="A91" s="378" t="s">
        <v>335</v>
      </c>
      <c r="B91" s="379" t="s">
        <v>336</v>
      </c>
      <c r="C91" s="378" t="s">
        <v>337</v>
      </c>
      <c r="D91" s="378" t="s">
        <v>338</v>
      </c>
      <c r="E91" s="378" t="s">
        <v>339</v>
      </c>
      <c r="F91" s="378" t="s">
        <v>340</v>
      </c>
      <c r="G91" s="378" t="s">
        <v>35</v>
      </c>
      <c r="H91" s="378" t="s">
        <v>341</v>
      </c>
    </row>
    <row r="92" spans="1:313" ht="12" x14ac:dyDescent="0.2">
      <c r="A92" s="1622" t="s">
        <v>342</v>
      </c>
      <c r="B92" s="1623"/>
      <c r="C92" s="380"/>
      <c r="D92" s="380">
        <f>SUM(D93:D95)</f>
        <v>7000</v>
      </c>
      <c r="E92" s="380">
        <f>SUM(E93:E95)</f>
        <v>0</v>
      </c>
      <c r="F92" s="380">
        <f>SUM(F93:F95)</f>
        <v>7000</v>
      </c>
      <c r="G92" s="381"/>
      <c r="H92" s="380"/>
    </row>
    <row r="93" spans="1:313" ht="12" x14ac:dyDescent="0.2">
      <c r="A93" s="382">
        <v>1</v>
      </c>
      <c r="B93" s="394" t="s">
        <v>512</v>
      </c>
      <c r="C93" s="386">
        <v>1150</v>
      </c>
      <c r="D93" s="386">
        <v>7000</v>
      </c>
      <c r="E93" s="386"/>
      <c r="F93" s="431">
        <f t="shared" ref="F93:F94" si="3">D93+E93</f>
        <v>7000</v>
      </c>
      <c r="G93" s="432"/>
      <c r="H93" s="1624" t="s">
        <v>513</v>
      </c>
    </row>
    <row r="94" spans="1:313" ht="12" hidden="1" x14ac:dyDescent="0.2">
      <c r="A94" s="381"/>
      <c r="B94" s="433"/>
      <c r="C94" s="386"/>
      <c r="D94" s="386"/>
      <c r="E94" s="386"/>
      <c r="F94" s="431">
        <f t="shared" si="3"/>
        <v>0</v>
      </c>
      <c r="G94" s="381"/>
      <c r="H94" s="1625"/>
    </row>
    <row r="95" spans="1:313" ht="12" x14ac:dyDescent="0.2">
      <c r="A95" s="381"/>
      <c r="B95" s="407"/>
      <c r="C95" s="386"/>
      <c r="D95" s="386"/>
      <c r="E95" s="386"/>
      <c r="F95" s="431"/>
      <c r="G95" s="381"/>
      <c r="H95" s="386"/>
    </row>
    <row r="96" spans="1:313" ht="12" x14ac:dyDescent="0.2">
      <c r="D96" s="434"/>
      <c r="E96" s="434"/>
      <c r="F96" s="367"/>
      <c r="H96" s="434"/>
    </row>
    <row r="97" spans="1:8" ht="12" x14ac:dyDescent="0.2">
      <c r="A97" s="323" t="s">
        <v>360</v>
      </c>
      <c r="B97" s="323"/>
      <c r="C97" s="323"/>
      <c r="D97" s="323"/>
      <c r="E97" s="323"/>
      <c r="F97" s="323"/>
      <c r="G97" s="323"/>
      <c r="H97" s="323"/>
    </row>
    <row r="98" spans="1:8" ht="12" x14ac:dyDescent="0.2">
      <c r="A98" s="323" t="s">
        <v>361</v>
      </c>
      <c r="B98" s="323"/>
      <c r="C98" s="323"/>
      <c r="D98" s="323"/>
      <c r="E98" s="323"/>
      <c r="F98" s="323"/>
      <c r="G98" s="323"/>
      <c r="H98" s="323"/>
    </row>
    <row r="99" spans="1:8" ht="12" x14ac:dyDescent="0.2">
      <c r="A99" s="323"/>
      <c r="B99" s="323"/>
      <c r="C99" s="323"/>
      <c r="D99" s="323"/>
      <c r="E99" s="323"/>
      <c r="F99" s="323"/>
      <c r="G99" s="323"/>
      <c r="H99" s="323"/>
    </row>
    <row r="100" spans="1:8" ht="12" x14ac:dyDescent="0.2">
      <c r="A100" s="323" t="s">
        <v>361</v>
      </c>
      <c r="B100" s="323"/>
      <c r="C100" s="323"/>
      <c r="D100" s="323"/>
      <c r="E100" s="323"/>
      <c r="F100" s="323"/>
      <c r="G100" s="323"/>
      <c r="H100" s="323"/>
    </row>
    <row r="101" spans="1:8" ht="12" x14ac:dyDescent="0.2">
      <c r="A101" s="435" t="s">
        <v>514</v>
      </c>
      <c r="B101" s="323"/>
      <c r="C101" s="323"/>
      <c r="D101" s="323"/>
      <c r="E101" s="323"/>
      <c r="F101" s="323"/>
      <c r="G101" s="323"/>
      <c r="H101" s="323"/>
    </row>
    <row r="102" spans="1:8" ht="12" x14ac:dyDescent="0.2">
      <c r="A102" s="323"/>
      <c r="B102" s="323" t="s">
        <v>515</v>
      </c>
      <c r="C102" s="323"/>
      <c r="D102" s="323"/>
      <c r="E102" s="323"/>
      <c r="F102" s="323"/>
      <c r="G102" s="323"/>
      <c r="H102" s="323"/>
    </row>
    <row r="103" spans="1:8" ht="12" x14ac:dyDescent="0.2">
      <c r="A103" s="323"/>
      <c r="B103" s="323" t="s">
        <v>516</v>
      </c>
      <c r="C103" s="323"/>
      <c r="D103" s="323"/>
      <c r="E103" s="323"/>
      <c r="F103" s="323"/>
      <c r="G103" s="323"/>
      <c r="H103" s="323"/>
    </row>
    <row r="104" spans="1:8" ht="12" x14ac:dyDescent="0.2">
      <c r="A104" s="323"/>
      <c r="B104" s="323" t="s">
        <v>517</v>
      </c>
      <c r="C104" s="323"/>
      <c r="D104" s="323"/>
      <c r="E104" s="323"/>
      <c r="F104" s="323"/>
      <c r="G104" s="323"/>
      <c r="H104" s="323"/>
    </row>
    <row r="105" spans="1:8" ht="12" x14ac:dyDescent="0.2">
      <c r="A105" s="323"/>
      <c r="B105" s="323" t="s">
        <v>518</v>
      </c>
      <c r="C105" s="323"/>
      <c r="D105" s="323"/>
      <c r="E105" s="323"/>
      <c r="F105" s="323"/>
      <c r="G105" s="323"/>
      <c r="H105" s="323"/>
    </row>
    <row r="106" spans="1:8" ht="12" x14ac:dyDescent="0.2">
      <c r="A106" s="323"/>
      <c r="B106" s="323" t="s">
        <v>519</v>
      </c>
      <c r="C106" s="323"/>
      <c r="D106" s="323"/>
      <c r="E106" s="323"/>
      <c r="F106" s="323"/>
      <c r="G106" s="323"/>
      <c r="H106" s="323"/>
    </row>
    <row r="107" spans="1:8" ht="12" x14ac:dyDescent="0.2">
      <c r="A107" s="323"/>
      <c r="B107" s="323" t="s">
        <v>520</v>
      </c>
      <c r="C107" s="323"/>
      <c r="D107" s="323"/>
      <c r="E107" s="323"/>
      <c r="F107" s="323"/>
      <c r="G107" s="323"/>
      <c r="H107" s="323"/>
    </row>
    <row r="108" spans="1:8" ht="12" x14ac:dyDescent="0.2">
      <c r="A108" s="323"/>
      <c r="B108" s="323" t="s">
        <v>521</v>
      </c>
      <c r="C108" s="323"/>
      <c r="D108" s="323"/>
      <c r="E108" s="323"/>
      <c r="F108" s="323"/>
      <c r="G108" s="323"/>
      <c r="H108" s="323"/>
    </row>
    <row r="109" spans="1:8" ht="12" x14ac:dyDescent="0.2">
      <c r="A109" s="323"/>
      <c r="B109" s="323" t="s">
        <v>522</v>
      </c>
      <c r="C109" s="323"/>
      <c r="D109" s="323"/>
      <c r="E109" s="323"/>
      <c r="F109" s="323"/>
      <c r="G109" s="323"/>
      <c r="H109" s="323"/>
    </row>
    <row r="110" spans="1:8" ht="12" x14ac:dyDescent="0.2">
      <c r="A110" s="323"/>
      <c r="B110" s="323" t="s">
        <v>523</v>
      </c>
      <c r="C110" s="323"/>
      <c r="D110" s="323"/>
      <c r="E110" s="323"/>
      <c r="F110" s="323"/>
      <c r="G110" s="323"/>
      <c r="H110" s="323"/>
    </row>
    <row r="111" spans="1:8" ht="12" x14ac:dyDescent="0.2">
      <c r="A111" s="323"/>
      <c r="B111" s="323"/>
      <c r="C111" s="323"/>
      <c r="D111" s="323"/>
      <c r="E111" s="323"/>
      <c r="F111" s="323"/>
      <c r="G111" s="323"/>
      <c r="H111" s="323"/>
    </row>
    <row r="112" spans="1:8" ht="12" x14ac:dyDescent="0.2">
      <c r="A112" s="435" t="s">
        <v>524</v>
      </c>
      <c r="B112" s="323"/>
      <c r="C112" s="323"/>
      <c r="D112" s="323"/>
      <c r="E112" s="323"/>
      <c r="F112" s="323"/>
      <c r="G112" s="323"/>
      <c r="H112" s="323"/>
    </row>
    <row r="113" spans="1:8" ht="12" x14ac:dyDescent="0.2">
      <c r="A113" s="436" t="s">
        <v>525</v>
      </c>
      <c r="B113" s="436"/>
      <c r="C113" s="436"/>
      <c r="D113" s="323"/>
      <c r="E113" s="323"/>
      <c r="F113" s="323"/>
      <c r="G113" s="323"/>
      <c r="H113" s="323"/>
    </row>
    <row r="114" spans="1:8" ht="12" x14ac:dyDescent="0.2">
      <c r="A114" s="436" t="s">
        <v>526</v>
      </c>
      <c r="B114" s="436"/>
      <c r="C114" s="436"/>
      <c r="D114" s="323"/>
      <c r="E114" s="323"/>
      <c r="F114" s="323"/>
      <c r="G114" s="323"/>
      <c r="H114" s="323"/>
    </row>
    <row r="115" spans="1:8" ht="12" x14ac:dyDescent="0.2">
      <c r="A115" s="436" t="s">
        <v>527</v>
      </c>
      <c r="B115" s="436"/>
      <c r="C115" s="436"/>
      <c r="D115" s="323"/>
      <c r="E115" s="323"/>
      <c r="F115" s="323"/>
      <c r="G115" s="323"/>
      <c r="H115" s="323"/>
    </row>
    <row r="116" spans="1:8" ht="12" x14ac:dyDescent="0.2">
      <c r="A116" s="436" t="s">
        <v>528</v>
      </c>
      <c r="B116" s="436"/>
      <c r="C116" s="436"/>
      <c r="D116" s="323"/>
      <c r="E116" s="323"/>
      <c r="F116" s="323"/>
      <c r="G116" s="323"/>
      <c r="H116" s="323"/>
    </row>
    <row r="117" spans="1:8" ht="12" x14ac:dyDescent="0.2">
      <c r="F117" s="367"/>
    </row>
    <row r="120" spans="1:8" ht="12" x14ac:dyDescent="0.2">
      <c r="A120" s="437"/>
      <c r="B120" s="437"/>
      <c r="C120" s="437"/>
      <c r="D120" s="437"/>
      <c r="E120" s="437"/>
      <c r="F120" s="437"/>
      <c r="H120" s="437"/>
    </row>
    <row r="121" spans="1:8" ht="12" x14ac:dyDescent="0.2">
      <c r="A121" s="437"/>
      <c r="B121" s="437"/>
      <c r="C121" s="437"/>
      <c r="D121" s="437"/>
      <c r="E121" s="437"/>
      <c r="F121" s="437"/>
      <c r="H121" s="437"/>
    </row>
    <row r="122" spans="1:8" ht="12" x14ac:dyDescent="0.2">
      <c r="A122" s="437"/>
      <c r="B122" s="437"/>
      <c r="C122" s="437"/>
      <c r="D122" s="437"/>
      <c r="E122" s="437"/>
      <c r="F122" s="437"/>
      <c r="H122" s="437"/>
    </row>
    <row r="123" spans="1:8" ht="12" x14ac:dyDescent="0.2">
      <c r="F123" s="367"/>
    </row>
  </sheetData>
  <sheetProtection algorithmName="SHA-512" hashValue="bneNlX2Iecaor5+iBky5DnstFYzNOgYdfIPSknXeq4as3huyGI7XvA5AjsLAN3boWzG/ZOHaU0b52wgvkrZqjA==" saltValue="MHxg5Xd2ZDcgIITrcXYfog==" spinCount="100000" sheet="1" objects="1" scenarios="1"/>
  <mergeCells count="19">
    <mergeCell ref="A9:B9"/>
    <mergeCell ref="A3:B3"/>
    <mergeCell ref="A4:B4"/>
    <mergeCell ref="A5:H5"/>
    <mergeCell ref="A7:B7"/>
    <mergeCell ref="A8:B8"/>
    <mergeCell ref="A89:B89"/>
    <mergeCell ref="A90:B90"/>
    <mergeCell ref="A92:B92"/>
    <mergeCell ref="H93:H94"/>
    <mergeCell ref="A11:B11"/>
    <mergeCell ref="H11:H44"/>
    <mergeCell ref="A47:B47"/>
    <mergeCell ref="A48:B48"/>
    <mergeCell ref="A50:B50"/>
    <mergeCell ref="H51:H86"/>
    <mergeCell ref="A81:A85"/>
    <mergeCell ref="B81:B85"/>
    <mergeCell ref="G81:G8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2019.gada 31.oktobra saistošajiem noteikumiem Nr.46
(protokols Nr.14, 28.punkts)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01"/>
  <sheetViews>
    <sheetView tabSelected="1" view="pageLayout" zoomScaleNormal="100" workbookViewId="0">
      <selection activeCell="N7" sqref="N7"/>
    </sheetView>
  </sheetViews>
  <sheetFormatPr defaultRowHeight="12" outlineLevelCol="1" x14ac:dyDescent="0.2"/>
  <cols>
    <col min="1" max="1" width="5.28515625" style="323" customWidth="1"/>
    <col min="2" max="2" width="25.140625" style="323" customWidth="1"/>
    <col min="3" max="3" width="10" style="323" customWidth="1"/>
    <col min="4" max="4" width="10.7109375" style="323" hidden="1" customWidth="1" outlineLevel="1"/>
    <col min="5" max="5" width="9.5703125" style="323" hidden="1" customWidth="1" outlineLevel="1"/>
    <col min="6" max="6" width="10.85546875" style="323" hidden="1" customWidth="1" outlineLevel="1"/>
    <col min="7" max="7" width="9.5703125" style="323" hidden="1" customWidth="1" outlineLevel="1"/>
    <col min="8" max="8" width="11.42578125" style="323" customWidth="1" collapsed="1"/>
    <col min="9" max="9" width="9.5703125" style="323" customWidth="1"/>
    <col min="10" max="10" width="25" style="323" hidden="1" customWidth="1" outlineLevel="1"/>
    <col min="11" max="11" width="17.7109375" style="323" customWidth="1" collapsed="1"/>
    <col min="12" max="16384" width="9.140625" style="323"/>
  </cols>
  <sheetData>
    <row r="1" spans="1:12" x14ac:dyDescent="0.2">
      <c r="K1" s="369" t="s">
        <v>1057</v>
      </c>
    </row>
    <row r="2" spans="1:12" x14ac:dyDescent="0.2">
      <c r="K2" s="369" t="s">
        <v>434</v>
      </c>
    </row>
    <row r="3" spans="1:12" ht="12.75" customHeight="1" x14ac:dyDescent="0.2">
      <c r="A3" s="496" t="s">
        <v>2</v>
      </c>
      <c r="B3" s="507"/>
      <c r="C3" s="498" t="s">
        <v>1042</v>
      </c>
      <c r="D3" s="498"/>
      <c r="E3" s="498"/>
      <c r="F3" s="1209"/>
      <c r="G3" s="1209"/>
      <c r="H3" s="1209"/>
      <c r="I3" s="1209"/>
      <c r="J3" s="500"/>
    </row>
    <row r="4" spans="1:12" ht="12.75" customHeight="1" x14ac:dyDescent="0.2">
      <c r="A4" s="496" t="s">
        <v>4</v>
      </c>
      <c r="B4" s="507"/>
      <c r="C4" s="1681">
        <v>90009229680</v>
      </c>
      <c r="D4" s="1681"/>
      <c r="E4" s="1681"/>
      <c r="F4" s="1681"/>
      <c r="G4" s="1681"/>
      <c r="H4" s="1681"/>
      <c r="I4" s="503"/>
      <c r="J4" s="503"/>
    </row>
    <row r="5" spans="1:12" ht="15.75" x14ac:dyDescent="0.25">
      <c r="A5" s="1675" t="s">
        <v>1058</v>
      </c>
      <c r="B5" s="1675"/>
      <c r="C5" s="1675"/>
      <c r="D5" s="1675"/>
      <c r="E5" s="1675"/>
      <c r="F5" s="1675"/>
      <c r="G5" s="1675"/>
      <c r="H5" s="1675"/>
      <c r="I5" s="1675"/>
      <c r="J5" s="1675"/>
      <c r="K5" s="1675"/>
      <c r="L5" s="504"/>
    </row>
    <row r="6" spans="1:12" ht="12.75" customHeight="1" x14ac:dyDescent="0.2">
      <c r="A6" s="1676" t="s">
        <v>331</v>
      </c>
      <c r="B6" s="1676"/>
      <c r="C6" s="508" t="s">
        <v>1042</v>
      </c>
      <c r="D6" s="508"/>
      <c r="E6" s="508"/>
      <c r="F6" s="1209"/>
      <c r="G6" s="1209"/>
      <c r="H6" s="1209"/>
      <c r="I6" s="500"/>
      <c r="J6" s="500"/>
    </row>
    <row r="7" spans="1:12" ht="12.75" customHeight="1" x14ac:dyDescent="0.2">
      <c r="A7" s="496" t="s">
        <v>333</v>
      </c>
      <c r="B7" s="496"/>
      <c r="C7" s="498" t="s">
        <v>1054</v>
      </c>
      <c r="D7" s="498"/>
      <c r="E7" s="498"/>
      <c r="F7" s="1209"/>
      <c r="G7" s="1209"/>
      <c r="H7" s="1209"/>
      <c r="I7" s="1209"/>
      <c r="J7" s="500"/>
    </row>
    <row r="8" spans="1:12" ht="12.75" customHeight="1" x14ac:dyDescent="0.2">
      <c r="A8" s="945" t="s">
        <v>334</v>
      </c>
      <c r="B8" s="945"/>
      <c r="C8" s="1684" t="s">
        <v>511</v>
      </c>
      <c r="D8" s="1684"/>
      <c r="E8" s="1684"/>
      <c r="F8" s="512"/>
      <c r="G8" s="512"/>
      <c r="H8" s="512"/>
      <c r="I8" s="512"/>
      <c r="J8" s="512"/>
    </row>
    <row r="9" spans="1:12" ht="36" customHeight="1" x14ac:dyDescent="0.2">
      <c r="A9" s="1679" t="s">
        <v>335</v>
      </c>
      <c r="B9" s="1679" t="s">
        <v>336</v>
      </c>
      <c r="C9" s="1679" t="s">
        <v>337</v>
      </c>
      <c r="D9" s="1677" t="s">
        <v>338</v>
      </c>
      <c r="E9" s="1678"/>
      <c r="F9" s="1677" t="s">
        <v>339</v>
      </c>
      <c r="G9" s="1678"/>
      <c r="H9" s="1677" t="s">
        <v>340</v>
      </c>
      <c r="I9" s="1678"/>
      <c r="J9" s="1679" t="s">
        <v>35</v>
      </c>
      <c r="K9" s="1679" t="s">
        <v>341</v>
      </c>
    </row>
    <row r="10" spans="1:12" ht="24" x14ac:dyDescent="0.2">
      <c r="A10" s="1680"/>
      <c r="B10" s="1680"/>
      <c r="C10" s="1680"/>
      <c r="D10" s="327" t="s">
        <v>637</v>
      </c>
      <c r="E10" s="327" t="s">
        <v>1059</v>
      </c>
      <c r="F10" s="327" t="s">
        <v>637</v>
      </c>
      <c r="G10" s="327" t="s">
        <v>1059</v>
      </c>
      <c r="H10" s="327" t="s">
        <v>637</v>
      </c>
      <c r="I10" s="327" t="s">
        <v>1059</v>
      </c>
      <c r="J10" s="1680"/>
      <c r="K10" s="1680"/>
    </row>
    <row r="11" spans="1:12" x14ac:dyDescent="0.2">
      <c r="A11" s="1682" t="s">
        <v>638</v>
      </c>
      <c r="B11" s="1683"/>
      <c r="C11" s="946"/>
      <c r="D11" s="947">
        <f t="shared" ref="D11:I11" si="0">SUM(D12,D19,D28,D58,D77,D111,D129,D164,D200,D227)</f>
        <v>513808</v>
      </c>
      <c r="E11" s="947">
        <f t="shared" si="0"/>
        <v>24865</v>
      </c>
      <c r="F11" s="947">
        <f t="shared" si="0"/>
        <v>-4580</v>
      </c>
      <c r="G11" s="947">
        <f t="shared" si="0"/>
        <v>0</v>
      </c>
      <c r="H11" s="947">
        <f t="shared" si="0"/>
        <v>509228</v>
      </c>
      <c r="I11" s="947">
        <f t="shared" si="0"/>
        <v>24865</v>
      </c>
      <c r="J11" s="948"/>
      <c r="K11" s="947"/>
    </row>
    <row r="12" spans="1:12" x14ac:dyDescent="0.2">
      <c r="A12" s="949"/>
      <c r="B12" s="949"/>
      <c r="C12" s="949"/>
      <c r="D12" s="950">
        <f>SUM(D13:D18)</f>
        <v>45703</v>
      </c>
      <c r="E12" s="950">
        <f t="shared" ref="E12:G12" si="1">SUM(E13:E18)</f>
        <v>0</v>
      </c>
      <c r="F12" s="950">
        <f t="shared" si="1"/>
        <v>0</v>
      </c>
      <c r="G12" s="950">
        <f t="shared" si="1"/>
        <v>0</v>
      </c>
      <c r="H12" s="951">
        <f>D12+F12</f>
        <v>45703</v>
      </c>
      <c r="I12" s="951">
        <f>E12+G12</f>
        <v>0</v>
      </c>
      <c r="J12" s="952"/>
      <c r="K12" s="1636" t="s">
        <v>1060</v>
      </c>
    </row>
    <row r="13" spans="1:12" ht="13.5" customHeight="1" x14ac:dyDescent="0.2">
      <c r="A13" s="1669">
        <v>1</v>
      </c>
      <c r="B13" s="1672" t="s">
        <v>1061</v>
      </c>
      <c r="C13" s="953">
        <v>1150</v>
      </c>
      <c r="D13" s="954">
        <v>8000</v>
      </c>
      <c r="E13" s="952"/>
      <c r="F13" s="952"/>
      <c r="G13" s="952"/>
      <c r="H13" s="952">
        <f t="shared" ref="H13:I109" si="2">D13+F13</f>
        <v>8000</v>
      </c>
      <c r="I13" s="952">
        <f t="shared" si="2"/>
        <v>0</v>
      </c>
      <c r="J13" s="1026"/>
      <c r="K13" s="1637"/>
    </row>
    <row r="14" spans="1:12" ht="13.5" customHeight="1" x14ac:dyDescent="0.2">
      <c r="A14" s="1670"/>
      <c r="B14" s="1673"/>
      <c r="C14" s="953">
        <v>1210</v>
      </c>
      <c r="D14" s="954">
        <v>400</v>
      </c>
      <c r="E14" s="952"/>
      <c r="F14" s="952"/>
      <c r="G14" s="952"/>
      <c r="H14" s="952">
        <f t="shared" si="2"/>
        <v>400</v>
      </c>
      <c r="I14" s="952">
        <f t="shared" si="2"/>
        <v>0</v>
      </c>
      <c r="J14" s="952"/>
      <c r="K14" s="1637"/>
    </row>
    <row r="15" spans="1:12" ht="13.5" customHeight="1" x14ac:dyDescent="0.2">
      <c r="A15" s="1670"/>
      <c r="B15" s="1673"/>
      <c r="C15" s="953">
        <v>2262</v>
      </c>
      <c r="D15" s="954">
        <v>310</v>
      </c>
      <c r="E15" s="952"/>
      <c r="F15" s="952"/>
      <c r="G15" s="952"/>
      <c r="H15" s="952">
        <f t="shared" si="2"/>
        <v>310</v>
      </c>
      <c r="I15" s="952">
        <f t="shared" si="2"/>
        <v>0</v>
      </c>
      <c r="J15" s="952"/>
      <c r="K15" s="1637"/>
    </row>
    <row r="16" spans="1:12" ht="13.5" customHeight="1" x14ac:dyDescent="0.2">
      <c r="A16" s="1670"/>
      <c r="B16" s="1673"/>
      <c r="C16" s="953">
        <v>2264</v>
      </c>
      <c r="D16" s="954">
        <v>19075</v>
      </c>
      <c r="E16" s="952"/>
      <c r="F16" s="952"/>
      <c r="G16" s="952"/>
      <c r="H16" s="952">
        <f t="shared" si="2"/>
        <v>19075</v>
      </c>
      <c r="I16" s="952">
        <f t="shared" si="2"/>
        <v>0</v>
      </c>
      <c r="J16" s="952"/>
      <c r="K16" s="1637"/>
    </row>
    <row r="17" spans="1:11" ht="13.5" customHeight="1" x14ac:dyDescent="0.2">
      <c r="A17" s="1670"/>
      <c r="B17" s="1673"/>
      <c r="C17" s="953">
        <v>2279</v>
      </c>
      <c r="D17" s="954">
        <v>14023</v>
      </c>
      <c r="E17" s="952"/>
      <c r="F17" s="952"/>
      <c r="G17" s="952"/>
      <c r="H17" s="952">
        <f t="shared" si="2"/>
        <v>14023</v>
      </c>
      <c r="I17" s="952">
        <f t="shared" si="2"/>
        <v>0</v>
      </c>
      <c r="J17" s="952"/>
      <c r="K17" s="1637"/>
    </row>
    <row r="18" spans="1:11" ht="13.5" customHeight="1" x14ac:dyDescent="0.2">
      <c r="A18" s="1671"/>
      <c r="B18" s="1674"/>
      <c r="C18" s="953">
        <v>2314</v>
      </c>
      <c r="D18" s="954">
        <v>3895</v>
      </c>
      <c r="E18" s="952"/>
      <c r="F18" s="952"/>
      <c r="G18" s="952"/>
      <c r="H18" s="952">
        <f t="shared" si="2"/>
        <v>3895</v>
      </c>
      <c r="I18" s="952">
        <f t="shared" si="2"/>
        <v>0</v>
      </c>
      <c r="J18" s="952"/>
      <c r="K18" s="1638"/>
    </row>
    <row r="19" spans="1:11" x14ac:dyDescent="0.2">
      <c r="A19" s="1669">
        <v>2</v>
      </c>
      <c r="B19" s="1672" t="s">
        <v>1062</v>
      </c>
      <c r="C19" s="949"/>
      <c r="D19" s="950">
        <f>SUM(D20:D27)</f>
        <v>56097</v>
      </c>
      <c r="E19" s="950">
        <f t="shared" ref="E19:G19" si="3">SUM(E20:E27)</f>
        <v>0</v>
      </c>
      <c r="F19" s="950">
        <f t="shared" si="3"/>
        <v>0</v>
      </c>
      <c r="G19" s="950">
        <f t="shared" si="3"/>
        <v>0</v>
      </c>
      <c r="H19" s="951">
        <f t="shared" si="2"/>
        <v>56097</v>
      </c>
      <c r="I19" s="951">
        <f t="shared" si="2"/>
        <v>0</v>
      </c>
      <c r="J19" s="952"/>
      <c r="K19" s="1636" t="s">
        <v>1063</v>
      </c>
    </row>
    <row r="20" spans="1:11" ht="12.75" customHeight="1" x14ac:dyDescent="0.2">
      <c r="A20" s="1670"/>
      <c r="B20" s="1673"/>
      <c r="C20" s="953">
        <v>1150</v>
      </c>
      <c r="D20" s="954">
        <v>6824</v>
      </c>
      <c r="E20" s="952"/>
      <c r="F20" s="952"/>
      <c r="G20" s="952"/>
      <c r="H20" s="952">
        <f t="shared" si="2"/>
        <v>6824</v>
      </c>
      <c r="I20" s="952">
        <f t="shared" si="2"/>
        <v>0</v>
      </c>
      <c r="J20" s="952"/>
      <c r="K20" s="1637"/>
    </row>
    <row r="21" spans="1:11" ht="12.75" customHeight="1" x14ac:dyDescent="0.2">
      <c r="A21" s="1670"/>
      <c r="B21" s="1673"/>
      <c r="C21" s="953">
        <v>1210</v>
      </c>
      <c r="D21" s="954">
        <v>341</v>
      </c>
      <c r="E21" s="952"/>
      <c r="F21" s="952"/>
      <c r="G21" s="952"/>
      <c r="H21" s="952">
        <f t="shared" si="2"/>
        <v>341</v>
      </c>
      <c r="I21" s="952">
        <f t="shared" si="2"/>
        <v>0</v>
      </c>
      <c r="J21" s="952"/>
      <c r="K21" s="1637"/>
    </row>
    <row r="22" spans="1:11" ht="12.75" customHeight="1" x14ac:dyDescent="0.2">
      <c r="A22" s="1670"/>
      <c r="B22" s="1673"/>
      <c r="C22" s="953">
        <v>2231</v>
      </c>
      <c r="D22" s="954">
        <v>600</v>
      </c>
      <c r="E22" s="952"/>
      <c r="F22" s="952"/>
      <c r="G22" s="952"/>
      <c r="H22" s="952">
        <f t="shared" si="2"/>
        <v>600</v>
      </c>
      <c r="I22" s="952">
        <f t="shared" si="2"/>
        <v>0</v>
      </c>
      <c r="J22" s="952"/>
      <c r="K22" s="1637"/>
    </row>
    <row r="23" spans="1:11" ht="12.75" customHeight="1" x14ac:dyDescent="0.2">
      <c r="A23" s="1670"/>
      <c r="B23" s="1673"/>
      <c r="C23" s="953">
        <v>2262</v>
      </c>
      <c r="D23" s="954">
        <v>1180</v>
      </c>
      <c r="E23" s="952"/>
      <c r="F23" s="952"/>
      <c r="G23" s="952"/>
      <c r="H23" s="952">
        <f t="shared" si="2"/>
        <v>1180</v>
      </c>
      <c r="I23" s="952">
        <f t="shared" si="2"/>
        <v>0</v>
      </c>
      <c r="J23" s="952"/>
      <c r="K23" s="1637"/>
    </row>
    <row r="24" spans="1:11" ht="12.75" customHeight="1" x14ac:dyDescent="0.2">
      <c r="A24" s="1670"/>
      <c r="B24" s="1673"/>
      <c r="C24" s="953">
        <v>2264</v>
      </c>
      <c r="D24" s="954">
        <v>24848</v>
      </c>
      <c r="E24" s="952"/>
      <c r="F24" s="952"/>
      <c r="G24" s="952"/>
      <c r="H24" s="952">
        <f t="shared" si="2"/>
        <v>24848</v>
      </c>
      <c r="I24" s="952">
        <f t="shared" si="2"/>
        <v>0</v>
      </c>
      <c r="J24" s="952"/>
      <c r="K24" s="1637"/>
    </row>
    <row r="25" spans="1:11" ht="12.75" customHeight="1" x14ac:dyDescent="0.2">
      <c r="A25" s="1670"/>
      <c r="B25" s="1673"/>
      <c r="C25" s="953">
        <v>2269</v>
      </c>
      <c r="D25" s="954">
        <v>300</v>
      </c>
      <c r="E25" s="952"/>
      <c r="F25" s="952"/>
      <c r="G25" s="952"/>
      <c r="H25" s="952">
        <f t="shared" si="2"/>
        <v>300</v>
      </c>
      <c r="I25" s="952">
        <f t="shared" si="2"/>
        <v>0</v>
      </c>
      <c r="J25" s="952"/>
      <c r="K25" s="1637"/>
    </row>
    <row r="26" spans="1:11" ht="12.75" customHeight="1" x14ac:dyDescent="0.2">
      <c r="A26" s="1670"/>
      <c r="B26" s="1673"/>
      <c r="C26" s="953">
        <v>2279</v>
      </c>
      <c r="D26" s="954">
        <v>18847</v>
      </c>
      <c r="E26" s="952"/>
      <c r="F26" s="952"/>
      <c r="G26" s="952"/>
      <c r="H26" s="952">
        <f t="shared" si="2"/>
        <v>18847</v>
      </c>
      <c r="I26" s="952">
        <f t="shared" si="2"/>
        <v>0</v>
      </c>
      <c r="J26" s="952"/>
      <c r="K26" s="1637"/>
    </row>
    <row r="27" spans="1:11" ht="12.75" customHeight="1" x14ac:dyDescent="0.2">
      <c r="A27" s="1671"/>
      <c r="B27" s="1674"/>
      <c r="C27" s="953">
        <v>2314</v>
      </c>
      <c r="D27" s="954">
        <v>3157</v>
      </c>
      <c r="E27" s="952"/>
      <c r="F27" s="952"/>
      <c r="G27" s="952"/>
      <c r="H27" s="952">
        <f t="shared" si="2"/>
        <v>3157</v>
      </c>
      <c r="I27" s="952">
        <f t="shared" si="2"/>
        <v>0</v>
      </c>
      <c r="J27" s="952"/>
      <c r="K27" s="1638"/>
    </row>
    <row r="28" spans="1:11" ht="24" x14ac:dyDescent="0.2">
      <c r="A28" s="955">
        <v>3</v>
      </c>
      <c r="B28" s="1024" t="s">
        <v>1064</v>
      </c>
      <c r="C28" s="953"/>
      <c r="D28" s="950">
        <f>SUM(D29,D36,D44,D51)</f>
        <v>141574</v>
      </c>
      <c r="E28" s="950">
        <f t="shared" ref="E28:I28" si="4">SUM(E29,E36,E44,E51)</f>
        <v>0</v>
      </c>
      <c r="F28" s="950">
        <f t="shared" si="4"/>
        <v>0</v>
      </c>
      <c r="G28" s="950">
        <f t="shared" si="4"/>
        <v>0</v>
      </c>
      <c r="H28" s="950">
        <f t="shared" si="4"/>
        <v>141574</v>
      </c>
      <c r="I28" s="950">
        <f t="shared" si="4"/>
        <v>0</v>
      </c>
      <c r="J28" s="952"/>
      <c r="K28" s="952"/>
    </row>
    <row r="29" spans="1:11" x14ac:dyDescent="0.2">
      <c r="A29" s="1639" t="s">
        <v>1065</v>
      </c>
      <c r="B29" s="1642" t="s">
        <v>1066</v>
      </c>
      <c r="C29" s="957"/>
      <c r="D29" s="542">
        <f>SUM(D30:D35)</f>
        <v>4041</v>
      </c>
      <c r="E29" s="542">
        <f t="shared" ref="E29:G29" si="5">SUM(E30:E35)</f>
        <v>0</v>
      </c>
      <c r="F29" s="542"/>
      <c r="G29" s="542">
        <f t="shared" si="5"/>
        <v>0</v>
      </c>
      <c r="H29" s="958">
        <f t="shared" si="2"/>
        <v>4041</v>
      </c>
      <c r="I29" s="958">
        <f t="shared" si="2"/>
        <v>0</v>
      </c>
      <c r="J29" s="959"/>
      <c r="K29" s="1660" t="s">
        <v>1067</v>
      </c>
    </row>
    <row r="30" spans="1:11" ht="13.5" customHeight="1" x14ac:dyDescent="0.2">
      <c r="A30" s="1640"/>
      <c r="B30" s="1643"/>
      <c r="C30" s="957">
        <v>1150</v>
      </c>
      <c r="D30" s="959">
        <v>177</v>
      </c>
      <c r="E30" s="960"/>
      <c r="F30" s="960"/>
      <c r="G30" s="960"/>
      <c r="H30" s="960">
        <f t="shared" si="2"/>
        <v>177</v>
      </c>
      <c r="I30" s="960">
        <f t="shared" si="2"/>
        <v>0</v>
      </c>
      <c r="J30" s="959"/>
      <c r="K30" s="1661"/>
    </row>
    <row r="31" spans="1:11" ht="12.75" customHeight="1" x14ac:dyDescent="0.2">
      <c r="A31" s="1640"/>
      <c r="B31" s="1643"/>
      <c r="C31" s="957">
        <v>1210</v>
      </c>
      <c r="D31" s="959">
        <v>9</v>
      </c>
      <c r="E31" s="960"/>
      <c r="F31" s="960"/>
      <c r="G31" s="960"/>
      <c r="H31" s="960">
        <f t="shared" si="2"/>
        <v>9</v>
      </c>
      <c r="I31" s="960">
        <f t="shared" si="2"/>
        <v>0</v>
      </c>
      <c r="J31" s="959"/>
      <c r="K31" s="1661"/>
    </row>
    <row r="32" spans="1:11" ht="14.25" customHeight="1" x14ac:dyDescent="0.2">
      <c r="A32" s="1640"/>
      <c r="B32" s="1643"/>
      <c r="C32" s="957">
        <v>2262</v>
      </c>
      <c r="D32" s="959">
        <v>95</v>
      </c>
      <c r="E32" s="960"/>
      <c r="F32" s="960"/>
      <c r="G32" s="960"/>
      <c r="H32" s="960">
        <f t="shared" si="2"/>
        <v>95</v>
      </c>
      <c r="I32" s="960">
        <f t="shared" si="2"/>
        <v>0</v>
      </c>
      <c r="J32" s="959"/>
      <c r="K32" s="1661"/>
    </row>
    <row r="33" spans="1:11" ht="12.75" customHeight="1" x14ac:dyDescent="0.2">
      <c r="A33" s="1640"/>
      <c r="B33" s="1643"/>
      <c r="C33" s="957">
        <v>2264</v>
      </c>
      <c r="D33" s="959">
        <v>3258</v>
      </c>
      <c r="E33" s="960"/>
      <c r="F33" s="960"/>
      <c r="G33" s="960"/>
      <c r="H33" s="960">
        <f t="shared" si="2"/>
        <v>3258</v>
      </c>
      <c r="I33" s="960">
        <f t="shared" si="2"/>
        <v>0</v>
      </c>
      <c r="J33" s="959"/>
      <c r="K33" s="1661"/>
    </row>
    <row r="34" spans="1:11" ht="12.75" customHeight="1" x14ac:dyDescent="0.2">
      <c r="A34" s="1640"/>
      <c r="B34" s="1643"/>
      <c r="C34" s="957">
        <v>2279</v>
      </c>
      <c r="D34" s="959">
        <v>300</v>
      </c>
      <c r="E34" s="960"/>
      <c r="F34" s="960"/>
      <c r="G34" s="960"/>
      <c r="H34" s="960">
        <f t="shared" si="2"/>
        <v>300</v>
      </c>
      <c r="I34" s="960">
        <f t="shared" si="2"/>
        <v>0</v>
      </c>
      <c r="J34" s="959"/>
      <c r="K34" s="1661"/>
    </row>
    <row r="35" spans="1:11" ht="14.25" customHeight="1" x14ac:dyDescent="0.2">
      <c r="A35" s="1641"/>
      <c r="B35" s="1644"/>
      <c r="C35" s="957">
        <v>2314</v>
      </c>
      <c r="D35" s="959">
        <v>202</v>
      </c>
      <c r="E35" s="960"/>
      <c r="F35" s="960"/>
      <c r="G35" s="960"/>
      <c r="H35" s="960">
        <f t="shared" si="2"/>
        <v>202</v>
      </c>
      <c r="I35" s="960">
        <f t="shared" si="2"/>
        <v>0</v>
      </c>
      <c r="J35" s="959"/>
      <c r="K35" s="1662"/>
    </row>
    <row r="36" spans="1:11" ht="13.5" customHeight="1" x14ac:dyDescent="0.2">
      <c r="A36" s="1639" t="s">
        <v>1068</v>
      </c>
      <c r="B36" s="1642" t="s">
        <v>1069</v>
      </c>
      <c r="C36" s="961"/>
      <c r="D36" s="542">
        <f>SUM(D37:D43)</f>
        <v>70669</v>
      </c>
      <c r="E36" s="542">
        <f t="shared" ref="E36:G36" si="6">SUM(E37:E43)</f>
        <v>0</v>
      </c>
      <c r="F36" s="542">
        <f t="shared" si="6"/>
        <v>0</v>
      </c>
      <c r="G36" s="542">
        <f t="shared" si="6"/>
        <v>0</v>
      </c>
      <c r="H36" s="958">
        <f t="shared" si="2"/>
        <v>70669</v>
      </c>
      <c r="I36" s="958">
        <f t="shared" si="2"/>
        <v>0</v>
      </c>
      <c r="J36" s="959"/>
      <c r="K36" s="1660" t="s">
        <v>1070</v>
      </c>
    </row>
    <row r="37" spans="1:11" ht="13.5" customHeight="1" x14ac:dyDescent="0.2">
      <c r="A37" s="1640"/>
      <c r="B37" s="1643"/>
      <c r="C37" s="859">
        <v>1150</v>
      </c>
      <c r="D37" s="959">
        <v>13379</v>
      </c>
      <c r="E37" s="960"/>
      <c r="F37" s="960"/>
      <c r="G37" s="960"/>
      <c r="H37" s="960">
        <f t="shared" si="2"/>
        <v>13379</v>
      </c>
      <c r="I37" s="960">
        <f t="shared" si="2"/>
        <v>0</v>
      </c>
      <c r="J37" s="960"/>
      <c r="K37" s="1661"/>
    </row>
    <row r="38" spans="1:11" ht="13.5" customHeight="1" x14ac:dyDescent="0.2">
      <c r="A38" s="1640"/>
      <c r="B38" s="1643"/>
      <c r="C38" s="859">
        <v>1210</v>
      </c>
      <c r="D38" s="959">
        <v>669</v>
      </c>
      <c r="E38" s="960"/>
      <c r="F38" s="960"/>
      <c r="G38" s="960"/>
      <c r="H38" s="960">
        <f t="shared" si="2"/>
        <v>669</v>
      </c>
      <c r="I38" s="960">
        <f t="shared" si="2"/>
        <v>0</v>
      </c>
      <c r="J38" s="960"/>
      <c r="K38" s="1661"/>
    </row>
    <row r="39" spans="1:11" ht="13.5" customHeight="1" x14ac:dyDescent="0.2">
      <c r="A39" s="1640"/>
      <c r="B39" s="1643"/>
      <c r="C39" s="859">
        <v>2262</v>
      </c>
      <c r="D39" s="959">
        <v>650</v>
      </c>
      <c r="E39" s="960"/>
      <c r="F39" s="960"/>
      <c r="G39" s="960"/>
      <c r="H39" s="960">
        <f t="shared" si="2"/>
        <v>650</v>
      </c>
      <c r="I39" s="960">
        <f t="shared" si="2"/>
        <v>0</v>
      </c>
      <c r="J39" s="960"/>
      <c r="K39" s="1661"/>
    </row>
    <row r="40" spans="1:11" ht="13.5" customHeight="1" x14ac:dyDescent="0.2">
      <c r="A40" s="1640"/>
      <c r="B40" s="1643"/>
      <c r="C40" s="859">
        <v>2264</v>
      </c>
      <c r="D40" s="959">
        <v>31471</v>
      </c>
      <c r="E40" s="960"/>
      <c r="F40" s="960"/>
      <c r="G40" s="960"/>
      <c r="H40" s="960">
        <f t="shared" si="2"/>
        <v>31471</v>
      </c>
      <c r="I40" s="960">
        <f t="shared" si="2"/>
        <v>0</v>
      </c>
      <c r="J40" s="960"/>
      <c r="K40" s="1661"/>
    </row>
    <row r="41" spans="1:11" ht="13.5" customHeight="1" x14ac:dyDescent="0.2">
      <c r="A41" s="1640"/>
      <c r="B41" s="1643"/>
      <c r="C41" s="859">
        <v>2279</v>
      </c>
      <c r="D41" s="959">
        <v>22904</v>
      </c>
      <c r="E41" s="960"/>
      <c r="F41" s="960"/>
      <c r="G41" s="960"/>
      <c r="H41" s="960">
        <f t="shared" si="2"/>
        <v>22904</v>
      </c>
      <c r="I41" s="960">
        <f t="shared" si="2"/>
        <v>0</v>
      </c>
      <c r="J41" s="960"/>
      <c r="K41" s="1661"/>
    </row>
    <row r="42" spans="1:11" ht="13.5" customHeight="1" x14ac:dyDescent="0.2">
      <c r="A42" s="1640"/>
      <c r="B42" s="1643"/>
      <c r="C42" s="859">
        <v>2312</v>
      </c>
      <c r="D42" s="959">
        <v>0</v>
      </c>
      <c r="E42" s="960"/>
      <c r="F42" s="960"/>
      <c r="G42" s="960"/>
      <c r="H42" s="960">
        <f t="shared" si="2"/>
        <v>0</v>
      </c>
      <c r="I42" s="960">
        <f t="shared" si="2"/>
        <v>0</v>
      </c>
      <c r="J42" s="960"/>
      <c r="K42" s="1661"/>
    </row>
    <row r="43" spans="1:11" ht="13.5" customHeight="1" x14ac:dyDescent="0.2">
      <c r="A43" s="1641"/>
      <c r="B43" s="1644"/>
      <c r="C43" s="859">
        <v>2314</v>
      </c>
      <c r="D43" s="959">
        <v>1596</v>
      </c>
      <c r="E43" s="960"/>
      <c r="F43" s="960"/>
      <c r="G43" s="960"/>
      <c r="H43" s="960">
        <f t="shared" si="2"/>
        <v>1596</v>
      </c>
      <c r="I43" s="960">
        <f t="shared" si="2"/>
        <v>0</v>
      </c>
      <c r="J43" s="960"/>
      <c r="K43" s="1662"/>
    </row>
    <row r="44" spans="1:11" x14ac:dyDescent="0.2">
      <c r="A44" s="1651" t="s">
        <v>1071</v>
      </c>
      <c r="B44" s="1654" t="s">
        <v>1072</v>
      </c>
      <c r="C44" s="949"/>
      <c r="D44" s="950">
        <f>SUM(D45:D50)</f>
        <v>12000</v>
      </c>
      <c r="E44" s="950">
        <f>SUM(E45:E50)</f>
        <v>0</v>
      </c>
      <c r="F44" s="950">
        <f>SUM(F45:F50)</f>
        <v>0</v>
      </c>
      <c r="G44" s="950">
        <f>SUM(G45:G50)</f>
        <v>0</v>
      </c>
      <c r="H44" s="951">
        <f t="shared" si="2"/>
        <v>12000</v>
      </c>
      <c r="I44" s="951">
        <f t="shared" si="2"/>
        <v>0</v>
      </c>
      <c r="J44" s="952"/>
      <c r="K44" s="1660" t="s">
        <v>1073</v>
      </c>
    </row>
    <row r="45" spans="1:11" ht="12.75" customHeight="1" x14ac:dyDescent="0.2">
      <c r="A45" s="1652"/>
      <c r="B45" s="1655"/>
      <c r="C45" s="899">
        <v>1150</v>
      </c>
      <c r="D45" s="954">
        <v>1142</v>
      </c>
      <c r="E45" s="952"/>
      <c r="F45" s="952"/>
      <c r="G45" s="952"/>
      <c r="H45" s="952">
        <f t="shared" si="2"/>
        <v>1142</v>
      </c>
      <c r="I45" s="952">
        <f t="shared" si="2"/>
        <v>0</v>
      </c>
      <c r="J45" s="952"/>
      <c r="K45" s="1661"/>
    </row>
    <row r="46" spans="1:11" ht="12.75" customHeight="1" x14ac:dyDescent="0.2">
      <c r="A46" s="1652"/>
      <c r="B46" s="1655"/>
      <c r="C46" s="899">
        <v>1210</v>
      </c>
      <c r="D46" s="954">
        <v>58</v>
      </c>
      <c r="E46" s="952"/>
      <c r="F46" s="952"/>
      <c r="G46" s="952"/>
      <c r="H46" s="952">
        <f t="shared" si="2"/>
        <v>58</v>
      </c>
      <c r="I46" s="952">
        <f t="shared" si="2"/>
        <v>0</v>
      </c>
      <c r="J46" s="952"/>
      <c r="K46" s="1661"/>
    </row>
    <row r="47" spans="1:11" ht="12.75" customHeight="1" x14ac:dyDescent="0.2">
      <c r="A47" s="1652"/>
      <c r="B47" s="1655"/>
      <c r="C47" s="899">
        <v>2231</v>
      </c>
      <c r="D47" s="954">
        <v>200</v>
      </c>
      <c r="E47" s="952"/>
      <c r="F47" s="952"/>
      <c r="G47" s="952"/>
      <c r="H47" s="952">
        <f t="shared" si="2"/>
        <v>200</v>
      </c>
      <c r="I47" s="952">
        <f t="shared" si="2"/>
        <v>0</v>
      </c>
      <c r="J47" s="952"/>
      <c r="K47" s="1661"/>
    </row>
    <row r="48" spans="1:11" ht="12.75" customHeight="1" x14ac:dyDescent="0.2">
      <c r="A48" s="1652"/>
      <c r="B48" s="1655"/>
      <c r="C48" s="899">
        <v>2264</v>
      </c>
      <c r="D48" s="954">
        <v>6500</v>
      </c>
      <c r="E48" s="952"/>
      <c r="F48" s="952"/>
      <c r="G48" s="952"/>
      <c r="H48" s="952">
        <f t="shared" si="2"/>
        <v>6500</v>
      </c>
      <c r="I48" s="952">
        <f t="shared" si="2"/>
        <v>0</v>
      </c>
      <c r="J48" s="952"/>
      <c r="K48" s="1661"/>
    </row>
    <row r="49" spans="1:11" ht="12.75" customHeight="1" x14ac:dyDescent="0.2">
      <c r="A49" s="1652"/>
      <c r="B49" s="1655"/>
      <c r="C49" s="899">
        <v>2279</v>
      </c>
      <c r="D49" s="954">
        <v>3900</v>
      </c>
      <c r="E49" s="952"/>
      <c r="F49" s="952"/>
      <c r="G49" s="952"/>
      <c r="H49" s="952">
        <f t="shared" si="2"/>
        <v>3900</v>
      </c>
      <c r="I49" s="952">
        <f t="shared" si="2"/>
        <v>0</v>
      </c>
      <c r="J49" s="952"/>
      <c r="K49" s="1661"/>
    </row>
    <row r="50" spans="1:11" ht="12.75" customHeight="1" x14ac:dyDescent="0.2">
      <c r="A50" s="1653"/>
      <c r="B50" s="1656"/>
      <c r="C50" s="899">
        <v>2314</v>
      </c>
      <c r="D50" s="954">
        <v>200</v>
      </c>
      <c r="E50" s="952"/>
      <c r="F50" s="952"/>
      <c r="G50" s="952"/>
      <c r="H50" s="952">
        <f t="shared" si="2"/>
        <v>200</v>
      </c>
      <c r="I50" s="952">
        <f t="shared" si="2"/>
        <v>0</v>
      </c>
      <c r="J50" s="952"/>
      <c r="K50" s="1662"/>
    </row>
    <row r="51" spans="1:11" ht="15.75" customHeight="1" x14ac:dyDescent="0.2">
      <c r="A51" s="1639" t="s">
        <v>1074</v>
      </c>
      <c r="B51" s="1642" t="s">
        <v>1075</v>
      </c>
      <c r="C51" s="860"/>
      <c r="D51" s="542">
        <f>SUM(D52:D57)</f>
        <v>54864</v>
      </c>
      <c r="E51" s="542">
        <f t="shared" ref="E51:G51" si="7">SUM(E52:E57)</f>
        <v>0</v>
      </c>
      <c r="F51" s="542">
        <f t="shared" si="7"/>
        <v>0</v>
      </c>
      <c r="G51" s="542">
        <f t="shared" si="7"/>
        <v>0</v>
      </c>
      <c r="H51" s="958">
        <f t="shared" si="2"/>
        <v>54864</v>
      </c>
      <c r="I51" s="958">
        <f t="shared" si="2"/>
        <v>0</v>
      </c>
      <c r="J51" s="959"/>
      <c r="K51" s="1660" t="s">
        <v>1076</v>
      </c>
    </row>
    <row r="52" spans="1:11" ht="13.5" customHeight="1" x14ac:dyDescent="0.2">
      <c r="A52" s="1640"/>
      <c r="B52" s="1643"/>
      <c r="C52" s="859">
        <v>1150</v>
      </c>
      <c r="D52" s="959">
        <v>11413</v>
      </c>
      <c r="E52" s="960"/>
      <c r="F52" s="960"/>
      <c r="G52" s="960"/>
      <c r="H52" s="960">
        <f t="shared" si="2"/>
        <v>11413</v>
      </c>
      <c r="I52" s="960">
        <f t="shared" si="2"/>
        <v>0</v>
      </c>
      <c r="J52" s="959"/>
      <c r="K52" s="1661"/>
    </row>
    <row r="53" spans="1:11" ht="12" customHeight="1" x14ac:dyDescent="0.2">
      <c r="A53" s="1640"/>
      <c r="B53" s="1643"/>
      <c r="C53" s="859">
        <v>1210</v>
      </c>
      <c r="D53" s="959">
        <v>581</v>
      </c>
      <c r="E53" s="960"/>
      <c r="F53" s="960"/>
      <c r="G53" s="960"/>
      <c r="H53" s="960">
        <f t="shared" si="2"/>
        <v>581</v>
      </c>
      <c r="I53" s="960">
        <f t="shared" si="2"/>
        <v>0</v>
      </c>
      <c r="J53" s="959"/>
      <c r="K53" s="1661"/>
    </row>
    <row r="54" spans="1:11" ht="12.75" customHeight="1" x14ac:dyDescent="0.2">
      <c r="A54" s="1640"/>
      <c r="B54" s="1643"/>
      <c r="C54" s="859">
        <v>2262</v>
      </c>
      <c r="D54" s="959">
        <v>400</v>
      </c>
      <c r="E54" s="960"/>
      <c r="F54" s="960"/>
      <c r="G54" s="960"/>
      <c r="H54" s="960">
        <f t="shared" si="2"/>
        <v>400</v>
      </c>
      <c r="I54" s="960">
        <f t="shared" si="2"/>
        <v>0</v>
      </c>
      <c r="J54" s="959"/>
      <c r="K54" s="1661"/>
    </row>
    <row r="55" spans="1:11" ht="14.25" customHeight="1" x14ac:dyDescent="0.2">
      <c r="A55" s="1640"/>
      <c r="B55" s="1643"/>
      <c r="C55" s="859">
        <v>2264</v>
      </c>
      <c r="D55" s="959">
        <v>24724</v>
      </c>
      <c r="E55" s="960"/>
      <c r="F55" s="960"/>
      <c r="G55" s="960"/>
      <c r="H55" s="960">
        <f t="shared" si="2"/>
        <v>24724</v>
      </c>
      <c r="I55" s="960">
        <f t="shared" si="2"/>
        <v>0</v>
      </c>
      <c r="J55" s="959"/>
      <c r="K55" s="1661"/>
    </row>
    <row r="56" spans="1:11" ht="13.5" customHeight="1" x14ac:dyDescent="0.2">
      <c r="A56" s="1640"/>
      <c r="B56" s="1643"/>
      <c r="C56" s="859">
        <v>2279</v>
      </c>
      <c r="D56" s="959">
        <v>15382</v>
      </c>
      <c r="E56" s="960"/>
      <c r="F56" s="960"/>
      <c r="G56" s="960"/>
      <c r="H56" s="960">
        <f t="shared" si="2"/>
        <v>15382</v>
      </c>
      <c r="I56" s="960">
        <f t="shared" si="2"/>
        <v>0</v>
      </c>
      <c r="J56" s="959"/>
      <c r="K56" s="1661"/>
    </row>
    <row r="57" spans="1:11" ht="14.25" customHeight="1" x14ac:dyDescent="0.2">
      <c r="A57" s="1641"/>
      <c r="B57" s="1644"/>
      <c r="C57" s="859">
        <v>2314</v>
      </c>
      <c r="D57" s="959">
        <v>2364</v>
      </c>
      <c r="E57" s="960"/>
      <c r="F57" s="960"/>
      <c r="G57" s="960"/>
      <c r="H57" s="960">
        <f t="shared" si="2"/>
        <v>2364</v>
      </c>
      <c r="I57" s="960">
        <f t="shared" si="2"/>
        <v>0</v>
      </c>
      <c r="J57" s="959"/>
      <c r="K57" s="1662"/>
    </row>
    <row r="58" spans="1:11" x14ac:dyDescent="0.2">
      <c r="A58" s="962" t="s">
        <v>1077</v>
      </c>
      <c r="B58" s="1024" t="s">
        <v>1078</v>
      </c>
      <c r="C58" s="949"/>
      <c r="D58" s="950">
        <f t="shared" ref="D58:I58" si="8">SUM(D59,D64,D69,D72)</f>
        <v>6485</v>
      </c>
      <c r="E58" s="950">
        <f t="shared" si="8"/>
        <v>8887</v>
      </c>
      <c r="F58" s="950">
        <f t="shared" si="8"/>
        <v>0</v>
      </c>
      <c r="G58" s="950">
        <f t="shared" si="8"/>
        <v>0</v>
      </c>
      <c r="H58" s="950">
        <f t="shared" si="8"/>
        <v>6485</v>
      </c>
      <c r="I58" s="950">
        <f t="shared" si="8"/>
        <v>8887</v>
      </c>
      <c r="J58" s="952"/>
      <c r="K58" s="1636" t="s">
        <v>1081</v>
      </c>
    </row>
    <row r="59" spans="1:11" ht="13.5" customHeight="1" x14ac:dyDescent="0.2">
      <c r="A59" s="1651" t="s">
        <v>1079</v>
      </c>
      <c r="B59" s="1654" t="s">
        <v>1080</v>
      </c>
      <c r="C59" s="949"/>
      <c r="D59" s="950">
        <f>SUM(D60:D63)</f>
        <v>4005</v>
      </c>
      <c r="E59" s="950">
        <f t="shared" ref="E59:G59" si="9">SUM(E60:E63)</f>
        <v>0</v>
      </c>
      <c r="F59" s="950">
        <f t="shared" si="9"/>
        <v>0</v>
      </c>
      <c r="G59" s="950">
        <f t="shared" si="9"/>
        <v>0</v>
      </c>
      <c r="H59" s="951">
        <f t="shared" si="2"/>
        <v>4005</v>
      </c>
      <c r="I59" s="951">
        <f t="shared" si="2"/>
        <v>0</v>
      </c>
      <c r="J59" s="952"/>
      <c r="K59" s="1637"/>
    </row>
    <row r="60" spans="1:11" ht="13.5" customHeight="1" x14ac:dyDescent="0.2">
      <c r="A60" s="1652"/>
      <c r="B60" s="1655"/>
      <c r="C60" s="953">
        <v>1150</v>
      </c>
      <c r="D60" s="954">
        <v>1200</v>
      </c>
      <c r="E60" s="952"/>
      <c r="F60" s="952"/>
      <c r="G60" s="952"/>
      <c r="H60" s="952">
        <f t="shared" si="2"/>
        <v>1200</v>
      </c>
      <c r="I60" s="952">
        <f t="shared" si="2"/>
        <v>0</v>
      </c>
      <c r="J60" s="952"/>
      <c r="K60" s="1637"/>
    </row>
    <row r="61" spans="1:11" ht="13.5" customHeight="1" x14ac:dyDescent="0.2">
      <c r="A61" s="1652"/>
      <c r="B61" s="1655"/>
      <c r="C61" s="953">
        <v>1210</v>
      </c>
      <c r="D61" s="954">
        <v>60</v>
      </c>
      <c r="E61" s="952"/>
      <c r="F61" s="952"/>
      <c r="G61" s="952"/>
      <c r="H61" s="952">
        <f t="shared" si="2"/>
        <v>60</v>
      </c>
      <c r="I61" s="952">
        <f t="shared" si="2"/>
        <v>0</v>
      </c>
      <c r="J61" s="952"/>
      <c r="K61" s="1637"/>
    </row>
    <row r="62" spans="1:11" ht="13.5" customHeight="1" x14ac:dyDescent="0.2">
      <c r="A62" s="1652"/>
      <c r="B62" s="1655"/>
      <c r="C62" s="953">
        <v>2279</v>
      </c>
      <c r="D62" s="954">
        <v>2505</v>
      </c>
      <c r="E62" s="952"/>
      <c r="F62" s="952"/>
      <c r="G62" s="952"/>
      <c r="H62" s="952">
        <f t="shared" si="2"/>
        <v>2505</v>
      </c>
      <c r="I62" s="952">
        <f t="shared" si="2"/>
        <v>0</v>
      </c>
      <c r="J62" s="952"/>
      <c r="K62" s="1637"/>
    </row>
    <row r="63" spans="1:11" ht="13.5" customHeight="1" x14ac:dyDescent="0.2">
      <c r="A63" s="1653"/>
      <c r="B63" s="1656"/>
      <c r="C63" s="953">
        <v>2314</v>
      </c>
      <c r="D63" s="954">
        <v>240</v>
      </c>
      <c r="E63" s="952"/>
      <c r="F63" s="952"/>
      <c r="G63" s="952"/>
      <c r="H63" s="952">
        <f t="shared" si="2"/>
        <v>240</v>
      </c>
      <c r="I63" s="952">
        <f t="shared" si="2"/>
        <v>0</v>
      </c>
      <c r="J63" s="952"/>
      <c r="K63" s="1638"/>
    </row>
    <row r="64" spans="1:11" ht="15" customHeight="1" x14ac:dyDescent="0.2">
      <c r="A64" s="1639" t="s">
        <v>1082</v>
      </c>
      <c r="B64" s="1642" t="s">
        <v>1083</v>
      </c>
      <c r="C64" s="961"/>
      <c r="D64" s="542">
        <f>SUM(D65:D68)</f>
        <v>1730</v>
      </c>
      <c r="E64" s="542">
        <f t="shared" ref="E64:G64" si="10">SUM(E65:E68)</f>
        <v>7015</v>
      </c>
      <c r="F64" s="542">
        <f t="shared" si="10"/>
        <v>0</v>
      </c>
      <c r="G64" s="542">
        <f t="shared" si="10"/>
        <v>0</v>
      </c>
      <c r="H64" s="958">
        <f t="shared" si="2"/>
        <v>1730</v>
      </c>
      <c r="I64" s="958">
        <f t="shared" si="2"/>
        <v>7015</v>
      </c>
      <c r="J64" s="959"/>
      <c r="K64" s="1660" t="s">
        <v>1084</v>
      </c>
    </row>
    <row r="65" spans="1:11" ht="12.75" customHeight="1" x14ac:dyDescent="0.2">
      <c r="A65" s="1640"/>
      <c r="B65" s="1643"/>
      <c r="C65" s="957">
        <v>1150</v>
      </c>
      <c r="D65" s="959">
        <v>860</v>
      </c>
      <c r="E65" s="960">
        <v>2387</v>
      </c>
      <c r="F65" s="960"/>
      <c r="G65" s="960"/>
      <c r="H65" s="960">
        <f t="shared" si="2"/>
        <v>860</v>
      </c>
      <c r="I65" s="960">
        <f t="shared" si="2"/>
        <v>2387</v>
      </c>
      <c r="J65" s="959"/>
      <c r="K65" s="1661"/>
    </row>
    <row r="66" spans="1:11" ht="12.75" customHeight="1" x14ac:dyDescent="0.2">
      <c r="A66" s="1640"/>
      <c r="B66" s="1643"/>
      <c r="C66" s="957">
        <v>1210</v>
      </c>
      <c r="D66" s="959">
        <v>43</v>
      </c>
      <c r="E66" s="960">
        <v>120</v>
      </c>
      <c r="F66" s="960"/>
      <c r="G66" s="960"/>
      <c r="H66" s="960">
        <f t="shared" si="2"/>
        <v>43</v>
      </c>
      <c r="I66" s="960">
        <f t="shared" si="2"/>
        <v>120</v>
      </c>
      <c r="J66" s="959"/>
      <c r="K66" s="1661"/>
    </row>
    <row r="67" spans="1:11" ht="22.5" customHeight="1" x14ac:dyDescent="0.2">
      <c r="A67" s="1640"/>
      <c r="B67" s="1643"/>
      <c r="C67" s="957">
        <v>2279</v>
      </c>
      <c r="D67" s="959">
        <v>827</v>
      </c>
      <c r="E67" s="960">
        <v>4204</v>
      </c>
      <c r="F67" s="960"/>
      <c r="G67" s="960">
        <v>-96</v>
      </c>
      <c r="H67" s="960">
        <f t="shared" si="2"/>
        <v>827</v>
      </c>
      <c r="I67" s="960">
        <f t="shared" si="2"/>
        <v>4108</v>
      </c>
      <c r="J67" s="959" t="s">
        <v>1085</v>
      </c>
      <c r="K67" s="1661"/>
    </row>
    <row r="68" spans="1:11" ht="21.75" customHeight="1" x14ac:dyDescent="0.2">
      <c r="A68" s="1641"/>
      <c r="B68" s="1644"/>
      <c r="C68" s="957">
        <v>2314</v>
      </c>
      <c r="D68" s="959">
        <v>0</v>
      </c>
      <c r="E68" s="960">
        <v>304</v>
      </c>
      <c r="F68" s="960"/>
      <c r="G68" s="960">
        <v>96</v>
      </c>
      <c r="H68" s="960">
        <f t="shared" si="2"/>
        <v>0</v>
      </c>
      <c r="I68" s="960">
        <f t="shared" si="2"/>
        <v>400</v>
      </c>
      <c r="J68" s="959" t="s">
        <v>1086</v>
      </c>
      <c r="K68" s="1662"/>
    </row>
    <row r="69" spans="1:11" ht="12.75" customHeight="1" x14ac:dyDescent="0.2">
      <c r="A69" s="1639" t="s">
        <v>1087</v>
      </c>
      <c r="B69" s="1642" t="s">
        <v>1088</v>
      </c>
      <c r="C69" s="961"/>
      <c r="D69" s="542">
        <f>SUM(D70:D71)</f>
        <v>550</v>
      </c>
      <c r="E69" s="542">
        <f>SUM(E70:E71)</f>
        <v>0</v>
      </c>
      <c r="F69" s="542">
        <f>SUM(F70:F71)</f>
        <v>0</v>
      </c>
      <c r="G69" s="542">
        <f>SUM(G70:G71)</f>
        <v>0</v>
      </c>
      <c r="H69" s="958">
        <f t="shared" si="2"/>
        <v>550</v>
      </c>
      <c r="I69" s="958">
        <f t="shared" si="2"/>
        <v>0</v>
      </c>
      <c r="J69" s="960"/>
      <c r="K69" s="1666" t="s">
        <v>1089</v>
      </c>
    </row>
    <row r="70" spans="1:11" ht="14.25" customHeight="1" x14ac:dyDescent="0.2">
      <c r="A70" s="1640"/>
      <c r="B70" s="1643"/>
      <c r="C70" s="957">
        <v>2312</v>
      </c>
      <c r="D70" s="959">
        <v>100</v>
      </c>
      <c r="E70" s="960"/>
      <c r="F70" s="960"/>
      <c r="G70" s="960"/>
      <c r="H70" s="960">
        <f t="shared" si="2"/>
        <v>100</v>
      </c>
      <c r="I70" s="960">
        <f t="shared" si="2"/>
        <v>0</v>
      </c>
      <c r="J70" s="959"/>
      <c r="K70" s="1667"/>
    </row>
    <row r="71" spans="1:11" ht="12.75" customHeight="1" x14ac:dyDescent="0.2">
      <c r="A71" s="1641"/>
      <c r="B71" s="1644"/>
      <c r="C71" s="957">
        <v>2314</v>
      </c>
      <c r="D71" s="959">
        <v>450</v>
      </c>
      <c r="E71" s="960"/>
      <c r="F71" s="960"/>
      <c r="G71" s="960"/>
      <c r="H71" s="960">
        <f t="shared" si="2"/>
        <v>450</v>
      </c>
      <c r="I71" s="960">
        <f t="shared" si="2"/>
        <v>0</v>
      </c>
      <c r="J71" s="960"/>
      <c r="K71" s="1668"/>
    </row>
    <row r="72" spans="1:11" ht="27.75" customHeight="1" x14ac:dyDescent="0.2">
      <c r="A72" s="1639" t="s">
        <v>1090</v>
      </c>
      <c r="B72" s="1642" t="s">
        <v>1091</v>
      </c>
      <c r="C72" s="957"/>
      <c r="D72" s="542">
        <f>SUM(D73:D76)</f>
        <v>200</v>
      </c>
      <c r="E72" s="542">
        <f t="shared" ref="E72:G72" si="11">SUM(E73:E76)</f>
        <v>1872</v>
      </c>
      <c r="F72" s="542">
        <f t="shared" si="11"/>
        <v>0</v>
      </c>
      <c r="G72" s="542">
        <f t="shared" si="11"/>
        <v>0</v>
      </c>
      <c r="H72" s="958">
        <f t="shared" si="2"/>
        <v>200</v>
      </c>
      <c r="I72" s="958">
        <f t="shared" si="2"/>
        <v>1872</v>
      </c>
      <c r="J72" s="960"/>
      <c r="K72" s="1660" t="s">
        <v>1092</v>
      </c>
    </row>
    <row r="73" spans="1:11" ht="27.75" customHeight="1" x14ac:dyDescent="0.2">
      <c r="A73" s="1640"/>
      <c r="B73" s="1643"/>
      <c r="C73" s="957">
        <v>1150</v>
      </c>
      <c r="D73" s="959">
        <v>0</v>
      </c>
      <c r="E73" s="960">
        <v>200</v>
      </c>
      <c r="F73" s="960"/>
      <c r="G73" s="960">
        <v>-200</v>
      </c>
      <c r="H73" s="960">
        <f t="shared" si="2"/>
        <v>0</v>
      </c>
      <c r="I73" s="960">
        <f t="shared" si="2"/>
        <v>0</v>
      </c>
      <c r="J73" s="959" t="s">
        <v>1093</v>
      </c>
      <c r="K73" s="1661"/>
    </row>
    <row r="74" spans="1:11" ht="27.75" customHeight="1" x14ac:dyDescent="0.2">
      <c r="A74" s="1640"/>
      <c r="B74" s="1643"/>
      <c r="C74" s="957">
        <v>1210</v>
      </c>
      <c r="D74" s="959">
        <v>0</v>
      </c>
      <c r="E74" s="960">
        <v>10</v>
      </c>
      <c r="F74" s="960"/>
      <c r="G74" s="960">
        <v>-10</v>
      </c>
      <c r="H74" s="960">
        <f t="shared" si="2"/>
        <v>0</v>
      </c>
      <c r="I74" s="960">
        <f t="shared" si="2"/>
        <v>0</v>
      </c>
      <c r="J74" s="959" t="s">
        <v>1094</v>
      </c>
      <c r="K74" s="1661"/>
    </row>
    <row r="75" spans="1:11" ht="27.75" customHeight="1" x14ac:dyDescent="0.2">
      <c r="A75" s="1640"/>
      <c r="B75" s="1643"/>
      <c r="C75" s="957">
        <v>2269</v>
      </c>
      <c r="D75" s="959">
        <v>0</v>
      </c>
      <c r="E75" s="960">
        <v>300</v>
      </c>
      <c r="F75" s="960"/>
      <c r="G75" s="960"/>
      <c r="H75" s="960">
        <f t="shared" si="2"/>
        <v>0</v>
      </c>
      <c r="I75" s="960">
        <f t="shared" si="2"/>
        <v>300</v>
      </c>
      <c r="J75" s="959"/>
      <c r="K75" s="1661"/>
    </row>
    <row r="76" spans="1:11" ht="27.75" customHeight="1" x14ac:dyDescent="0.2">
      <c r="A76" s="1641"/>
      <c r="B76" s="1644"/>
      <c r="C76" s="957">
        <v>2279</v>
      </c>
      <c r="D76" s="959">
        <v>200</v>
      </c>
      <c r="E76" s="960">
        <v>1362</v>
      </c>
      <c r="F76" s="960"/>
      <c r="G76" s="960">
        <v>210</v>
      </c>
      <c r="H76" s="960">
        <f t="shared" si="2"/>
        <v>200</v>
      </c>
      <c r="I76" s="960">
        <f t="shared" si="2"/>
        <v>1572</v>
      </c>
      <c r="J76" s="959" t="s">
        <v>1095</v>
      </c>
      <c r="K76" s="1662"/>
    </row>
    <row r="77" spans="1:11" x14ac:dyDescent="0.2">
      <c r="A77" s="962" t="s">
        <v>1096</v>
      </c>
      <c r="B77" s="1024" t="s">
        <v>1097</v>
      </c>
      <c r="C77" s="955"/>
      <c r="D77" s="950">
        <f>SUM(D78,D81,D85,D91,D96,D102,D106)</f>
        <v>12302</v>
      </c>
      <c r="E77" s="950">
        <f t="shared" ref="E77:I77" si="12">SUM(E78,E81,E85,E91,E96,E102,E106)</f>
        <v>4264</v>
      </c>
      <c r="F77" s="950">
        <f t="shared" si="12"/>
        <v>0</v>
      </c>
      <c r="G77" s="950">
        <f t="shared" si="12"/>
        <v>0</v>
      </c>
      <c r="H77" s="950">
        <f t="shared" si="12"/>
        <v>12302</v>
      </c>
      <c r="I77" s="950">
        <f t="shared" si="12"/>
        <v>4264</v>
      </c>
      <c r="J77" s="954"/>
      <c r="K77" s="952"/>
    </row>
    <row r="78" spans="1:11" ht="17.25" customHeight="1" x14ac:dyDescent="0.2">
      <c r="A78" s="1651" t="s">
        <v>1098</v>
      </c>
      <c r="B78" s="1663" t="s">
        <v>1099</v>
      </c>
      <c r="C78" s="953"/>
      <c r="D78" s="950">
        <f>SUM(D79:D80)</f>
        <v>116</v>
      </c>
      <c r="E78" s="950">
        <f t="shared" ref="E78:G78" si="13">SUM(E79:E80)</f>
        <v>0</v>
      </c>
      <c r="F78" s="950">
        <f t="shared" si="13"/>
        <v>0</v>
      </c>
      <c r="G78" s="950">
        <f t="shared" si="13"/>
        <v>0</v>
      </c>
      <c r="H78" s="951">
        <f t="shared" si="2"/>
        <v>116</v>
      </c>
      <c r="I78" s="951">
        <f t="shared" si="2"/>
        <v>0</v>
      </c>
      <c r="J78" s="952"/>
      <c r="K78" s="1636" t="s">
        <v>1100</v>
      </c>
    </row>
    <row r="79" spans="1:11" ht="17.25" customHeight="1" x14ac:dyDescent="0.2">
      <c r="A79" s="1652"/>
      <c r="B79" s="1664"/>
      <c r="C79" s="953">
        <v>1150</v>
      </c>
      <c r="D79" s="954">
        <v>110</v>
      </c>
      <c r="E79" s="952"/>
      <c r="F79" s="952"/>
      <c r="G79" s="952"/>
      <c r="H79" s="952">
        <f t="shared" si="2"/>
        <v>110</v>
      </c>
      <c r="I79" s="952">
        <f t="shared" si="2"/>
        <v>0</v>
      </c>
      <c r="J79" s="952"/>
      <c r="K79" s="1637"/>
    </row>
    <row r="80" spans="1:11" ht="17.25" customHeight="1" x14ac:dyDescent="0.2">
      <c r="A80" s="1653"/>
      <c r="B80" s="1665"/>
      <c r="C80" s="953">
        <v>1210</v>
      </c>
      <c r="D80" s="954">
        <v>6</v>
      </c>
      <c r="E80" s="952"/>
      <c r="F80" s="952"/>
      <c r="G80" s="952"/>
      <c r="H80" s="952">
        <f t="shared" si="2"/>
        <v>6</v>
      </c>
      <c r="I80" s="952">
        <f t="shared" si="2"/>
        <v>0</v>
      </c>
      <c r="J80" s="952"/>
      <c r="K80" s="1638"/>
    </row>
    <row r="81" spans="1:11" x14ac:dyDescent="0.2">
      <c r="A81" s="1651" t="s">
        <v>1101</v>
      </c>
      <c r="B81" s="1654" t="s">
        <v>1102</v>
      </c>
      <c r="C81" s="953"/>
      <c r="D81" s="950">
        <f>SUM(D82:D84)</f>
        <v>200</v>
      </c>
      <c r="E81" s="950">
        <f t="shared" ref="E81:G81" si="14">SUM(E82:E84)</f>
        <v>0</v>
      </c>
      <c r="F81" s="950">
        <f t="shared" si="14"/>
        <v>0</v>
      </c>
      <c r="G81" s="950">
        <f t="shared" si="14"/>
        <v>0</v>
      </c>
      <c r="H81" s="951">
        <f t="shared" si="2"/>
        <v>200</v>
      </c>
      <c r="I81" s="951">
        <f t="shared" si="2"/>
        <v>0</v>
      </c>
      <c r="J81" s="952"/>
      <c r="K81" s="1636" t="s">
        <v>1103</v>
      </c>
    </row>
    <row r="82" spans="1:11" ht="12.75" customHeight="1" x14ac:dyDescent="0.2">
      <c r="A82" s="1652"/>
      <c r="B82" s="1655"/>
      <c r="C82" s="953">
        <v>1150</v>
      </c>
      <c r="D82" s="954">
        <v>95</v>
      </c>
      <c r="E82" s="952"/>
      <c r="F82" s="952"/>
      <c r="G82" s="952"/>
      <c r="H82" s="952">
        <f t="shared" si="2"/>
        <v>95</v>
      </c>
      <c r="I82" s="952">
        <f t="shared" si="2"/>
        <v>0</v>
      </c>
      <c r="J82" s="952"/>
      <c r="K82" s="1637"/>
    </row>
    <row r="83" spans="1:11" ht="12.75" customHeight="1" x14ac:dyDescent="0.2">
      <c r="A83" s="1652"/>
      <c r="B83" s="1655"/>
      <c r="C83" s="953">
        <v>1210</v>
      </c>
      <c r="D83" s="954">
        <v>5</v>
      </c>
      <c r="E83" s="952"/>
      <c r="F83" s="952"/>
      <c r="G83" s="952"/>
      <c r="H83" s="952">
        <f t="shared" si="2"/>
        <v>5</v>
      </c>
      <c r="I83" s="952">
        <f t="shared" si="2"/>
        <v>0</v>
      </c>
      <c r="J83" s="952"/>
      <c r="K83" s="1637"/>
    </row>
    <row r="84" spans="1:11" ht="14.25" customHeight="1" x14ac:dyDescent="0.2">
      <c r="A84" s="1653"/>
      <c r="B84" s="1656"/>
      <c r="C84" s="953">
        <v>2314</v>
      </c>
      <c r="D84" s="954">
        <v>100</v>
      </c>
      <c r="E84" s="952"/>
      <c r="F84" s="952"/>
      <c r="G84" s="952"/>
      <c r="H84" s="952">
        <f t="shared" si="2"/>
        <v>100</v>
      </c>
      <c r="I84" s="952">
        <f t="shared" si="2"/>
        <v>0</v>
      </c>
      <c r="J84" s="952"/>
      <c r="K84" s="1638"/>
    </row>
    <row r="85" spans="1:11" ht="19.5" customHeight="1" x14ac:dyDescent="0.2">
      <c r="A85" s="1639" t="s">
        <v>1104</v>
      </c>
      <c r="B85" s="1642" t="s">
        <v>1105</v>
      </c>
      <c r="C85" s="957"/>
      <c r="D85" s="542">
        <f>SUM(D86:D90)</f>
        <v>2607</v>
      </c>
      <c r="E85" s="542">
        <f t="shared" ref="E85:G85" si="15">SUM(E86:E90)</f>
        <v>0</v>
      </c>
      <c r="F85" s="542">
        <f t="shared" si="15"/>
        <v>0</v>
      </c>
      <c r="G85" s="542">
        <f t="shared" si="15"/>
        <v>0</v>
      </c>
      <c r="H85" s="958">
        <f t="shared" si="2"/>
        <v>2607</v>
      </c>
      <c r="I85" s="958">
        <f t="shared" si="2"/>
        <v>0</v>
      </c>
      <c r="J85" s="960"/>
      <c r="K85" s="1660" t="s">
        <v>1106</v>
      </c>
    </row>
    <row r="86" spans="1:11" ht="12.75" customHeight="1" x14ac:dyDescent="0.2">
      <c r="A86" s="1640"/>
      <c r="B86" s="1643"/>
      <c r="C86" s="957">
        <v>1150</v>
      </c>
      <c r="D86" s="959">
        <v>600</v>
      </c>
      <c r="E86" s="960"/>
      <c r="F86" s="960"/>
      <c r="G86" s="960"/>
      <c r="H86" s="960">
        <f t="shared" si="2"/>
        <v>600</v>
      </c>
      <c r="I86" s="960">
        <f t="shared" si="2"/>
        <v>0</v>
      </c>
      <c r="J86" s="960"/>
      <c r="K86" s="1661"/>
    </row>
    <row r="87" spans="1:11" ht="12.75" customHeight="1" x14ac:dyDescent="0.2">
      <c r="A87" s="1640"/>
      <c r="B87" s="1643"/>
      <c r="C87" s="957">
        <v>1210</v>
      </c>
      <c r="D87" s="959">
        <v>30</v>
      </c>
      <c r="E87" s="960"/>
      <c r="F87" s="960"/>
      <c r="G87" s="960"/>
      <c r="H87" s="960">
        <f t="shared" si="2"/>
        <v>30</v>
      </c>
      <c r="I87" s="960">
        <f t="shared" si="2"/>
        <v>0</v>
      </c>
      <c r="J87" s="960"/>
      <c r="K87" s="1661"/>
    </row>
    <row r="88" spans="1:11" ht="14.25" customHeight="1" x14ac:dyDescent="0.2">
      <c r="A88" s="1640"/>
      <c r="B88" s="1643"/>
      <c r="C88" s="957">
        <v>2264</v>
      </c>
      <c r="D88" s="959">
        <v>1122</v>
      </c>
      <c r="E88" s="960"/>
      <c r="F88" s="960"/>
      <c r="G88" s="960"/>
      <c r="H88" s="960">
        <f t="shared" si="2"/>
        <v>1122</v>
      </c>
      <c r="I88" s="960">
        <f t="shared" si="2"/>
        <v>0</v>
      </c>
      <c r="J88" s="959"/>
      <c r="K88" s="1661"/>
    </row>
    <row r="89" spans="1:11" ht="14.25" customHeight="1" x14ac:dyDescent="0.2">
      <c r="A89" s="1640"/>
      <c r="B89" s="1643"/>
      <c r="C89" s="957">
        <v>2279</v>
      </c>
      <c r="D89" s="959">
        <v>705</v>
      </c>
      <c r="E89" s="960"/>
      <c r="F89" s="960"/>
      <c r="G89" s="960"/>
      <c r="H89" s="960">
        <f t="shared" si="2"/>
        <v>705</v>
      </c>
      <c r="I89" s="960">
        <f t="shared" si="2"/>
        <v>0</v>
      </c>
      <c r="J89" s="959"/>
      <c r="K89" s="1661"/>
    </row>
    <row r="90" spans="1:11" ht="12.75" customHeight="1" x14ac:dyDescent="0.2">
      <c r="A90" s="1641"/>
      <c r="B90" s="1644"/>
      <c r="C90" s="957">
        <v>2314</v>
      </c>
      <c r="D90" s="959">
        <v>150</v>
      </c>
      <c r="E90" s="960"/>
      <c r="F90" s="960"/>
      <c r="G90" s="960"/>
      <c r="H90" s="960">
        <f t="shared" si="2"/>
        <v>150</v>
      </c>
      <c r="I90" s="960">
        <f t="shared" si="2"/>
        <v>0</v>
      </c>
      <c r="J90" s="960"/>
      <c r="K90" s="1662"/>
    </row>
    <row r="91" spans="1:11" ht="13.5" customHeight="1" x14ac:dyDescent="0.2">
      <c r="A91" s="1639" t="s">
        <v>1107</v>
      </c>
      <c r="B91" s="1642" t="s">
        <v>1091</v>
      </c>
      <c r="C91" s="957"/>
      <c r="D91" s="542">
        <f>SUM(D92:D95)</f>
        <v>200</v>
      </c>
      <c r="E91" s="542">
        <f t="shared" ref="E91:G91" si="16">SUM(E92:E95)</f>
        <v>2080</v>
      </c>
      <c r="F91" s="542">
        <f t="shared" si="16"/>
        <v>0</v>
      </c>
      <c r="G91" s="542">
        <f t="shared" si="16"/>
        <v>0</v>
      </c>
      <c r="H91" s="958">
        <f t="shared" si="2"/>
        <v>200</v>
      </c>
      <c r="I91" s="958">
        <f t="shared" si="2"/>
        <v>2080</v>
      </c>
      <c r="J91" s="959"/>
      <c r="K91" s="1660" t="s">
        <v>1092</v>
      </c>
    </row>
    <row r="92" spans="1:11" ht="13.5" customHeight="1" x14ac:dyDescent="0.2">
      <c r="A92" s="1640"/>
      <c r="B92" s="1643"/>
      <c r="C92" s="957">
        <v>1150</v>
      </c>
      <c r="D92" s="959">
        <v>0</v>
      </c>
      <c r="E92" s="960">
        <v>200</v>
      </c>
      <c r="F92" s="960"/>
      <c r="G92" s="960">
        <v>-200</v>
      </c>
      <c r="H92" s="960">
        <f t="shared" si="2"/>
        <v>0</v>
      </c>
      <c r="I92" s="960">
        <f t="shared" si="2"/>
        <v>0</v>
      </c>
      <c r="J92" s="959" t="s">
        <v>1093</v>
      </c>
      <c r="K92" s="1661"/>
    </row>
    <row r="93" spans="1:11" ht="13.5" customHeight="1" x14ac:dyDescent="0.2">
      <c r="A93" s="1640"/>
      <c r="B93" s="1643"/>
      <c r="C93" s="957">
        <v>1210</v>
      </c>
      <c r="D93" s="959">
        <v>0</v>
      </c>
      <c r="E93" s="960">
        <v>10</v>
      </c>
      <c r="F93" s="960"/>
      <c r="G93" s="960">
        <v>-10</v>
      </c>
      <c r="H93" s="960">
        <f t="shared" si="2"/>
        <v>0</v>
      </c>
      <c r="I93" s="960">
        <f t="shared" si="2"/>
        <v>0</v>
      </c>
      <c r="J93" s="959" t="s">
        <v>1094</v>
      </c>
      <c r="K93" s="1661"/>
    </row>
    <row r="94" spans="1:11" ht="13.5" customHeight="1" x14ac:dyDescent="0.2">
      <c r="A94" s="1640"/>
      <c r="B94" s="1643"/>
      <c r="C94" s="957">
        <v>2269</v>
      </c>
      <c r="D94" s="959">
        <v>0</v>
      </c>
      <c r="E94" s="960">
        <v>300</v>
      </c>
      <c r="F94" s="960"/>
      <c r="G94" s="960"/>
      <c r="H94" s="960">
        <f t="shared" si="2"/>
        <v>0</v>
      </c>
      <c r="I94" s="960">
        <f t="shared" si="2"/>
        <v>300</v>
      </c>
      <c r="J94" s="959"/>
      <c r="K94" s="1661"/>
    </row>
    <row r="95" spans="1:11" ht="13.5" customHeight="1" x14ac:dyDescent="0.2">
      <c r="A95" s="1641"/>
      <c r="B95" s="1644"/>
      <c r="C95" s="957">
        <v>2279</v>
      </c>
      <c r="D95" s="959">
        <v>200</v>
      </c>
      <c r="E95" s="960">
        <v>1570</v>
      </c>
      <c r="F95" s="960"/>
      <c r="G95" s="960">
        <v>210</v>
      </c>
      <c r="H95" s="960">
        <f t="shared" si="2"/>
        <v>200</v>
      </c>
      <c r="I95" s="960">
        <f t="shared" si="2"/>
        <v>1780</v>
      </c>
      <c r="J95" s="959" t="s">
        <v>1095</v>
      </c>
      <c r="K95" s="1662"/>
    </row>
    <row r="96" spans="1:11" x14ac:dyDescent="0.2">
      <c r="A96" s="1639" t="s">
        <v>1108</v>
      </c>
      <c r="B96" s="1642" t="s">
        <v>1109</v>
      </c>
      <c r="C96" s="957"/>
      <c r="D96" s="542">
        <f>SUM(D97:D101)</f>
        <v>2280</v>
      </c>
      <c r="E96" s="542">
        <f t="shared" ref="E96:G96" si="17">SUM(E97:E101)</f>
        <v>0</v>
      </c>
      <c r="F96" s="542">
        <f t="shared" si="17"/>
        <v>0</v>
      </c>
      <c r="G96" s="542">
        <f t="shared" si="17"/>
        <v>0</v>
      </c>
      <c r="H96" s="958">
        <f t="shared" si="2"/>
        <v>2280</v>
      </c>
      <c r="I96" s="958">
        <f t="shared" si="2"/>
        <v>0</v>
      </c>
      <c r="J96" s="959"/>
      <c r="K96" s="1660" t="s">
        <v>1110</v>
      </c>
    </row>
    <row r="97" spans="1:11" ht="12.75" customHeight="1" x14ac:dyDescent="0.2">
      <c r="A97" s="1640"/>
      <c r="B97" s="1643"/>
      <c r="C97" s="957">
        <v>1150</v>
      </c>
      <c r="D97" s="959">
        <v>666</v>
      </c>
      <c r="E97" s="960"/>
      <c r="F97" s="960"/>
      <c r="G97" s="960"/>
      <c r="H97" s="960">
        <f t="shared" si="2"/>
        <v>666</v>
      </c>
      <c r="I97" s="960">
        <f t="shared" si="2"/>
        <v>0</v>
      </c>
      <c r="J97" s="960"/>
      <c r="K97" s="1661"/>
    </row>
    <row r="98" spans="1:11" ht="12.75" customHeight="1" x14ac:dyDescent="0.2">
      <c r="A98" s="1640"/>
      <c r="B98" s="1643"/>
      <c r="C98" s="957">
        <v>1210</v>
      </c>
      <c r="D98" s="959">
        <v>34</v>
      </c>
      <c r="E98" s="960"/>
      <c r="F98" s="960"/>
      <c r="G98" s="960"/>
      <c r="H98" s="960">
        <f t="shared" si="2"/>
        <v>34</v>
      </c>
      <c r="I98" s="960">
        <f t="shared" si="2"/>
        <v>0</v>
      </c>
      <c r="J98" s="960"/>
      <c r="K98" s="1661"/>
    </row>
    <row r="99" spans="1:11" ht="15.75" customHeight="1" x14ac:dyDescent="0.2">
      <c r="A99" s="1640"/>
      <c r="B99" s="1643"/>
      <c r="C99" s="957">
        <v>2264</v>
      </c>
      <c r="D99" s="959">
        <v>674</v>
      </c>
      <c r="E99" s="960"/>
      <c r="F99" s="960"/>
      <c r="G99" s="960"/>
      <c r="H99" s="960">
        <f t="shared" si="2"/>
        <v>674</v>
      </c>
      <c r="I99" s="960">
        <f t="shared" si="2"/>
        <v>0</v>
      </c>
      <c r="J99" s="959"/>
      <c r="K99" s="1661"/>
    </row>
    <row r="100" spans="1:11" ht="15.75" customHeight="1" x14ac:dyDescent="0.2">
      <c r="A100" s="1640"/>
      <c r="B100" s="1643"/>
      <c r="C100" s="957">
        <v>2279</v>
      </c>
      <c r="D100" s="959">
        <v>606</v>
      </c>
      <c r="E100" s="960"/>
      <c r="F100" s="960"/>
      <c r="G100" s="960"/>
      <c r="H100" s="960">
        <f t="shared" si="2"/>
        <v>606</v>
      </c>
      <c r="I100" s="960">
        <f t="shared" si="2"/>
        <v>0</v>
      </c>
      <c r="J100" s="959"/>
      <c r="K100" s="1661"/>
    </row>
    <row r="101" spans="1:11" ht="12.75" customHeight="1" x14ac:dyDescent="0.2">
      <c r="A101" s="1641"/>
      <c r="B101" s="1644"/>
      <c r="C101" s="957">
        <v>2314</v>
      </c>
      <c r="D101" s="959">
        <v>300</v>
      </c>
      <c r="E101" s="960"/>
      <c r="F101" s="960"/>
      <c r="G101" s="960"/>
      <c r="H101" s="960">
        <f t="shared" si="2"/>
        <v>300</v>
      </c>
      <c r="I101" s="960">
        <f t="shared" si="2"/>
        <v>0</v>
      </c>
      <c r="J101" s="959"/>
      <c r="K101" s="1662"/>
    </row>
    <row r="102" spans="1:11" x14ac:dyDescent="0.2">
      <c r="A102" s="1651" t="s">
        <v>1111</v>
      </c>
      <c r="B102" s="1654" t="s">
        <v>1112</v>
      </c>
      <c r="C102" s="953"/>
      <c r="D102" s="950">
        <f>SUM(D103:D105)</f>
        <v>549</v>
      </c>
      <c r="E102" s="950">
        <f t="shared" ref="E102:G102" si="18">SUM(E103:E105)</f>
        <v>0</v>
      </c>
      <c r="F102" s="950">
        <f t="shared" si="18"/>
        <v>0</v>
      </c>
      <c r="G102" s="950">
        <f t="shared" si="18"/>
        <v>0</v>
      </c>
      <c r="H102" s="951">
        <f t="shared" si="2"/>
        <v>549</v>
      </c>
      <c r="I102" s="951">
        <f t="shared" si="2"/>
        <v>0</v>
      </c>
      <c r="J102" s="952"/>
      <c r="K102" s="1636" t="s">
        <v>1113</v>
      </c>
    </row>
    <row r="103" spans="1:11" ht="12.75" customHeight="1" x14ac:dyDescent="0.2">
      <c r="A103" s="1652"/>
      <c r="B103" s="1655"/>
      <c r="C103" s="953">
        <v>1150</v>
      </c>
      <c r="D103" s="954">
        <v>380</v>
      </c>
      <c r="E103" s="952"/>
      <c r="F103" s="952"/>
      <c r="G103" s="952"/>
      <c r="H103" s="952">
        <f t="shared" si="2"/>
        <v>380</v>
      </c>
      <c r="I103" s="952">
        <f t="shared" si="2"/>
        <v>0</v>
      </c>
      <c r="J103" s="952"/>
      <c r="K103" s="1637"/>
    </row>
    <row r="104" spans="1:11" ht="12.75" customHeight="1" x14ac:dyDescent="0.2">
      <c r="A104" s="1652"/>
      <c r="B104" s="1655"/>
      <c r="C104" s="953">
        <v>1210</v>
      </c>
      <c r="D104" s="954">
        <v>19</v>
      </c>
      <c r="E104" s="952"/>
      <c r="F104" s="952"/>
      <c r="G104" s="952"/>
      <c r="H104" s="952">
        <f t="shared" si="2"/>
        <v>19</v>
      </c>
      <c r="I104" s="952">
        <f t="shared" si="2"/>
        <v>0</v>
      </c>
      <c r="J104" s="952"/>
      <c r="K104" s="1637"/>
    </row>
    <row r="105" spans="1:11" ht="17.25" customHeight="1" x14ac:dyDescent="0.2">
      <c r="A105" s="1653"/>
      <c r="B105" s="1656"/>
      <c r="C105" s="953">
        <v>2314</v>
      </c>
      <c r="D105" s="954">
        <v>150</v>
      </c>
      <c r="E105" s="952"/>
      <c r="F105" s="952"/>
      <c r="G105" s="952"/>
      <c r="H105" s="952">
        <f t="shared" si="2"/>
        <v>150</v>
      </c>
      <c r="I105" s="952">
        <f t="shared" si="2"/>
        <v>0</v>
      </c>
      <c r="J105" s="952"/>
      <c r="K105" s="1638"/>
    </row>
    <row r="106" spans="1:11" ht="16.5" customHeight="1" x14ac:dyDescent="0.2">
      <c r="A106" s="1639" t="s">
        <v>1114</v>
      </c>
      <c r="B106" s="1642" t="s">
        <v>1083</v>
      </c>
      <c r="C106" s="961"/>
      <c r="D106" s="542">
        <f>SUM(D107:D110)</f>
        <v>6350</v>
      </c>
      <c r="E106" s="542">
        <f t="shared" ref="E106:G106" si="19">SUM(E107:E110)</f>
        <v>2184</v>
      </c>
      <c r="F106" s="542">
        <f t="shared" si="19"/>
        <v>0</v>
      </c>
      <c r="G106" s="542">
        <f t="shared" si="19"/>
        <v>0</v>
      </c>
      <c r="H106" s="958">
        <f t="shared" si="2"/>
        <v>6350</v>
      </c>
      <c r="I106" s="958">
        <f t="shared" si="2"/>
        <v>2184</v>
      </c>
      <c r="J106" s="959"/>
      <c r="K106" s="1660" t="s">
        <v>1115</v>
      </c>
    </row>
    <row r="107" spans="1:11" ht="12.75" customHeight="1" x14ac:dyDescent="0.2">
      <c r="A107" s="1640"/>
      <c r="B107" s="1643"/>
      <c r="C107" s="957">
        <v>1150</v>
      </c>
      <c r="D107" s="959">
        <v>4900</v>
      </c>
      <c r="E107" s="960">
        <v>1500</v>
      </c>
      <c r="F107" s="960"/>
      <c r="G107" s="960"/>
      <c r="H107" s="960">
        <f t="shared" si="2"/>
        <v>4900</v>
      </c>
      <c r="I107" s="960">
        <f t="shared" si="2"/>
        <v>1500</v>
      </c>
      <c r="J107" s="959"/>
      <c r="K107" s="1661"/>
    </row>
    <row r="108" spans="1:11" ht="12.75" customHeight="1" x14ac:dyDescent="0.2">
      <c r="A108" s="1640"/>
      <c r="B108" s="1643"/>
      <c r="C108" s="957">
        <v>1210</v>
      </c>
      <c r="D108" s="959">
        <v>245</v>
      </c>
      <c r="E108" s="960">
        <v>75</v>
      </c>
      <c r="F108" s="960"/>
      <c r="G108" s="960"/>
      <c r="H108" s="960">
        <f t="shared" si="2"/>
        <v>245</v>
      </c>
      <c r="I108" s="960">
        <f t="shared" si="2"/>
        <v>75</v>
      </c>
      <c r="J108" s="959"/>
      <c r="K108" s="1661"/>
    </row>
    <row r="109" spans="1:11" ht="12.75" customHeight="1" x14ac:dyDescent="0.2">
      <c r="A109" s="1640"/>
      <c r="B109" s="1643"/>
      <c r="C109" s="957">
        <v>2279</v>
      </c>
      <c r="D109" s="959">
        <v>1005</v>
      </c>
      <c r="E109" s="960">
        <v>609</v>
      </c>
      <c r="F109" s="960"/>
      <c r="G109" s="960"/>
      <c r="H109" s="960">
        <f t="shared" si="2"/>
        <v>1005</v>
      </c>
      <c r="I109" s="960">
        <f t="shared" si="2"/>
        <v>609</v>
      </c>
      <c r="J109" s="959"/>
      <c r="K109" s="1661"/>
    </row>
    <row r="110" spans="1:11" ht="12.75" customHeight="1" x14ac:dyDescent="0.2">
      <c r="A110" s="1641"/>
      <c r="B110" s="1644"/>
      <c r="C110" s="957">
        <v>2314</v>
      </c>
      <c r="D110" s="959">
        <v>200</v>
      </c>
      <c r="E110" s="960">
        <v>0</v>
      </c>
      <c r="F110" s="960"/>
      <c r="G110" s="960"/>
      <c r="H110" s="960">
        <f t="shared" ref="H110:I146" si="20">D110+F110</f>
        <v>200</v>
      </c>
      <c r="I110" s="960">
        <f t="shared" si="20"/>
        <v>0</v>
      </c>
      <c r="J110" s="960"/>
      <c r="K110" s="1662"/>
    </row>
    <row r="111" spans="1:11" x14ac:dyDescent="0.2">
      <c r="A111" s="962" t="s">
        <v>1116</v>
      </c>
      <c r="B111" s="1024" t="s">
        <v>1117</v>
      </c>
      <c r="C111" s="955"/>
      <c r="D111" s="950">
        <f>SUM(D112,D118,D120,D122,D125)</f>
        <v>4515</v>
      </c>
      <c r="E111" s="950">
        <f t="shared" ref="E111:I111" si="21">SUM(E112,E118,E120,E122,E125)</f>
        <v>7714</v>
      </c>
      <c r="F111" s="950">
        <f t="shared" si="21"/>
        <v>0</v>
      </c>
      <c r="G111" s="950">
        <f t="shared" si="21"/>
        <v>0</v>
      </c>
      <c r="H111" s="950">
        <f t="shared" si="21"/>
        <v>4515</v>
      </c>
      <c r="I111" s="950">
        <f t="shared" si="21"/>
        <v>7714</v>
      </c>
      <c r="J111" s="952"/>
      <c r="K111" s="952"/>
    </row>
    <row r="112" spans="1:11" x14ac:dyDescent="0.2">
      <c r="A112" s="1639" t="s">
        <v>1118</v>
      </c>
      <c r="B112" s="1642" t="s">
        <v>1119</v>
      </c>
      <c r="C112" s="963"/>
      <c r="D112" s="542">
        <f>SUM(D113:D117)</f>
        <v>2465</v>
      </c>
      <c r="E112" s="542">
        <f t="shared" ref="E112:G112" si="22">SUM(E113:E117)</f>
        <v>5514</v>
      </c>
      <c r="F112" s="542">
        <f t="shared" si="22"/>
        <v>0</v>
      </c>
      <c r="G112" s="542">
        <f t="shared" si="22"/>
        <v>0</v>
      </c>
      <c r="H112" s="958">
        <f t="shared" si="20"/>
        <v>2465</v>
      </c>
      <c r="I112" s="958">
        <f t="shared" si="20"/>
        <v>5514</v>
      </c>
      <c r="J112" s="960"/>
      <c r="K112" s="1645" t="s">
        <v>1120</v>
      </c>
    </row>
    <row r="113" spans="1:11" ht="12.75" customHeight="1" x14ac:dyDescent="0.2">
      <c r="A113" s="1640"/>
      <c r="B113" s="1643"/>
      <c r="C113" s="957">
        <v>1150</v>
      </c>
      <c r="D113" s="959">
        <v>0</v>
      </c>
      <c r="E113" s="960">
        <v>3180</v>
      </c>
      <c r="F113" s="960"/>
      <c r="G113" s="960"/>
      <c r="H113" s="960">
        <f t="shared" si="20"/>
        <v>0</v>
      </c>
      <c r="I113" s="960">
        <f t="shared" si="20"/>
        <v>3180</v>
      </c>
      <c r="J113" s="960"/>
      <c r="K113" s="1646"/>
    </row>
    <row r="114" spans="1:11" ht="12.75" customHeight="1" x14ac:dyDescent="0.2">
      <c r="A114" s="1640"/>
      <c r="B114" s="1643"/>
      <c r="C114" s="957">
        <v>1210</v>
      </c>
      <c r="D114" s="959">
        <v>0</v>
      </c>
      <c r="E114" s="960">
        <v>159</v>
      </c>
      <c r="F114" s="960"/>
      <c r="G114" s="960"/>
      <c r="H114" s="960">
        <f t="shared" si="20"/>
        <v>0</v>
      </c>
      <c r="I114" s="960">
        <f t="shared" si="20"/>
        <v>159</v>
      </c>
      <c r="J114" s="960"/>
      <c r="K114" s="1646"/>
    </row>
    <row r="115" spans="1:11" ht="15.75" customHeight="1" x14ac:dyDescent="0.2">
      <c r="A115" s="1640"/>
      <c r="B115" s="1643"/>
      <c r="C115" s="957">
        <v>2279</v>
      </c>
      <c r="D115" s="959">
        <v>665</v>
      </c>
      <c r="E115" s="960">
        <v>125</v>
      </c>
      <c r="F115" s="960"/>
      <c r="G115" s="960"/>
      <c r="H115" s="960">
        <f t="shared" si="20"/>
        <v>665</v>
      </c>
      <c r="I115" s="960">
        <f t="shared" si="20"/>
        <v>125</v>
      </c>
      <c r="J115" s="959"/>
      <c r="K115" s="1646"/>
    </row>
    <row r="116" spans="1:11" ht="12.75" customHeight="1" x14ac:dyDescent="0.2">
      <c r="A116" s="1640"/>
      <c r="B116" s="1643"/>
      <c r="C116" s="957">
        <v>2312</v>
      </c>
      <c r="D116" s="959">
        <v>0</v>
      </c>
      <c r="E116" s="960">
        <v>300</v>
      </c>
      <c r="F116" s="960"/>
      <c r="G116" s="960"/>
      <c r="H116" s="960">
        <f t="shared" si="20"/>
        <v>0</v>
      </c>
      <c r="I116" s="960">
        <f t="shared" si="20"/>
        <v>300</v>
      </c>
      <c r="J116" s="960"/>
      <c r="K116" s="1646"/>
    </row>
    <row r="117" spans="1:11" ht="12.75" customHeight="1" x14ac:dyDescent="0.2">
      <c r="A117" s="1641"/>
      <c r="B117" s="1644"/>
      <c r="C117" s="957">
        <v>2314</v>
      </c>
      <c r="D117" s="959">
        <v>1800</v>
      </c>
      <c r="E117" s="960">
        <v>1750</v>
      </c>
      <c r="F117" s="960"/>
      <c r="G117" s="960"/>
      <c r="H117" s="960">
        <f t="shared" si="20"/>
        <v>1800</v>
      </c>
      <c r="I117" s="960">
        <f t="shared" si="20"/>
        <v>1750</v>
      </c>
      <c r="J117" s="960"/>
      <c r="K117" s="1647"/>
    </row>
    <row r="118" spans="1:11" ht="32.25" customHeight="1" x14ac:dyDescent="0.2">
      <c r="A118" s="1651" t="s">
        <v>1121</v>
      </c>
      <c r="B118" s="1654" t="s">
        <v>1122</v>
      </c>
      <c r="C118" s="956"/>
      <c r="D118" s="950">
        <f>SUM(D119)</f>
        <v>0</v>
      </c>
      <c r="E118" s="950">
        <f t="shared" ref="E118:G118" si="23">SUM(E119)</f>
        <v>200</v>
      </c>
      <c r="F118" s="950">
        <f t="shared" si="23"/>
        <v>0</v>
      </c>
      <c r="G118" s="950">
        <f t="shared" si="23"/>
        <v>0</v>
      </c>
      <c r="H118" s="951">
        <f t="shared" si="20"/>
        <v>0</v>
      </c>
      <c r="I118" s="951">
        <f t="shared" si="20"/>
        <v>200</v>
      </c>
      <c r="J118" s="952"/>
      <c r="K118" s="1636" t="s">
        <v>1120</v>
      </c>
    </row>
    <row r="119" spans="1:11" ht="32.25" customHeight="1" x14ac:dyDescent="0.2">
      <c r="A119" s="1653"/>
      <c r="B119" s="1656"/>
      <c r="C119" s="953">
        <v>2314</v>
      </c>
      <c r="D119" s="954">
        <v>0</v>
      </c>
      <c r="E119" s="952">
        <v>200</v>
      </c>
      <c r="F119" s="952"/>
      <c r="G119" s="952"/>
      <c r="H119" s="952">
        <f t="shared" si="20"/>
        <v>0</v>
      </c>
      <c r="I119" s="952">
        <f t="shared" si="20"/>
        <v>200</v>
      </c>
      <c r="J119" s="952"/>
      <c r="K119" s="1638"/>
    </row>
    <row r="120" spans="1:11" ht="24" customHeight="1" x14ac:dyDescent="0.2">
      <c r="A120" s="1651" t="s">
        <v>1123</v>
      </c>
      <c r="B120" s="1654" t="s">
        <v>1124</v>
      </c>
      <c r="C120" s="955"/>
      <c r="D120" s="950">
        <f>SUM(D121)</f>
        <v>0</v>
      </c>
      <c r="E120" s="950">
        <f t="shared" ref="E120:G120" si="24">SUM(E121)</f>
        <v>200</v>
      </c>
      <c r="F120" s="950">
        <f t="shared" si="24"/>
        <v>0</v>
      </c>
      <c r="G120" s="950">
        <f t="shared" si="24"/>
        <v>0</v>
      </c>
      <c r="H120" s="951">
        <f t="shared" si="20"/>
        <v>0</v>
      </c>
      <c r="I120" s="951">
        <f t="shared" si="20"/>
        <v>200</v>
      </c>
      <c r="J120" s="952"/>
      <c r="K120" s="1636" t="s">
        <v>1125</v>
      </c>
    </row>
    <row r="121" spans="1:11" ht="24" customHeight="1" x14ac:dyDescent="0.2">
      <c r="A121" s="1653"/>
      <c r="B121" s="1656"/>
      <c r="C121" s="953">
        <v>2314</v>
      </c>
      <c r="D121" s="954">
        <v>0</v>
      </c>
      <c r="E121" s="952">
        <v>200</v>
      </c>
      <c r="F121" s="952"/>
      <c r="G121" s="952"/>
      <c r="H121" s="952">
        <f t="shared" si="20"/>
        <v>0</v>
      </c>
      <c r="I121" s="952">
        <f t="shared" si="20"/>
        <v>200</v>
      </c>
      <c r="J121" s="952"/>
      <c r="K121" s="1638"/>
    </row>
    <row r="122" spans="1:11" ht="21" customHeight="1" x14ac:dyDescent="0.2">
      <c r="A122" s="1651" t="s">
        <v>1126</v>
      </c>
      <c r="B122" s="1654" t="s">
        <v>1127</v>
      </c>
      <c r="C122" s="955"/>
      <c r="D122" s="950">
        <f>SUM(D123:D124)</f>
        <v>0</v>
      </c>
      <c r="E122" s="950">
        <f t="shared" ref="E122:G122" si="25">SUM(E123:E124)</f>
        <v>800</v>
      </c>
      <c r="F122" s="950">
        <f t="shared" si="25"/>
        <v>0</v>
      </c>
      <c r="G122" s="950">
        <f t="shared" si="25"/>
        <v>0</v>
      </c>
      <c r="H122" s="951">
        <f t="shared" si="20"/>
        <v>0</v>
      </c>
      <c r="I122" s="951">
        <f t="shared" si="20"/>
        <v>800</v>
      </c>
      <c r="J122" s="952"/>
      <c r="K122" s="1636" t="s">
        <v>1128</v>
      </c>
    </row>
    <row r="123" spans="1:11" ht="21" customHeight="1" x14ac:dyDescent="0.2">
      <c r="A123" s="1652"/>
      <c r="B123" s="1655"/>
      <c r="C123" s="953">
        <v>1150</v>
      </c>
      <c r="D123" s="954">
        <v>0</v>
      </c>
      <c r="E123" s="952">
        <v>762</v>
      </c>
      <c r="F123" s="952"/>
      <c r="G123" s="952"/>
      <c r="H123" s="952">
        <f t="shared" si="20"/>
        <v>0</v>
      </c>
      <c r="I123" s="952">
        <f t="shared" si="20"/>
        <v>762</v>
      </c>
      <c r="J123" s="952"/>
      <c r="K123" s="1637"/>
    </row>
    <row r="124" spans="1:11" ht="21" customHeight="1" x14ac:dyDescent="0.2">
      <c r="A124" s="1653"/>
      <c r="B124" s="1656"/>
      <c r="C124" s="953">
        <v>1210</v>
      </c>
      <c r="D124" s="954">
        <v>0</v>
      </c>
      <c r="E124" s="952">
        <v>38</v>
      </c>
      <c r="F124" s="952"/>
      <c r="G124" s="952"/>
      <c r="H124" s="952">
        <f t="shared" si="20"/>
        <v>0</v>
      </c>
      <c r="I124" s="952">
        <f t="shared" si="20"/>
        <v>38</v>
      </c>
      <c r="J124" s="952"/>
      <c r="K124" s="1638"/>
    </row>
    <row r="125" spans="1:11" ht="18" customHeight="1" x14ac:dyDescent="0.2">
      <c r="A125" s="1639" t="s">
        <v>1129</v>
      </c>
      <c r="B125" s="1642" t="s">
        <v>1130</v>
      </c>
      <c r="C125" s="963"/>
      <c r="D125" s="542">
        <f>SUM(D126:D128)</f>
        <v>2050</v>
      </c>
      <c r="E125" s="542">
        <f t="shared" ref="E125:G125" si="26">SUM(E126:E128)</f>
        <v>1000</v>
      </c>
      <c r="F125" s="542">
        <f t="shared" si="26"/>
        <v>0</v>
      </c>
      <c r="G125" s="542">
        <f t="shared" si="26"/>
        <v>0</v>
      </c>
      <c r="H125" s="958">
        <f t="shared" si="20"/>
        <v>2050</v>
      </c>
      <c r="I125" s="958">
        <f t="shared" si="20"/>
        <v>1000</v>
      </c>
      <c r="J125" s="960"/>
      <c r="K125" s="1660" t="s">
        <v>1131</v>
      </c>
    </row>
    <row r="126" spans="1:11" ht="18" customHeight="1" x14ac:dyDescent="0.2">
      <c r="A126" s="1640"/>
      <c r="B126" s="1643"/>
      <c r="C126" s="957">
        <v>2262</v>
      </c>
      <c r="D126" s="959">
        <v>1500</v>
      </c>
      <c r="E126" s="960">
        <v>500</v>
      </c>
      <c r="F126" s="960"/>
      <c r="G126" s="960"/>
      <c r="H126" s="960">
        <f t="shared" si="20"/>
        <v>1500</v>
      </c>
      <c r="I126" s="960">
        <f t="shared" si="20"/>
        <v>500</v>
      </c>
      <c r="J126" s="960"/>
      <c r="K126" s="1661"/>
    </row>
    <row r="127" spans="1:11" ht="18" customHeight="1" x14ac:dyDescent="0.2">
      <c r="A127" s="1640"/>
      <c r="B127" s="1643"/>
      <c r="C127" s="957">
        <v>2279</v>
      </c>
      <c r="D127" s="959">
        <v>550</v>
      </c>
      <c r="E127" s="960">
        <v>0</v>
      </c>
      <c r="F127" s="960"/>
      <c r="G127" s="960"/>
      <c r="H127" s="960">
        <f t="shared" si="20"/>
        <v>550</v>
      </c>
      <c r="I127" s="960">
        <f t="shared" si="20"/>
        <v>0</v>
      </c>
      <c r="J127" s="959"/>
      <c r="K127" s="1661"/>
    </row>
    <row r="128" spans="1:11" ht="18" customHeight="1" x14ac:dyDescent="0.2">
      <c r="A128" s="1641"/>
      <c r="B128" s="1644"/>
      <c r="C128" s="957">
        <v>2363</v>
      </c>
      <c r="D128" s="959">
        <v>0</v>
      </c>
      <c r="E128" s="960">
        <v>500</v>
      </c>
      <c r="F128" s="960"/>
      <c r="G128" s="960"/>
      <c r="H128" s="960">
        <f t="shared" si="20"/>
        <v>0</v>
      </c>
      <c r="I128" s="960">
        <f t="shared" si="20"/>
        <v>500</v>
      </c>
      <c r="J128" s="960"/>
      <c r="K128" s="1662"/>
    </row>
    <row r="129" spans="1:11" ht="18" customHeight="1" x14ac:dyDescent="0.2">
      <c r="A129" s="962" t="s">
        <v>1132</v>
      </c>
      <c r="B129" s="1024" t="s">
        <v>1133</v>
      </c>
      <c r="C129" s="956"/>
      <c r="D129" s="950">
        <f t="shared" ref="D129:I129" si="27">SUM(D130,D135,D141,D147,D153,D158)</f>
        <v>61830</v>
      </c>
      <c r="E129" s="950">
        <f t="shared" si="27"/>
        <v>0</v>
      </c>
      <c r="F129" s="950">
        <f t="shared" si="27"/>
        <v>0</v>
      </c>
      <c r="G129" s="950">
        <f t="shared" si="27"/>
        <v>0</v>
      </c>
      <c r="H129" s="950">
        <f t="shared" si="27"/>
        <v>61830</v>
      </c>
      <c r="I129" s="950">
        <f t="shared" si="27"/>
        <v>0</v>
      </c>
      <c r="J129" s="954"/>
      <c r="K129" s="952"/>
    </row>
    <row r="130" spans="1:11" ht="16.5" customHeight="1" x14ac:dyDescent="0.2">
      <c r="A130" s="1639" t="s">
        <v>1134</v>
      </c>
      <c r="B130" s="1642" t="s">
        <v>1135</v>
      </c>
      <c r="C130" s="961"/>
      <c r="D130" s="542">
        <f>SUM(D131:D134)</f>
        <v>12147</v>
      </c>
      <c r="E130" s="542">
        <f>SUM(E131:E134)</f>
        <v>0</v>
      </c>
      <c r="F130" s="542">
        <f>SUM(F131:F134)</f>
        <v>0</v>
      </c>
      <c r="G130" s="542">
        <f>SUM(G131:G134)</f>
        <v>0</v>
      </c>
      <c r="H130" s="958">
        <f t="shared" si="20"/>
        <v>12147</v>
      </c>
      <c r="I130" s="958">
        <f t="shared" si="20"/>
        <v>0</v>
      </c>
      <c r="J130" s="959"/>
      <c r="K130" s="1660" t="s">
        <v>1136</v>
      </c>
    </row>
    <row r="131" spans="1:11" ht="12.75" customHeight="1" x14ac:dyDescent="0.2">
      <c r="A131" s="1640"/>
      <c r="B131" s="1643"/>
      <c r="C131" s="957">
        <v>2264</v>
      </c>
      <c r="D131" s="959">
        <v>4189</v>
      </c>
      <c r="E131" s="960"/>
      <c r="F131" s="960"/>
      <c r="G131" s="960"/>
      <c r="H131" s="960">
        <f t="shared" si="20"/>
        <v>4189</v>
      </c>
      <c r="I131" s="960">
        <f t="shared" si="20"/>
        <v>0</v>
      </c>
      <c r="J131" s="959"/>
      <c r="K131" s="1661"/>
    </row>
    <row r="132" spans="1:11" ht="15.75" customHeight="1" x14ac:dyDescent="0.2">
      <c r="A132" s="1640"/>
      <c r="B132" s="1643"/>
      <c r="C132" s="957">
        <v>2279</v>
      </c>
      <c r="D132" s="959">
        <v>6715</v>
      </c>
      <c r="E132" s="960"/>
      <c r="F132" s="960"/>
      <c r="G132" s="960"/>
      <c r="H132" s="960">
        <f t="shared" si="20"/>
        <v>6715</v>
      </c>
      <c r="I132" s="960">
        <f t="shared" si="20"/>
        <v>0</v>
      </c>
      <c r="J132" s="959"/>
      <c r="K132" s="1661"/>
    </row>
    <row r="133" spans="1:11" ht="15" customHeight="1" x14ac:dyDescent="0.2">
      <c r="A133" s="1640"/>
      <c r="B133" s="1643"/>
      <c r="C133" s="957">
        <v>2312</v>
      </c>
      <c r="D133" s="959">
        <v>400</v>
      </c>
      <c r="E133" s="960"/>
      <c r="F133" s="960"/>
      <c r="G133" s="960"/>
      <c r="H133" s="960">
        <f t="shared" si="20"/>
        <v>400</v>
      </c>
      <c r="I133" s="960">
        <f t="shared" si="20"/>
        <v>0</v>
      </c>
      <c r="J133" s="959"/>
      <c r="K133" s="1661"/>
    </row>
    <row r="134" spans="1:11" ht="13.5" customHeight="1" x14ac:dyDescent="0.2">
      <c r="A134" s="1641"/>
      <c r="B134" s="1644"/>
      <c r="C134" s="957">
        <v>2314</v>
      </c>
      <c r="D134" s="959">
        <v>843</v>
      </c>
      <c r="E134" s="960"/>
      <c r="F134" s="960"/>
      <c r="G134" s="960"/>
      <c r="H134" s="960">
        <f t="shared" si="20"/>
        <v>843</v>
      </c>
      <c r="I134" s="960">
        <f t="shared" si="20"/>
        <v>0</v>
      </c>
      <c r="J134" s="959"/>
      <c r="K134" s="1662"/>
    </row>
    <row r="135" spans="1:11" ht="13.5" customHeight="1" x14ac:dyDescent="0.2">
      <c r="A135" s="1639" t="s">
        <v>1137</v>
      </c>
      <c r="B135" s="1642" t="s">
        <v>1138</v>
      </c>
      <c r="C135" s="957"/>
      <c r="D135" s="542">
        <f>SUM(D136:D140)</f>
        <v>8366</v>
      </c>
      <c r="E135" s="542">
        <f t="shared" ref="E135:G135" si="28">SUM(E136:E140)</f>
        <v>0</v>
      </c>
      <c r="F135" s="542">
        <f t="shared" si="28"/>
        <v>0</v>
      </c>
      <c r="G135" s="542">
        <f t="shared" si="28"/>
        <v>0</v>
      </c>
      <c r="H135" s="958">
        <f t="shared" si="20"/>
        <v>8366</v>
      </c>
      <c r="I135" s="958">
        <f t="shared" si="20"/>
        <v>0</v>
      </c>
      <c r="J135" s="959"/>
      <c r="K135" s="1660" t="s">
        <v>1136</v>
      </c>
    </row>
    <row r="136" spans="1:11" ht="12.75" customHeight="1" x14ac:dyDescent="0.2">
      <c r="A136" s="1640"/>
      <c r="B136" s="1643"/>
      <c r="C136" s="957">
        <v>1150</v>
      </c>
      <c r="D136" s="959">
        <v>2429</v>
      </c>
      <c r="E136" s="960"/>
      <c r="F136" s="960"/>
      <c r="G136" s="960"/>
      <c r="H136" s="960">
        <f t="shared" si="20"/>
        <v>2429</v>
      </c>
      <c r="I136" s="960">
        <f t="shared" si="20"/>
        <v>0</v>
      </c>
      <c r="J136" s="959"/>
      <c r="K136" s="1661"/>
    </row>
    <row r="137" spans="1:11" ht="12.75" customHeight="1" x14ac:dyDescent="0.2">
      <c r="A137" s="1640"/>
      <c r="B137" s="1643"/>
      <c r="C137" s="957">
        <v>1210</v>
      </c>
      <c r="D137" s="959">
        <v>122</v>
      </c>
      <c r="E137" s="960"/>
      <c r="F137" s="960"/>
      <c r="G137" s="960"/>
      <c r="H137" s="960">
        <f t="shared" si="20"/>
        <v>122</v>
      </c>
      <c r="I137" s="960">
        <f t="shared" si="20"/>
        <v>0</v>
      </c>
      <c r="J137" s="959"/>
      <c r="K137" s="1661"/>
    </row>
    <row r="138" spans="1:11" ht="12.75" customHeight="1" x14ac:dyDescent="0.2">
      <c r="A138" s="1640"/>
      <c r="B138" s="1643"/>
      <c r="C138" s="957">
        <v>2264</v>
      </c>
      <c r="D138" s="959">
        <v>2160</v>
      </c>
      <c r="E138" s="960"/>
      <c r="F138" s="960"/>
      <c r="G138" s="960"/>
      <c r="H138" s="960">
        <f t="shared" si="20"/>
        <v>2160</v>
      </c>
      <c r="I138" s="960">
        <f t="shared" si="20"/>
        <v>0</v>
      </c>
      <c r="J138" s="959"/>
      <c r="K138" s="1661"/>
    </row>
    <row r="139" spans="1:11" ht="12.75" customHeight="1" x14ac:dyDescent="0.2">
      <c r="A139" s="1640"/>
      <c r="B139" s="1643"/>
      <c r="C139" s="957">
        <v>2279</v>
      </c>
      <c r="D139" s="959">
        <v>3255</v>
      </c>
      <c r="E139" s="960"/>
      <c r="F139" s="960"/>
      <c r="G139" s="960"/>
      <c r="H139" s="960">
        <f t="shared" si="20"/>
        <v>3255</v>
      </c>
      <c r="I139" s="960">
        <f t="shared" si="20"/>
        <v>0</v>
      </c>
      <c r="J139" s="959"/>
      <c r="K139" s="1661"/>
    </row>
    <row r="140" spans="1:11" ht="12.75" customHeight="1" x14ac:dyDescent="0.2">
      <c r="A140" s="1641"/>
      <c r="B140" s="1644"/>
      <c r="C140" s="957">
        <v>2314</v>
      </c>
      <c r="D140" s="959">
        <v>400</v>
      </c>
      <c r="E140" s="960"/>
      <c r="F140" s="960"/>
      <c r="G140" s="960"/>
      <c r="H140" s="960">
        <f t="shared" si="20"/>
        <v>400</v>
      </c>
      <c r="I140" s="960">
        <f t="shared" si="20"/>
        <v>0</v>
      </c>
      <c r="J140" s="959"/>
      <c r="K140" s="1662"/>
    </row>
    <row r="141" spans="1:11" ht="14.25" customHeight="1" x14ac:dyDescent="0.2">
      <c r="A141" s="1639" t="s">
        <v>1139</v>
      </c>
      <c r="B141" s="1642" t="s">
        <v>1140</v>
      </c>
      <c r="C141" s="957"/>
      <c r="D141" s="542">
        <f>SUM(D142:D146)</f>
        <v>20245</v>
      </c>
      <c r="E141" s="542">
        <f t="shared" ref="E141:G141" si="29">SUM(E142:E146)</f>
        <v>0</v>
      </c>
      <c r="F141" s="542">
        <f t="shared" si="29"/>
        <v>0</v>
      </c>
      <c r="G141" s="542">
        <f t="shared" si="29"/>
        <v>0</v>
      </c>
      <c r="H141" s="958">
        <f t="shared" si="20"/>
        <v>20245</v>
      </c>
      <c r="I141" s="958">
        <f t="shared" si="20"/>
        <v>0</v>
      </c>
      <c r="J141" s="959"/>
      <c r="K141" s="1660" t="s">
        <v>1136</v>
      </c>
    </row>
    <row r="142" spans="1:11" ht="14.25" customHeight="1" x14ac:dyDescent="0.2">
      <c r="A142" s="1640"/>
      <c r="B142" s="1643"/>
      <c r="C142" s="957">
        <v>1150</v>
      </c>
      <c r="D142" s="959">
        <v>3000</v>
      </c>
      <c r="E142" s="960"/>
      <c r="F142" s="960"/>
      <c r="G142" s="960"/>
      <c r="H142" s="960">
        <f t="shared" si="20"/>
        <v>3000</v>
      </c>
      <c r="I142" s="960">
        <f t="shared" si="20"/>
        <v>0</v>
      </c>
      <c r="J142" s="959"/>
      <c r="K142" s="1661"/>
    </row>
    <row r="143" spans="1:11" ht="12.75" customHeight="1" x14ac:dyDescent="0.2">
      <c r="A143" s="1640"/>
      <c r="B143" s="1643"/>
      <c r="C143" s="957">
        <v>1210</v>
      </c>
      <c r="D143" s="959">
        <v>150</v>
      </c>
      <c r="E143" s="960"/>
      <c r="F143" s="960"/>
      <c r="G143" s="960"/>
      <c r="H143" s="960">
        <f t="shared" si="20"/>
        <v>150</v>
      </c>
      <c r="I143" s="960">
        <f t="shared" si="20"/>
        <v>0</v>
      </c>
      <c r="J143" s="959"/>
      <c r="K143" s="1661"/>
    </row>
    <row r="144" spans="1:11" ht="15" customHeight="1" x14ac:dyDescent="0.2">
      <c r="A144" s="1640"/>
      <c r="B144" s="1643"/>
      <c r="C144" s="957">
        <v>2264</v>
      </c>
      <c r="D144" s="959">
        <v>11795</v>
      </c>
      <c r="E144" s="960"/>
      <c r="F144" s="960"/>
      <c r="G144" s="960"/>
      <c r="H144" s="960">
        <f t="shared" si="20"/>
        <v>11795</v>
      </c>
      <c r="I144" s="960">
        <f t="shared" si="20"/>
        <v>0</v>
      </c>
      <c r="J144" s="959"/>
      <c r="K144" s="1661"/>
    </row>
    <row r="145" spans="1:11" ht="12.75" customHeight="1" x14ac:dyDescent="0.2">
      <c r="A145" s="1640"/>
      <c r="B145" s="1643"/>
      <c r="C145" s="957">
        <v>2279</v>
      </c>
      <c r="D145" s="959">
        <v>4800</v>
      </c>
      <c r="E145" s="960"/>
      <c r="F145" s="960"/>
      <c r="G145" s="960"/>
      <c r="H145" s="960">
        <f t="shared" si="20"/>
        <v>4800</v>
      </c>
      <c r="I145" s="960">
        <f t="shared" si="20"/>
        <v>0</v>
      </c>
      <c r="J145" s="959"/>
      <c r="K145" s="1661"/>
    </row>
    <row r="146" spans="1:11" ht="12.75" customHeight="1" x14ac:dyDescent="0.2">
      <c r="A146" s="1641"/>
      <c r="B146" s="1644"/>
      <c r="C146" s="957">
        <v>2314</v>
      </c>
      <c r="D146" s="959">
        <v>500</v>
      </c>
      <c r="E146" s="960"/>
      <c r="F146" s="960"/>
      <c r="G146" s="960"/>
      <c r="H146" s="960">
        <f t="shared" si="20"/>
        <v>500</v>
      </c>
      <c r="I146" s="960">
        <f t="shared" si="20"/>
        <v>0</v>
      </c>
      <c r="J146" s="959"/>
      <c r="K146" s="1662"/>
    </row>
    <row r="147" spans="1:11" ht="16.5" customHeight="1" x14ac:dyDescent="0.2">
      <c r="A147" s="1639" t="s">
        <v>1141</v>
      </c>
      <c r="B147" s="1642" t="s">
        <v>1142</v>
      </c>
      <c r="C147" s="957"/>
      <c r="D147" s="542">
        <f>SUM(D148:D152)</f>
        <v>8519</v>
      </c>
      <c r="E147" s="542">
        <f t="shared" ref="E147:G147" si="30">SUM(E148:E152)</f>
        <v>0</v>
      </c>
      <c r="F147" s="542">
        <f t="shared" si="30"/>
        <v>0</v>
      </c>
      <c r="G147" s="542">
        <f t="shared" si="30"/>
        <v>0</v>
      </c>
      <c r="H147" s="958">
        <f t="shared" ref="H147:I198" si="31">D147+F147</f>
        <v>8519</v>
      </c>
      <c r="I147" s="958">
        <f t="shared" si="31"/>
        <v>0</v>
      </c>
      <c r="J147" s="959"/>
      <c r="K147" s="1660" t="s">
        <v>1136</v>
      </c>
    </row>
    <row r="148" spans="1:11" ht="12.75" customHeight="1" x14ac:dyDescent="0.2">
      <c r="A148" s="1640"/>
      <c r="B148" s="1643"/>
      <c r="C148" s="957">
        <v>1150</v>
      </c>
      <c r="D148" s="959">
        <v>1509</v>
      </c>
      <c r="E148" s="960"/>
      <c r="F148" s="960"/>
      <c r="G148" s="960"/>
      <c r="H148" s="960">
        <f t="shared" si="31"/>
        <v>1509</v>
      </c>
      <c r="I148" s="960">
        <f t="shared" si="31"/>
        <v>0</v>
      </c>
      <c r="J148" s="959"/>
      <c r="K148" s="1661"/>
    </row>
    <row r="149" spans="1:11" ht="12.75" customHeight="1" x14ac:dyDescent="0.2">
      <c r="A149" s="1640"/>
      <c r="B149" s="1643"/>
      <c r="C149" s="957">
        <v>1210</v>
      </c>
      <c r="D149" s="959">
        <v>76</v>
      </c>
      <c r="E149" s="960"/>
      <c r="F149" s="960"/>
      <c r="G149" s="960"/>
      <c r="H149" s="960">
        <f t="shared" si="31"/>
        <v>76</v>
      </c>
      <c r="I149" s="960">
        <f t="shared" si="31"/>
        <v>0</v>
      </c>
      <c r="J149" s="959"/>
      <c r="K149" s="1661"/>
    </row>
    <row r="150" spans="1:11" ht="12.75" customHeight="1" x14ac:dyDescent="0.2">
      <c r="A150" s="1640"/>
      <c r="B150" s="1643"/>
      <c r="C150" s="957">
        <v>2264</v>
      </c>
      <c r="D150" s="959">
        <v>3400</v>
      </c>
      <c r="E150" s="960"/>
      <c r="F150" s="960"/>
      <c r="G150" s="960"/>
      <c r="H150" s="960">
        <f t="shared" si="31"/>
        <v>3400</v>
      </c>
      <c r="I150" s="960">
        <f t="shared" si="31"/>
        <v>0</v>
      </c>
      <c r="J150" s="959"/>
      <c r="K150" s="1661"/>
    </row>
    <row r="151" spans="1:11" ht="12.75" customHeight="1" x14ac:dyDescent="0.2">
      <c r="A151" s="1640"/>
      <c r="B151" s="1643"/>
      <c r="C151" s="957">
        <v>2279</v>
      </c>
      <c r="D151" s="959">
        <v>3334</v>
      </c>
      <c r="E151" s="960"/>
      <c r="F151" s="960"/>
      <c r="G151" s="960"/>
      <c r="H151" s="960">
        <f t="shared" si="31"/>
        <v>3334</v>
      </c>
      <c r="I151" s="960">
        <f t="shared" si="31"/>
        <v>0</v>
      </c>
      <c r="J151" s="959"/>
      <c r="K151" s="1661"/>
    </row>
    <row r="152" spans="1:11" ht="12.75" customHeight="1" x14ac:dyDescent="0.2">
      <c r="A152" s="1641"/>
      <c r="B152" s="1644"/>
      <c r="C152" s="957">
        <v>2314</v>
      </c>
      <c r="D152" s="959">
        <v>200</v>
      </c>
      <c r="E152" s="960"/>
      <c r="F152" s="960"/>
      <c r="G152" s="960"/>
      <c r="H152" s="960">
        <f t="shared" si="31"/>
        <v>200</v>
      </c>
      <c r="I152" s="960">
        <f t="shared" si="31"/>
        <v>0</v>
      </c>
      <c r="J152" s="959"/>
      <c r="K152" s="1662"/>
    </row>
    <row r="153" spans="1:11" x14ac:dyDescent="0.2">
      <c r="A153" s="1639" t="s">
        <v>1143</v>
      </c>
      <c r="B153" s="1642" t="s">
        <v>1144</v>
      </c>
      <c r="C153" s="961"/>
      <c r="D153" s="542">
        <f>SUM(D154:D157)</f>
        <v>6723</v>
      </c>
      <c r="E153" s="542">
        <f>SUM(E154:E157)</f>
        <v>0</v>
      </c>
      <c r="F153" s="542">
        <f>SUM(F154:F157)</f>
        <v>0</v>
      </c>
      <c r="G153" s="542">
        <f>SUM(G154:G157)</f>
        <v>0</v>
      </c>
      <c r="H153" s="958">
        <f t="shared" si="31"/>
        <v>6723</v>
      </c>
      <c r="I153" s="958">
        <f t="shared" si="31"/>
        <v>0</v>
      </c>
      <c r="J153" s="959"/>
      <c r="K153" s="1660" t="s">
        <v>1136</v>
      </c>
    </row>
    <row r="154" spans="1:11" ht="13.5" customHeight="1" x14ac:dyDescent="0.2">
      <c r="A154" s="1640"/>
      <c r="B154" s="1643"/>
      <c r="C154" s="957">
        <v>1150</v>
      </c>
      <c r="D154" s="959">
        <v>0</v>
      </c>
      <c r="E154" s="960"/>
      <c r="F154" s="960"/>
      <c r="G154" s="960"/>
      <c r="H154" s="960">
        <f t="shared" si="31"/>
        <v>0</v>
      </c>
      <c r="I154" s="960">
        <f t="shared" si="31"/>
        <v>0</v>
      </c>
      <c r="J154" s="959"/>
      <c r="K154" s="1661"/>
    </row>
    <row r="155" spans="1:11" ht="12.75" customHeight="1" x14ac:dyDescent="0.2">
      <c r="A155" s="1640"/>
      <c r="B155" s="1643"/>
      <c r="C155" s="957">
        <v>1210</v>
      </c>
      <c r="D155" s="959">
        <v>0</v>
      </c>
      <c r="E155" s="960"/>
      <c r="F155" s="960"/>
      <c r="G155" s="960"/>
      <c r="H155" s="960">
        <f t="shared" si="31"/>
        <v>0</v>
      </c>
      <c r="I155" s="960">
        <f t="shared" si="31"/>
        <v>0</v>
      </c>
      <c r="J155" s="959"/>
      <c r="K155" s="1661"/>
    </row>
    <row r="156" spans="1:11" ht="14.25" customHeight="1" x14ac:dyDescent="0.2">
      <c r="A156" s="1640"/>
      <c r="B156" s="1643"/>
      <c r="C156" s="957">
        <v>2279</v>
      </c>
      <c r="D156" s="959">
        <v>6723</v>
      </c>
      <c r="E156" s="960"/>
      <c r="F156" s="960"/>
      <c r="G156" s="960"/>
      <c r="H156" s="960">
        <f t="shared" si="31"/>
        <v>6723</v>
      </c>
      <c r="I156" s="960">
        <f t="shared" si="31"/>
        <v>0</v>
      </c>
      <c r="J156" s="959"/>
      <c r="K156" s="1661"/>
    </row>
    <row r="157" spans="1:11" ht="12.75" customHeight="1" x14ac:dyDescent="0.2">
      <c r="A157" s="1641"/>
      <c r="B157" s="1644"/>
      <c r="C157" s="957">
        <v>2314</v>
      </c>
      <c r="D157" s="959">
        <v>0</v>
      </c>
      <c r="E157" s="960"/>
      <c r="F157" s="960"/>
      <c r="G157" s="960"/>
      <c r="H157" s="960">
        <f t="shared" si="31"/>
        <v>0</v>
      </c>
      <c r="I157" s="960">
        <f t="shared" si="31"/>
        <v>0</v>
      </c>
      <c r="J157" s="959"/>
      <c r="K157" s="1662"/>
    </row>
    <row r="158" spans="1:11" ht="15" customHeight="1" x14ac:dyDescent="0.2">
      <c r="A158" s="1639" t="s">
        <v>1145</v>
      </c>
      <c r="B158" s="1642" t="s">
        <v>1146</v>
      </c>
      <c r="C158" s="957"/>
      <c r="D158" s="542">
        <f>SUM(D159:D163)</f>
        <v>5830</v>
      </c>
      <c r="E158" s="542">
        <f t="shared" ref="E158:G158" si="32">SUM(E159:E163)</f>
        <v>0</v>
      </c>
      <c r="F158" s="542">
        <f t="shared" si="32"/>
        <v>0</v>
      </c>
      <c r="G158" s="542">
        <f t="shared" si="32"/>
        <v>0</v>
      </c>
      <c r="H158" s="958">
        <f t="shared" si="31"/>
        <v>5830</v>
      </c>
      <c r="I158" s="958">
        <f t="shared" si="31"/>
        <v>0</v>
      </c>
      <c r="J158" s="959"/>
      <c r="K158" s="1660" t="s">
        <v>1136</v>
      </c>
    </row>
    <row r="159" spans="1:11" ht="13.5" customHeight="1" x14ac:dyDescent="0.2">
      <c r="A159" s="1640"/>
      <c r="B159" s="1643"/>
      <c r="C159" s="957">
        <v>1150</v>
      </c>
      <c r="D159" s="959">
        <v>1537</v>
      </c>
      <c r="E159" s="960"/>
      <c r="F159" s="960"/>
      <c r="G159" s="960"/>
      <c r="H159" s="960">
        <f t="shared" si="31"/>
        <v>1537</v>
      </c>
      <c r="I159" s="960">
        <f t="shared" si="31"/>
        <v>0</v>
      </c>
      <c r="J159" s="959"/>
      <c r="K159" s="1661"/>
    </row>
    <row r="160" spans="1:11" ht="14.25" customHeight="1" x14ac:dyDescent="0.2">
      <c r="A160" s="1640"/>
      <c r="B160" s="1643"/>
      <c r="C160" s="957">
        <v>1210</v>
      </c>
      <c r="D160" s="959">
        <v>77</v>
      </c>
      <c r="E160" s="960"/>
      <c r="F160" s="960"/>
      <c r="G160" s="960"/>
      <c r="H160" s="960">
        <f t="shared" si="31"/>
        <v>77</v>
      </c>
      <c r="I160" s="960">
        <f t="shared" si="31"/>
        <v>0</v>
      </c>
      <c r="J160" s="959"/>
      <c r="K160" s="1661"/>
    </row>
    <row r="161" spans="1:11" ht="13.5" customHeight="1" x14ac:dyDescent="0.2">
      <c r="A161" s="1640"/>
      <c r="B161" s="1643"/>
      <c r="C161" s="957">
        <v>2264</v>
      </c>
      <c r="D161" s="959">
        <v>1145</v>
      </c>
      <c r="E161" s="960"/>
      <c r="F161" s="960"/>
      <c r="G161" s="960"/>
      <c r="H161" s="960">
        <f t="shared" si="31"/>
        <v>1145</v>
      </c>
      <c r="I161" s="960">
        <f t="shared" si="31"/>
        <v>0</v>
      </c>
      <c r="J161" s="959"/>
      <c r="K161" s="1661"/>
    </row>
    <row r="162" spans="1:11" ht="14.25" customHeight="1" x14ac:dyDescent="0.2">
      <c r="A162" s="1640"/>
      <c r="B162" s="1643"/>
      <c r="C162" s="957">
        <v>2279</v>
      </c>
      <c r="D162" s="959">
        <v>2747</v>
      </c>
      <c r="E162" s="960"/>
      <c r="F162" s="960"/>
      <c r="G162" s="960"/>
      <c r="H162" s="960">
        <f t="shared" si="31"/>
        <v>2747</v>
      </c>
      <c r="I162" s="960">
        <f t="shared" si="31"/>
        <v>0</v>
      </c>
      <c r="J162" s="959"/>
      <c r="K162" s="1661"/>
    </row>
    <row r="163" spans="1:11" ht="14.25" customHeight="1" x14ac:dyDescent="0.2">
      <c r="A163" s="1641"/>
      <c r="B163" s="1644"/>
      <c r="C163" s="957">
        <v>2314</v>
      </c>
      <c r="D163" s="959">
        <v>324</v>
      </c>
      <c r="E163" s="960"/>
      <c r="F163" s="960"/>
      <c r="G163" s="960"/>
      <c r="H163" s="960">
        <f t="shared" si="31"/>
        <v>324</v>
      </c>
      <c r="I163" s="960">
        <f t="shared" si="31"/>
        <v>0</v>
      </c>
      <c r="J163" s="959"/>
      <c r="K163" s="1662"/>
    </row>
    <row r="164" spans="1:11" x14ac:dyDescent="0.2">
      <c r="A164" s="962" t="s">
        <v>1147</v>
      </c>
      <c r="B164" s="1024" t="s">
        <v>1148</v>
      </c>
      <c r="C164" s="956"/>
      <c r="D164" s="950">
        <f>SUM(D165,D167,D174,D180,D185,D187,D192)</f>
        <v>50549</v>
      </c>
      <c r="E164" s="950">
        <f t="shared" ref="E164:I164" si="33">SUM(E165,E167,E174,E180,E185,E187,E192)</f>
        <v>0</v>
      </c>
      <c r="F164" s="950">
        <f t="shared" si="33"/>
        <v>0</v>
      </c>
      <c r="G164" s="950">
        <f t="shared" si="33"/>
        <v>0</v>
      </c>
      <c r="H164" s="950">
        <f t="shared" si="33"/>
        <v>50549</v>
      </c>
      <c r="I164" s="950">
        <f t="shared" si="33"/>
        <v>0</v>
      </c>
      <c r="J164" s="952"/>
      <c r="K164" s="952"/>
    </row>
    <row r="165" spans="1:11" ht="19.5" customHeight="1" x14ac:dyDescent="0.2">
      <c r="A165" s="1651" t="s">
        <v>1149</v>
      </c>
      <c r="B165" s="1654" t="s">
        <v>1150</v>
      </c>
      <c r="C165" s="956"/>
      <c r="D165" s="950">
        <f>SUM(D166)</f>
        <v>876</v>
      </c>
      <c r="E165" s="950">
        <f t="shared" ref="E165:G165" si="34">SUM(E166)</f>
        <v>0</v>
      </c>
      <c r="F165" s="950">
        <f t="shared" si="34"/>
        <v>0</v>
      </c>
      <c r="G165" s="950">
        <f t="shared" si="34"/>
        <v>0</v>
      </c>
      <c r="H165" s="951">
        <f t="shared" si="31"/>
        <v>876</v>
      </c>
      <c r="I165" s="951">
        <f t="shared" si="31"/>
        <v>0</v>
      </c>
      <c r="J165" s="952"/>
      <c r="K165" s="1636" t="s">
        <v>1151</v>
      </c>
    </row>
    <row r="166" spans="1:11" ht="19.5" customHeight="1" x14ac:dyDescent="0.2">
      <c r="A166" s="1653"/>
      <c r="B166" s="1656"/>
      <c r="C166" s="953">
        <v>2279</v>
      </c>
      <c r="D166" s="954">
        <v>876</v>
      </c>
      <c r="E166" s="952"/>
      <c r="F166" s="952"/>
      <c r="G166" s="952"/>
      <c r="H166" s="952">
        <f t="shared" si="31"/>
        <v>876</v>
      </c>
      <c r="I166" s="952">
        <f t="shared" si="31"/>
        <v>0</v>
      </c>
      <c r="J166" s="954"/>
      <c r="K166" s="1638"/>
    </row>
    <row r="167" spans="1:11" ht="13.5" customHeight="1" x14ac:dyDescent="0.2">
      <c r="A167" s="1639" t="s">
        <v>1152</v>
      </c>
      <c r="B167" s="1642" t="s">
        <v>1153</v>
      </c>
      <c r="C167" s="957"/>
      <c r="D167" s="542">
        <f>SUM(D168:D173)</f>
        <v>25000</v>
      </c>
      <c r="E167" s="542">
        <f t="shared" ref="E167:G167" si="35">SUM(E168:E173)</f>
        <v>0</v>
      </c>
      <c r="F167" s="542">
        <f t="shared" si="35"/>
        <v>0</v>
      </c>
      <c r="G167" s="542">
        <f t="shared" si="35"/>
        <v>0</v>
      </c>
      <c r="H167" s="958">
        <f t="shared" si="31"/>
        <v>25000</v>
      </c>
      <c r="I167" s="958">
        <f t="shared" si="31"/>
        <v>0</v>
      </c>
      <c r="J167" s="959"/>
      <c r="K167" s="1660" t="s">
        <v>1136</v>
      </c>
    </row>
    <row r="168" spans="1:11" ht="16.5" customHeight="1" x14ac:dyDescent="0.2">
      <c r="A168" s="1640"/>
      <c r="B168" s="1643"/>
      <c r="C168" s="957">
        <v>1150</v>
      </c>
      <c r="D168" s="959">
        <v>3791</v>
      </c>
      <c r="E168" s="960"/>
      <c r="F168" s="960"/>
      <c r="G168" s="960"/>
      <c r="H168" s="960">
        <f t="shared" si="31"/>
        <v>3791</v>
      </c>
      <c r="I168" s="960">
        <f t="shared" si="31"/>
        <v>0</v>
      </c>
      <c r="J168" s="959"/>
      <c r="K168" s="1661"/>
    </row>
    <row r="169" spans="1:11" ht="14.25" customHeight="1" x14ac:dyDescent="0.2">
      <c r="A169" s="1640"/>
      <c r="B169" s="1643"/>
      <c r="C169" s="957">
        <v>1210</v>
      </c>
      <c r="D169" s="959">
        <v>189</v>
      </c>
      <c r="E169" s="960"/>
      <c r="F169" s="960"/>
      <c r="G169" s="960"/>
      <c r="H169" s="960">
        <f t="shared" si="31"/>
        <v>189</v>
      </c>
      <c r="I169" s="960">
        <f t="shared" si="31"/>
        <v>0</v>
      </c>
      <c r="J169" s="959"/>
      <c r="K169" s="1661"/>
    </row>
    <row r="170" spans="1:11" ht="13.5" customHeight="1" x14ac:dyDescent="0.2">
      <c r="A170" s="1640"/>
      <c r="B170" s="1643"/>
      <c r="C170" s="957">
        <v>2264</v>
      </c>
      <c r="D170" s="959">
        <v>11135</v>
      </c>
      <c r="E170" s="960"/>
      <c r="F170" s="960"/>
      <c r="G170" s="960"/>
      <c r="H170" s="960">
        <f t="shared" si="31"/>
        <v>11135</v>
      </c>
      <c r="I170" s="960">
        <f t="shared" si="31"/>
        <v>0</v>
      </c>
      <c r="J170" s="959"/>
      <c r="K170" s="1661"/>
    </row>
    <row r="171" spans="1:11" ht="12.75" customHeight="1" x14ac:dyDescent="0.2">
      <c r="A171" s="1640"/>
      <c r="B171" s="1643"/>
      <c r="C171" s="957">
        <v>2262</v>
      </c>
      <c r="D171" s="959">
        <v>350</v>
      </c>
      <c r="E171" s="960"/>
      <c r="F171" s="960"/>
      <c r="G171" s="960"/>
      <c r="H171" s="960">
        <f t="shared" si="31"/>
        <v>350</v>
      </c>
      <c r="I171" s="960">
        <f t="shared" si="31"/>
        <v>0</v>
      </c>
      <c r="J171" s="959"/>
      <c r="K171" s="1661"/>
    </row>
    <row r="172" spans="1:11" ht="15" customHeight="1" x14ac:dyDescent="0.2">
      <c r="A172" s="1640"/>
      <c r="B172" s="1643"/>
      <c r="C172" s="957">
        <v>2279</v>
      </c>
      <c r="D172" s="959">
        <v>7935</v>
      </c>
      <c r="E172" s="960"/>
      <c r="F172" s="960"/>
      <c r="G172" s="960"/>
      <c r="H172" s="960">
        <f t="shared" si="31"/>
        <v>7935</v>
      </c>
      <c r="I172" s="960">
        <f t="shared" si="31"/>
        <v>0</v>
      </c>
      <c r="J172" s="959"/>
      <c r="K172" s="1661"/>
    </row>
    <row r="173" spans="1:11" ht="15" customHeight="1" x14ac:dyDescent="0.2">
      <c r="A173" s="1641"/>
      <c r="B173" s="1644"/>
      <c r="C173" s="957">
        <v>2314</v>
      </c>
      <c r="D173" s="959">
        <v>1600</v>
      </c>
      <c r="E173" s="960"/>
      <c r="F173" s="960"/>
      <c r="G173" s="960"/>
      <c r="H173" s="960">
        <f t="shared" si="31"/>
        <v>1600</v>
      </c>
      <c r="I173" s="960">
        <f t="shared" si="31"/>
        <v>0</v>
      </c>
      <c r="J173" s="959"/>
      <c r="K173" s="1662"/>
    </row>
    <row r="174" spans="1:11" x14ac:dyDescent="0.2">
      <c r="A174" s="1651" t="s">
        <v>1154</v>
      </c>
      <c r="B174" s="1654" t="s">
        <v>1155</v>
      </c>
      <c r="C174" s="953"/>
      <c r="D174" s="950">
        <f>SUM(D175:D179)</f>
        <v>7928</v>
      </c>
      <c r="E174" s="950">
        <f t="shared" ref="E174:G174" si="36">SUM(E175:E179)</f>
        <v>0</v>
      </c>
      <c r="F174" s="950">
        <f t="shared" si="36"/>
        <v>0</v>
      </c>
      <c r="G174" s="950">
        <f t="shared" si="36"/>
        <v>0</v>
      </c>
      <c r="H174" s="951">
        <f t="shared" si="31"/>
        <v>7928</v>
      </c>
      <c r="I174" s="951">
        <f t="shared" si="31"/>
        <v>0</v>
      </c>
      <c r="J174" s="954"/>
      <c r="K174" s="1657" t="s">
        <v>1156</v>
      </c>
    </row>
    <row r="175" spans="1:11" ht="12.75" customHeight="1" x14ac:dyDescent="0.2">
      <c r="A175" s="1652"/>
      <c r="B175" s="1655"/>
      <c r="C175" s="953">
        <v>1150</v>
      </c>
      <c r="D175" s="954">
        <v>650</v>
      </c>
      <c r="E175" s="952"/>
      <c r="F175" s="952"/>
      <c r="G175" s="952"/>
      <c r="H175" s="952">
        <f t="shared" si="31"/>
        <v>650</v>
      </c>
      <c r="I175" s="952">
        <f t="shared" si="31"/>
        <v>0</v>
      </c>
      <c r="J175" s="954"/>
      <c r="K175" s="1658"/>
    </row>
    <row r="176" spans="1:11" ht="12.75" customHeight="1" x14ac:dyDescent="0.2">
      <c r="A176" s="1652"/>
      <c r="B176" s="1655"/>
      <c r="C176" s="953">
        <v>1210</v>
      </c>
      <c r="D176" s="954">
        <v>33</v>
      </c>
      <c r="E176" s="952"/>
      <c r="F176" s="952"/>
      <c r="G176" s="952"/>
      <c r="H176" s="952">
        <f t="shared" si="31"/>
        <v>33</v>
      </c>
      <c r="I176" s="952">
        <f t="shared" si="31"/>
        <v>0</v>
      </c>
      <c r="J176" s="954"/>
      <c r="K176" s="1658"/>
    </row>
    <row r="177" spans="1:11" ht="12.75" customHeight="1" x14ac:dyDescent="0.2">
      <c r="A177" s="1652"/>
      <c r="B177" s="1655"/>
      <c r="C177" s="953">
        <v>2231</v>
      </c>
      <c r="D177" s="954">
        <v>2700</v>
      </c>
      <c r="E177" s="952"/>
      <c r="F177" s="952"/>
      <c r="G177" s="952"/>
      <c r="H177" s="952">
        <f t="shared" si="31"/>
        <v>2700</v>
      </c>
      <c r="I177" s="952">
        <f t="shared" si="31"/>
        <v>0</v>
      </c>
      <c r="J177" s="952"/>
      <c r="K177" s="1658"/>
    </row>
    <row r="178" spans="1:11" ht="12.75" customHeight="1" x14ac:dyDescent="0.2">
      <c r="A178" s="1652"/>
      <c r="B178" s="1655"/>
      <c r="C178" s="953">
        <v>2264</v>
      </c>
      <c r="D178" s="954">
        <v>345</v>
      </c>
      <c r="E178" s="952"/>
      <c r="F178" s="952"/>
      <c r="G178" s="952"/>
      <c r="H178" s="952">
        <f t="shared" si="31"/>
        <v>345</v>
      </c>
      <c r="I178" s="952">
        <f t="shared" si="31"/>
        <v>0</v>
      </c>
      <c r="J178" s="952"/>
      <c r="K178" s="1658"/>
    </row>
    <row r="179" spans="1:11" ht="12.75" customHeight="1" x14ac:dyDescent="0.2">
      <c r="A179" s="1653"/>
      <c r="B179" s="1656"/>
      <c r="C179" s="953">
        <v>2279</v>
      </c>
      <c r="D179" s="954">
        <v>4200</v>
      </c>
      <c r="E179" s="952"/>
      <c r="F179" s="952"/>
      <c r="G179" s="952"/>
      <c r="H179" s="952">
        <f t="shared" si="31"/>
        <v>4200</v>
      </c>
      <c r="I179" s="952">
        <f t="shared" si="31"/>
        <v>0</v>
      </c>
      <c r="J179" s="952"/>
      <c r="K179" s="1659"/>
    </row>
    <row r="180" spans="1:11" ht="12.75" customHeight="1" x14ac:dyDescent="0.2">
      <c r="A180" s="1639" t="s">
        <v>1157</v>
      </c>
      <c r="B180" s="1642" t="s">
        <v>1158</v>
      </c>
      <c r="C180" s="957"/>
      <c r="D180" s="542">
        <f>SUM(D181:D184)</f>
        <v>2555</v>
      </c>
      <c r="E180" s="542">
        <f t="shared" ref="E180:G180" si="37">SUM(E181:E184)</f>
        <v>0</v>
      </c>
      <c r="F180" s="542">
        <f t="shared" si="37"/>
        <v>0</v>
      </c>
      <c r="G180" s="542">
        <f t="shared" si="37"/>
        <v>0</v>
      </c>
      <c r="H180" s="958">
        <f t="shared" si="31"/>
        <v>2555</v>
      </c>
      <c r="I180" s="958">
        <f t="shared" si="31"/>
        <v>0</v>
      </c>
      <c r="J180" s="959"/>
      <c r="K180" s="1645" t="s">
        <v>1159</v>
      </c>
    </row>
    <row r="181" spans="1:11" ht="12.75" customHeight="1" x14ac:dyDescent="0.2">
      <c r="A181" s="1640"/>
      <c r="B181" s="1643"/>
      <c r="C181" s="957">
        <v>1150</v>
      </c>
      <c r="D181" s="959">
        <v>1349</v>
      </c>
      <c r="E181" s="960"/>
      <c r="F181" s="960"/>
      <c r="G181" s="960"/>
      <c r="H181" s="960">
        <f t="shared" si="31"/>
        <v>1349</v>
      </c>
      <c r="I181" s="960">
        <f t="shared" si="31"/>
        <v>0</v>
      </c>
      <c r="J181" s="959"/>
      <c r="K181" s="1646"/>
    </row>
    <row r="182" spans="1:11" ht="13.5" customHeight="1" x14ac:dyDescent="0.2">
      <c r="A182" s="1640"/>
      <c r="B182" s="1643"/>
      <c r="C182" s="957">
        <v>1210</v>
      </c>
      <c r="D182" s="959">
        <v>68</v>
      </c>
      <c r="E182" s="960"/>
      <c r="F182" s="960"/>
      <c r="G182" s="960"/>
      <c r="H182" s="960">
        <f t="shared" si="31"/>
        <v>68</v>
      </c>
      <c r="I182" s="960">
        <f t="shared" si="31"/>
        <v>0</v>
      </c>
      <c r="J182" s="959"/>
      <c r="K182" s="1646"/>
    </row>
    <row r="183" spans="1:11" ht="15.75" customHeight="1" x14ac:dyDescent="0.2">
      <c r="A183" s="1640"/>
      <c r="B183" s="1643"/>
      <c r="C183" s="957">
        <v>2264</v>
      </c>
      <c r="D183" s="959">
        <v>363</v>
      </c>
      <c r="E183" s="960"/>
      <c r="F183" s="960"/>
      <c r="G183" s="960"/>
      <c r="H183" s="960">
        <f t="shared" si="31"/>
        <v>363</v>
      </c>
      <c r="I183" s="960">
        <f t="shared" si="31"/>
        <v>0</v>
      </c>
      <c r="J183" s="959"/>
      <c r="K183" s="1646"/>
    </row>
    <row r="184" spans="1:11" ht="12" customHeight="1" x14ac:dyDescent="0.2">
      <c r="A184" s="1641"/>
      <c r="B184" s="1644"/>
      <c r="C184" s="957">
        <v>2314</v>
      </c>
      <c r="D184" s="959">
        <v>775</v>
      </c>
      <c r="E184" s="960"/>
      <c r="F184" s="960"/>
      <c r="G184" s="960"/>
      <c r="H184" s="960">
        <f t="shared" si="31"/>
        <v>775</v>
      </c>
      <c r="I184" s="960">
        <f t="shared" si="31"/>
        <v>0</v>
      </c>
      <c r="J184" s="959"/>
      <c r="K184" s="1647"/>
    </row>
    <row r="185" spans="1:11" ht="12.75" customHeight="1" x14ac:dyDescent="0.2">
      <c r="A185" s="1651" t="s">
        <v>1160</v>
      </c>
      <c r="B185" s="1654" t="s">
        <v>1161</v>
      </c>
      <c r="C185" s="953"/>
      <c r="D185" s="950">
        <f>SUM(D186)</f>
        <v>2000</v>
      </c>
      <c r="E185" s="950">
        <f t="shared" ref="E185:G185" si="38">SUM(E186)</f>
        <v>0</v>
      </c>
      <c r="F185" s="950">
        <f t="shared" si="38"/>
        <v>0</v>
      </c>
      <c r="G185" s="950">
        <f t="shared" si="38"/>
        <v>0</v>
      </c>
      <c r="H185" s="951">
        <f t="shared" si="31"/>
        <v>2000</v>
      </c>
      <c r="I185" s="951">
        <f t="shared" si="31"/>
        <v>0</v>
      </c>
      <c r="J185" s="952"/>
      <c r="K185" s="1657" t="s">
        <v>1162</v>
      </c>
    </row>
    <row r="186" spans="1:11" ht="16.5" customHeight="1" x14ac:dyDescent="0.2">
      <c r="A186" s="1653"/>
      <c r="B186" s="1656"/>
      <c r="C186" s="953">
        <v>2279</v>
      </c>
      <c r="D186" s="954">
        <v>2000</v>
      </c>
      <c r="E186" s="952"/>
      <c r="F186" s="952"/>
      <c r="G186" s="952"/>
      <c r="H186" s="952">
        <f t="shared" si="31"/>
        <v>2000</v>
      </c>
      <c r="I186" s="952">
        <f t="shared" si="31"/>
        <v>0</v>
      </c>
      <c r="J186" s="952"/>
      <c r="K186" s="1659"/>
    </row>
    <row r="187" spans="1:11" ht="15.75" customHeight="1" x14ac:dyDescent="0.2">
      <c r="A187" s="1651" t="s">
        <v>1163</v>
      </c>
      <c r="B187" s="1654" t="s">
        <v>1164</v>
      </c>
      <c r="C187" s="953"/>
      <c r="D187" s="950">
        <f>SUM(D188:D191)</f>
        <v>2415</v>
      </c>
      <c r="E187" s="950">
        <f t="shared" ref="E187:G187" si="39">SUM(E188:E191)</f>
        <v>0</v>
      </c>
      <c r="F187" s="950">
        <f t="shared" si="39"/>
        <v>0</v>
      </c>
      <c r="G187" s="950">
        <f t="shared" si="39"/>
        <v>0</v>
      </c>
      <c r="H187" s="951">
        <f t="shared" si="31"/>
        <v>2415</v>
      </c>
      <c r="I187" s="951">
        <f t="shared" si="31"/>
        <v>0</v>
      </c>
      <c r="J187" s="952"/>
      <c r="K187" s="1657" t="s">
        <v>1165</v>
      </c>
    </row>
    <row r="188" spans="1:11" ht="12.75" customHeight="1" x14ac:dyDescent="0.2">
      <c r="A188" s="1652"/>
      <c r="B188" s="1655"/>
      <c r="C188" s="953">
        <v>1150</v>
      </c>
      <c r="D188" s="954">
        <v>762</v>
      </c>
      <c r="E188" s="952"/>
      <c r="F188" s="952"/>
      <c r="G188" s="952"/>
      <c r="H188" s="952">
        <f t="shared" si="31"/>
        <v>762</v>
      </c>
      <c r="I188" s="952">
        <f t="shared" si="31"/>
        <v>0</v>
      </c>
      <c r="J188" s="952"/>
      <c r="K188" s="1658"/>
    </row>
    <row r="189" spans="1:11" ht="12.75" customHeight="1" x14ac:dyDescent="0.2">
      <c r="A189" s="1652"/>
      <c r="B189" s="1655"/>
      <c r="C189" s="953">
        <v>1210</v>
      </c>
      <c r="D189" s="954">
        <v>39</v>
      </c>
      <c r="E189" s="952"/>
      <c r="F189" s="952"/>
      <c r="G189" s="952"/>
      <c r="H189" s="952">
        <f t="shared" si="31"/>
        <v>39</v>
      </c>
      <c r="I189" s="952">
        <f t="shared" si="31"/>
        <v>0</v>
      </c>
      <c r="J189" s="952"/>
      <c r="K189" s="1658"/>
    </row>
    <row r="190" spans="1:11" ht="12.75" customHeight="1" x14ac:dyDescent="0.2">
      <c r="A190" s="1652"/>
      <c r="B190" s="1655"/>
      <c r="C190" s="953">
        <v>2264</v>
      </c>
      <c r="D190" s="954">
        <v>1114</v>
      </c>
      <c r="E190" s="952"/>
      <c r="F190" s="952"/>
      <c r="G190" s="952"/>
      <c r="H190" s="952">
        <f t="shared" si="31"/>
        <v>1114</v>
      </c>
      <c r="I190" s="952">
        <f t="shared" si="31"/>
        <v>0</v>
      </c>
      <c r="J190" s="952"/>
      <c r="K190" s="1658"/>
    </row>
    <row r="191" spans="1:11" ht="12.75" customHeight="1" x14ac:dyDescent="0.2">
      <c r="A191" s="1653"/>
      <c r="B191" s="1656"/>
      <c r="C191" s="953">
        <v>2314</v>
      </c>
      <c r="D191" s="954">
        <v>500</v>
      </c>
      <c r="E191" s="952"/>
      <c r="F191" s="952"/>
      <c r="G191" s="952"/>
      <c r="H191" s="952">
        <f t="shared" si="31"/>
        <v>500</v>
      </c>
      <c r="I191" s="952">
        <f t="shared" si="31"/>
        <v>0</v>
      </c>
      <c r="J191" s="952"/>
      <c r="K191" s="1659"/>
    </row>
    <row r="192" spans="1:11" ht="14.25" customHeight="1" x14ac:dyDescent="0.2">
      <c r="A192" s="1639" t="s">
        <v>1166</v>
      </c>
      <c r="B192" s="1642" t="s">
        <v>1167</v>
      </c>
      <c r="C192" s="957"/>
      <c r="D192" s="542">
        <f>SUM(D193:D199)</f>
        <v>9775</v>
      </c>
      <c r="E192" s="542">
        <f>SUM(E193:E199)</f>
        <v>0</v>
      </c>
      <c r="F192" s="542">
        <f>SUM(F193:F199)</f>
        <v>0</v>
      </c>
      <c r="G192" s="542">
        <f>SUM(G193:G199)</f>
        <v>0</v>
      </c>
      <c r="H192" s="958">
        <f t="shared" si="31"/>
        <v>9775</v>
      </c>
      <c r="I192" s="958">
        <f t="shared" si="31"/>
        <v>0</v>
      </c>
      <c r="J192" s="959"/>
      <c r="K192" s="1660" t="s">
        <v>1168</v>
      </c>
    </row>
    <row r="193" spans="1:11" ht="13.5" customHeight="1" x14ac:dyDescent="0.2">
      <c r="A193" s="1640"/>
      <c r="B193" s="1643"/>
      <c r="C193" s="957">
        <v>1150</v>
      </c>
      <c r="D193" s="959">
        <v>1940</v>
      </c>
      <c r="E193" s="960"/>
      <c r="F193" s="960"/>
      <c r="G193" s="960"/>
      <c r="H193" s="960">
        <f t="shared" si="31"/>
        <v>1940</v>
      </c>
      <c r="I193" s="960">
        <f t="shared" si="31"/>
        <v>0</v>
      </c>
      <c r="J193" s="959"/>
      <c r="K193" s="1661"/>
    </row>
    <row r="194" spans="1:11" ht="15" customHeight="1" x14ac:dyDescent="0.2">
      <c r="A194" s="1640"/>
      <c r="B194" s="1643"/>
      <c r="C194" s="957">
        <v>1210</v>
      </c>
      <c r="D194" s="959">
        <v>90</v>
      </c>
      <c r="E194" s="960"/>
      <c r="F194" s="960"/>
      <c r="G194" s="960"/>
      <c r="H194" s="960">
        <f t="shared" si="31"/>
        <v>90</v>
      </c>
      <c r="I194" s="960">
        <f t="shared" si="31"/>
        <v>0</v>
      </c>
      <c r="J194" s="959"/>
      <c r="K194" s="1661"/>
    </row>
    <row r="195" spans="1:11" ht="14.25" customHeight="1" x14ac:dyDescent="0.2">
      <c r="A195" s="1640"/>
      <c r="B195" s="1643"/>
      <c r="C195" s="957">
        <v>2262</v>
      </c>
      <c r="D195" s="959">
        <v>400</v>
      </c>
      <c r="E195" s="960"/>
      <c r="F195" s="960"/>
      <c r="G195" s="960"/>
      <c r="H195" s="960">
        <f t="shared" si="31"/>
        <v>400</v>
      </c>
      <c r="I195" s="960">
        <f t="shared" si="31"/>
        <v>0</v>
      </c>
      <c r="J195" s="959"/>
      <c r="K195" s="1661"/>
    </row>
    <row r="196" spans="1:11" ht="15.75" customHeight="1" x14ac:dyDescent="0.2">
      <c r="A196" s="1640"/>
      <c r="B196" s="1643"/>
      <c r="C196" s="957">
        <v>2264</v>
      </c>
      <c r="D196" s="959">
        <v>1647</v>
      </c>
      <c r="E196" s="960"/>
      <c r="F196" s="960"/>
      <c r="G196" s="960"/>
      <c r="H196" s="960">
        <f t="shared" si="31"/>
        <v>1647</v>
      </c>
      <c r="I196" s="960">
        <f t="shared" si="31"/>
        <v>0</v>
      </c>
      <c r="J196" s="959"/>
      <c r="K196" s="1661"/>
    </row>
    <row r="197" spans="1:11" ht="13.5" customHeight="1" x14ac:dyDescent="0.2">
      <c r="A197" s="1640"/>
      <c r="B197" s="1643"/>
      <c r="C197" s="957">
        <v>2279</v>
      </c>
      <c r="D197" s="959">
        <v>1800</v>
      </c>
      <c r="E197" s="960"/>
      <c r="F197" s="960"/>
      <c r="G197" s="960"/>
      <c r="H197" s="960">
        <f t="shared" si="31"/>
        <v>1800</v>
      </c>
      <c r="I197" s="960">
        <f t="shared" si="31"/>
        <v>0</v>
      </c>
      <c r="J197" s="959"/>
      <c r="K197" s="1661"/>
    </row>
    <row r="198" spans="1:11" ht="15" customHeight="1" x14ac:dyDescent="0.2">
      <c r="A198" s="1640"/>
      <c r="B198" s="1643"/>
      <c r="C198" s="957">
        <v>2314</v>
      </c>
      <c r="D198" s="959">
        <v>2898</v>
      </c>
      <c r="E198" s="960"/>
      <c r="F198" s="960"/>
      <c r="G198" s="960"/>
      <c r="H198" s="960">
        <f t="shared" si="31"/>
        <v>2898</v>
      </c>
      <c r="I198" s="960">
        <f t="shared" si="31"/>
        <v>0</v>
      </c>
      <c r="J198" s="959"/>
      <c r="K198" s="1661"/>
    </row>
    <row r="199" spans="1:11" ht="13.5" customHeight="1" x14ac:dyDescent="0.2">
      <c r="A199" s="1641"/>
      <c r="B199" s="1644"/>
      <c r="C199" s="957">
        <v>2363</v>
      </c>
      <c r="D199" s="959">
        <v>1000</v>
      </c>
      <c r="E199" s="960"/>
      <c r="F199" s="960"/>
      <c r="G199" s="960"/>
      <c r="H199" s="960">
        <f t="shared" ref="H199:I237" si="40">D199+F199</f>
        <v>1000</v>
      </c>
      <c r="I199" s="960">
        <f t="shared" si="40"/>
        <v>0</v>
      </c>
      <c r="J199" s="959"/>
      <c r="K199" s="1662"/>
    </row>
    <row r="200" spans="1:11" ht="24" x14ac:dyDescent="0.2">
      <c r="A200" s="964" t="s">
        <v>1169</v>
      </c>
      <c r="B200" s="1025" t="s">
        <v>1170</v>
      </c>
      <c r="C200" s="963"/>
      <c r="D200" s="542">
        <f>SUM(D201,D211,D216,D220,D225)</f>
        <v>61382</v>
      </c>
      <c r="E200" s="542">
        <f t="shared" ref="E200:I200" si="41">SUM(E201,E211,E216,E220,E225)</f>
        <v>0</v>
      </c>
      <c r="F200" s="542">
        <f t="shared" si="41"/>
        <v>0</v>
      </c>
      <c r="G200" s="542">
        <f t="shared" si="41"/>
        <v>0</v>
      </c>
      <c r="H200" s="542">
        <f t="shared" si="41"/>
        <v>61382</v>
      </c>
      <c r="I200" s="542">
        <f t="shared" si="41"/>
        <v>0</v>
      </c>
      <c r="J200" s="959"/>
      <c r="K200" s="960"/>
    </row>
    <row r="201" spans="1:11" ht="15.75" customHeight="1" x14ac:dyDescent="0.2">
      <c r="A201" s="1639" t="s">
        <v>1171</v>
      </c>
      <c r="B201" s="1642" t="s">
        <v>1172</v>
      </c>
      <c r="C201" s="965"/>
      <c r="D201" s="542">
        <f>SUM(D202:D210)</f>
        <v>22553</v>
      </c>
      <c r="E201" s="542">
        <f t="shared" ref="E201:G201" si="42">SUM(E202:E210)</f>
        <v>0</v>
      </c>
      <c r="F201" s="542">
        <f t="shared" si="42"/>
        <v>-747</v>
      </c>
      <c r="G201" s="542">
        <f t="shared" si="42"/>
        <v>0</v>
      </c>
      <c r="H201" s="958">
        <f t="shared" ref="H201:I201" si="43">D201+F201</f>
        <v>21806</v>
      </c>
      <c r="I201" s="958">
        <f t="shared" si="43"/>
        <v>0</v>
      </c>
      <c r="J201" s="959"/>
      <c r="K201" s="1645" t="s">
        <v>1173</v>
      </c>
    </row>
    <row r="202" spans="1:11" ht="15.75" customHeight="1" x14ac:dyDescent="0.2">
      <c r="A202" s="1640"/>
      <c r="B202" s="1643"/>
      <c r="C202" s="957">
        <v>1150</v>
      </c>
      <c r="D202" s="959">
        <v>1352</v>
      </c>
      <c r="E202" s="960"/>
      <c r="F202" s="960"/>
      <c r="G202" s="960"/>
      <c r="H202" s="960">
        <f t="shared" si="40"/>
        <v>1352</v>
      </c>
      <c r="I202" s="960">
        <f t="shared" si="40"/>
        <v>0</v>
      </c>
      <c r="J202" s="959"/>
      <c r="K202" s="1646"/>
    </row>
    <row r="203" spans="1:11" ht="15.75" customHeight="1" x14ac:dyDescent="0.2">
      <c r="A203" s="1640"/>
      <c r="B203" s="1643"/>
      <c r="C203" s="957">
        <v>1210</v>
      </c>
      <c r="D203" s="959">
        <v>68</v>
      </c>
      <c r="E203" s="960"/>
      <c r="F203" s="960"/>
      <c r="G203" s="960"/>
      <c r="H203" s="960">
        <f t="shared" si="40"/>
        <v>68</v>
      </c>
      <c r="I203" s="960">
        <f t="shared" si="40"/>
        <v>0</v>
      </c>
      <c r="J203" s="959"/>
      <c r="K203" s="1646"/>
    </row>
    <row r="204" spans="1:11" ht="15.75" customHeight="1" x14ac:dyDescent="0.2">
      <c r="A204" s="1640"/>
      <c r="B204" s="1643"/>
      <c r="C204" s="957">
        <v>2261</v>
      </c>
      <c r="D204" s="959">
        <v>376</v>
      </c>
      <c r="E204" s="960"/>
      <c r="F204" s="960"/>
      <c r="G204" s="960"/>
      <c r="H204" s="960">
        <f t="shared" si="40"/>
        <v>376</v>
      </c>
      <c r="I204" s="960">
        <f t="shared" si="40"/>
        <v>0</v>
      </c>
      <c r="J204" s="1021"/>
      <c r="K204" s="1646"/>
    </row>
    <row r="205" spans="1:11" ht="15.75" customHeight="1" x14ac:dyDescent="0.2">
      <c r="A205" s="1640"/>
      <c r="B205" s="1643"/>
      <c r="C205" s="957">
        <v>2262</v>
      </c>
      <c r="D205" s="959">
        <v>13338</v>
      </c>
      <c r="E205" s="960"/>
      <c r="F205" s="960">
        <v>-896</v>
      </c>
      <c r="G205" s="960"/>
      <c r="H205" s="960">
        <f t="shared" si="40"/>
        <v>12442</v>
      </c>
      <c r="I205" s="960">
        <f t="shared" si="40"/>
        <v>0</v>
      </c>
      <c r="J205" s="959" t="s">
        <v>1174</v>
      </c>
      <c r="K205" s="1646"/>
    </row>
    <row r="206" spans="1:11" ht="15.75" customHeight="1" x14ac:dyDescent="0.2">
      <c r="A206" s="1640"/>
      <c r="B206" s="1643"/>
      <c r="C206" s="957">
        <v>2279</v>
      </c>
      <c r="D206" s="959">
        <v>3136</v>
      </c>
      <c r="E206" s="960"/>
      <c r="F206" s="960"/>
      <c r="G206" s="960"/>
      <c r="H206" s="960">
        <f t="shared" si="40"/>
        <v>3136</v>
      </c>
      <c r="I206" s="960">
        <f t="shared" si="40"/>
        <v>0</v>
      </c>
      <c r="J206" s="959"/>
      <c r="K206" s="1646"/>
    </row>
    <row r="207" spans="1:11" ht="15.75" customHeight="1" x14ac:dyDescent="0.2">
      <c r="A207" s="1640"/>
      <c r="B207" s="1643"/>
      <c r="C207" s="957">
        <v>2312</v>
      </c>
      <c r="D207" s="959">
        <v>870</v>
      </c>
      <c r="E207" s="960"/>
      <c r="F207" s="960"/>
      <c r="G207" s="960"/>
      <c r="H207" s="960">
        <f t="shared" si="40"/>
        <v>870</v>
      </c>
      <c r="I207" s="960">
        <f t="shared" si="40"/>
        <v>0</v>
      </c>
      <c r="J207" s="959"/>
      <c r="K207" s="1646"/>
    </row>
    <row r="208" spans="1:11" ht="15.75" customHeight="1" x14ac:dyDescent="0.2">
      <c r="A208" s="1640"/>
      <c r="B208" s="1643"/>
      <c r="C208" s="957">
        <v>2314</v>
      </c>
      <c r="D208" s="959">
        <v>1377</v>
      </c>
      <c r="E208" s="960"/>
      <c r="F208" s="960">
        <v>149</v>
      </c>
      <c r="G208" s="960"/>
      <c r="H208" s="960">
        <f t="shared" si="40"/>
        <v>1526</v>
      </c>
      <c r="I208" s="960">
        <f t="shared" si="40"/>
        <v>0</v>
      </c>
      <c r="J208" s="959" t="s">
        <v>1175</v>
      </c>
      <c r="K208" s="1646"/>
    </row>
    <row r="209" spans="1:11" ht="15.75" customHeight="1" x14ac:dyDescent="0.2">
      <c r="A209" s="1640"/>
      <c r="B209" s="1643"/>
      <c r="C209" s="957">
        <v>2363</v>
      </c>
      <c r="D209" s="959">
        <v>1715</v>
      </c>
      <c r="E209" s="960"/>
      <c r="F209" s="960"/>
      <c r="G209" s="960"/>
      <c r="H209" s="960">
        <f t="shared" si="40"/>
        <v>1715</v>
      </c>
      <c r="I209" s="960">
        <f t="shared" si="40"/>
        <v>0</v>
      </c>
      <c r="J209" s="959"/>
      <c r="K209" s="1646"/>
    </row>
    <row r="210" spans="1:11" ht="15.75" customHeight="1" x14ac:dyDescent="0.2">
      <c r="A210" s="1641"/>
      <c r="B210" s="1644"/>
      <c r="C210" s="957">
        <v>2390</v>
      </c>
      <c r="D210" s="959">
        <v>321</v>
      </c>
      <c r="E210" s="960"/>
      <c r="F210" s="960"/>
      <c r="G210" s="960"/>
      <c r="H210" s="960">
        <f t="shared" si="40"/>
        <v>321</v>
      </c>
      <c r="I210" s="960">
        <f t="shared" si="40"/>
        <v>0</v>
      </c>
      <c r="J210" s="959"/>
      <c r="K210" s="1647"/>
    </row>
    <row r="211" spans="1:11" ht="15.75" customHeight="1" x14ac:dyDescent="0.2">
      <c r="A211" s="1639" t="s">
        <v>1176</v>
      </c>
      <c r="B211" s="1642" t="s">
        <v>1177</v>
      </c>
      <c r="C211" s="957"/>
      <c r="D211" s="542">
        <f>SUM(D212:D215)</f>
        <v>2486</v>
      </c>
      <c r="E211" s="542">
        <f t="shared" ref="E211:G211" si="44">SUM(E212:E215)</f>
        <v>0</v>
      </c>
      <c r="F211" s="542">
        <f t="shared" si="44"/>
        <v>0</v>
      </c>
      <c r="G211" s="542">
        <f t="shared" si="44"/>
        <v>0</v>
      </c>
      <c r="H211" s="958">
        <f t="shared" si="40"/>
        <v>2486</v>
      </c>
      <c r="I211" s="958">
        <f t="shared" si="40"/>
        <v>0</v>
      </c>
      <c r="J211" s="959"/>
      <c r="K211" s="1645" t="s">
        <v>1178</v>
      </c>
    </row>
    <row r="212" spans="1:11" ht="15.75" customHeight="1" x14ac:dyDescent="0.2">
      <c r="A212" s="1640"/>
      <c r="B212" s="1643"/>
      <c r="C212" s="957">
        <v>1150</v>
      </c>
      <c r="D212" s="959">
        <v>1012</v>
      </c>
      <c r="E212" s="960"/>
      <c r="F212" s="960"/>
      <c r="G212" s="960"/>
      <c r="H212" s="960">
        <f t="shared" si="40"/>
        <v>1012</v>
      </c>
      <c r="I212" s="960">
        <f t="shared" si="40"/>
        <v>0</v>
      </c>
      <c r="J212" s="959"/>
      <c r="K212" s="1646"/>
    </row>
    <row r="213" spans="1:11" ht="15.75" customHeight="1" x14ac:dyDescent="0.2">
      <c r="A213" s="1640"/>
      <c r="B213" s="1643"/>
      <c r="C213" s="957">
        <v>1210</v>
      </c>
      <c r="D213" s="959">
        <v>51</v>
      </c>
      <c r="E213" s="960"/>
      <c r="F213" s="960"/>
      <c r="G213" s="960"/>
      <c r="H213" s="960">
        <f t="shared" si="40"/>
        <v>51</v>
      </c>
      <c r="I213" s="960">
        <f t="shared" si="40"/>
        <v>0</v>
      </c>
      <c r="J213" s="959"/>
      <c r="K213" s="1646"/>
    </row>
    <row r="214" spans="1:11" ht="15.75" customHeight="1" x14ac:dyDescent="0.2">
      <c r="A214" s="1640"/>
      <c r="B214" s="1643"/>
      <c r="C214" s="957">
        <v>2314</v>
      </c>
      <c r="D214" s="959">
        <v>1213</v>
      </c>
      <c r="E214" s="960"/>
      <c r="F214" s="960"/>
      <c r="G214" s="960"/>
      <c r="H214" s="960">
        <f t="shared" si="40"/>
        <v>1213</v>
      </c>
      <c r="I214" s="960">
        <f t="shared" si="40"/>
        <v>0</v>
      </c>
      <c r="J214" s="959"/>
      <c r="K214" s="1646"/>
    </row>
    <row r="215" spans="1:11" ht="15.75" customHeight="1" x14ac:dyDescent="0.2">
      <c r="A215" s="1641"/>
      <c r="B215" s="1644"/>
      <c r="C215" s="957">
        <v>2363</v>
      </c>
      <c r="D215" s="959">
        <v>210</v>
      </c>
      <c r="E215" s="960"/>
      <c r="F215" s="960"/>
      <c r="G215" s="960"/>
      <c r="H215" s="960">
        <f t="shared" si="40"/>
        <v>210</v>
      </c>
      <c r="I215" s="960">
        <f t="shared" si="40"/>
        <v>0</v>
      </c>
      <c r="J215" s="959"/>
      <c r="K215" s="1647"/>
    </row>
    <row r="216" spans="1:11" ht="17.25" customHeight="1" x14ac:dyDescent="0.2">
      <c r="A216" s="1639" t="s">
        <v>1179</v>
      </c>
      <c r="B216" s="1642" t="s">
        <v>1180</v>
      </c>
      <c r="C216" s="957"/>
      <c r="D216" s="542">
        <f>SUM(D217:D219)</f>
        <v>3459</v>
      </c>
      <c r="E216" s="542">
        <f t="shared" ref="E216:G216" si="45">SUM(E217:E219)</f>
        <v>0</v>
      </c>
      <c r="F216" s="542">
        <f t="shared" si="45"/>
        <v>0</v>
      </c>
      <c r="G216" s="542">
        <f t="shared" si="45"/>
        <v>0</v>
      </c>
      <c r="H216" s="958">
        <f t="shared" si="40"/>
        <v>3459</v>
      </c>
      <c r="I216" s="958">
        <f t="shared" si="40"/>
        <v>0</v>
      </c>
      <c r="J216" s="959"/>
      <c r="K216" s="1645" t="s">
        <v>1181</v>
      </c>
    </row>
    <row r="217" spans="1:11" ht="17.25" customHeight="1" x14ac:dyDescent="0.2">
      <c r="A217" s="1640"/>
      <c r="B217" s="1643"/>
      <c r="C217" s="957">
        <v>1150</v>
      </c>
      <c r="D217" s="959">
        <v>2113</v>
      </c>
      <c r="E217" s="960"/>
      <c r="F217" s="960"/>
      <c r="G217" s="960"/>
      <c r="H217" s="960">
        <f t="shared" si="40"/>
        <v>2113</v>
      </c>
      <c r="I217" s="960">
        <f t="shared" si="40"/>
        <v>0</v>
      </c>
      <c r="J217" s="959"/>
      <c r="K217" s="1646"/>
    </row>
    <row r="218" spans="1:11" ht="17.25" customHeight="1" x14ac:dyDescent="0.2">
      <c r="A218" s="1640"/>
      <c r="B218" s="1643"/>
      <c r="C218" s="957">
        <v>1210</v>
      </c>
      <c r="D218" s="959">
        <v>106</v>
      </c>
      <c r="E218" s="960"/>
      <c r="F218" s="960"/>
      <c r="G218" s="960"/>
      <c r="H218" s="960">
        <f t="shared" si="40"/>
        <v>106</v>
      </c>
      <c r="I218" s="960">
        <f t="shared" si="40"/>
        <v>0</v>
      </c>
      <c r="J218" s="959"/>
      <c r="K218" s="1646"/>
    </row>
    <row r="219" spans="1:11" ht="17.25" customHeight="1" x14ac:dyDescent="0.2">
      <c r="A219" s="1641"/>
      <c r="B219" s="1644"/>
      <c r="C219" s="957">
        <v>2314</v>
      </c>
      <c r="D219" s="959">
        <v>1240</v>
      </c>
      <c r="E219" s="960"/>
      <c r="F219" s="960"/>
      <c r="G219" s="960"/>
      <c r="H219" s="960">
        <f t="shared" si="40"/>
        <v>1240</v>
      </c>
      <c r="I219" s="960">
        <f t="shared" si="40"/>
        <v>0</v>
      </c>
      <c r="J219" s="959"/>
      <c r="K219" s="1647"/>
    </row>
    <row r="220" spans="1:11" ht="15.75" customHeight="1" x14ac:dyDescent="0.2">
      <c r="A220" s="1639" t="s">
        <v>1182</v>
      </c>
      <c r="B220" s="1642" t="s">
        <v>1183</v>
      </c>
      <c r="C220" s="957"/>
      <c r="D220" s="542">
        <f>SUM(D221:D224)</f>
        <v>14955</v>
      </c>
      <c r="E220" s="542">
        <f t="shared" ref="E220:G220" si="46">SUM(E221:E224)</f>
        <v>0</v>
      </c>
      <c r="F220" s="542">
        <f t="shared" si="46"/>
        <v>0</v>
      </c>
      <c r="G220" s="542">
        <f t="shared" si="46"/>
        <v>0</v>
      </c>
      <c r="H220" s="958">
        <f t="shared" si="40"/>
        <v>14955</v>
      </c>
      <c r="I220" s="958">
        <f t="shared" si="40"/>
        <v>0</v>
      </c>
      <c r="J220" s="959"/>
      <c r="K220" s="1645" t="s">
        <v>1184</v>
      </c>
    </row>
    <row r="221" spans="1:11" ht="15.75" customHeight="1" x14ac:dyDescent="0.2">
      <c r="A221" s="1640"/>
      <c r="B221" s="1643"/>
      <c r="C221" s="957">
        <v>2121</v>
      </c>
      <c r="D221" s="959">
        <v>1930</v>
      </c>
      <c r="E221" s="960"/>
      <c r="F221" s="960">
        <v>-420</v>
      </c>
      <c r="G221" s="960"/>
      <c r="H221" s="960">
        <f t="shared" si="40"/>
        <v>1510</v>
      </c>
      <c r="I221" s="960">
        <f t="shared" si="40"/>
        <v>0</v>
      </c>
      <c r="J221" s="959" t="s">
        <v>1185</v>
      </c>
      <c r="K221" s="1646"/>
    </row>
    <row r="222" spans="1:11" ht="15.75" customHeight="1" x14ac:dyDescent="0.2">
      <c r="A222" s="1640"/>
      <c r="B222" s="1643"/>
      <c r="C222" s="957">
        <v>2122</v>
      </c>
      <c r="D222" s="959">
        <v>410</v>
      </c>
      <c r="E222" s="960"/>
      <c r="F222" s="960"/>
      <c r="G222" s="960"/>
      <c r="H222" s="960">
        <f t="shared" si="40"/>
        <v>410</v>
      </c>
      <c r="I222" s="960">
        <f t="shared" si="40"/>
        <v>0</v>
      </c>
      <c r="J222" s="959"/>
      <c r="K222" s="1646"/>
    </row>
    <row r="223" spans="1:11" ht="15.75" customHeight="1" x14ac:dyDescent="0.2">
      <c r="A223" s="1640"/>
      <c r="B223" s="1643"/>
      <c r="C223" s="957">
        <v>2262</v>
      </c>
      <c r="D223" s="959">
        <v>6879</v>
      </c>
      <c r="E223" s="960"/>
      <c r="F223" s="960"/>
      <c r="G223" s="960"/>
      <c r="H223" s="960">
        <f t="shared" si="40"/>
        <v>6879</v>
      </c>
      <c r="I223" s="960">
        <f t="shared" si="40"/>
        <v>0</v>
      </c>
      <c r="J223" s="959"/>
      <c r="K223" s="1646"/>
    </row>
    <row r="224" spans="1:11" ht="15.75" customHeight="1" x14ac:dyDescent="0.2">
      <c r="A224" s="1641"/>
      <c r="B224" s="1644"/>
      <c r="C224" s="957">
        <v>2279</v>
      </c>
      <c r="D224" s="959">
        <v>5736</v>
      </c>
      <c r="E224" s="960"/>
      <c r="F224" s="960">
        <v>420</v>
      </c>
      <c r="G224" s="960"/>
      <c r="H224" s="960">
        <f t="shared" si="40"/>
        <v>6156</v>
      </c>
      <c r="I224" s="960">
        <f t="shared" si="40"/>
        <v>0</v>
      </c>
      <c r="J224" s="959" t="s">
        <v>1186</v>
      </c>
      <c r="K224" s="1647"/>
    </row>
    <row r="225" spans="1:13" ht="27.75" customHeight="1" x14ac:dyDescent="0.2">
      <c r="A225" s="1639" t="s">
        <v>1187</v>
      </c>
      <c r="B225" s="1642" t="s">
        <v>1188</v>
      </c>
      <c r="C225" s="957"/>
      <c r="D225" s="542">
        <f>SUM(D226)</f>
        <v>17929</v>
      </c>
      <c r="E225" s="542">
        <f t="shared" ref="E225:G225" si="47">SUM(E226)</f>
        <v>0</v>
      </c>
      <c r="F225" s="542">
        <f t="shared" si="47"/>
        <v>747</v>
      </c>
      <c r="G225" s="542">
        <f t="shared" si="47"/>
        <v>0</v>
      </c>
      <c r="H225" s="958">
        <f t="shared" si="40"/>
        <v>18676</v>
      </c>
      <c r="I225" s="958">
        <f t="shared" si="40"/>
        <v>0</v>
      </c>
      <c r="J225" s="959"/>
      <c r="K225" s="1649" t="s">
        <v>1173</v>
      </c>
    </row>
    <row r="226" spans="1:13" ht="27.75" customHeight="1" x14ac:dyDescent="0.2">
      <c r="A226" s="1641"/>
      <c r="B226" s="1644"/>
      <c r="C226" s="957">
        <v>2361</v>
      </c>
      <c r="D226" s="959">
        <v>17929</v>
      </c>
      <c r="E226" s="960"/>
      <c r="F226" s="960">
        <v>747</v>
      </c>
      <c r="G226" s="960"/>
      <c r="H226" s="960">
        <f t="shared" si="40"/>
        <v>18676</v>
      </c>
      <c r="I226" s="960">
        <f t="shared" si="40"/>
        <v>0</v>
      </c>
      <c r="J226" s="959" t="s">
        <v>1189</v>
      </c>
      <c r="K226" s="1650"/>
    </row>
    <row r="227" spans="1:13" ht="24" x14ac:dyDescent="0.2">
      <c r="A227" s="962" t="s">
        <v>1190</v>
      </c>
      <c r="B227" s="1024" t="s">
        <v>1191</v>
      </c>
      <c r="C227" s="955"/>
      <c r="D227" s="950">
        <f>SUM(D228,D229,D230,D231,D234)</f>
        <v>73371</v>
      </c>
      <c r="E227" s="950">
        <f t="shared" ref="E227:I227" si="48">SUM(E228,E229,E230,E231,E234)</f>
        <v>4000</v>
      </c>
      <c r="F227" s="950">
        <f t="shared" si="48"/>
        <v>-4580</v>
      </c>
      <c r="G227" s="950">
        <f t="shared" si="48"/>
        <v>0</v>
      </c>
      <c r="H227" s="950">
        <f t="shared" si="48"/>
        <v>68791</v>
      </c>
      <c r="I227" s="950">
        <f t="shared" si="48"/>
        <v>4000</v>
      </c>
      <c r="J227" s="952"/>
      <c r="K227" s="1494"/>
    </row>
    <row r="228" spans="1:13" ht="61.5" customHeight="1" x14ac:dyDescent="0.2">
      <c r="A228" s="966" t="s">
        <v>1192</v>
      </c>
      <c r="B228" s="532" t="s">
        <v>1193</v>
      </c>
      <c r="C228" s="953">
        <v>2314</v>
      </c>
      <c r="D228" s="950">
        <v>5650</v>
      </c>
      <c r="E228" s="951">
        <v>2800</v>
      </c>
      <c r="F228" s="951"/>
      <c r="G228" s="951"/>
      <c r="H228" s="951">
        <f t="shared" si="40"/>
        <v>5650</v>
      </c>
      <c r="I228" s="951">
        <f t="shared" si="40"/>
        <v>2800</v>
      </c>
      <c r="J228" s="952"/>
      <c r="K228" s="1495" t="s">
        <v>1194</v>
      </c>
    </row>
    <row r="229" spans="1:13" ht="14.25" customHeight="1" x14ac:dyDescent="0.2">
      <c r="A229" s="966" t="s">
        <v>1195</v>
      </c>
      <c r="B229" s="532" t="s">
        <v>1196</v>
      </c>
      <c r="C229" s="953">
        <v>2279</v>
      </c>
      <c r="D229" s="950">
        <v>4000</v>
      </c>
      <c r="E229" s="951">
        <v>1200</v>
      </c>
      <c r="F229" s="951"/>
      <c r="G229" s="951"/>
      <c r="H229" s="951">
        <f t="shared" si="40"/>
        <v>4000</v>
      </c>
      <c r="I229" s="951">
        <f t="shared" si="40"/>
        <v>1200</v>
      </c>
      <c r="J229" s="952"/>
      <c r="K229" s="1495" t="s">
        <v>1197</v>
      </c>
    </row>
    <row r="230" spans="1:13" ht="13.5" customHeight="1" x14ac:dyDescent="0.2">
      <c r="A230" s="966" t="s">
        <v>1198</v>
      </c>
      <c r="B230" s="532" t="s">
        <v>1199</v>
      </c>
      <c r="C230" s="953">
        <v>2248</v>
      </c>
      <c r="D230" s="950">
        <v>700</v>
      </c>
      <c r="E230" s="951"/>
      <c r="F230" s="951"/>
      <c r="G230" s="951"/>
      <c r="H230" s="951">
        <f t="shared" si="40"/>
        <v>700</v>
      </c>
      <c r="I230" s="951">
        <f t="shared" si="40"/>
        <v>0</v>
      </c>
      <c r="J230" s="952"/>
      <c r="K230" s="1495" t="s">
        <v>1197</v>
      </c>
    </row>
    <row r="231" spans="1:13" ht="14.25" customHeight="1" x14ac:dyDescent="0.2">
      <c r="A231" s="1639" t="s">
        <v>1200</v>
      </c>
      <c r="B231" s="1642" t="s">
        <v>1201</v>
      </c>
      <c r="C231" s="957"/>
      <c r="D231" s="542">
        <f>SUM(D232:D233)</f>
        <v>700</v>
      </c>
      <c r="E231" s="542">
        <f t="shared" ref="E231:G231" si="49">SUM(E232:E233)</f>
        <v>0</v>
      </c>
      <c r="F231" s="542">
        <f t="shared" si="49"/>
        <v>0</v>
      </c>
      <c r="G231" s="542">
        <f t="shared" si="49"/>
        <v>0</v>
      </c>
      <c r="H231" s="958">
        <f t="shared" si="40"/>
        <v>700</v>
      </c>
      <c r="I231" s="958">
        <f t="shared" si="40"/>
        <v>0</v>
      </c>
      <c r="J231" s="960"/>
      <c r="K231" s="1646" t="s">
        <v>1197</v>
      </c>
    </row>
    <row r="232" spans="1:13" ht="17.25" customHeight="1" x14ac:dyDescent="0.2">
      <c r="A232" s="1640"/>
      <c r="B232" s="1643"/>
      <c r="C232" s="957">
        <v>2223</v>
      </c>
      <c r="D232" s="959">
        <v>360</v>
      </c>
      <c r="E232" s="960"/>
      <c r="F232" s="960"/>
      <c r="G232" s="960"/>
      <c r="H232" s="960">
        <f t="shared" si="40"/>
        <v>360</v>
      </c>
      <c r="I232" s="960">
        <f t="shared" si="40"/>
        <v>0</v>
      </c>
      <c r="J232" s="959"/>
      <c r="K232" s="1646"/>
    </row>
    <row r="233" spans="1:13" ht="14.25" customHeight="1" x14ac:dyDescent="0.2">
      <c r="A233" s="1641"/>
      <c r="B233" s="1644"/>
      <c r="C233" s="957">
        <v>2279</v>
      </c>
      <c r="D233" s="959">
        <v>340</v>
      </c>
      <c r="E233" s="960"/>
      <c r="F233" s="960"/>
      <c r="G233" s="960"/>
      <c r="H233" s="960">
        <f t="shared" si="40"/>
        <v>340</v>
      </c>
      <c r="I233" s="960">
        <f t="shared" si="40"/>
        <v>0</v>
      </c>
      <c r="J233" s="959"/>
      <c r="K233" s="1647"/>
    </row>
    <row r="234" spans="1:13" ht="15" customHeight="1" x14ac:dyDescent="0.2">
      <c r="A234" s="1639" t="s">
        <v>1202</v>
      </c>
      <c r="B234" s="1642" t="s">
        <v>1203</v>
      </c>
      <c r="C234" s="957"/>
      <c r="D234" s="542">
        <f>SUM(D235:D237)</f>
        <v>62321</v>
      </c>
      <c r="E234" s="542">
        <f t="shared" ref="E234:G234" si="50">SUM(E235:E237)</f>
        <v>0</v>
      </c>
      <c r="F234" s="542">
        <f t="shared" si="50"/>
        <v>-4580</v>
      </c>
      <c r="G234" s="542">
        <f t="shared" si="50"/>
        <v>0</v>
      </c>
      <c r="H234" s="958">
        <f t="shared" si="40"/>
        <v>57741</v>
      </c>
      <c r="I234" s="958">
        <f t="shared" si="40"/>
        <v>0</v>
      </c>
      <c r="J234" s="959"/>
      <c r="K234" s="1645" t="s">
        <v>1194</v>
      </c>
    </row>
    <row r="235" spans="1:13" ht="26.25" customHeight="1" x14ac:dyDescent="0.2">
      <c r="A235" s="1640"/>
      <c r="B235" s="1643"/>
      <c r="C235" s="957">
        <v>2239</v>
      </c>
      <c r="D235" s="959">
        <v>44764</v>
      </c>
      <c r="E235" s="960"/>
      <c r="F235" s="960">
        <v>-4580</v>
      </c>
      <c r="G235" s="960"/>
      <c r="H235" s="960">
        <f t="shared" si="40"/>
        <v>40184</v>
      </c>
      <c r="I235" s="960">
        <f t="shared" si="40"/>
        <v>0</v>
      </c>
      <c r="J235" s="959" t="s">
        <v>1204</v>
      </c>
      <c r="K235" s="1646"/>
    </row>
    <row r="236" spans="1:13" ht="14.25" customHeight="1" x14ac:dyDescent="0.2">
      <c r="A236" s="1640"/>
      <c r="B236" s="1643"/>
      <c r="C236" s="957">
        <v>2279</v>
      </c>
      <c r="D236" s="959">
        <v>8500</v>
      </c>
      <c r="E236" s="960"/>
      <c r="F236" s="960"/>
      <c r="G236" s="960"/>
      <c r="H236" s="960">
        <f t="shared" si="40"/>
        <v>8500</v>
      </c>
      <c r="I236" s="960">
        <f t="shared" si="40"/>
        <v>0</v>
      </c>
      <c r="J236" s="959"/>
      <c r="K236" s="1646"/>
    </row>
    <row r="237" spans="1:13" ht="12.75" customHeight="1" x14ac:dyDescent="0.2">
      <c r="A237" s="1641"/>
      <c r="B237" s="1644"/>
      <c r="C237" s="957">
        <v>2314</v>
      </c>
      <c r="D237" s="959">
        <v>9057</v>
      </c>
      <c r="E237" s="960"/>
      <c r="F237" s="960"/>
      <c r="G237" s="960"/>
      <c r="H237" s="960">
        <f t="shared" si="40"/>
        <v>9057</v>
      </c>
      <c r="I237" s="960">
        <f t="shared" si="40"/>
        <v>0</v>
      </c>
      <c r="J237" s="959"/>
      <c r="K237" s="1647"/>
    </row>
    <row r="238" spans="1:13" s="496" customFormat="1" x14ac:dyDescent="0.2">
      <c r="A238" s="323" t="s">
        <v>360</v>
      </c>
      <c r="B238" s="342"/>
      <c r="C238" s="342"/>
      <c r="D238" s="342"/>
    </row>
    <row r="239" spans="1:13" s="496" customFormat="1" x14ac:dyDescent="0.2">
      <c r="A239" s="323" t="s">
        <v>361</v>
      </c>
      <c r="B239" s="342"/>
      <c r="C239" s="342"/>
      <c r="D239" s="342"/>
    </row>
    <row r="240" spans="1:13" s="496" customFormat="1" x14ac:dyDescent="0.2">
      <c r="A240" s="1648" t="s">
        <v>1205</v>
      </c>
      <c r="B240" s="1648"/>
      <c r="C240" s="1648"/>
      <c r="D240" s="1648"/>
      <c r="E240" s="1648"/>
      <c r="F240" s="1648"/>
      <c r="G240" s="1648"/>
      <c r="H240" s="1648"/>
      <c r="I240" s="1648"/>
      <c r="J240" s="1648"/>
      <c r="K240" s="1648"/>
      <c r="L240" s="1648"/>
      <c r="M240" s="967"/>
    </row>
    <row r="241" spans="1:13" s="496" customFormat="1" x14ac:dyDescent="0.2">
      <c r="A241" s="968" t="s">
        <v>1022</v>
      </c>
      <c r="B241" s="968"/>
      <c r="C241" s="968"/>
      <c r="D241" s="968"/>
      <c r="E241" s="968"/>
      <c r="F241" s="969"/>
      <c r="G241" s="969"/>
      <c r="H241" s="969"/>
      <c r="I241" s="969"/>
      <c r="J241" s="969"/>
      <c r="K241" s="969"/>
      <c r="L241" s="969"/>
      <c r="M241" s="967"/>
    </row>
    <row r="242" spans="1:13" s="496" customFormat="1" ht="12" customHeight="1" x14ac:dyDescent="0.2">
      <c r="A242" s="1635" t="s">
        <v>1206</v>
      </c>
      <c r="B242" s="1635"/>
      <c r="C242" s="1635"/>
      <c r="D242" s="1635"/>
      <c r="E242" s="1635"/>
      <c r="F242" s="1635"/>
      <c r="G242" s="1635"/>
      <c r="H242" s="1635"/>
      <c r="I242" s="1635"/>
      <c r="J242" s="1635"/>
      <c r="K242" s="1635"/>
      <c r="L242" s="1635"/>
      <c r="M242" s="967"/>
    </row>
    <row r="243" spans="1:13" s="496" customFormat="1" ht="12" customHeight="1" x14ac:dyDescent="0.2">
      <c r="A243" s="970" t="s">
        <v>1207</v>
      </c>
      <c r="B243" s="970"/>
      <c r="C243" s="970"/>
      <c r="D243" s="970"/>
      <c r="E243" s="971"/>
      <c r="F243" s="971"/>
      <c r="G243" s="971"/>
      <c r="H243" s="971"/>
      <c r="I243" s="971"/>
      <c r="J243" s="971"/>
      <c r="K243" s="971"/>
      <c r="L243" s="971"/>
      <c r="M243" s="967"/>
    </row>
    <row r="244" spans="1:13" s="496" customFormat="1" ht="12" customHeight="1" x14ac:dyDescent="0.2">
      <c r="A244" s="970" t="s">
        <v>1208</v>
      </c>
      <c r="B244" s="970"/>
      <c r="C244" s="970"/>
      <c r="D244" s="970"/>
      <c r="E244" s="971"/>
      <c r="F244" s="971"/>
      <c r="G244" s="971"/>
      <c r="H244" s="971"/>
      <c r="I244" s="971"/>
      <c r="J244" s="971"/>
      <c r="K244" s="971"/>
      <c r="L244" s="971"/>
      <c r="M244" s="967"/>
    </row>
    <row r="245" spans="1:13" s="533" customFormat="1" ht="12" customHeight="1" x14ac:dyDescent="0.2">
      <c r="A245" s="1635" t="s">
        <v>1209</v>
      </c>
      <c r="B245" s="1635"/>
      <c r="C245" s="1635"/>
      <c r="D245" s="1635"/>
      <c r="E245" s="1635"/>
      <c r="F245" s="1635"/>
      <c r="G245" s="1635"/>
      <c r="H245" s="1635"/>
      <c r="I245" s="1635"/>
      <c r="J245" s="1635"/>
      <c r="K245" s="1635"/>
      <c r="L245" s="1635"/>
      <c r="M245" s="1635"/>
    </row>
    <row r="246" spans="1:13" s="514" customFormat="1" ht="12" customHeight="1" x14ac:dyDescent="0.2">
      <c r="A246" s="1635" t="s">
        <v>1206</v>
      </c>
      <c r="B246" s="1635"/>
      <c r="C246" s="1635"/>
      <c r="D246" s="1635"/>
      <c r="E246" s="1635"/>
      <c r="F246" s="1635"/>
      <c r="G246" s="1635"/>
      <c r="H246" s="1635"/>
      <c r="I246" s="1635"/>
      <c r="J246" s="1635"/>
      <c r="K246" s="1635"/>
      <c r="L246" s="1635"/>
      <c r="M246" s="971"/>
    </row>
    <row r="247" spans="1:13" s="514" customFormat="1" ht="12" customHeight="1" x14ac:dyDescent="0.2">
      <c r="A247" s="970" t="s">
        <v>1210</v>
      </c>
      <c r="B247" s="971"/>
      <c r="C247" s="971"/>
      <c r="D247" s="971"/>
      <c r="E247" s="971"/>
      <c r="F247" s="971"/>
      <c r="G247" s="971"/>
      <c r="H247" s="971"/>
      <c r="I247" s="971"/>
      <c r="J247" s="971"/>
      <c r="K247" s="971"/>
      <c r="L247" s="971"/>
      <c r="M247" s="971"/>
    </row>
    <row r="248" spans="1:13" s="1635" customFormat="1" ht="12" customHeight="1" x14ac:dyDescent="0.25">
      <c r="A248" s="1635" t="s">
        <v>1211</v>
      </c>
    </row>
    <row r="249" spans="1:13" s="514" customFormat="1" ht="12" customHeight="1" x14ac:dyDescent="0.2">
      <c r="A249" s="972" t="s">
        <v>1212</v>
      </c>
      <c r="B249" s="971"/>
      <c r="C249" s="971"/>
      <c r="D249" s="971"/>
      <c r="E249" s="971"/>
      <c r="F249" s="971"/>
      <c r="G249" s="971"/>
      <c r="H249" s="971"/>
      <c r="I249" s="971"/>
      <c r="J249" s="971"/>
      <c r="K249" s="971"/>
      <c r="L249" s="971"/>
      <c r="M249" s="971"/>
    </row>
    <row r="250" spans="1:13" s="514" customFormat="1" ht="12" customHeight="1" x14ac:dyDescent="0.2">
      <c r="A250" s="1635" t="s">
        <v>1213</v>
      </c>
      <c r="B250" s="1635"/>
      <c r="C250" s="1635"/>
      <c r="D250" s="1635"/>
      <c r="E250" s="1635"/>
      <c r="F250" s="1635"/>
      <c r="G250" s="1635"/>
      <c r="H250" s="1635"/>
      <c r="I250" s="1635"/>
      <c r="J250" s="1635"/>
      <c r="K250" s="1635"/>
      <c r="L250" s="1635"/>
      <c r="M250" s="971"/>
    </row>
    <row r="251" spans="1:13" s="514" customFormat="1" ht="12" customHeight="1" x14ac:dyDescent="0.2">
      <c r="A251" s="973" t="s">
        <v>1214</v>
      </c>
      <c r="B251" s="973"/>
      <c r="C251" s="973"/>
      <c r="D251" s="973"/>
      <c r="E251" s="973"/>
      <c r="F251" s="973"/>
      <c r="G251" s="970"/>
      <c r="H251" s="971"/>
      <c r="I251" s="971"/>
      <c r="J251" s="971"/>
      <c r="K251" s="971"/>
      <c r="L251" s="971"/>
      <c r="M251" s="971"/>
    </row>
    <row r="252" spans="1:13" s="514" customFormat="1" ht="12" customHeight="1" x14ac:dyDescent="0.2">
      <c r="A252" s="970" t="s">
        <v>1215</v>
      </c>
      <c r="B252" s="970"/>
      <c r="C252" s="970"/>
      <c r="D252" s="970"/>
      <c r="E252" s="970"/>
      <c r="F252" s="970"/>
      <c r="G252" s="970"/>
      <c r="H252" s="971"/>
      <c r="I252" s="971"/>
      <c r="J252" s="971"/>
      <c r="K252" s="971"/>
      <c r="L252" s="971"/>
      <c r="M252" s="971"/>
    </row>
    <row r="253" spans="1:13" s="514" customFormat="1" ht="12" customHeight="1" x14ac:dyDescent="0.2">
      <c r="A253" s="970" t="s">
        <v>1216</v>
      </c>
      <c r="B253" s="970"/>
      <c r="C253" s="970"/>
      <c r="D253" s="970"/>
      <c r="E253" s="970"/>
      <c r="F253" s="970"/>
      <c r="G253" s="970"/>
      <c r="H253" s="971"/>
      <c r="I253" s="971"/>
      <c r="J253" s="971"/>
      <c r="K253" s="971"/>
      <c r="L253" s="971"/>
      <c r="M253" s="971"/>
    </row>
    <row r="254" spans="1:13" s="514" customFormat="1" ht="12" customHeight="1" x14ac:dyDescent="0.2">
      <c r="A254" s="970" t="s">
        <v>1217</v>
      </c>
      <c r="B254" s="970"/>
      <c r="C254" s="970"/>
      <c r="D254" s="970"/>
      <c r="E254" s="970"/>
      <c r="F254" s="970"/>
      <c r="G254" s="971"/>
      <c r="H254" s="971"/>
      <c r="I254" s="971"/>
      <c r="J254" s="971"/>
      <c r="K254" s="971"/>
      <c r="L254" s="971"/>
      <c r="M254" s="971"/>
    </row>
    <row r="255" spans="1:13" s="514" customFormat="1" ht="12" customHeight="1" x14ac:dyDescent="0.2">
      <c r="A255" s="970" t="s">
        <v>1218</v>
      </c>
      <c r="B255" s="970"/>
      <c r="C255" s="970"/>
      <c r="D255" s="970"/>
      <c r="E255" s="970"/>
      <c r="F255" s="970"/>
      <c r="G255" s="970"/>
      <c r="H255" s="970"/>
      <c r="I255" s="971"/>
      <c r="J255" s="971"/>
      <c r="K255" s="971"/>
      <c r="L255" s="971"/>
      <c r="M255" s="971"/>
    </row>
    <row r="256" spans="1:13" s="514" customFormat="1" ht="12" customHeight="1" x14ac:dyDescent="0.2">
      <c r="A256" s="970" t="s">
        <v>1219</v>
      </c>
      <c r="B256" s="970"/>
      <c r="C256" s="970"/>
      <c r="D256" s="970"/>
      <c r="E256" s="970"/>
      <c r="F256" s="970"/>
      <c r="G256" s="970"/>
      <c r="H256" s="970"/>
      <c r="I256" s="970"/>
      <c r="J256" s="970"/>
      <c r="K256" s="970"/>
      <c r="L256" s="970"/>
      <c r="M256" s="971"/>
    </row>
    <row r="257" spans="1:16" s="514" customFormat="1" ht="25.5" customHeight="1" x14ac:dyDescent="0.2">
      <c r="A257" s="1635" t="s">
        <v>1220</v>
      </c>
      <c r="B257" s="1635"/>
      <c r="C257" s="1635"/>
      <c r="D257" s="1635"/>
      <c r="E257" s="1635"/>
      <c r="F257" s="1635"/>
      <c r="G257" s="1635"/>
      <c r="H257" s="1635"/>
      <c r="I257" s="1635"/>
      <c r="J257" s="1635"/>
      <c r="K257" s="1635"/>
      <c r="L257" s="1635"/>
      <c r="M257" s="1635"/>
      <c r="N257" s="1635"/>
      <c r="O257" s="1635"/>
      <c r="P257" s="1023"/>
    </row>
    <row r="258" spans="1:16" s="514" customFormat="1" ht="12" customHeight="1" x14ac:dyDescent="0.2">
      <c r="A258" s="970" t="s">
        <v>1221</v>
      </c>
      <c r="B258" s="970"/>
      <c r="C258" s="970"/>
      <c r="D258" s="970"/>
      <c r="E258" s="970"/>
      <c r="F258" s="970"/>
      <c r="G258" s="971"/>
      <c r="H258" s="971"/>
      <c r="I258" s="971"/>
      <c r="J258" s="971"/>
      <c r="K258" s="971"/>
      <c r="L258" s="971"/>
      <c r="M258" s="971"/>
    </row>
    <row r="259" spans="1:16" s="514" customFormat="1" ht="12" customHeight="1" x14ac:dyDescent="0.2">
      <c r="A259" s="970" t="s">
        <v>1222</v>
      </c>
      <c r="B259" s="970"/>
      <c r="C259" s="970"/>
      <c r="D259" s="970"/>
      <c r="E259" s="970"/>
      <c r="F259" s="970"/>
      <c r="G259" s="971"/>
      <c r="H259" s="971"/>
      <c r="I259" s="971"/>
      <c r="J259" s="971"/>
      <c r="K259" s="971"/>
      <c r="L259" s="971"/>
      <c r="M259" s="971"/>
    </row>
    <row r="260" spans="1:16" s="514" customFormat="1" ht="12" customHeight="1" x14ac:dyDescent="0.2">
      <c r="A260" s="970" t="s">
        <v>1223</v>
      </c>
      <c r="B260" s="970"/>
      <c r="C260" s="970"/>
      <c r="D260" s="970"/>
      <c r="E260" s="970"/>
      <c r="F260" s="970"/>
      <c r="G260" s="971"/>
      <c r="H260" s="971"/>
      <c r="I260" s="971"/>
      <c r="J260" s="971"/>
      <c r="K260" s="971"/>
      <c r="L260" s="971"/>
      <c r="M260" s="971"/>
    </row>
    <row r="261" spans="1:16" s="514" customFormat="1" ht="24.75" customHeight="1" x14ac:dyDescent="0.2">
      <c r="A261" s="1635" t="s">
        <v>1224</v>
      </c>
      <c r="B261" s="1635"/>
      <c r="C261" s="1635"/>
      <c r="D261" s="1635"/>
      <c r="E261" s="1635"/>
      <c r="F261" s="1635"/>
      <c r="G261" s="1635"/>
      <c r="H261" s="1635"/>
      <c r="I261" s="1635"/>
      <c r="J261" s="1635"/>
      <c r="K261" s="1635"/>
      <c r="L261" s="1635"/>
      <c r="M261" s="1635"/>
      <c r="N261" s="1635"/>
      <c r="O261" s="1635"/>
      <c r="P261" s="1023"/>
    </row>
    <row r="262" spans="1:16" s="514" customFormat="1" ht="12" customHeight="1" x14ac:dyDescent="0.2">
      <c r="A262" s="970" t="s">
        <v>1225</v>
      </c>
      <c r="B262" s="970"/>
      <c r="C262" s="970"/>
      <c r="D262" s="970"/>
      <c r="E262" s="970"/>
      <c r="F262" s="970"/>
      <c r="G262" s="970"/>
      <c r="H262" s="971"/>
      <c r="I262" s="971"/>
      <c r="J262" s="971"/>
      <c r="K262" s="971"/>
      <c r="L262" s="971"/>
      <c r="M262" s="971"/>
    </row>
    <row r="263" spans="1:16" s="514" customFormat="1" ht="12" customHeight="1" x14ac:dyDescent="0.2">
      <c r="A263" s="970" t="s">
        <v>1226</v>
      </c>
      <c r="B263" s="970"/>
      <c r="C263" s="970"/>
      <c r="D263" s="970"/>
      <c r="E263" s="970"/>
      <c r="F263" s="970"/>
      <c r="G263" s="970"/>
      <c r="H263" s="971"/>
      <c r="I263" s="971"/>
      <c r="J263" s="971"/>
      <c r="K263" s="971"/>
      <c r="L263" s="971"/>
      <c r="M263" s="971"/>
    </row>
    <row r="264" spans="1:16" s="514" customFormat="1" ht="12" customHeight="1" x14ac:dyDescent="0.2">
      <c r="A264" s="970" t="s">
        <v>1217</v>
      </c>
      <c r="B264" s="970"/>
      <c r="C264" s="970"/>
      <c r="D264" s="970"/>
      <c r="E264" s="970"/>
      <c r="F264" s="970"/>
      <c r="G264" s="971"/>
      <c r="H264" s="971"/>
      <c r="I264" s="971"/>
      <c r="J264" s="971"/>
      <c r="K264" s="971"/>
      <c r="L264" s="971"/>
      <c r="M264" s="971"/>
    </row>
    <row r="265" spans="1:16" s="514" customFormat="1" ht="12" customHeight="1" x14ac:dyDescent="0.2">
      <c r="A265" s="970" t="s">
        <v>1227</v>
      </c>
      <c r="B265" s="970"/>
      <c r="C265" s="970"/>
      <c r="D265" s="970"/>
      <c r="E265" s="970"/>
      <c r="F265" s="970"/>
      <c r="G265" s="971"/>
      <c r="H265" s="971"/>
      <c r="I265" s="971"/>
      <c r="J265" s="971"/>
      <c r="K265" s="971"/>
      <c r="L265" s="971"/>
      <c r="M265" s="971"/>
    </row>
    <row r="266" spans="1:16" s="514" customFormat="1" ht="12" customHeight="1" x14ac:dyDescent="0.2">
      <c r="A266" s="970" t="s">
        <v>1228</v>
      </c>
      <c r="B266" s="970"/>
      <c r="C266" s="970"/>
      <c r="D266" s="970"/>
      <c r="E266" s="970"/>
      <c r="F266" s="970"/>
      <c r="G266" s="971"/>
      <c r="H266" s="971"/>
      <c r="I266" s="971"/>
      <c r="J266" s="971"/>
      <c r="K266" s="971"/>
      <c r="L266" s="971"/>
      <c r="M266" s="971"/>
    </row>
    <row r="267" spans="1:16" s="514" customFormat="1" ht="12" customHeight="1" x14ac:dyDescent="0.2">
      <c r="A267" s="970" t="s">
        <v>1217</v>
      </c>
      <c r="B267" s="970"/>
      <c r="C267" s="970"/>
      <c r="D267" s="970"/>
      <c r="E267" s="970"/>
      <c r="F267" s="970"/>
      <c r="G267" s="971"/>
      <c r="H267" s="971"/>
      <c r="I267" s="971"/>
      <c r="J267" s="971"/>
      <c r="K267" s="971"/>
      <c r="L267" s="971"/>
      <c r="M267" s="971"/>
    </row>
    <row r="268" spans="1:16" s="514" customFormat="1" ht="12" customHeight="1" x14ac:dyDescent="0.2">
      <c r="A268" s="970" t="s">
        <v>1229</v>
      </c>
      <c r="B268" s="970"/>
      <c r="C268" s="970"/>
      <c r="D268" s="970"/>
      <c r="E268" s="970"/>
      <c r="F268" s="970"/>
      <c r="G268" s="971"/>
      <c r="H268" s="971"/>
      <c r="I268" s="971"/>
      <c r="J268" s="971"/>
      <c r="K268" s="971"/>
      <c r="L268" s="971"/>
      <c r="M268" s="971"/>
    </row>
    <row r="269" spans="1:16" s="514" customFormat="1" ht="12" customHeight="1" x14ac:dyDescent="0.2">
      <c r="A269" s="970" t="s">
        <v>1230</v>
      </c>
      <c r="B269" s="970"/>
      <c r="C269" s="970"/>
      <c r="D269" s="970"/>
      <c r="E269" s="970"/>
      <c r="F269" s="970"/>
      <c r="G269" s="971"/>
      <c r="H269" s="971"/>
      <c r="I269" s="971"/>
      <c r="J269" s="971"/>
      <c r="K269" s="971"/>
      <c r="L269" s="971"/>
      <c r="M269" s="971"/>
    </row>
    <row r="270" spans="1:16" s="514" customFormat="1" ht="12" customHeight="1" x14ac:dyDescent="0.2">
      <c r="A270" s="970" t="s">
        <v>1231</v>
      </c>
      <c r="B270" s="970"/>
      <c r="C270" s="970"/>
      <c r="D270" s="970"/>
      <c r="E270" s="970"/>
      <c r="F270" s="970"/>
      <c r="G270" s="971"/>
      <c r="H270" s="971"/>
      <c r="I270" s="971"/>
      <c r="J270" s="971"/>
      <c r="K270" s="971"/>
      <c r="L270" s="971"/>
      <c r="M270" s="971"/>
    </row>
    <row r="271" spans="1:16" s="514" customFormat="1" ht="12" customHeight="1" x14ac:dyDescent="0.2">
      <c r="A271" s="970" t="s">
        <v>1232</v>
      </c>
      <c r="B271" s="970"/>
      <c r="C271" s="970"/>
      <c r="D271" s="970"/>
      <c r="E271" s="970"/>
      <c r="F271" s="970"/>
      <c r="G271" s="971"/>
      <c r="H271" s="971"/>
      <c r="I271" s="971"/>
      <c r="J271" s="971"/>
      <c r="K271" s="971"/>
      <c r="L271" s="971"/>
      <c r="M271" s="971"/>
    </row>
    <row r="272" spans="1:16" s="514" customFormat="1" ht="12" customHeight="1" x14ac:dyDescent="0.2">
      <c r="A272" s="970" t="s">
        <v>1233</v>
      </c>
      <c r="B272" s="970"/>
      <c r="C272" s="970"/>
      <c r="D272" s="970"/>
      <c r="E272" s="970"/>
      <c r="F272" s="970"/>
      <c r="G272" s="971"/>
      <c r="H272" s="971"/>
      <c r="I272" s="971"/>
      <c r="J272" s="971"/>
      <c r="K272" s="971"/>
      <c r="L272" s="971"/>
      <c r="M272" s="971"/>
    </row>
    <row r="273" spans="1:15" s="514" customFormat="1" ht="12" customHeight="1" x14ac:dyDescent="0.2">
      <c r="A273" s="970" t="s">
        <v>1217</v>
      </c>
      <c r="B273" s="970"/>
      <c r="C273" s="970"/>
      <c r="D273" s="970"/>
      <c r="E273" s="970"/>
      <c r="F273" s="970"/>
      <c r="G273" s="971"/>
      <c r="H273" s="971"/>
      <c r="I273" s="971"/>
      <c r="J273" s="971"/>
      <c r="K273" s="971"/>
      <c r="L273" s="971"/>
      <c r="M273" s="971"/>
    </row>
    <row r="274" spans="1:15" s="514" customFormat="1" ht="12" customHeight="1" x14ac:dyDescent="0.2">
      <c r="A274" s="970" t="s">
        <v>1234</v>
      </c>
      <c r="B274" s="970"/>
      <c r="C274" s="970"/>
      <c r="D274" s="970"/>
      <c r="E274" s="970"/>
      <c r="F274" s="970"/>
      <c r="G274" s="971"/>
      <c r="H274" s="971"/>
      <c r="I274" s="971"/>
      <c r="J274" s="971"/>
      <c r="K274" s="971"/>
      <c r="L274" s="971"/>
      <c r="M274" s="971"/>
    </row>
    <row r="275" spans="1:15" s="514" customFormat="1" ht="12" customHeight="1" x14ac:dyDescent="0.2">
      <c r="A275" s="970" t="s">
        <v>1235</v>
      </c>
      <c r="B275" s="970"/>
      <c r="C275" s="970"/>
      <c r="D275" s="970"/>
      <c r="E275" s="970"/>
      <c r="F275" s="970"/>
      <c r="G275" s="971"/>
      <c r="H275" s="971"/>
      <c r="I275" s="971"/>
      <c r="J275" s="971"/>
      <c r="K275" s="971"/>
      <c r="L275" s="971"/>
      <c r="M275" s="971"/>
    </row>
    <row r="276" spans="1:15" s="514" customFormat="1" ht="12" customHeight="1" x14ac:dyDescent="0.2">
      <c r="A276" s="970" t="s">
        <v>1236</v>
      </c>
      <c r="B276" s="970"/>
      <c r="C276" s="970"/>
      <c r="D276" s="970"/>
      <c r="E276" s="970"/>
      <c r="F276" s="970"/>
      <c r="G276" s="971"/>
      <c r="H276" s="971"/>
      <c r="I276" s="971"/>
      <c r="J276" s="971"/>
      <c r="K276" s="971"/>
      <c r="L276" s="971"/>
      <c r="M276" s="971"/>
    </row>
    <row r="277" spans="1:15" s="514" customFormat="1" ht="12" customHeight="1" x14ac:dyDescent="0.2">
      <c r="A277" s="970" t="s">
        <v>1237</v>
      </c>
      <c r="B277" s="970"/>
      <c r="C277" s="970"/>
      <c r="D277" s="970"/>
      <c r="E277" s="970"/>
      <c r="F277" s="970"/>
      <c r="G277" s="971"/>
      <c r="H277" s="971"/>
      <c r="I277" s="971"/>
      <c r="J277" s="971"/>
      <c r="K277" s="971"/>
      <c r="L277" s="971"/>
      <c r="M277" s="971"/>
    </row>
    <row r="278" spans="1:15" s="514" customFormat="1" ht="12" customHeight="1" x14ac:dyDescent="0.2">
      <c r="A278" s="970" t="s">
        <v>1238</v>
      </c>
      <c r="B278" s="970"/>
      <c r="C278" s="970"/>
      <c r="D278" s="970"/>
      <c r="E278" s="970"/>
      <c r="F278" s="970"/>
      <c r="G278" s="971"/>
      <c r="H278" s="971"/>
      <c r="I278" s="971"/>
      <c r="J278" s="971"/>
      <c r="K278" s="971"/>
      <c r="L278" s="971"/>
      <c r="M278" s="971"/>
    </row>
    <row r="279" spans="1:15" s="514" customFormat="1" ht="12" customHeight="1" x14ac:dyDescent="0.2">
      <c r="A279" s="970" t="s">
        <v>1239</v>
      </c>
      <c r="B279" s="970"/>
      <c r="C279" s="970"/>
      <c r="D279" s="970"/>
      <c r="E279" s="970"/>
      <c r="F279" s="970"/>
      <c r="G279" s="971"/>
      <c r="H279" s="971"/>
      <c r="I279" s="971"/>
      <c r="J279" s="971"/>
      <c r="K279" s="971"/>
      <c r="L279" s="971"/>
      <c r="M279" s="971"/>
    </row>
    <row r="280" spans="1:15" s="514" customFormat="1" ht="12" customHeight="1" x14ac:dyDescent="0.2">
      <c r="A280" s="970" t="s">
        <v>1240</v>
      </c>
      <c r="B280" s="970"/>
      <c r="C280" s="970"/>
      <c r="D280" s="970"/>
      <c r="E280" s="970"/>
      <c r="F280" s="970"/>
      <c r="G280" s="971"/>
      <c r="H280" s="971"/>
      <c r="I280" s="971"/>
      <c r="J280" s="971"/>
      <c r="K280" s="971"/>
      <c r="L280" s="971"/>
      <c r="M280" s="971"/>
    </row>
    <row r="281" spans="1:15" s="514" customFormat="1" ht="25.5" customHeight="1" x14ac:dyDescent="0.2">
      <c r="A281" s="1635" t="s">
        <v>1241</v>
      </c>
      <c r="B281" s="1635"/>
      <c r="C281" s="1635"/>
      <c r="D281" s="1635"/>
      <c r="E281" s="1635"/>
      <c r="F281" s="1635"/>
      <c r="G281" s="1635"/>
      <c r="H281" s="1635"/>
      <c r="I281" s="1635"/>
      <c r="J281" s="1635"/>
      <c r="K281" s="1635"/>
      <c r="L281" s="1635"/>
      <c r="M281" s="1635"/>
      <c r="N281" s="1635"/>
      <c r="O281" s="1635"/>
    </row>
    <row r="282" spans="1:15" s="514" customFormat="1" ht="12" customHeight="1" x14ac:dyDescent="0.2">
      <c r="A282" s="970" t="s">
        <v>1217</v>
      </c>
      <c r="B282" s="970"/>
      <c r="C282" s="970"/>
      <c r="D282" s="970"/>
      <c r="E282" s="970"/>
      <c r="F282" s="970"/>
      <c r="G282" s="971"/>
      <c r="H282" s="971"/>
      <c r="I282" s="971"/>
      <c r="J282" s="971"/>
      <c r="K282" s="971"/>
      <c r="L282" s="971"/>
      <c r="M282" s="971"/>
    </row>
    <row r="283" spans="1:15" s="514" customFormat="1" ht="12" customHeight="1" x14ac:dyDescent="0.2">
      <c r="A283" s="970" t="s">
        <v>1242</v>
      </c>
      <c r="B283" s="970"/>
      <c r="C283" s="970"/>
      <c r="D283" s="970"/>
      <c r="E283" s="970"/>
      <c r="F283" s="970"/>
      <c r="G283" s="971"/>
      <c r="H283" s="971"/>
      <c r="I283" s="971"/>
      <c r="J283" s="971"/>
      <c r="K283" s="971"/>
      <c r="L283" s="971"/>
      <c r="M283" s="971"/>
    </row>
    <row r="284" spans="1:15" s="514" customFormat="1" ht="12" customHeight="1" x14ac:dyDescent="0.2">
      <c r="A284" s="970" t="s">
        <v>1243</v>
      </c>
      <c r="B284" s="970"/>
      <c r="C284" s="970"/>
      <c r="D284" s="970"/>
      <c r="E284" s="970"/>
      <c r="F284" s="970"/>
      <c r="G284" s="971"/>
      <c r="H284" s="971"/>
      <c r="I284" s="971"/>
      <c r="J284" s="971"/>
      <c r="K284" s="971"/>
      <c r="L284" s="971"/>
      <c r="M284" s="971"/>
    </row>
    <row r="285" spans="1:15" s="514" customFormat="1" ht="12" customHeight="1" x14ac:dyDescent="0.2">
      <c r="A285" s="970" t="s">
        <v>1217</v>
      </c>
      <c r="B285" s="970"/>
      <c r="C285" s="970"/>
      <c r="D285" s="970"/>
      <c r="E285" s="970"/>
      <c r="F285" s="970"/>
      <c r="G285" s="971"/>
      <c r="H285" s="971"/>
      <c r="I285" s="971"/>
      <c r="J285" s="971"/>
      <c r="K285" s="971"/>
      <c r="L285" s="971"/>
      <c r="M285" s="971"/>
    </row>
    <row r="286" spans="1:15" s="514" customFormat="1" ht="12" customHeight="1" x14ac:dyDescent="0.2">
      <c r="A286" s="970" t="s">
        <v>1244</v>
      </c>
      <c r="B286" s="970"/>
      <c r="C286" s="970"/>
      <c r="D286" s="970"/>
      <c r="E286" s="970"/>
      <c r="F286" s="970"/>
      <c r="G286" s="971"/>
      <c r="H286" s="971"/>
      <c r="I286" s="971"/>
      <c r="J286" s="971"/>
      <c r="K286" s="971"/>
      <c r="L286" s="971"/>
      <c r="M286" s="971"/>
    </row>
    <row r="287" spans="1:15" s="514" customFormat="1" ht="12" customHeight="1" x14ac:dyDescent="0.2">
      <c r="A287" s="973" t="s">
        <v>1245</v>
      </c>
      <c r="B287" s="970"/>
      <c r="C287" s="970"/>
      <c r="D287" s="970"/>
      <c r="E287" s="970"/>
      <c r="F287" s="970"/>
      <c r="G287" s="971"/>
      <c r="H287" s="971"/>
      <c r="I287" s="971"/>
      <c r="J287" s="971"/>
      <c r="K287" s="971"/>
      <c r="L287" s="971"/>
      <c r="M287" s="971"/>
    </row>
    <row r="288" spans="1:15" s="514" customFormat="1" ht="12" customHeight="1" x14ac:dyDescent="0.2">
      <c r="A288" s="970" t="s">
        <v>1246</v>
      </c>
      <c r="B288" s="970"/>
      <c r="C288" s="970"/>
      <c r="D288" s="970"/>
      <c r="E288" s="970"/>
      <c r="F288" s="970"/>
      <c r="G288" s="971"/>
      <c r="H288" s="971"/>
      <c r="I288" s="971"/>
      <c r="J288" s="971"/>
      <c r="K288" s="971"/>
      <c r="L288" s="971"/>
      <c r="M288" s="971"/>
    </row>
    <row r="289" spans="1:13" s="514" customFormat="1" ht="12" customHeight="1" x14ac:dyDescent="0.2">
      <c r="A289" s="970" t="s">
        <v>1247</v>
      </c>
      <c r="B289" s="970"/>
      <c r="C289" s="970"/>
      <c r="D289" s="970"/>
      <c r="E289" s="970"/>
      <c r="F289" s="970"/>
      <c r="G289" s="971"/>
      <c r="H289" s="971"/>
      <c r="I289" s="971"/>
      <c r="J289" s="971"/>
      <c r="K289" s="971"/>
      <c r="L289" s="971"/>
      <c r="M289" s="971"/>
    </row>
    <row r="290" spans="1:13" s="514" customFormat="1" ht="12" customHeight="1" x14ac:dyDescent="0.2">
      <c r="A290" s="970" t="s">
        <v>1248</v>
      </c>
      <c r="B290" s="970"/>
      <c r="C290" s="970"/>
      <c r="D290" s="970"/>
      <c r="E290" s="970"/>
      <c r="F290" s="970"/>
      <c r="G290" s="971"/>
      <c r="H290" s="971"/>
      <c r="I290" s="971"/>
      <c r="J290" s="971"/>
      <c r="K290" s="971"/>
      <c r="L290" s="971"/>
      <c r="M290" s="971"/>
    </row>
    <row r="291" spans="1:13" s="514" customFormat="1" ht="12" customHeight="1" x14ac:dyDescent="0.2">
      <c r="A291" s="970" t="s">
        <v>1249</v>
      </c>
      <c r="B291" s="970"/>
      <c r="C291" s="970"/>
      <c r="D291" s="970"/>
      <c r="E291" s="970"/>
      <c r="F291" s="970"/>
      <c r="G291" s="971"/>
      <c r="H291" s="971"/>
      <c r="I291" s="971"/>
      <c r="J291" s="971"/>
      <c r="K291" s="971"/>
      <c r="L291" s="971"/>
      <c r="M291" s="971"/>
    </row>
    <row r="292" spans="1:13" s="514" customFormat="1" ht="12" customHeight="1" x14ac:dyDescent="0.2">
      <c r="A292" s="970" t="s">
        <v>1250</v>
      </c>
      <c r="B292" s="970"/>
      <c r="C292" s="970"/>
      <c r="D292" s="970"/>
      <c r="E292" s="970"/>
      <c r="F292" s="970"/>
      <c r="G292" s="971"/>
      <c r="H292" s="971"/>
      <c r="I292" s="971"/>
      <c r="J292" s="971"/>
      <c r="K292" s="971"/>
      <c r="L292" s="971"/>
      <c r="M292" s="971"/>
    </row>
    <row r="293" spans="1:13" s="514" customFormat="1" ht="12" customHeight="1" x14ac:dyDescent="0.2">
      <c r="A293" s="970" t="s">
        <v>1251</v>
      </c>
      <c r="B293" s="970"/>
      <c r="C293" s="970"/>
      <c r="D293" s="970"/>
      <c r="E293" s="970"/>
      <c r="F293" s="970"/>
      <c r="G293" s="971"/>
      <c r="H293" s="971"/>
      <c r="I293" s="971"/>
      <c r="J293" s="971"/>
      <c r="K293" s="971"/>
      <c r="L293" s="971"/>
      <c r="M293" s="971"/>
    </row>
    <row r="294" spans="1:13" s="514" customFormat="1" ht="12" customHeight="1" x14ac:dyDescent="0.2">
      <c r="A294" s="970" t="s">
        <v>1252</v>
      </c>
      <c r="B294" s="970"/>
      <c r="C294" s="970"/>
      <c r="D294" s="970"/>
      <c r="E294" s="970"/>
      <c r="F294" s="970"/>
      <c r="G294" s="971"/>
      <c r="H294" s="971"/>
      <c r="I294" s="971"/>
      <c r="J294" s="971"/>
      <c r="K294" s="971"/>
      <c r="L294" s="971"/>
      <c r="M294" s="971"/>
    </row>
    <row r="295" spans="1:13" s="514" customFormat="1" ht="12" customHeight="1" x14ac:dyDescent="0.2">
      <c r="A295" s="970" t="s">
        <v>1253</v>
      </c>
      <c r="B295" s="970"/>
      <c r="C295" s="970"/>
      <c r="D295" s="970"/>
      <c r="E295" s="970"/>
      <c r="F295" s="970"/>
      <c r="G295" s="971"/>
      <c r="H295" s="971"/>
      <c r="I295" s="971"/>
      <c r="J295" s="971"/>
      <c r="K295" s="971"/>
      <c r="L295" s="971"/>
      <c r="M295" s="971"/>
    </row>
    <row r="296" spans="1:13" s="514" customFormat="1" ht="12" customHeight="1" x14ac:dyDescent="0.2">
      <c r="A296" s="971"/>
      <c r="B296" s="971"/>
      <c r="C296" s="971"/>
      <c r="D296" s="971"/>
      <c r="E296" s="971"/>
      <c r="F296" s="971"/>
      <c r="G296" s="971"/>
      <c r="H296" s="971"/>
      <c r="I296" s="971"/>
      <c r="J296" s="971"/>
      <c r="K296" s="971"/>
      <c r="L296" s="971"/>
      <c r="M296" s="971"/>
    </row>
    <row r="297" spans="1:13" s="514" customFormat="1" ht="12" customHeight="1" x14ac:dyDescent="0.2">
      <c r="A297" s="971"/>
      <c r="B297" s="971"/>
      <c r="C297" s="971"/>
      <c r="D297" s="971"/>
      <c r="E297" s="971"/>
      <c r="F297" s="971"/>
      <c r="G297" s="971"/>
      <c r="H297" s="971"/>
      <c r="I297" s="971"/>
      <c r="J297" s="971"/>
      <c r="K297" s="971"/>
      <c r="L297" s="971"/>
      <c r="M297" s="971"/>
    </row>
    <row r="298" spans="1:13" x14ac:dyDescent="0.2">
      <c r="A298" s="928"/>
      <c r="B298" s="928"/>
      <c r="C298" s="1022"/>
      <c r="D298" s="928"/>
      <c r="E298" s="974"/>
      <c r="F298" s="928"/>
      <c r="G298" s="974"/>
      <c r="H298" s="928"/>
      <c r="I298" s="928"/>
      <c r="J298" s="928"/>
      <c r="K298" s="928"/>
      <c r="L298" s="928"/>
      <c r="M298" s="975"/>
    </row>
    <row r="299" spans="1:13" x14ac:dyDescent="0.2">
      <c r="A299" s="928"/>
      <c r="B299" s="928"/>
      <c r="C299" s="1022"/>
      <c r="D299" s="928"/>
      <c r="E299" s="974"/>
      <c r="F299" s="928"/>
      <c r="G299" s="974"/>
      <c r="H299" s="928"/>
      <c r="I299" s="928"/>
      <c r="J299" s="928"/>
      <c r="K299" s="928"/>
      <c r="L299" s="928"/>
      <c r="M299" s="975"/>
    </row>
    <row r="300" spans="1:13" x14ac:dyDescent="0.2">
      <c r="A300" s="928"/>
      <c r="B300" s="928"/>
      <c r="C300" s="1022"/>
      <c r="D300" s="928"/>
      <c r="E300" s="974"/>
      <c r="F300" s="928"/>
      <c r="G300" s="974"/>
      <c r="H300" s="928"/>
      <c r="I300" s="928"/>
      <c r="J300" s="928"/>
      <c r="K300" s="928"/>
      <c r="L300" s="928"/>
      <c r="M300" s="975"/>
    </row>
    <row r="301" spans="1:13" x14ac:dyDescent="0.2">
      <c r="A301" s="928"/>
      <c r="B301" s="928"/>
      <c r="C301" s="1022"/>
      <c r="D301" s="928"/>
      <c r="E301" s="974"/>
      <c r="F301" s="928"/>
      <c r="G301" s="974"/>
      <c r="H301" s="928"/>
      <c r="I301" s="928"/>
      <c r="J301" s="928"/>
      <c r="K301" s="928"/>
      <c r="L301" s="928"/>
      <c r="M301" s="975"/>
    </row>
  </sheetData>
  <sheetProtection algorithmName="SHA-512" hashValue="HAm4DqydBLCd+zHuXWhIlCDIu+EvHZwu/PpITfsyHIq8kYh8cfD0ZINAEzSnU81BrrkcC3sVqkBnPfrzMNCfXg==" saltValue="CllPxnGABiu391djJqPJaw==" spinCount="100000" sheet="1" objects="1" scenarios="1"/>
  <mergeCells count="148">
    <mergeCell ref="A5:K5"/>
    <mergeCell ref="A6:B6"/>
    <mergeCell ref="H9:I9"/>
    <mergeCell ref="J9:J10"/>
    <mergeCell ref="K9:K10"/>
    <mergeCell ref="C4:H4"/>
    <mergeCell ref="A11:B11"/>
    <mergeCell ref="K12:K18"/>
    <mergeCell ref="A13:A18"/>
    <mergeCell ref="B13:B18"/>
    <mergeCell ref="C8:E8"/>
    <mergeCell ref="A9:A10"/>
    <mergeCell ref="B9:B10"/>
    <mergeCell ref="C9:C10"/>
    <mergeCell ref="D9:E9"/>
    <mergeCell ref="F9:G9"/>
    <mergeCell ref="A36:A43"/>
    <mergeCell ref="B36:B43"/>
    <mergeCell ref="K36:K43"/>
    <mergeCell ref="A44:A50"/>
    <mergeCell ref="B44:B50"/>
    <mergeCell ref="K44:K50"/>
    <mergeCell ref="A19:A27"/>
    <mergeCell ref="B19:B27"/>
    <mergeCell ref="K19:K27"/>
    <mergeCell ref="A29:A35"/>
    <mergeCell ref="B29:B35"/>
    <mergeCell ref="K29:K35"/>
    <mergeCell ref="A64:A68"/>
    <mergeCell ref="B64:B68"/>
    <mergeCell ref="K64:K68"/>
    <mergeCell ref="A69:A71"/>
    <mergeCell ref="B69:B71"/>
    <mergeCell ref="K69:K71"/>
    <mergeCell ref="A51:A57"/>
    <mergeCell ref="B51:B57"/>
    <mergeCell ref="K51:K57"/>
    <mergeCell ref="A59:A63"/>
    <mergeCell ref="B59:B63"/>
    <mergeCell ref="A81:A84"/>
    <mergeCell ref="B81:B84"/>
    <mergeCell ref="K81:K84"/>
    <mergeCell ref="A85:A90"/>
    <mergeCell ref="B85:B90"/>
    <mergeCell ref="K85:K90"/>
    <mergeCell ref="A72:A76"/>
    <mergeCell ref="B72:B76"/>
    <mergeCell ref="K72:K76"/>
    <mergeCell ref="A78:A80"/>
    <mergeCell ref="B78:B80"/>
    <mergeCell ref="K78:K80"/>
    <mergeCell ref="A102:A105"/>
    <mergeCell ref="B102:B105"/>
    <mergeCell ref="K102:K105"/>
    <mergeCell ref="A106:A110"/>
    <mergeCell ref="B106:B110"/>
    <mergeCell ref="K106:K110"/>
    <mergeCell ref="A91:A95"/>
    <mergeCell ref="B91:B95"/>
    <mergeCell ref="K91:K95"/>
    <mergeCell ref="A96:A101"/>
    <mergeCell ref="B96:B101"/>
    <mergeCell ref="K96:K101"/>
    <mergeCell ref="A120:A121"/>
    <mergeCell ref="B120:B121"/>
    <mergeCell ref="K120:K121"/>
    <mergeCell ref="A122:A124"/>
    <mergeCell ref="B122:B124"/>
    <mergeCell ref="K122:K124"/>
    <mergeCell ref="A112:A117"/>
    <mergeCell ref="B112:B117"/>
    <mergeCell ref="K112:K117"/>
    <mergeCell ref="A118:A119"/>
    <mergeCell ref="B118:B119"/>
    <mergeCell ref="K118:K119"/>
    <mergeCell ref="A135:A140"/>
    <mergeCell ref="B135:B140"/>
    <mergeCell ref="K135:K140"/>
    <mergeCell ref="A141:A146"/>
    <mergeCell ref="B141:B146"/>
    <mergeCell ref="K141:K146"/>
    <mergeCell ref="A125:A128"/>
    <mergeCell ref="B125:B128"/>
    <mergeCell ref="K125:K128"/>
    <mergeCell ref="A130:A134"/>
    <mergeCell ref="B130:B134"/>
    <mergeCell ref="K130:K134"/>
    <mergeCell ref="A158:A163"/>
    <mergeCell ref="B158:B163"/>
    <mergeCell ref="K158:K163"/>
    <mergeCell ref="A165:A166"/>
    <mergeCell ref="B165:B166"/>
    <mergeCell ref="K165:K166"/>
    <mergeCell ref="A147:A152"/>
    <mergeCell ref="B147:B152"/>
    <mergeCell ref="K147:K152"/>
    <mergeCell ref="A153:A157"/>
    <mergeCell ref="B153:B157"/>
    <mergeCell ref="K153:K157"/>
    <mergeCell ref="A180:A184"/>
    <mergeCell ref="B180:B184"/>
    <mergeCell ref="K180:K184"/>
    <mergeCell ref="A185:A186"/>
    <mergeCell ref="B185:B186"/>
    <mergeCell ref="K185:K186"/>
    <mergeCell ref="A167:A173"/>
    <mergeCell ref="B167:B173"/>
    <mergeCell ref="K167:K173"/>
    <mergeCell ref="A174:A179"/>
    <mergeCell ref="B174:B179"/>
    <mergeCell ref="K174:K179"/>
    <mergeCell ref="K220:K224"/>
    <mergeCell ref="A201:A210"/>
    <mergeCell ref="B201:B210"/>
    <mergeCell ref="K201:K210"/>
    <mergeCell ref="A211:A215"/>
    <mergeCell ref="B211:B215"/>
    <mergeCell ref="K211:K215"/>
    <mergeCell ref="A187:A191"/>
    <mergeCell ref="B187:B191"/>
    <mergeCell ref="K187:K191"/>
    <mergeCell ref="A192:A199"/>
    <mergeCell ref="B192:B199"/>
    <mergeCell ref="K192:K199"/>
    <mergeCell ref="A257:O257"/>
    <mergeCell ref="A261:O261"/>
    <mergeCell ref="A281:O281"/>
    <mergeCell ref="K58:K63"/>
    <mergeCell ref="A246:L246"/>
    <mergeCell ref="A248:XFD248"/>
    <mergeCell ref="A250:L250"/>
    <mergeCell ref="A234:A237"/>
    <mergeCell ref="B234:B237"/>
    <mergeCell ref="K234:K237"/>
    <mergeCell ref="A240:L240"/>
    <mergeCell ref="A242:L242"/>
    <mergeCell ref="A245:M245"/>
    <mergeCell ref="A225:A226"/>
    <mergeCell ref="B225:B226"/>
    <mergeCell ref="K225:K226"/>
    <mergeCell ref="A231:A233"/>
    <mergeCell ref="B231:B233"/>
    <mergeCell ref="K231:K233"/>
    <mergeCell ref="A216:A219"/>
    <mergeCell ref="B216:B219"/>
    <mergeCell ref="K216:K219"/>
    <mergeCell ref="A220:A224"/>
    <mergeCell ref="B220:B224"/>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2019.gada 31.oktobra saistošajiem noteikumiem Nr.46
(protokols Nr.14, 28.punkts)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294"/>
  <sheetViews>
    <sheetView view="pageLayout" zoomScaleNormal="100" workbookViewId="0">
      <selection activeCell="L8" sqref="L8"/>
    </sheetView>
  </sheetViews>
  <sheetFormatPr defaultRowHeight="12" outlineLevelCol="1" x14ac:dyDescent="0.2"/>
  <cols>
    <col min="1" max="1" width="5.5703125" style="323" customWidth="1"/>
    <col min="2" max="2" width="24.7109375" style="440" customWidth="1"/>
    <col min="3" max="3" width="10.7109375" style="323" customWidth="1"/>
    <col min="4" max="4" width="15.85546875" style="344" hidden="1" customWidth="1" outlineLevel="1"/>
    <col min="5" max="5" width="14.28515625" style="323" hidden="1" customWidth="1" outlineLevel="1"/>
    <col min="6" max="6" width="19.7109375" style="323" customWidth="1" collapsed="1"/>
    <col min="7" max="7" width="29" style="440" hidden="1" customWidth="1" outlineLevel="1"/>
    <col min="8" max="8" width="19.28515625" style="323" customWidth="1" collapsed="1"/>
    <col min="9" max="16384" width="9.140625" style="323"/>
  </cols>
  <sheetData>
    <row r="1" spans="1:74" x14ac:dyDescent="0.2">
      <c r="H1" s="495" t="s">
        <v>631</v>
      </c>
    </row>
    <row r="2" spans="1:74" x14ac:dyDescent="0.2">
      <c r="H2" s="495" t="s">
        <v>434</v>
      </c>
    </row>
    <row r="3" spans="1:74" ht="12.75" customHeight="1" x14ac:dyDescent="0.2">
      <c r="A3" s="496" t="s">
        <v>632</v>
      </c>
      <c r="B3" s="497"/>
      <c r="C3" s="498"/>
      <c r="D3" s="498"/>
      <c r="E3" s="498"/>
      <c r="F3" s="498"/>
      <c r="G3" s="499"/>
      <c r="H3" s="500"/>
    </row>
    <row r="4" spans="1:74" x14ac:dyDescent="0.2">
      <c r="A4" s="496" t="s">
        <v>633</v>
      </c>
      <c r="B4" s="497"/>
      <c r="C4" s="501"/>
      <c r="D4" s="501"/>
      <c r="E4" s="501"/>
      <c r="F4" s="501"/>
      <c r="G4" s="502"/>
      <c r="H4" s="503"/>
    </row>
    <row r="5" spans="1:74" ht="15.75" x14ac:dyDescent="0.25">
      <c r="A5" s="1675" t="s">
        <v>330</v>
      </c>
      <c r="B5" s="1675"/>
      <c r="C5" s="1675"/>
      <c r="D5" s="1675"/>
      <c r="E5" s="1675"/>
      <c r="F5" s="1675"/>
      <c r="G5" s="1675"/>
      <c r="H5" s="1675"/>
      <c r="I5" s="504"/>
    </row>
    <row r="6" spans="1:74" ht="15.75" x14ac:dyDescent="0.25">
      <c r="A6" s="505"/>
      <c r="B6" s="505"/>
      <c r="C6" s="505"/>
      <c r="D6" s="505"/>
      <c r="E6" s="505"/>
      <c r="F6" s="505"/>
      <c r="G6" s="506"/>
      <c r="H6" s="505"/>
      <c r="I6" s="504"/>
    </row>
    <row r="7" spans="1:74" ht="12.75" customHeight="1" x14ac:dyDescent="0.25">
      <c r="A7" s="507" t="s">
        <v>634</v>
      </c>
      <c r="B7" s="507"/>
      <c r="C7" s="498"/>
      <c r="D7" s="498"/>
      <c r="E7" s="498"/>
      <c r="F7" s="498"/>
      <c r="G7" s="499"/>
      <c r="H7" s="500"/>
    </row>
    <row r="8" spans="1:74" ht="12.75" customHeight="1" x14ac:dyDescent="0.2">
      <c r="A8" s="496" t="s">
        <v>635</v>
      </c>
      <c r="B8" s="497"/>
      <c r="C8" s="508"/>
      <c r="D8" s="508"/>
      <c r="E8" s="508"/>
      <c r="F8" s="508"/>
      <c r="G8" s="509"/>
      <c r="H8" s="499"/>
    </row>
    <row r="9" spans="1:74" ht="12.75" customHeight="1" x14ac:dyDescent="0.2">
      <c r="A9" s="496" t="s">
        <v>636</v>
      </c>
      <c r="B9" s="497"/>
      <c r="C9" s="510"/>
      <c r="D9" s="510"/>
      <c r="E9" s="510"/>
      <c r="F9" s="510"/>
      <c r="G9" s="511"/>
      <c r="H9" s="512"/>
    </row>
    <row r="10" spans="1:74" ht="50.25" customHeight="1" x14ac:dyDescent="0.2">
      <c r="A10" s="1679" t="s">
        <v>335</v>
      </c>
      <c r="B10" s="1679" t="s">
        <v>336</v>
      </c>
      <c r="C10" s="1679" t="s">
        <v>337</v>
      </c>
      <c r="D10" s="327" t="s">
        <v>338</v>
      </c>
      <c r="E10" s="327" t="s">
        <v>339</v>
      </c>
      <c r="F10" s="595" t="s">
        <v>340</v>
      </c>
      <c r="G10" s="1745" t="s">
        <v>35</v>
      </c>
      <c r="H10" s="1679" t="s">
        <v>341</v>
      </c>
    </row>
    <row r="11" spans="1:74" s="514" customFormat="1" ht="10.5" customHeight="1" x14ac:dyDescent="0.2">
      <c r="A11" s="1680"/>
      <c r="B11" s="1680"/>
      <c r="C11" s="1680"/>
      <c r="D11" s="513" t="s">
        <v>637</v>
      </c>
      <c r="E11" s="513" t="s">
        <v>637</v>
      </c>
      <c r="F11" s="513" t="s">
        <v>637</v>
      </c>
      <c r="G11" s="1746"/>
      <c r="H11" s="1680"/>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c r="BV11" s="323"/>
    </row>
    <row r="12" spans="1:74" s="514" customFormat="1" ht="12" customHeight="1" x14ac:dyDescent="0.2">
      <c r="A12" s="1744" t="s">
        <v>638</v>
      </c>
      <c r="B12" s="1744"/>
      <c r="C12" s="515"/>
      <c r="D12" s="515">
        <f>D13+D62+D82+D93+D101+D124+D141+D159+D178+D209+D224+D247+D263+D269</f>
        <v>274767</v>
      </c>
      <c r="E12" s="515">
        <f>E13+E62+E82+E93+E101+E124+E141+E159+E178+E209+E224+E247+E263+E269</f>
        <v>0</v>
      </c>
      <c r="F12" s="515">
        <f>F13+F62+F82+F93+F101+F124+F141+F159+F178+F209+F224+F247+F263+F269</f>
        <v>274767</v>
      </c>
      <c r="G12" s="516"/>
      <c r="H12" s="517"/>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row>
    <row r="13" spans="1:74" s="514" customFormat="1" x14ac:dyDescent="0.2">
      <c r="A13" s="518">
        <v>1</v>
      </c>
      <c r="B13" s="519" t="s">
        <v>639</v>
      </c>
      <c r="C13" s="515"/>
      <c r="D13" s="520">
        <f>D15+D48+D20+D52+D30</f>
        <v>67906</v>
      </c>
      <c r="E13" s="520">
        <f>E15+E48+E20+E52+E30</f>
        <v>1940</v>
      </c>
      <c r="F13" s="520">
        <f>F15+F48+F20+F52+F30</f>
        <v>69846</v>
      </c>
      <c r="G13" s="516"/>
      <c r="H13" s="521"/>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row>
    <row r="14" spans="1:74" s="514" customFormat="1" x14ac:dyDescent="0.2">
      <c r="A14" s="522">
        <v>1.1000000000000001</v>
      </c>
      <c r="B14" s="523" t="s">
        <v>640</v>
      </c>
      <c r="C14" s="515"/>
      <c r="D14" s="520">
        <f>D15+D20+D30</f>
        <v>48938</v>
      </c>
      <c r="E14" s="520">
        <f t="shared" ref="E14:F14" si="0">E15+E20</f>
        <v>2500</v>
      </c>
      <c r="F14" s="520">
        <f t="shared" si="0"/>
        <v>28338</v>
      </c>
      <c r="G14" s="516"/>
      <c r="H14" s="521"/>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row>
    <row r="15" spans="1:74" s="514" customFormat="1" x14ac:dyDescent="0.2">
      <c r="A15" s="1722" t="s">
        <v>641</v>
      </c>
      <c r="B15" s="1607" t="s">
        <v>642</v>
      </c>
      <c r="C15" s="524"/>
      <c r="D15" s="525">
        <f>SUM(D16:D19)</f>
        <v>15100</v>
      </c>
      <c r="E15" s="525">
        <f t="shared" ref="E15:F15" si="1">SUM(E16:E19)</f>
        <v>2500</v>
      </c>
      <c r="F15" s="525">
        <f t="shared" si="1"/>
        <v>17600</v>
      </c>
      <c r="G15" s="526"/>
      <c r="H15" s="1727" t="s">
        <v>643</v>
      </c>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row>
    <row r="16" spans="1:74" s="528" customFormat="1" x14ac:dyDescent="0.2">
      <c r="A16" s="1722"/>
      <c r="B16" s="1607"/>
      <c r="C16" s="416">
        <v>2261</v>
      </c>
      <c r="D16" s="527">
        <v>1200</v>
      </c>
      <c r="E16" s="423"/>
      <c r="F16" s="423">
        <f>D16+E16</f>
        <v>1200</v>
      </c>
      <c r="G16" s="492"/>
      <c r="H16" s="1728"/>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row>
    <row r="17" spans="1:74" s="514" customFormat="1" ht="56.25" customHeight="1" x14ac:dyDescent="0.2">
      <c r="A17" s="1722"/>
      <c r="B17" s="1607"/>
      <c r="C17" s="529">
        <v>2262</v>
      </c>
      <c r="D17" s="530">
        <v>8000</v>
      </c>
      <c r="E17" s="385">
        <v>2500</v>
      </c>
      <c r="F17" s="385">
        <f>D17+E17</f>
        <v>10500</v>
      </c>
      <c r="G17" s="531" t="s">
        <v>623</v>
      </c>
      <c r="H17" s="1728"/>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row>
    <row r="18" spans="1:74" s="528" customFormat="1" x14ac:dyDescent="0.2">
      <c r="A18" s="1722"/>
      <c r="B18" s="1607"/>
      <c r="C18" s="416">
        <v>2279</v>
      </c>
      <c r="D18" s="527">
        <v>3800</v>
      </c>
      <c r="E18" s="423"/>
      <c r="F18" s="423">
        <f>D18+E18</f>
        <v>3800</v>
      </c>
      <c r="G18" s="492"/>
      <c r="H18" s="1728"/>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row>
    <row r="19" spans="1:74" s="514" customFormat="1" x14ac:dyDescent="0.2">
      <c r="A19" s="1722"/>
      <c r="B19" s="1607"/>
      <c r="C19" s="529">
        <v>2363</v>
      </c>
      <c r="D19" s="530">
        <v>2100</v>
      </c>
      <c r="E19" s="385"/>
      <c r="F19" s="385">
        <f>D19+E19</f>
        <v>2100</v>
      </c>
      <c r="G19" s="531"/>
      <c r="H19" s="1738"/>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row>
    <row r="20" spans="1:74" s="514" customFormat="1" ht="12.75" customHeight="1" x14ac:dyDescent="0.2">
      <c r="A20" s="1740" t="s">
        <v>644</v>
      </c>
      <c r="B20" s="1642" t="s">
        <v>645</v>
      </c>
      <c r="C20" s="529"/>
      <c r="D20" s="525">
        <f t="shared" ref="D20:F20" si="2">SUM(D21:D29)</f>
        <v>10738</v>
      </c>
      <c r="E20" s="525">
        <f t="shared" si="2"/>
        <v>0</v>
      </c>
      <c r="F20" s="525">
        <f t="shared" si="2"/>
        <v>10738</v>
      </c>
      <c r="G20" s="526"/>
      <c r="H20" s="1691" t="s">
        <v>646</v>
      </c>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row>
    <row r="21" spans="1:74" s="514" customFormat="1" ht="13.5" customHeight="1" x14ac:dyDescent="0.2">
      <c r="A21" s="1741"/>
      <c r="B21" s="1643"/>
      <c r="C21" s="529">
        <v>1150</v>
      </c>
      <c r="D21" s="530">
        <v>2480</v>
      </c>
      <c r="E21" s="524"/>
      <c r="F21" s="385">
        <f t="shared" ref="F21:F29" si="3">D21+E21</f>
        <v>2480</v>
      </c>
      <c r="G21" s="526"/>
      <c r="H21" s="1692"/>
      <c r="J21" s="323"/>
      <c r="K21" s="323"/>
      <c r="L21" s="323"/>
      <c r="M21" s="323"/>
      <c r="N21" s="323"/>
      <c r="O21" s="323"/>
      <c r="P21" s="323"/>
      <c r="Q21" s="323"/>
      <c r="R21" s="323"/>
      <c r="S21" s="323"/>
      <c r="T21" s="323"/>
      <c r="U21" s="323"/>
      <c r="V21" s="323"/>
      <c r="BJ21" s="323"/>
      <c r="BK21" s="323"/>
      <c r="BL21" s="323"/>
      <c r="BM21" s="323"/>
      <c r="BN21" s="323"/>
      <c r="BO21" s="323"/>
      <c r="BP21" s="323"/>
      <c r="BQ21" s="323"/>
      <c r="BR21" s="323"/>
      <c r="BS21" s="323"/>
      <c r="BT21" s="323"/>
      <c r="BU21" s="323"/>
      <c r="BV21" s="323"/>
    </row>
    <row r="22" spans="1:74" s="514" customFormat="1" ht="13.5" customHeight="1" x14ac:dyDescent="0.2">
      <c r="A22" s="1741"/>
      <c r="B22" s="1643"/>
      <c r="C22" s="529">
        <v>1210</v>
      </c>
      <c r="D22" s="530">
        <v>598</v>
      </c>
      <c r="E22" s="524"/>
      <c r="F22" s="385">
        <f t="shared" si="3"/>
        <v>598</v>
      </c>
      <c r="G22" s="526"/>
      <c r="H22" s="1692"/>
      <c r="J22" s="323"/>
      <c r="K22" s="323"/>
      <c r="L22" s="323"/>
      <c r="M22" s="323"/>
      <c r="N22" s="323"/>
      <c r="O22" s="323"/>
      <c r="P22" s="323"/>
      <c r="Q22" s="323"/>
      <c r="R22" s="323"/>
      <c r="S22" s="323"/>
      <c r="T22" s="323"/>
      <c r="U22" s="323"/>
      <c r="V22" s="323"/>
      <c r="BJ22" s="323"/>
      <c r="BK22" s="323"/>
      <c r="BL22" s="323"/>
      <c r="BM22" s="323"/>
      <c r="BN22" s="323"/>
      <c r="BO22" s="323"/>
      <c r="BP22" s="323"/>
      <c r="BQ22" s="323"/>
      <c r="BR22" s="323"/>
      <c r="BS22" s="323"/>
      <c r="BT22" s="323"/>
      <c r="BU22" s="323"/>
      <c r="BV22" s="323"/>
    </row>
    <row r="23" spans="1:74" s="514" customFormat="1" x14ac:dyDescent="0.2">
      <c r="A23" s="1741"/>
      <c r="B23" s="1643"/>
      <c r="C23" s="529">
        <v>2121</v>
      </c>
      <c r="D23" s="530">
        <v>414</v>
      </c>
      <c r="E23" s="524"/>
      <c r="F23" s="385">
        <f t="shared" si="3"/>
        <v>414</v>
      </c>
      <c r="G23" s="526"/>
      <c r="H23" s="1692"/>
    </row>
    <row r="24" spans="1:74" s="514" customFormat="1" ht="12.75" customHeight="1" x14ac:dyDescent="0.2">
      <c r="A24" s="1741"/>
      <c r="B24" s="1643"/>
      <c r="C24" s="529">
        <v>2122</v>
      </c>
      <c r="D24" s="530">
        <v>159</v>
      </c>
      <c r="E24" s="524"/>
      <c r="F24" s="385">
        <f t="shared" si="3"/>
        <v>159</v>
      </c>
      <c r="G24" s="526"/>
      <c r="H24" s="1692"/>
    </row>
    <row r="25" spans="1:74" s="514" customFormat="1" ht="24.75" customHeight="1" x14ac:dyDescent="0.2">
      <c r="A25" s="1741"/>
      <c r="B25" s="1643"/>
      <c r="C25" s="529">
        <v>2231</v>
      </c>
      <c r="D25" s="530">
        <v>3410</v>
      </c>
      <c r="E25" s="385"/>
      <c r="F25" s="385">
        <f t="shared" si="3"/>
        <v>3410</v>
      </c>
      <c r="G25" s="531"/>
      <c r="H25" s="1692"/>
    </row>
    <row r="26" spans="1:74" s="514" customFormat="1" ht="13.5" customHeight="1" x14ac:dyDescent="0.2">
      <c r="A26" s="1741"/>
      <c r="B26" s="1643"/>
      <c r="C26" s="529">
        <v>2239</v>
      </c>
      <c r="D26" s="530">
        <v>90</v>
      </c>
      <c r="E26" s="524"/>
      <c r="F26" s="385">
        <f t="shared" si="3"/>
        <v>90</v>
      </c>
      <c r="G26" s="526"/>
      <c r="H26" s="1692"/>
    </row>
    <row r="27" spans="1:74" s="514" customFormat="1" ht="18.75" customHeight="1" x14ac:dyDescent="0.2">
      <c r="A27" s="1741"/>
      <c r="B27" s="1643"/>
      <c r="C27" s="529">
        <v>2279</v>
      </c>
      <c r="D27" s="530">
        <v>2067</v>
      </c>
      <c r="E27" s="385"/>
      <c r="F27" s="385">
        <f t="shared" si="3"/>
        <v>2067</v>
      </c>
      <c r="G27" s="531"/>
      <c r="H27" s="1692"/>
    </row>
    <row r="28" spans="1:74" s="514" customFormat="1" ht="12" customHeight="1" x14ac:dyDescent="0.2">
      <c r="A28" s="1741"/>
      <c r="B28" s="1643"/>
      <c r="C28" s="529">
        <v>2314</v>
      </c>
      <c r="D28" s="530">
        <v>1470</v>
      </c>
      <c r="E28" s="385"/>
      <c r="F28" s="385">
        <f t="shared" si="3"/>
        <v>1470</v>
      </c>
      <c r="G28" s="531"/>
      <c r="H28" s="1692"/>
    </row>
    <row r="29" spans="1:74" s="514" customFormat="1" x14ac:dyDescent="0.2">
      <c r="A29" s="1742"/>
      <c r="B29" s="1644"/>
      <c r="C29" s="529">
        <v>2341</v>
      </c>
      <c r="D29" s="530">
        <v>50</v>
      </c>
      <c r="E29" s="385"/>
      <c r="F29" s="385">
        <f t="shared" si="3"/>
        <v>50</v>
      </c>
      <c r="G29" s="531"/>
      <c r="H29" s="1692"/>
    </row>
    <row r="30" spans="1:74" s="514" customFormat="1" x14ac:dyDescent="0.2">
      <c r="A30" s="1740" t="s">
        <v>647</v>
      </c>
      <c r="B30" s="1642" t="s">
        <v>648</v>
      </c>
      <c r="C30" s="529"/>
      <c r="D30" s="525">
        <f t="shared" ref="D30:F30" si="4">SUM(D31:D47)</f>
        <v>23100</v>
      </c>
      <c r="E30" s="525">
        <f t="shared" si="4"/>
        <v>0</v>
      </c>
      <c r="F30" s="525">
        <f t="shared" si="4"/>
        <v>23100</v>
      </c>
      <c r="G30" s="526"/>
      <c r="H30" s="1691" t="s">
        <v>643</v>
      </c>
    </row>
    <row r="31" spans="1:74" s="514" customFormat="1" x14ac:dyDescent="0.2">
      <c r="A31" s="1741"/>
      <c r="B31" s="1643"/>
      <c r="C31" s="529">
        <v>1150</v>
      </c>
      <c r="D31" s="530">
        <v>1000</v>
      </c>
      <c r="E31" s="385"/>
      <c r="F31" s="385">
        <f t="shared" ref="F31:F47" si="5">D31+E31</f>
        <v>1000</v>
      </c>
      <c r="G31" s="394"/>
      <c r="H31" s="1692"/>
    </row>
    <row r="32" spans="1:74" s="533" customFormat="1" ht="26.25" customHeight="1" x14ac:dyDescent="0.2">
      <c r="A32" s="1741"/>
      <c r="B32" s="1643"/>
      <c r="C32" s="529">
        <v>1210</v>
      </c>
      <c r="D32" s="530">
        <v>241</v>
      </c>
      <c r="E32" s="385"/>
      <c r="F32" s="385">
        <f t="shared" si="5"/>
        <v>241</v>
      </c>
      <c r="G32" s="532"/>
      <c r="H32" s="1692"/>
      <c r="I32" s="514"/>
    </row>
    <row r="33" spans="1:9" s="533" customFormat="1" x14ac:dyDescent="0.2">
      <c r="A33" s="1741"/>
      <c r="B33" s="1643"/>
      <c r="C33" s="529">
        <v>2111</v>
      </c>
      <c r="D33" s="530">
        <v>108</v>
      </c>
      <c r="E33" s="385"/>
      <c r="F33" s="385">
        <f t="shared" si="5"/>
        <v>108</v>
      </c>
      <c r="G33" s="531"/>
      <c r="H33" s="1692"/>
      <c r="I33" s="514"/>
    </row>
    <row r="34" spans="1:9" s="533" customFormat="1" x14ac:dyDescent="0.2">
      <c r="A34" s="1741"/>
      <c r="B34" s="1643"/>
      <c r="C34" s="529">
        <v>2112</v>
      </c>
      <c r="D34" s="530">
        <v>150</v>
      </c>
      <c r="E34" s="385"/>
      <c r="F34" s="385">
        <f t="shared" si="5"/>
        <v>150</v>
      </c>
      <c r="G34" s="531"/>
      <c r="H34" s="1692"/>
      <c r="I34" s="514"/>
    </row>
    <row r="35" spans="1:9" s="533" customFormat="1" x14ac:dyDescent="0.2">
      <c r="A35" s="1741"/>
      <c r="B35" s="1643"/>
      <c r="C35" s="529">
        <v>2121</v>
      </c>
      <c r="D35" s="530">
        <v>522</v>
      </c>
      <c r="E35" s="385"/>
      <c r="F35" s="385">
        <f t="shared" si="5"/>
        <v>522</v>
      </c>
      <c r="G35" s="531"/>
      <c r="H35" s="1692"/>
    </row>
    <row r="36" spans="1:9" s="533" customFormat="1" x14ac:dyDescent="0.2">
      <c r="A36" s="1741"/>
      <c r="B36" s="1643"/>
      <c r="C36" s="529">
        <v>2122</v>
      </c>
      <c r="D36" s="530">
        <v>225</v>
      </c>
      <c r="E36" s="385"/>
      <c r="F36" s="385">
        <f t="shared" si="5"/>
        <v>225</v>
      </c>
      <c r="G36" s="531"/>
      <c r="H36" s="1692"/>
    </row>
    <row r="37" spans="1:9" s="533" customFormat="1" x14ac:dyDescent="0.2">
      <c r="A37" s="1741"/>
      <c r="B37" s="1643"/>
      <c r="C37" s="529">
        <v>2239</v>
      </c>
      <c r="D37" s="530">
        <v>147</v>
      </c>
      <c r="E37" s="385"/>
      <c r="F37" s="385">
        <f t="shared" si="5"/>
        <v>147</v>
      </c>
      <c r="G37" s="531"/>
      <c r="H37" s="1692"/>
    </row>
    <row r="38" spans="1:9" s="533" customFormat="1" x14ac:dyDescent="0.2">
      <c r="A38" s="1741"/>
      <c r="B38" s="1643"/>
      <c r="C38" s="529">
        <v>2261</v>
      </c>
      <c r="D38" s="530">
        <v>1600</v>
      </c>
      <c r="E38" s="385"/>
      <c r="F38" s="385">
        <f t="shared" si="5"/>
        <v>1600</v>
      </c>
      <c r="G38" s="531"/>
      <c r="H38" s="1692"/>
    </row>
    <row r="39" spans="1:9" s="533" customFormat="1" x14ac:dyDescent="0.2">
      <c r="A39" s="1741"/>
      <c r="B39" s="1643"/>
      <c r="C39" s="529">
        <v>2262</v>
      </c>
      <c r="D39" s="530">
        <v>3812</v>
      </c>
      <c r="E39" s="385"/>
      <c r="F39" s="385">
        <f t="shared" si="5"/>
        <v>3812</v>
      </c>
      <c r="G39" s="531"/>
      <c r="H39" s="1692"/>
    </row>
    <row r="40" spans="1:9" s="533" customFormat="1" x14ac:dyDescent="0.2">
      <c r="A40" s="1741"/>
      <c r="B40" s="1643"/>
      <c r="C40" s="529">
        <v>2279</v>
      </c>
      <c r="D40" s="530">
        <v>2200</v>
      </c>
      <c r="E40" s="385"/>
      <c r="F40" s="385">
        <f t="shared" si="5"/>
        <v>2200</v>
      </c>
      <c r="G40" s="531"/>
      <c r="H40" s="1692"/>
    </row>
    <row r="41" spans="1:9" s="533" customFormat="1" x14ac:dyDescent="0.2">
      <c r="A41" s="1741"/>
      <c r="B41" s="1643"/>
      <c r="C41" s="529">
        <v>2312</v>
      </c>
      <c r="D41" s="530">
        <v>1000</v>
      </c>
      <c r="E41" s="385"/>
      <c r="F41" s="385">
        <f t="shared" si="5"/>
        <v>1000</v>
      </c>
      <c r="G41" s="531"/>
      <c r="H41" s="1692"/>
    </row>
    <row r="42" spans="1:9" s="533" customFormat="1" x14ac:dyDescent="0.2">
      <c r="A42" s="1741"/>
      <c r="B42" s="1643"/>
      <c r="C42" s="529">
        <v>2314</v>
      </c>
      <c r="D42" s="530">
        <v>1000</v>
      </c>
      <c r="E42" s="385"/>
      <c r="F42" s="385">
        <f t="shared" si="5"/>
        <v>1000</v>
      </c>
      <c r="G42" s="531"/>
      <c r="H42" s="1692"/>
    </row>
    <row r="43" spans="1:9" s="533" customFormat="1" x14ac:dyDescent="0.2">
      <c r="A43" s="1741"/>
      <c r="B43" s="1643"/>
      <c r="C43" s="529">
        <v>2341</v>
      </c>
      <c r="D43" s="530">
        <v>700</v>
      </c>
      <c r="E43" s="385"/>
      <c r="F43" s="385">
        <f t="shared" si="5"/>
        <v>700</v>
      </c>
      <c r="G43" s="531"/>
      <c r="H43" s="1692"/>
    </row>
    <row r="44" spans="1:9" s="533" customFormat="1" x14ac:dyDescent="0.2">
      <c r="A44" s="1741"/>
      <c r="B44" s="1643"/>
      <c r="C44" s="529">
        <v>2361</v>
      </c>
      <c r="D44" s="530">
        <v>6275</v>
      </c>
      <c r="E44" s="385"/>
      <c r="F44" s="385">
        <f t="shared" si="5"/>
        <v>6275</v>
      </c>
      <c r="G44" s="531"/>
      <c r="H44" s="1692"/>
    </row>
    <row r="45" spans="1:9" s="533" customFormat="1" x14ac:dyDescent="0.2">
      <c r="A45" s="1741"/>
      <c r="B45" s="1643"/>
      <c r="C45" s="529">
        <v>2363</v>
      </c>
      <c r="D45" s="530">
        <v>2320</v>
      </c>
      <c r="E45" s="385"/>
      <c r="F45" s="385">
        <f t="shared" si="5"/>
        <v>2320</v>
      </c>
      <c r="G45" s="531"/>
      <c r="H45" s="1692"/>
    </row>
    <row r="46" spans="1:9" s="533" customFormat="1" x14ac:dyDescent="0.2">
      <c r="A46" s="1741"/>
      <c r="B46" s="1643"/>
      <c r="C46" s="529">
        <v>2370</v>
      </c>
      <c r="D46" s="530">
        <v>800</v>
      </c>
      <c r="E46" s="385"/>
      <c r="F46" s="385">
        <f t="shared" si="5"/>
        <v>800</v>
      </c>
      <c r="G46" s="531"/>
      <c r="H46" s="1692"/>
    </row>
    <row r="47" spans="1:9" s="533" customFormat="1" x14ac:dyDescent="0.2">
      <c r="A47" s="1742"/>
      <c r="B47" s="1644"/>
      <c r="C47" s="529">
        <v>5238</v>
      </c>
      <c r="D47" s="530">
        <v>1000</v>
      </c>
      <c r="E47" s="385"/>
      <c r="F47" s="385">
        <f t="shared" si="5"/>
        <v>1000</v>
      </c>
      <c r="G47" s="531"/>
      <c r="H47" s="1692"/>
    </row>
    <row r="48" spans="1:9" s="533" customFormat="1" ht="14.25" customHeight="1" x14ac:dyDescent="0.2">
      <c r="A48" s="1743">
        <v>1.2</v>
      </c>
      <c r="B48" s="1706" t="s">
        <v>649</v>
      </c>
      <c r="C48" s="529"/>
      <c r="D48" s="525">
        <f>SUM(D49:D51)</f>
        <v>2325</v>
      </c>
      <c r="E48" s="525">
        <f t="shared" ref="E48:F48" si="6">SUM(E49:E51)</f>
        <v>0</v>
      </c>
      <c r="F48" s="525">
        <f t="shared" si="6"/>
        <v>2325</v>
      </c>
      <c r="G48" s="526"/>
      <c r="H48" s="1727" t="s">
        <v>650</v>
      </c>
    </row>
    <row r="49" spans="1:11" s="533" customFormat="1" ht="13.5" customHeight="1" x14ac:dyDescent="0.2">
      <c r="A49" s="1743"/>
      <c r="B49" s="1706"/>
      <c r="C49" s="529">
        <v>2341</v>
      </c>
      <c r="D49" s="530">
        <v>100</v>
      </c>
      <c r="E49" s="385"/>
      <c r="F49" s="385">
        <f>D49+E49</f>
        <v>100</v>
      </c>
      <c r="G49" s="531"/>
      <c r="H49" s="1728"/>
    </row>
    <row r="50" spans="1:11" s="533" customFormat="1" x14ac:dyDescent="0.2">
      <c r="A50" s="1743"/>
      <c r="B50" s="1706"/>
      <c r="C50" s="529">
        <v>2361</v>
      </c>
      <c r="D50" s="530">
        <v>1125</v>
      </c>
      <c r="E50" s="534"/>
      <c r="F50" s="385">
        <f>D50+E50</f>
        <v>1125</v>
      </c>
      <c r="G50" s="531"/>
      <c r="H50" s="1728"/>
    </row>
    <row r="51" spans="1:11" s="533" customFormat="1" ht="12.75" customHeight="1" x14ac:dyDescent="0.2">
      <c r="A51" s="1743"/>
      <c r="B51" s="1706"/>
      <c r="C51" s="416">
        <v>2370</v>
      </c>
      <c r="D51" s="527">
        <v>1100</v>
      </c>
      <c r="E51" s="527"/>
      <c r="F51" s="423">
        <f>D51+E51</f>
        <v>1100</v>
      </c>
      <c r="G51" s="492"/>
      <c r="H51" s="1738"/>
      <c r="K51" s="535"/>
    </row>
    <row r="52" spans="1:11" s="533" customFormat="1" x14ac:dyDescent="0.2">
      <c r="A52" s="536" t="s">
        <v>651</v>
      </c>
      <c r="B52" s="537" t="s">
        <v>652</v>
      </c>
      <c r="C52" s="534"/>
      <c r="D52" s="525">
        <f>D53+D55</f>
        <v>16643</v>
      </c>
      <c r="E52" s="525">
        <f t="shared" ref="E52:F52" si="7">E53+E55</f>
        <v>-560</v>
      </c>
      <c r="F52" s="525">
        <f t="shared" si="7"/>
        <v>16083</v>
      </c>
      <c r="G52" s="526"/>
      <c r="H52" s="521"/>
    </row>
    <row r="53" spans="1:11" s="533" customFormat="1" x14ac:dyDescent="0.2">
      <c r="A53" s="1739" t="s">
        <v>653</v>
      </c>
      <c r="B53" s="1607" t="s">
        <v>654</v>
      </c>
      <c r="C53" s="529"/>
      <c r="D53" s="525">
        <f>SUM(D54:D54)</f>
        <v>3500</v>
      </c>
      <c r="E53" s="525">
        <f t="shared" ref="E53:F53" si="8">SUM(E54:E54)</f>
        <v>0</v>
      </c>
      <c r="F53" s="525">
        <f t="shared" si="8"/>
        <v>3500</v>
      </c>
      <c r="G53" s="526"/>
      <c r="H53" s="1707" t="s">
        <v>655</v>
      </c>
    </row>
    <row r="54" spans="1:11" s="533" customFormat="1" x14ac:dyDescent="0.2">
      <c r="A54" s="1739"/>
      <c r="B54" s="1607"/>
      <c r="C54" s="529">
        <v>2363</v>
      </c>
      <c r="D54" s="530">
        <v>3500</v>
      </c>
      <c r="E54" s="530"/>
      <c r="F54" s="385">
        <f>D54+E54</f>
        <v>3500</v>
      </c>
      <c r="G54" s="531"/>
      <c r="H54" s="1709"/>
    </row>
    <row r="55" spans="1:11" s="514" customFormat="1" ht="13.5" customHeight="1" x14ac:dyDescent="0.2">
      <c r="A55" s="1739" t="s">
        <v>656</v>
      </c>
      <c r="B55" s="1607" t="s">
        <v>657</v>
      </c>
      <c r="C55" s="529"/>
      <c r="D55" s="525">
        <f>SUM(D56:D61)</f>
        <v>13143</v>
      </c>
      <c r="E55" s="525">
        <f t="shared" ref="E55:F55" si="9">SUM(E56:E61)</f>
        <v>-560</v>
      </c>
      <c r="F55" s="525">
        <f t="shared" si="9"/>
        <v>12583</v>
      </c>
      <c r="G55" s="526"/>
      <c r="H55" s="1707" t="s">
        <v>655</v>
      </c>
      <c r="I55" s="533"/>
    </row>
    <row r="56" spans="1:11" s="514" customFormat="1" ht="36" x14ac:dyDescent="0.2">
      <c r="A56" s="1739"/>
      <c r="B56" s="1607"/>
      <c r="C56" s="529">
        <v>2111</v>
      </c>
      <c r="D56" s="530">
        <v>360</v>
      </c>
      <c r="E56" s="530">
        <v>-24</v>
      </c>
      <c r="F56" s="385">
        <f t="shared" ref="F56:F61" si="10">D56+E56</f>
        <v>336</v>
      </c>
      <c r="G56" s="531" t="s">
        <v>658</v>
      </c>
      <c r="H56" s="1708"/>
    </row>
    <row r="57" spans="1:11" s="514" customFormat="1" ht="24" x14ac:dyDescent="0.2">
      <c r="A57" s="1739"/>
      <c r="B57" s="1607"/>
      <c r="C57" s="416">
        <v>2261</v>
      </c>
      <c r="D57" s="527">
        <v>5920</v>
      </c>
      <c r="E57" s="527">
        <v>-203</v>
      </c>
      <c r="F57" s="423">
        <f t="shared" si="10"/>
        <v>5717</v>
      </c>
      <c r="G57" s="492" t="s">
        <v>659</v>
      </c>
      <c r="H57" s="1708"/>
    </row>
    <row r="58" spans="1:11" s="514" customFormat="1" ht="13.5" customHeight="1" x14ac:dyDescent="0.2">
      <c r="A58" s="1739"/>
      <c r="B58" s="1607"/>
      <c r="C58" s="416">
        <v>2262</v>
      </c>
      <c r="D58" s="527">
        <v>1200</v>
      </c>
      <c r="E58" s="527"/>
      <c r="F58" s="423">
        <f t="shared" si="10"/>
        <v>1200</v>
      </c>
      <c r="G58" s="492"/>
      <c r="H58" s="1708"/>
    </row>
    <row r="59" spans="1:11" s="514" customFormat="1" ht="36" x14ac:dyDescent="0.2">
      <c r="A59" s="1739"/>
      <c r="B59" s="1607"/>
      <c r="C59" s="529">
        <v>2279</v>
      </c>
      <c r="D59" s="530">
        <v>333</v>
      </c>
      <c r="E59" s="530">
        <v>-333</v>
      </c>
      <c r="F59" s="385">
        <f t="shared" si="10"/>
        <v>0</v>
      </c>
      <c r="G59" s="531" t="s">
        <v>660</v>
      </c>
      <c r="H59" s="1708"/>
    </row>
    <row r="60" spans="1:11" s="514" customFormat="1" ht="13.5" customHeight="1" x14ac:dyDescent="0.2">
      <c r="A60" s="1739"/>
      <c r="B60" s="1607"/>
      <c r="C60" s="529">
        <v>2341</v>
      </c>
      <c r="D60" s="530">
        <v>150</v>
      </c>
      <c r="E60" s="525"/>
      <c r="F60" s="385">
        <f t="shared" si="10"/>
        <v>150</v>
      </c>
      <c r="G60" s="526"/>
      <c r="H60" s="1708"/>
    </row>
    <row r="61" spans="1:11" s="514" customFormat="1" ht="13.5" customHeight="1" x14ac:dyDescent="0.2">
      <c r="A61" s="1739"/>
      <c r="B61" s="1607"/>
      <c r="C61" s="416">
        <v>2363</v>
      </c>
      <c r="D61" s="527">
        <v>5180</v>
      </c>
      <c r="E61" s="527"/>
      <c r="F61" s="423">
        <f t="shared" si="10"/>
        <v>5180</v>
      </c>
      <c r="G61" s="492"/>
      <c r="H61" s="1709"/>
    </row>
    <row r="62" spans="1:11" s="514" customFormat="1" ht="18.75" customHeight="1" x14ac:dyDescent="0.2">
      <c r="A62" s="539">
        <v>2</v>
      </c>
      <c r="B62" s="540" t="s">
        <v>661</v>
      </c>
      <c r="C62" s="541"/>
      <c r="D62" s="520">
        <f>D64+D74+D78+D68</f>
        <v>21186</v>
      </c>
      <c r="E62" s="520">
        <f t="shared" ref="E62:F62" si="11">E64+E74+E78+E68</f>
        <v>345</v>
      </c>
      <c r="F62" s="520">
        <f t="shared" si="11"/>
        <v>21531</v>
      </c>
      <c r="G62" s="516"/>
      <c r="H62" s="521"/>
    </row>
    <row r="63" spans="1:11" s="514" customFormat="1" ht="17.25" customHeight="1" x14ac:dyDescent="0.2">
      <c r="A63" s="539" t="s">
        <v>662</v>
      </c>
      <c r="B63" s="540" t="s">
        <v>663</v>
      </c>
      <c r="C63" s="541"/>
      <c r="D63" s="520">
        <f>SUM(D64+D68)</f>
        <v>4895</v>
      </c>
      <c r="E63" s="520"/>
      <c r="F63" s="520">
        <f>F64+F68</f>
        <v>4999</v>
      </c>
      <c r="G63" s="516"/>
      <c r="H63" s="521"/>
    </row>
    <row r="64" spans="1:11" s="514" customFormat="1" ht="17.25" customHeight="1" x14ac:dyDescent="0.2">
      <c r="A64" s="1695" t="s">
        <v>664</v>
      </c>
      <c r="B64" s="1607" t="s">
        <v>665</v>
      </c>
      <c r="C64" s="529"/>
      <c r="D64" s="525">
        <f>SUM(D65:D67)</f>
        <v>3680</v>
      </c>
      <c r="E64" s="525">
        <f t="shared" ref="E64:F64" si="12">SUM(E65:E67)</f>
        <v>240</v>
      </c>
      <c r="F64" s="525">
        <f t="shared" si="12"/>
        <v>3920</v>
      </c>
      <c r="G64" s="526"/>
      <c r="H64" s="542"/>
    </row>
    <row r="65" spans="1:8" s="514" customFormat="1" x14ac:dyDescent="0.2">
      <c r="A65" s="1695"/>
      <c r="B65" s="1607"/>
      <c r="C65" s="529">
        <v>2261</v>
      </c>
      <c r="D65" s="530">
        <v>960</v>
      </c>
      <c r="E65" s="385"/>
      <c r="F65" s="385">
        <f>D65+E65</f>
        <v>960</v>
      </c>
      <c r="G65" s="531"/>
      <c r="H65" s="1608" t="s">
        <v>643</v>
      </c>
    </row>
    <row r="66" spans="1:8" s="514" customFormat="1" ht="24" x14ac:dyDescent="0.2">
      <c r="A66" s="1695"/>
      <c r="B66" s="1607"/>
      <c r="C66" s="529">
        <v>2279</v>
      </c>
      <c r="D66" s="530">
        <v>1600</v>
      </c>
      <c r="E66" s="385">
        <v>240</v>
      </c>
      <c r="F66" s="385">
        <f>D66+E66</f>
        <v>1840</v>
      </c>
      <c r="G66" s="531" t="s">
        <v>666</v>
      </c>
      <c r="H66" s="1608"/>
    </row>
    <row r="67" spans="1:8" s="514" customFormat="1" ht="10.5" customHeight="1" x14ac:dyDescent="0.2">
      <c r="A67" s="1695"/>
      <c r="B67" s="1607"/>
      <c r="C67" s="529">
        <v>2363</v>
      </c>
      <c r="D67" s="530">
        <v>1120</v>
      </c>
      <c r="E67" s="385"/>
      <c r="F67" s="385">
        <f>D67+E67</f>
        <v>1120</v>
      </c>
      <c r="G67" s="531"/>
      <c r="H67" s="1608"/>
    </row>
    <row r="68" spans="1:8" s="514" customFormat="1" ht="15.75" customHeight="1" x14ac:dyDescent="0.2">
      <c r="A68" s="1696" t="s">
        <v>667</v>
      </c>
      <c r="B68" s="1642" t="s">
        <v>668</v>
      </c>
      <c r="C68" s="529"/>
      <c r="D68" s="525">
        <f>SUM(D69:D73)</f>
        <v>1215</v>
      </c>
      <c r="E68" s="525">
        <f t="shared" ref="E68:F68" si="13">SUM(E69:E73)</f>
        <v>-136</v>
      </c>
      <c r="F68" s="525">
        <f t="shared" si="13"/>
        <v>1079</v>
      </c>
      <c r="G68" s="531"/>
      <c r="H68" s="1727" t="s">
        <v>646</v>
      </c>
    </row>
    <row r="69" spans="1:8" s="514" customFormat="1" x14ac:dyDescent="0.2">
      <c r="A69" s="1720"/>
      <c r="B69" s="1643"/>
      <c r="C69" s="529">
        <v>2121</v>
      </c>
      <c r="D69" s="530">
        <v>145</v>
      </c>
      <c r="E69" s="385"/>
      <c r="F69" s="385">
        <f>D69+E69</f>
        <v>145</v>
      </c>
      <c r="G69" s="531"/>
      <c r="H69" s="1728"/>
    </row>
    <row r="70" spans="1:8" s="514" customFormat="1" ht="24" x14ac:dyDescent="0.2">
      <c r="A70" s="1720"/>
      <c r="B70" s="1643"/>
      <c r="C70" s="529">
        <v>2122</v>
      </c>
      <c r="D70" s="530">
        <v>160</v>
      </c>
      <c r="E70" s="385">
        <v>-56</v>
      </c>
      <c r="F70" s="385">
        <f>D70+E70</f>
        <v>104</v>
      </c>
      <c r="G70" s="531" t="s">
        <v>669</v>
      </c>
      <c r="H70" s="1728"/>
    </row>
    <row r="71" spans="1:8" s="514" customFormat="1" ht="24" customHeight="1" x14ac:dyDescent="0.2">
      <c r="A71" s="1720"/>
      <c r="B71" s="1643"/>
      <c r="C71" s="529">
        <v>2261</v>
      </c>
      <c r="D71" s="530">
        <v>360</v>
      </c>
      <c r="E71" s="385">
        <v>-80</v>
      </c>
      <c r="F71" s="385">
        <f>D71+E71</f>
        <v>280</v>
      </c>
      <c r="G71" s="531" t="s">
        <v>670</v>
      </c>
      <c r="H71" s="1728"/>
    </row>
    <row r="72" spans="1:8" s="514" customFormat="1" x14ac:dyDescent="0.2">
      <c r="A72" s="1720"/>
      <c r="B72" s="1643"/>
      <c r="C72" s="529">
        <v>2279</v>
      </c>
      <c r="D72" s="530">
        <v>300</v>
      </c>
      <c r="E72" s="385"/>
      <c r="F72" s="385">
        <f>D72+E72</f>
        <v>300</v>
      </c>
      <c r="G72" s="531"/>
      <c r="H72" s="1728"/>
    </row>
    <row r="73" spans="1:8" s="514" customFormat="1" x14ac:dyDescent="0.2">
      <c r="A73" s="1737"/>
      <c r="B73" s="1644"/>
      <c r="C73" s="529">
        <v>2363</v>
      </c>
      <c r="D73" s="530">
        <v>250</v>
      </c>
      <c r="E73" s="385"/>
      <c r="F73" s="385">
        <f>D73+E73</f>
        <v>250</v>
      </c>
      <c r="G73" s="531"/>
      <c r="H73" s="1738"/>
    </row>
    <row r="74" spans="1:8" s="514" customFormat="1" ht="12" customHeight="1" x14ac:dyDescent="0.2">
      <c r="A74" s="1704">
        <v>2.2000000000000002</v>
      </c>
      <c r="B74" s="1706" t="s">
        <v>671</v>
      </c>
      <c r="C74" s="529"/>
      <c r="D74" s="524">
        <f>SUM(D75:D77)</f>
        <v>14805</v>
      </c>
      <c r="E74" s="524">
        <f t="shared" ref="E74:F74" si="14">SUM(E75:E77)</f>
        <v>-137</v>
      </c>
      <c r="F74" s="524">
        <f t="shared" si="14"/>
        <v>14668</v>
      </c>
      <c r="G74" s="526"/>
      <c r="H74" s="1703" t="s">
        <v>672</v>
      </c>
    </row>
    <row r="75" spans="1:8" s="514" customFormat="1" ht="12.75" customHeight="1" x14ac:dyDescent="0.2">
      <c r="A75" s="1704"/>
      <c r="B75" s="1706"/>
      <c r="C75" s="529">
        <v>2312</v>
      </c>
      <c r="D75" s="530">
        <v>280</v>
      </c>
      <c r="E75" s="524"/>
      <c r="F75" s="385">
        <f>D75+E75</f>
        <v>280</v>
      </c>
      <c r="G75" s="526"/>
      <c r="H75" s="1703"/>
    </row>
    <row r="76" spans="1:8" s="514" customFormat="1" ht="12" customHeight="1" x14ac:dyDescent="0.2">
      <c r="A76" s="1704"/>
      <c r="B76" s="1706"/>
      <c r="C76" s="529">
        <v>2341</v>
      </c>
      <c r="D76" s="530">
        <v>25</v>
      </c>
      <c r="E76" s="385"/>
      <c r="F76" s="385">
        <f>D76+E76</f>
        <v>25</v>
      </c>
      <c r="G76" s="531"/>
      <c r="H76" s="1703"/>
    </row>
    <row r="77" spans="1:8" s="514" customFormat="1" ht="24" x14ac:dyDescent="0.2">
      <c r="A77" s="1704"/>
      <c r="B77" s="1706"/>
      <c r="C77" s="529">
        <v>5239</v>
      </c>
      <c r="D77" s="530">
        <v>14500</v>
      </c>
      <c r="E77" s="530">
        <v>-137</v>
      </c>
      <c r="F77" s="385">
        <f>D77+E77</f>
        <v>14363</v>
      </c>
      <c r="G77" s="531" t="s">
        <v>629</v>
      </c>
      <c r="H77" s="1703"/>
    </row>
    <row r="78" spans="1:8" s="514" customFormat="1" ht="13.5" customHeight="1" x14ac:dyDescent="0.2">
      <c r="A78" s="1736">
        <v>2.2999999999999998</v>
      </c>
      <c r="B78" s="1705" t="s">
        <v>673</v>
      </c>
      <c r="C78" s="534"/>
      <c r="D78" s="525">
        <f>SUM(D79:D81)</f>
        <v>1486</v>
      </c>
      <c r="E78" s="525">
        <f t="shared" ref="E78:F78" si="15">SUM(E79:E81)</f>
        <v>378</v>
      </c>
      <c r="F78" s="525">
        <f t="shared" si="15"/>
        <v>1864</v>
      </c>
      <c r="G78" s="526"/>
      <c r="H78" s="1703" t="s">
        <v>650</v>
      </c>
    </row>
    <row r="79" spans="1:8" s="514" customFormat="1" ht="36" x14ac:dyDescent="0.2">
      <c r="A79" s="1736"/>
      <c r="B79" s="1705"/>
      <c r="C79" s="529">
        <v>2242</v>
      </c>
      <c r="D79" s="530">
        <v>120</v>
      </c>
      <c r="E79" s="530">
        <v>245</v>
      </c>
      <c r="F79" s="385">
        <f>D79+E79</f>
        <v>365</v>
      </c>
      <c r="G79" s="531" t="s">
        <v>621</v>
      </c>
      <c r="H79" s="1703"/>
    </row>
    <row r="80" spans="1:8" s="514" customFormat="1" ht="72" x14ac:dyDescent="0.2">
      <c r="A80" s="1736"/>
      <c r="B80" s="1705"/>
      <c r="C80" s="529">
        <v>2322</v>
      </c>
      <c r="D80" s="530">
        <v>1200</v>
      </c>
      <c r="E80" s="530">
        <v>133</v>
      </c>
      <c r="F80" s="385">
        <f>D80+E80</f>
        <v>1333</v>
      </c>
      <c r="G80" s="531" t="s">
        <v>674</v>
      </c>
      <c r="H80" s="1703"/>
    </row>
    <row r="81" spans="1:8" s="514" customFormat="1" x14ac:dyDescent="0.2">
      <c r="A81" s="1736"/>
      <c r="B81" s="1705"/>
      <c r="C81" s="529">
        <v>2354</v>
      </c>
      <c r="D81" s="530">
        <v>166</v>
      </c>
      <c r="E81" s="534"/>
      <c r="F81" s="385">
        <f>D81+E81</f>
        <v>166</v>
      </c>
      <c r="G81" s="531"/>
      <c r="H81" s="1703"/>
    </row>
    <row r="82" spans="1:8" s="514" customFormat="1" ht="14.25" customHeight="1" x14ac:dyDescent="0.2">
      <c r="A82" s="543">
        <v>3</v>
      </c>
      <c r="B82" s="544" t="s">
        <v>675</v>
      </c>
      <c r="C82" s="541"/>
      <c r="D82" s="520">
        <f>D83+D86+D90</f>
        <v>6855</v>
      </c>
      <c r="E82" s="520">
        <f t="shared" ref="E82:F82" si="16">E83+E86+E90</f>
        <v>0</v>
      </c>
      <c r="F82" s="520">
        <f t="shared" si="16"/>
        <v>6855</v>
      </c>
      <c r="G82" s="516"/>
      <c r="H82" s="521"/>
    </row>
    <row r="83" spans="1:8" s="514" customFormat="1" x14ac:dyDescent="0.2">
      <c r="A83" s="1704">
        <v>3.1</v>
      </c>
      <c r="B83" s="1705" t="s">
        <v>665</v>
      </c>
      <c r="C83" s="529"/>
      <c r="D83" s="524">
        <f>SUM(D84:D85)</f>
        <v>1940</v>
      </c>
      <c r="E83" s="524">
        <f t="shared" ref="E83:F83" si="17">SUM(E84:E85)</f>
        <v>0</v>
      </c>
      <c r="F83" s="524">
        <f t="shared" si="17"/>
        <v>1940</v>
      </c>
      <c r="G83" s="526"/>
      <c r="H83" s="1608" t="s">
        <v>643</v>
      </c>
    </row>
    <row r="84" spans="1:8" s="514" customFormat="1" ht="12" customHeight="1" x14ac:dyDescent="0.2">
      <c r="A84" s="1704"/>
      <c r="B84" s="1705"/>
      <c r="C84" s="529">
        <v>2279</v>
      </c>
      <c r="D84" s="530">
        <v>1800</v>
      </c>
      <c r="E84" s="524"/>
      <c r="F84" s="385">
        <f>D84+E84</f>
        <v>1800</v>
      </c>
      <c r="G84" s="526"/>
      <c r="H84" s="1608"/>
    </row>
    <row r="85" spans="1:8" s="514" customFormat="1" ht="12.75" customHeight="1" x14ac:dyDescent="0.2">
      <c r="A85" s="1704"/>
      <c r="B85" s="1705"/>
      <c r="C85" s="529">
        <v>2363</v>
      </c>
      <c r="D85" s="530">
        <v>140</v>
      </c>
      <c r="E85" s="385"/>
      <c r="F85" s="385">
        <f>D85+E85</f>
        <v>140</v>
      </c>
      <c r="G85" s="531"/>
      <c r="H85" s="1608"/>
    </row>
    <row r="86" spans="1:8" s="514" customFormat="1" ht="12.75" customHeight="1" x14ac:dyDescent="0.2">
      <c r="A86" s="1723">
        <v>3.2</v>
      </c>
      <c r="B86" s="1733" t="s">
        <v>676</v>
      </c>
      <c r="C86" s="529"/>
      <c r="D86" s="525">
        <f>SUM(D87:D89)</f>
        <v>1200</v>
      </c>
      <c r="E86" s="525">
        <f t="shared" ref="E86" si="18">SUM(E87:E88)</f>
        <v>0</v>
      </c>
      <c r="F86" s="525">
        <f>SUM(F87:F89)</f>
        <v>1200</v>
      </c>
      <c r="G86" s="526"/>
      <c r="H86" s="1703" t="s">
        <v>650</v>
      </c>
    </row>
    <row r="87" spans="1:8" s="514" customFormat="1" ht="12.75" customHeight="1" x14ac:dyDescent="0.2">
      <c r="A87" s="1724"/>
      <c r="B87" s="1734"/>
      <c r="C87" s="529">
        <v>2341</v>
      </c>
      <c r="D87" s="530">
        <v>50</v>
      </c>
      <c r="E87" s="524"/>
      <c r="F87" s="385">
        <f>D87+E87</f>
        <v>50</v>
      </c>
      <c r="G87" s="526"/>
      <c r="H87" s="1703"/>
    </row>
    <row r="88" spans="1:8" s="514" customFormat="1" x14ac:dyDescent="0.2">
      <c r="A88" s="1724"/>
      <c r="B88" s="1734"/>
      <c r="C88" s="529">
        <v>2361</v>
      </c>
      <c r="D88" s="530">
        <v>1050</v>
      </c>
      <c r="E88" s="524"/>
      <c r="F88" s="385">
        <f>D88+E88</f>
        <v>1050</v>
      </c>
      <c r="G88" s="526"/>
      <c r="H88" s="1703"/>
    </row>
    <row r="89" spans="1:8" s="514" customFormat="1" x14ac:dyDescent="0.2">
      <c r="A89" s="1729"/>
      <c r="B89" s="1735"/>
      <c r="C89" s="529">
        <v>2370</v>
      </c>
      <c r="D89" s="530">
        <v>100</v>
      </c>
      <c r="E89" s="524"/>
      <c r="F89" s="385">
        <f>D89+E89</f>
        <v>100</v>
      </c>
      <c r="G89" s="526"/>
      <c r="H89" s="545"/>
    </row>
    <row r="90" spans="1:8" s="514" customFormat="1" x14ac:dyDescent="0.2">
      <c r="A90" s="1704">
        <v>3.3</v>
      </c>
      <c r="B90" s="1705" t="s">
        <v>677</v>
      </c>
      <c r="C90" s="529"/>
      <c r="D90" s="525">
        <f>SUM(D91:D92)</f>
        <v>3715</v>
      </c>
      <c r="E90" s="525">
        <f t="shared" ref="E90:F90" si="19">SUM(E91:E92)</f>
        <v>0</v>
      </c>
      <c r="F90" s="525">
        <f t="shared" si="19"/>
        <v>3715</v>
      </c>
      <c r="G90" s="526"/>
      <c r="H90" s="1703" t="s">
        <v>655</v>
      </c>
    </row>
    <row r="91" spans="1:8" s="514" customFormat="1" x14ac:dyDescent="0.2">
      <c r="A91" s="1704"/>
      <c r="B91" s="1705"/>
      <c r="C91" s="529">
        <v>2261</v>
      </c>
      <c r="D91" s="530">
        <v>2700</v>
      </c>
      <c r="E91" s="530"/>
      <c r="F91" s="385">
        <f>D91+E91</f>
        <v>2700</v>
      </c>
      <c r="G91" s="531"/>
      <c r="H91" s="1703"/>
    </row>
    <row r="92" spans="1:8" s="514" customFormat="1" x14ac:dyDescent="0.2">
      <c r="A92" s="1704"/>
      <c r="B92" s="1705"/>
      <c r="C92" s="529">
        <v>2363</v>
      </c>
      <c r="D92" s="530">
        <v>1015</v>
      </c>
      <c r="E92" s="530"/>
      <c r="F92" s="385">
        <f>D92+E92</f>
        <v>1015</v>
      </c>
      <c r="G92" s="531"/>
      <c r="H92" s="1703"/>
    </row>
    <row r="93" spans="1:8" s="514" customFormat="1" x14ac:dyDescent="0.2">
      <c r="A93" s="543">
        <v>4</v>
      </c>
      <c r="B93" s="544" t="s">
        <v>678</v>
      </c>
      <c r="C93" s="541"/>
      <c r="D93" s="520">
        <f>D94+D98</f>
        <v>1040</v>
      </c>
      <c r="E93" s="520">
        <f t="shared" ref="E93:F93" si="20">E94+E98</f>
        <v>0</v>
      </c>
      <c r="F93" s="520">
        <f t="shared" si="20"/>
        <v>1040</v>
      </c>
      <c r="G93" s="516"/>
      <c r="H93" s="521"/>
    </row>
    <row r="94" spans="1:8" s="514" customFormat="1" ht="12.75" customHeight="1" x14ac:dyDescent="0.2">
      <c r="A94" s="1723">
        <v>4.0999999999999996</v>
      </c>
      <c r="B94" s="1730" t="s">
        <v>679</v>
      </c>
      <c r="C94" s="529"/>
      <c r="D94" s="525">
        <f>SUM(D95:D97)</f>
        <v>878</v>
      </c>
      <c r="E94" s="525">
        <f t="shared" ref="E94" si="21">SUM(E96:E96)</f>
        <v>0</v>
      </c>
      <c r="F94" s="525">
        <f>SUM(F95:F97)</f>
        <v>878</v>
      </c>
      <c r="G94" s="526"/>
      <c r="H94" s="1608" t="s">
        <v>643</v>
      </c>
    </row>
    <row r="95" spans="1:8" s="514" customFormat="1" x14ac:dyDescent="0.2">
      <c r="A95" s="1724"/>
      <c r="B95" s="1731"/>
      <c r="C95" s="529">
        <v>2261</v>
      </c>
      <c r="D95" s="530">
        <v>192</v>
      </c>
      <c r="E95" s="525"/>
      <c r="F95" s="530">
        <f>D95+E95</f>
        <v>192</v>
      </c>
      <c r="G95" s="526"/>
      <c r="H95" s="1608"/>
    </row>
    <row r="96" spans="1:8" s="514" customFormat="1" x14ac:dyDescent="0.2">
      <c r="A96" s="1724"/>
      <c r="B96" s="1731"/>
      <c r="C96" s="529">
        <v>2279</v>
      </c>
      <c r="D96" s="530">
        <v>350</v>
      </c>
      <c r="E96" s="385"/>
      <c r="F96" s="385">
        <f>D96+E96</f>
        <v>350</v>
      </c>
      <c r="G96" s="531"/>
      <c r="H96" s="1608"/>
    </row>
    <row r="97" spans="1:8" s="514" customFormat="1" x14ac:dyDescent="0.2">
      <c r="A97" s="1729"/>
      <c r="B97" s="1732"/>
      <c r="C97" s="529">
        <v>2363</v>
      </c>
      <c r="D97" s="530">
        <v>336</v>
      </c>
      <c r="E97" s="385"/>
      <c r="F97" s="385">
        <f>D97+E97</f>
        <v>336</v>
      </c>
      <c r="G97" s="531"/>
      <c r="H97" s="534"/>
    </row>
    <row r="98" spans="1:8" s="514" customFormat="1" x14ac:dyDescent="0.2">
      <c r="A98" s="1704">
        <v>4.2</v>
      </c>
      <c r="B98" s="1706" t="s">
        <v>680</v>
      </c>
      <c r="C98" s="529"/>
      <c r="D98" s="525">
        <f>SUM(D99:D100)</f>
        <v>162</v>
      </c>
      <c r="E98" s="525">
        <f t="shared" ref="E98" si="22">SUM(E100:E100)</f>
        <v>0</v>
      </c>
      <c r="F98" s="525">
        <f>SUM(F99:F100)</f>
        <v>162</v>
      </c>
      <c r="G98" s="526"/>
      <c r="H98" s="1703" t="s">
        <v>646</v>
      </c>
    </row>
    <row r="99" spans="1:8" s="514" customFormat="1" ht="13.5" customHeight="1" x14ac:dyDescent="0.2">
      <c r="A99" s="1704"/>
      <c r="B99" s="1706"/>
      <c r="C99" s="529">
        <v>2341</v>
      </c>
      <c r="D99" s="530">
        <v>25</v>
      </c>
      <c r="E99" s="525"/>
      <c r="F99" s="530">
        <f>D99+E99</f>
        <v>25</v>
      </c>
      <c r="G99" s="526"/>
      <c r="H99" s="1703"/>
    </row>
    <row r="100" spans="1:8" s="514" customFormat="1" x14ac:dyDescent="0.2">
      <c r="A100" s="1704"/>
      <c r="B100" s="1706"/>
      <c r="C100" s="529">
        <v>2370</v>
      </c>
      <c r="D100" s="530">
        <v>137</v>
      </c>
      <c r="E100" s="534"/>
      <c r="F100" s="385">
        <f>D100+E100</f>
        <v>137</v>
      </c>
      <c r="G100" s="531"/>
      <c r="H100" s="1703"/>
    </row>
    <row r="101" spans="1:8" s="514" customFormat="1" x14ac:dyDescent="0.2">
      <c r="A101" s="543">
        <v>5</v>
      </c>
      <c r="B101" s="544" t="s">
        <v>681</v>
      </c>
      <c r="C101" s="541"/>
      <c r="D101" s="520">
        <f>D102+D107+D114</f>
        <v>80716</v>
      </c>
      <c r="E101" s="520">
        <f>E102+E107+E114</f>
        <v>-2108</v>
      </c>
      <c r="F101" s="520">
        <f>F102+F107+F114</f>
        <v>78608</v>
      </c>
      <c r="G101" s="516"/>
      <c r="H101" s="521"/>
    </row>
    <row r="102" spans="1:8" s="514" customFormat="1" x14ac:dyDescent="0.2">
      <c r="A102" s="1704">
        <v>5.0999999999999996</v>
      </c>
      <c r="B102" s="1705" t="s">
        <v>665</v>
      </c>
      <c r="C102" s="529"/>
      <c r="D102" s="525">
        <f>SUM(D103:D106)</f>
        <v>21608</v>
      </c>
      <c r="E102" s="525">
        <f t="shared" ref="E102:F102" si="23">SUM(E103:E106)</f>
        <v>186</v>
      </c>
      <c r="F102" s="525">
        <f t="shared" si="23"/>
        <v>21794</v>
      </c>
      <c r="G102" s="526"/>
      <c r="H102" s="1608" t="s">
        <v>643</v>
      </c>
    </row>
    <row r="103" spans="1:8" s="514" customFormat="1" ht="60" x14ac:dyDescent="0.2">
      <c r="A103" s="1704"/>
      <c r="B103" s="1705"/>
      <c r="C103" s="416">
        <v>2261</v>
      </c>
      <c r="D103" s="527">
        <v>9140</v>
      </c>
      <c r="E103" s="423">
        <v>-3000</v>
      </c>
      <c r="F103" s="423">
        <f>D103+E103</f>
        <v>6140</v>
      </c>
      <c r="G103" s="492" t="s">
        <v>682</v>
      </c>
      <c r="H103" s="1608"/>
    </row>
    <row r="104" spans="1:8" s="514" customFormat="1" ht="60" x14ac:dyDescent="0.2">
      <c r="A104" s="1704"/>
      <c r="B104" s="1705"/>
      <c r="C104" s="529">
        <v>2262</v>
      </c>
      <c r="D104" s="530">
        <v>8200</v>
      </c>
      <c r="E104" s="385">
        <v>3186</v>
      </c>
      <c r="F104" s="385">
        <f>D104+E104</f>
        <v>11386</v>
      </c>
      <c r="G104" s="531" t="s">
        <v>623</v>
      </c>
      <c r="H104" s="1608"/>
    </row>
    <row r="105" spans="1:8" s="514" customFormat="1" x14ac:dyDescent="0.2">
      <c r="A105" s="1704"/>
      <c r="B105" s="1705"/>
      <c r="C105" s="529">
        <v>2279</v>
      </c>
      <c r="D105" s="530">
        <v>2220</v>
      </c>
      <c r="E105" s="385"/>
      <c r="F105" s="385">
        <f>D105+E105</f>
        <v>2220</v>
      </c>
      <c r="G105" s="531"/>
      <c r="H105" s="1608"/>
    </row>
    <row r="106" spans="1:8" s="514" customFormat="1" x14ac:dyDescent="0.2">
      <c r="A106" s="1704"/>
      <c r="B106" s="1705"/>
      <c r="C106" s="529">
        <v>2363</v>
      </c>
      <c r="D106" s="530">
        <v>2048</v>
      </c>
      <c r="E106" s="385"/>
      <c r="F106" s="385">
        <f>D106+E106</f>
        <v>2048</v>
      </c>
      <c r="G106" s="531"/>
      <c r="H106" s="1608"/>
    </row>
    <row r="107" spans="1:8" s="514" customFormat="1" x14ac:dyDescent="0.2">
      <c r="A107" s="1704">
        <v>5.2</v>
      </c>
      <c r="B107" s="1706" t="s">
        <v>683</v>
      </c>
      <c r="C107" s="529"/>
      <c r="D107" s="525">
        <f>SUM(D108:D113)</f>
        <v>51430</v>
      </c>
      <c r="E107" s="525">
        <f t="shared" ref="E107:F107" si="24">SUM(E108:E113)</f>
        <v>0</v>
      </c>
      <c r="F107" s="525">
        <f t="shared" si="24"/>
        <v>51430</v>
      </c>
      <c r="G107" s="526"/>
      <c r="H107" s="1703" t="s">
        <v>650</v>
      </c>
    </row>
    <row r="108" spans="1:8" s="514" customFormat="1" x14ac:dyDescent="0.2">
      <c r="A108" s="1704"/>
      <c r="B108" s="1706"/>
      <c r="C108" s="529">
        <v>2231</v>
      </c>
      <c r="D108" s="530">
        <v>400</v>
      </c>
      <c r="E108" s="525"/>
      <c r="F108" s="385">
        <f t="shared" ref="F108:F113" si="25">D108+E108</f>
        <v>400</v>
      </c>
      <c r="G108" s="526"/>
      <c r="H108" s="1703"/>
    </row>
    <row r="109" spans="1:8" s="514" customFormat="1" x14ac:dyDescent="0.2">
      <c r="A109" s="1704"/>
      <c r="B109" s="1706"/>
      <c r="C109" s="529">
        <v>2235</v>
      </c>
      <c r="D109" s="530">
        <v>1000</v>
      </c>
      <c r="E109" s="525"/>
      <c r="F109" s="385">
        <f t="shared" si="25"/>
        <v>1000</v>
      </c>
      <c r="G109" s="526"/>
      <c r="H109" s="1703"/>
    </row>
    <row r="110" spans="1:8" s="514" customFormat="1" x14ac:dyDescent="0.2">
      <c r="A110" s="1704"/>
      <c r="B110" s="1706"/>
      <c r="C110" s="529">
        <v>2314</v>
      </c>
      <c r="D110" s="530">
        <v>1400</v>
      </c>
      <c r="E110" s="525"/>
      <c r="F110" s="385">
        <f t="shared" si="25"/>
        <v>1400</v>
      </c>
      <c r="G110" s="526"/>
      <c r="H110" s="1703"/>
    </row>
    <row r="111" spans="1:8" s="514" customFormat="1" x14ac:dyDescent="0.2">
      <c r="A111" s="1704"/>
      <c r="B111" s="1706"/>
      <c r="C111" s="529">
        <v>2341</v>
      </c>
      <c r="D111" s="530">
        <v>100</v>
      </c>
      <c r="E111" s="524"/>
      <c r="F111" s="385">
        <f t="shared" si="25"/>
        <v>100</v>
      </c>
      <c r="G111" s="526"/>
      <c r="H111" s="1703"/>
    </row>
    <row r="112" spans="1:8" s="514" customFormat="1" x14ac:dyDescent="0.2">
      <c r="A112" s="1704"/>
      <c r="B112" s="1706"/>
      <c r="C112" s="529">
        <v>2361</v>
      </c>
      <c r="D112" s="530">
        <v>39800</v>
      </c>
      <c r="E112" s="534"/>
      <c r="F112" s="385">
        <f t="shared" si="25"/>
        <v>39800</v>
      </c>
      <c r="G112" s="531"/>
      <c r="H112" s="1703"/>
    </row>
    <row r="113" spans="1:8" s="514" customFormat="1" x14ac:dyDescent="0.2">
      <c r="A113" s="1704"/>
      <c r="B113" s="1706"/>
      <c r="C113" s="416">
        <v>2370</v>
      </c>
      <c r="D113" s="527">
        <v>8730</v>
      </c>
      <c r="E113" s="527"/>
      <c r="F113" s="423">
        <f t="shared" si="25"/>
        <v>8730</v>
      </c>
      <c r="G113" s="492"/>
      <c r="H113" s="1703"/>
    </row>
    <row r="114" spans="1:8" s="514" customFormat="1" x14ac:dyDescent="0.2">
      <c r="A114" s="547" t="s">
        <v>684</v>
      </c>
      <c r="B114" s="519" t="s">
        <v>652</v>
      </c>
      <c r="C114" s="541"/>
      <c r="D114" s="520">
        <f t="shared" ref="D114:F114" si="26">D115+D119</f>
        <v>7678</v>
      </c>
      <c r="E114" s="520">
        <f t="shared" si="26"/>
        <v>-2294</v>
      </c>
      <c r="F114" s="520">
        <f t="shared" si="26"/>
        <v>5384</v>
      </c>
      <c r="G114" s="516"/>
      <c r="H114" s="521"/>
    </row>
    <row r="115" spans="1:8" s="514" customFormat="1" x14ac:dyDescent="0.2">
      <c r="A115" s="1695" t="s">
        <v>685</v>
      </c>
      <c r="B115" s="1607" t="s">
        <v>686</v>
      </c>
      <c r="C115" s="541"/>
      <c r="D115" s="520">
        <f t="shared" ref="D115:F115" si="27">SUM(D116:D118)</f>
        <v>1760</v>
      </c>
      <c r="E115" s="520">
        <f t="shared" si="27"/>
        <v>-193</v>
      </c>
      <c r="F115" s="520">
        <f t="shared" si="27"/>
        <v>1567</v>
      </c>
      <c r="G115" s="516"/>
      <c r="H115" s="1717" t="s">
        <v>655</v>
      </c>
    </row>
    <row r="116" spans="1:8" s="514" customFormat="1" ht="24" x14ac:dyDescent="0.2">
      <c r="A116" s="1695"/>
      <c r="B116" s="1607"/>
      <c r="C116" s="548">
        <v>2262</v>
      </c>
      <c r="D116" s="549">
        <v>300</v>
      </c>
      <c r="E116" s="549">
        <v>-40</v>
      </c>
      <c r="F116" s="423">
        <f>D116+E116</f>
        <v>260</v>
      </c>
      <c r="G116" s="550" t="s">
        <v>687</v>
      </c>
      <c r="H116" s="1718"/>
    </row>
    <row r="117" spans="1:8" s="514" customFormat="1" x14ac:dyDescent="0.2">
      <c r="A117" s="1695"/>
      <c r="B117" s="1607"/>
      <c r="C117" s="541">
        <v>2341</v>
      </c>
      <c r="D117" s="551">
        <v>60</v>
      </c>
      <c r="E117" s="551"/>
      <c r="F117" s="385">
        <f>D117+E117</f>
        <v>60</v>
      </c>
      <c r="G117" s="516"/>
      <c r="H117" s="1718"/>
    </row>
    <row r="118" spans="1:8" s="514" customFormat="1" ht="24" x14ac:dyDescent="0.2">
      <c r="A118" s="1695"/>
      <c r="B118" s="1607"/>
      <c r="C118" s="548">
        <v>2363</v>
      </c>
      <c r="D118" s="549">
        <v>1400</v>
      </c>
      <c r="E118" s="549">
        <v>-153</v>
      </c>
      <c r="F118" s="423">
        <f>D118+E118</f>
        <v>1247</v>
      </c>
      <c r="G118" s="550" t="s">
        <v>688</v>
      </c>
      <c r="H118" s="1718"/>
    </row>
    <row r="119" spans="1:8" s="514" customFormat="1" ht="14.25" customHeight="1" x14ac:dyDescent="0.2">
      <c r="A119" s="1695" t="s">
        <v>689</v>
      </c>
      <c r="B119" s="1607" t="s">
        <v>657</v>
      </c>
      <c r="C119" s="529"/>
      <c r="D119" s="525">
        <f>SUM(D120:D123)</f>
        <v>5918</v>
      </c>
      <c r="E119" s="525">
        <f t="shared" ref="E119:F119" si="28">SUM(E120:E123)</f>
        <v>-2101</v>
      </c>
      <c r="F119" s="525">
        <f t="shared" si="28"/>
        <v>3817</v>
      </c>
      <c r="G119" s="526"/>
      <c r="H119" s="1691" t="s">
        <v>655</v>
      </c>
    </row>
    <row r="120" spans="1:8" s="514" customFormat="1" ht="48" x14ac:dyDescent="0.2">
      <c r="A120" s="1695"/>
      <c r="B120" s="1607"/>
      <c r="C120" s="416">
        <v>2111</v>
      </c>
      <c r="D120" s="527">
        <v>168</v>
      </c>
      <c r="E120" s="527">
        <v>-168</v>
      </c>
      <c r="F120" s="423">
        <f>D120+E120</f>
        <v>0</v>
      </c>
      <c r="G120" s="492" t="s">
        <v>690</v>
      </c>
      <c r="H120" s="1692"/>
    </row>
    <row r="121" spans="1:8" s="514" customFormat="1" ht="24" x14ac:dyDescent="0.2">
      <c r="A121" s="1695"/>
      <c r="B121" s="1607"/>
      <c r="C121" s="416">
        <v>2261</v>
      </c>
      <c r="D121" s="527">
        <v>2800</v>
      </c>
      <c r="E121" s="527">
        <v>-1372</v>
      </c>
      <c r="F121" s="423">
        <f>D121+E121</f>
        <v>1428</v>
      </c>
      <c r="G121" s="492" t="s">
        <v>691</v>
      </c>
      <c r="H121" s="1692"/>
    </row>
    <row r="122" spans="1:8" s="514" customFormat="1" x14ac:dyDescent="0.2">
      <c r="A122" s="1695"/>
      <c r="B122" s="1607"/>
      <c r="C122" s="416">
        <v>2262</v>
      </c>
      <c r="D122" s="527">
        <v>500</v>
      </c>
      <c r="E122" s="552"/>
      <c r="F122" s="423">
        <f>D122+E122</f>
        <v>500</v>
      </c>
      <c r="G122" s="553"/>
      <c r="H122" s="1692"/>
    </row>
    <row r="123" spans="1:8" s="514" customFormat="1" ht="24" x14ac:dyDescent="0.2">
      <c r="A123" s="1695"/>
      <c r="B123" s="1607"/>
      <c r="C123" s="416">
        <v>2363</v>
      </c>
      <c r="D123" s="527">
        <v>2450</v>
      </c>
      <c r="E123" s="527">
        <v>-561</v>
      </c>
      <c r="F123" s="423">
        <f>D123+E123</f>
        <v>1889</v>
      </c>
      <c r="G123" s="492" t="s">
        <v>691</v>
      </c>
      <c r="H123" s="1693"/>
    </row>
    <row r="124" spans="1:8" s="514" customFormat="1" ht="12" customHeight="1" x14ac:dyDescent="0.2">
      <c r="A124" s="518">
        <v>6</v>
      </c>
      <c r="B124" s="544" t="s">
        <v>692</v>
      </c>
      <c r="C124" s="541"/>
      <c r="D124" s="520">
        <f>D125+D130+D134+D136</f>
        <v>6235</v>
      </c>
      <c r="E124" s="520">
        <f t="shared" ref="E124:F124" si="29">E125+E130+E134+E136</f>
        <v>-87</v>
      </c>
      <c r="F124" s="520">
        <f t="shared" si="29"/>
        <v>6148</v>
      </c>
      <c r="G124" s="516"/>
      <c r="H124" s="521"/>
    </row>
    <row r="125" spans="1:8" s="514" customFormat="1" x14ac:dyDescent="0.2">
      <c r="A125" s="1704">
        <v>6.1</v>
      </c>
      <c r="B125" s="1705" t="s">
        <v>665</v>
      </c>
      <c r="C125" s="529"/>
      <c r="D125" s="525">
        <f>SUM(D126:D129)</f>
        <v>3305</v>
      </c>
      <c r="E125" s="525">
        <f t="shared" ref="E125:F125" si="30">SUM(E126:E129)</f>
        <v>0</v>
      </c>
      <c r="F125" s="525">
        <f t="shared" si="30"/>
        <v>3305</v>
      </c>
      <c r="G125" s="526"/>
      <c r="H125" s="1608" t="s">
        <v>643</v>
      </c>
    </row>
    <row r="126" spans="1:8" s="514" customFormat="1" x14ac:dyDescent="0.2">
      <c r="A126" s="1704"/>
      <c r="B126" s="1705"/>
      <c r="C126" s="529">
        <v>2261</v>
      </c>
      <c r="D126" s="530">
        <v>480</v>
      </c>
      <c r="E126" s="385"/>
      <c r="F126" s="385">
        <f>D126+E126</f>
        <v>480</v>
      </c>
      <c r="G126" s="531"/>
      <c r="H126" s="1608"/>
    </row>
    <row r="127" spans="1:8" s="514" customFormat="1" x14ac:dyDescent="0.2">
      <c r="A127" s="1704"/>
      <c r="B127" s="1705"/>
      <c r="C127" s="416">
        <v>2262</v>
      </c>
      <c r="D127" s="527">
        <v>2000</v>
      </c>
      <c r="E127" s="423"/>
      <c r="F127" s="423">
        <f>D127+E127</f>
        <v>2000</v>
      </c>
      <c r="G127" s="492"/>
      <c r="H127" s="1608"/>
    </row>
    <row r="128" spans="1:8" s="514" customFormat="1" ht="23.25" customHeight="1" x14ac:dyDescent="0.2">
      <c r="A128" s="1704"/>
      <c r="B128" s="1705"/>
      <c r="C128" s="529">
        <v>2279</v>
      </c>
      <c r="D128" s="530">
        <v>300</v>
      </c>
      <c r="E128" s="385"/>
      <c r="F128" s="385">
        <f>D128+E128</f>
        <v>300</v>
      </c>
      <c r="G128" s="531"/>
      <c r="H128" s="1608"/>
    </row>
    <row r="129" spans="1:8" s="514" customFormat="1" ht="12.75" customHeight="1" x14ac:dyDescent="0.2">
      <c r="A129" s="1704"/>
      <c r="B129" s="1705"/>
      <c r="C129" s="416">
        <v>2363</v>
      </c>
      <c r="D129" s="527">
        <v>525</v>
      </c>
      <c r="E129" s="423"/>
      <c r="F129" s="423">
        <f>D129+E129</f>
        <v>525</v>
      </c>
      <c r="G129" s="492"/>
      <c r="H129" s="1608"/>
    </row>
    <row r="130" spans="1:8" s="514" customFormat="1" ht="12.75" customHeight="1" x14ac:dyDescent="0.2">
      <c r="A130" s="1704">
        <v>6.2</v>
      </c>
      <c r="B130" s="1706" t="s">
        <v>693</v>
      </c>
      <c r="C130" s="529"/>
      <c r="D130" s="525">
        <f>SUM(D131:D133)</f>
        <v>555</v>
      </c>
      <c r="E130" s="525">
        <f t="shared" ref="E130:F130" si="31">SUM(E131:E133)</f>
        <v>0</v>
      </c>
      <c r="F130" s="525">
        <f t="shared" si="31"/>
        <v>555</v>
      </c>
      <c r="G130" s="526"/>
      <c r="H130" s="1703" t="s">
        <v>650</v>
      </c>
    </row>
    <row r="131" spans="1:8" s="514" customFormat="1" x14ac:dyDescent="0.2">
      <c r="A131" s="1704"/>
      <c r="B131" s="1706"/>
      <c r="C131" s="529">
        <v>2341</v>
      </c>
      <c r="D131" s="530">
        <v>25</v>
      </c>
      <c r="E131" s="524"/>
      <c r="F131" s="385">
        <f>D131+E131</f>
        <v>25</v>
      </c>
      <c r="G131" s="526"/>
      <c r="H131" s="1703"/>
    </row>
    <row r="132" spans="1:8" s="514" customFormat="1" x14ac:dyDescent="0.2">
      <c r="A132" s="1704"/>
      <c r="B132" s="1706"/>
      <c r="C132" s="529">
        <v>2361</v>
      </c>
      <c r="D132" s="530">
        <v>400</v>
      </c>
      <c r="E132" s="524"/>
      <c r="F132" s="385">
        <f>D132+E132</f>
        <v>400</v>
      </c>
      <c r="G132" s="526"/>
      <c r="H132" s="1703"/>
    </row>
    <row r="133" spans="1:8" s="514" customFormat="1" x14ac:dyDescent="0.2">
      <c r="A133" s="1704"/>
      <c r="B133" s="1706"/>
      <c r="C133" s="529">
        <v>2370</v>
      </c>
      <c r="D133" s="530">
        <v>130</v>
      </c>
      <c r="E133" s="534"/>
      <c r="F133" s="385">
        <f>D133+E133</f>
        <v>130</v>
      </c>
      <c r="G133" s="531"/>
      <c r="H133" s="1703"/>
    </row>
    <row r="134" spans="1:8" s="514" customFormat="1" x14ac:dyDescent="0.2">
      <c r="A134" s="536" t="s">
        <v>694</v>
      </c>
      <c r="B134" s="554" t="s">
        <v>652</v>
      </c>
      <c r="C134" s="534"/>
      <c r="D134" s="525">
        <f>D135</f>
        <v>350</v>
      </c>
      <c r="E134" s="525">
        <f t="shared" ref="E134" si="32">E135</f>
        <v>-87</v>
      </c>
      <c r="F134" s="525">
        <f>F135+E135</f>
        <v>263</v>
      </c>
      <c r="G134" s="526"/>
      <c r="H134" s="555"/>
    </row>
    <row r="135" spans="1:8" s="514" customFormat="1" ht="24" x14ac:dyDescent="0.2">
      <c r="A135" s="556" t="s">
        <v>695</v>
      </c>
      <c r="B135" s="557" t="s">
        <v>654</v>
      </c>
      <c r="C135" s="416">
        <v>2363</v>
      </c>
      <c r="D135" s="527">
        <v>350</v>
      </c>
      <c r="E135" s="527">
        <v>-87</v>
      </c>
      <c r="F135" s="423">
        <f>D135</f>
        <v>350</v>
      </c>
      <c r="G135" s="550" t="s">
        <v>688</v>
      </c>
      <c r="H135" s="555" t="s">
        <v>655</v>
      </c>
    </row>
    <row r="136" spans="1:8" s="514" customFormat="1" ht="15.75" customHeight="1" x14ac:dyDescent="0.2">
      <c r="A136" s="1723">
        <v>6.4</v>
      </c>
      <c r="B136" s="1725" t="s">
        <v>696</v>
      </c>
      <c r="C136" s="529"/>
      <c r="D136" s="525">
        <f>SUM(D137:D140)</f>
        <v>2025</v>
      </c>
      <c r="E136" s="385"/>
      <c r="F136" s="524">
        <f>SUM(F137:F140)</f>
        <v>2025</v>
      </c>
      <c r="G136" s="531"/>
      <c r="H136" s="1727" t="s">
        <v>646</v>
      </c>
    </row>
    <row r="137" spans="1:8" s="514" customFormat="1" ht="15.75" customHeight="1" x14ac:dyDescent="0.2">
      <c r="A137" s="1724"/>
      <c r="B137" s="1726"/>
      <c r="C137" s="529">
        <v>2121</v>
      </c>
      <c r="D137" s="530">
        <v>116</v>
      </c>
      <c r="E137" s="385"/>
      <c r="F137" s="385">
        <f>D137+E137</f>
        <v>116</v>
      </c>
      <c r="G137" s="531"/>
      <c r="H137" s="1728"/>
    </row>
    <row r="138" spans="1:8" s="514" customFormat="1" ht="15.75" customHeight="1" x14ac:dyDescent="0.2">
      <c r="A138" s="1724"/>
      <c r="B138" s="1726"/>
      <c r="C138" s="529">
        <v>2122</v>
      </c>
      <c r="D138" s="530">
        <v>49</v>
      </c>
      <c r="E138" s="385"/>
      <c r="F138" s="385">
        <f>D138+E138</f>
        <v>49</v>
      </c>
      <c r="G138" s="531"/>
      <c r="H138" s="1728"/>
    </row>
    <row r="139" spans="1:8" s="514" customFormat="1" ht="15.75" customHeight="1" x14ac:dyDescent="0.2">
      <c r="A139" s="1724"/>
      <c r="B139" s="1726"/>
      <c r="C139" s="529">
        <v>2262</v>
      </c>
      <c r="D139" s="530">
        <v>860</v>
      </c>
      <c r="E139" s="385"/>
      <c r="F139" s="385">
        <f>D139+E139</f>
        <v>860</v>
      </c>
      <c r="G139" s="531"/>
      <c r="H139" s="1728"/>
    </row>
    <row r="140" spans="1:8" s="514" customFormat="1" ht="15.75" customHeight="1" x14ac:dyDescent="0.2">
      <c r="A140" s="1724"/>
      <c r="B140" s="1726"/>
      <c r="C140" s="529">
        <v>2279</v>
      </c>
      <c r="D140" s="530">
        <v>1000</v>
      </c>
      <c r="E140" s="385"/>
      <c r="F140" s="385">
        <f>D140+E140</f>
        <v>1000</v>
      </c>
      <c r="G140" s="531"/>
      <c r="H140" s="1728"/>
    </row>
    <row r="141" spans="1:8" s="514" customFormat="1" ht="12.75" customHeight="1" x14ac:dyDescent="0.2">
      <c r="A141" s="543">
        <v>7</v>
      </c>
      <c r="B141" s="544" t="s">
        <v>697</v>
      </c>
      <c r="C141" s="541"/>
      <c r="D141" s="520">
        <f t="shared" ref="D141:F141" si="33">D142+D146+D150</f>
        <v>13089</v>
      </c>
      <c r="E141" s="520">
        <f t="shared" si="33"/>
        <v>-1023</v>
      </c>
      <c r="F141" s="520">
        <f t="shared" si="33"/>
        <v>12066</v>
      </c>
      <c r="G141" s="516"/>
      <c r="H141" s="521"/>
    </row>
    <row r="142" spans="1:8" s="514" customFormat="1" x14ac:dyDescent="0.2">
      <c r="A142" s="1704">
        <v>7.1</v>
      </c>
      <c r="B142" s="1705" t="s">
        <v>665</v>
      </c>
      <c r="C142" s="529"/>
      <c r="D142" s="525">
        <f>SUM(D143:D145)</f>
        <v>6270</v>
      </c>
      <c r="E142" s="525">
        <f t="shared" ref="E142:F142" si="34">SUM(E143:E145)</f>
        <v>-150</v>
      </c>
      <c r="F142" s="525">
        <f t="shared" si="34"/>
        <v>6120</v>
      </c>
      <c r="G142" s="526"/>
      <c r="H142" s="1608" t="s">
        <v>643</v>
      </c>
    </row>
    <row r="143" spans="1:8" s="514" customFormat="1" ht="48" x14ac:dyDescent="0.2">
      <c r="A143" s="1704"/>
      <c r="B143" s="1705"/>
      <c r="C143" s="529">
        <v>2262</v>
      </c>
      <c r="D143" s="530">
        <v>4080</v>
      </c>
      <c r="E143" s="385">
        <v>250</v>
      </c>
      <c r="F143" s="385">
        <f>D143+E143</f>
        <v>4330</v>
      </c>
      <c r="G143" s="531" t="s">
        <v>698</v>
      </c>
      <c r="H143" s="1608"/>
    </row>
    <row r="144" spans="1:8" s="514" customFormat="1" x14ac:dyDescent="0.2">
      <c r="A144" s="1704"/>
      <c r="B144" s="1705"/>
      <c r="C144" s="529">
        <v>2279</v>
      </c>
      <c r="D144" s="530">
        <v>1000</v>
      </c>
      <c r="E144" s="385"/>
      <c r="F144" s="385">
        <f>D144+E144</f>
        <v>1000</v>
      </c>
      <c r="G144" s="531"/>
      <c r="H144" s="1608"/>
    </row>
    <row r="145" spans="1:8" s="514" customFormat="1" ht="24" x14ac:dyDescent="0.2">
      <c r="A145" s="1704"/>
      <c r="B145" s="1705"/>
      <c r="C145" s="529">
        <v>2363</v>
      </c>
      <c r="D145" s="530">
        <v>1190</v>
      </c>
      <c r="E145" s="385">
        <v>-400</v>
      </c>
      <c r="F145" s="385">
        <f>D145+E145</f>
        <v>790</v>
      </c>
      <c r="G145" s="531" t="s">
        <v>699</v>
      </c>
      <c r="H145" s="1608"/>
    </row>
    <row r="146" spans="1:8" s="514" customFormat="1" ht="21" customHeight="1" x14ac:dyDescent="0.2">
      <c r="A146" s="1704">
        <v>7.2</v>
      </c>
      <c r="B146" s="1706" t="s">
        <v>700</v>
      </c>
      <c r="C146" s="529"/>
      <c r="D146" s="525">
        <f>SUM(D147:D149)</f>
        <v>700</v>
      </c>
      <c r="E146" s="525">
        <f t="shared" ref="E146:F146" si="35">SUM(E147:E149)</f>
        <v>0</v>
      </c>
      <c r="F146" s="525">
        <f t="shared" si="35"/>
        <v>700</v>
      </c>
      <c r="G146" s="526"/>
      <c r="H146" s="1703" t="s">
        <v>650</v>
      </c>
    </row>
    <row r="147" spans="1:8" s="514" customFormat="1" x14ac:dyDescent="0.2">
      <c r="A147" s="1704"/>
      <c r="B147" s="1706"/>
      <c r="C147" s="529">
        <v>2341</v>
      </c>
      <c r="D147" s="530">
        <v>50</v>
      </c>
      <c r="E147" s="524"/>
      <c r="F147" s="385">
        <f>D147+E147</f>
        <v>50</v>
      </c>
      <c r="G147" s="526"/>
      <c r="H147" s="1703"/>
    </row>
    <row r="148" spans="1:8" s="514" customFormat="1" x14ac:dyDescent="0.2">
      <c r="A148" s="1704"/>
      <c r="B148" s="1706"/>
      <c r="C148" s="529">
        <v>2361</v>
      </c>
      <c r="D148" s="530">
        <v>500</v>
      </c>
      <c r="E148" s="534"/>
      <c r="F148" s="385">
        <f>D148+E148</f>
        <v>500</v>
      </c>
      <c r="G148" s="531"/>
      <c r="H148" s="1703"/>
    </row>
    <row r="149" spans="1:8" s="514" customFormat="1" x14ac:dyDescent="0.2">
      <c r="A149" s="1704"/>
      <c r="B149" s="1706"/>
      <c r="C149" s="416">
        <v>2370</v>
      </c>
      <c r="D149" s="527">
        <v>150</v>
      </c>
      <c r="E149" s="527"/>
      <c r="F149" s="423">
        <f>D149+E149</f>
        <v>150</v>
      </c>
      <c r="G149" s="492"/>
      <c r="H149" s="1703"/>
    </row>
    <row r="150" spans="1:8" s="514" customFormat="1" x14ac:dyDescent="0.2">
      <c r="A150" s="536" t="s">
        <v>701</v>
      </c>
      <c r="B150" s="554" t="s">
        <v>652</v>
      </c>
      <c r="C150" s="534"/>
      <c r="D150" s="525">
        <f>D151+D153</f>
        <v>6119</v>
      </c>
      <c r="E150" s="525">
        <f t="shared" ref="E150:F150" si="36">E151+E153</f>
        <v>-873</v>
      </c>
      <c r="F150" s="525">
        <f t="shared" si="36"/>
        <v>5246</v>
      </c>
      <c r="G150" s="526"/>
      <c r="H150" s="521"/>
    </row>
    <row r="151" spans="1:8" s="514" customFormat="1" x14ac:dyDescent="0.2">
      <c r="A151" s="1695" t="s">
        <v>702</v>
      </c>
      <c r="B151" s="1721" t="s">
        <v>654</v>
      </c>
      <c r="C151" s="529"/>
      <c r="D151" s="525">
        <f>SUM(D152:D152)</f>
        <v>525</v>
      </c>
      <c r="E151" s="525">
        <f t="shared" ref="E151:F151" si="37">SUM(E152:E152)</f>
        <v>-17</v>
      </c>
      <c r="F151" s="525">
        <f t="shared" si="37"/>
        <v>508</v>
      </c>
      <c r="G151" s="526"/>
      <c r="H151" s="1707" t="s">
        <v>655</v>
      </c>
    </row>
    <row r="152" spans="1:8" s="514" customFormat="1" ht="24" x14ac:dyDescent="0.2">
      <c r="A152" s="1695"/>
      <c r="B152" s="1721"/>
      <c r="C152" s="416">
        <v>2363</v>
      </c>
      <c r="D152" s="527">
        <v>525</v>
      </c>
      <c r="E152" s="527">
        <v>-17</v>
      </c>
      <c r="F152" s="423">
        <f>D152+E152</f>
        <v>508</v>
      </c>
      <c r="G152" s="550" t="s">
        <v>688</v>
      </c>
      <c r="H152" s="1708"/>
    </row>
    <row r="153" spans="1:8" s="514" customFormat="1" x14ac:dyDescent="0.2">
      <c r="A153" s="1722" t="s">
        <v>703</v>
      </c>
      <c r="B153" s="1607" t="s">
        <v>657</v>
      </c>
      <c r="C153" s="529"/>
      <c r="D153" s="525">
        <f>SUM(D154:D158)</f>
        <v>5594</v>
      </c>
      <c r="E153" s="525">
        <f t="shared" ref="E153:F153" si="38">SUM(E154:E158)</f>
        <v>-856</v>
      </c>
      <c r="F153" s="525">
        <f t="shared" si="38"/>
        <v>4738</v>
      </c>
      <c r="G153" s="526"/>
      <c r="H153" s="1707" t="s">
        <v>655</v>
      </c>
    </row>
    <row r="154" spans="1:8" s="514" customFormat="1" ht="24" x14ac:dyDescent="0.2">
      <c r="A154" s="1722"/>
      <c r="B154" s="1607"/>
      <c r="C154" s="416">
        <v>2111</v>
      </c>
      <c r="D154" s="527">
        <v>84</v>
      </c>
      <c r="E154" s="423">
        <v>-12</v>
      </c>
      <c r="F154" s="423">
        <f>D154+E154</f>
        <v>72</v>
      </c>
      <c r="G154" s="492" t="s">
        <v>704</v>
      </c>
      <c r="H154" s="1708"/>
    </row>
    <row r="155" spans="1:8" s="514" customFormat="1" ht="24" x14ac:dyDescent="0.2">
      <c r="A155" s="1722"/>
      <c r="B155" s="1607"/>
      <c r="C155" s="416">
        <v>2261</v>
      </c>
      <c r="D155" s="527">
        <v>3640</v>
      </c>
      <c r="E155" s="423">
        <v>-450</v>
      </c>
      <c r="F155" s="423">
        <f>D155+E155</f>
        <v>3190</v>
      </c>
      <c r="G155" s="492" t="s">
        <v>704</v>
      </c>
      <c r="H155" s="1708"/>
    </row>
    <row r="156" spans="1:8" s="514" customFormat="1" x14ac:dyDescent="0.2">
      <c r="A156" s="1722"/>
      <c r="B156" s="1607"/>
      <c r="C156" s="529">
        <v>2262</v>
      </c>
      <c r="D156" s="530">
        <v>350</v>
      </c>
      <c r="E156" s="385"/>
      <c r="F156" s="385">
        <f>D156+E156</f>
        <v>350</v>
      </c>
      <c r="G156" s="531"/>
      <c r="H156" s="1708"/>
    </row>
    <row r="157" spans="1:8" s="514" customFormat="1" x14ac:dyDescent="0.2">
      <c r="A157" s="1722"/>
      <c r="B157" s="1607"/>
      <c r="C157" s="529">
        <v>2341</v>
      </c>
      <c r="D157" s="530">
        <v>50</v>
      </c>
      <c r="E157" s="385"/>
      <c r="F157" s="385">
        <f>D157+E157</f>
        <v>50</v>
      </c>
      <c r="G157" s="531"/>
      <c r="H157" s="1708"/>
    </row>
    <row r="158" spans="1:8" s="514" customFormat="1" ht="24" x14ac:dyDescent="0.2">
      <c r="A158" s="1722"/>
      <c r="B158" s="1607"/>
      <c r="C158" s="416">
        <v>2363</v>
      </c>
      <c r="D158" s="527">
        <v>1470</v>
      </c>
      <c r="E158" s="423">
        <v>-394</v>
      </c>
      <c r="F158" s="423">
        <f>D158+E158</f>
        <v>1076</v>
      </c>
      <c r="G158" s="492" t="s">
        <v>704</v>
      </c>
      <c r="H158" s="1709"/>
    </row>
    <row r="159" spans="1:8" s="514" customFormat="1" x14ac:dyDescent="0.2">
      <c r="A159" s="543">
        <v>8</v>
      </c>
      <c r="B159" s="544" t="s">
        <v>705</v>
      </c>
      <c r="C159" s="541"/>
      <c r="D159" s="520">
        <f>D160+D165+D169</f>
        <v>16760</v>
      </c>
      <c r="E159" s="520">
        <f t="shared" ref="E159:F159" si="39">E160+E165+E169</f>
        <v>-439</v>
      </c>
      <c r="F159" s="520">
        <f t="shared" si="39"/>
        <v>16321</v>
      </c>
      <c r="G159" s="516"/>
      <c r="H159" s="521"/>
    </row>
    <row r="160" spans="1:8" s="514" customFormat="1" ht="12" customHeight="1" x14ac:dyDescent="0.2">
      <c r="A160" s="1704">
        <v>8.1</v>
      </c>
      <c r="B160" s="1705" t="s">
        <v>665</v>
      </c>
      <c r="C160" s="534"/>
      <c r="D160" s="525">
        <f>SUM(D161:D164)</f>
        <v>6260</v>
      </c>
      <c r="E160" s="525">
        <f t="shared" ref="E160:F160" si="40">SUM(E161:E164)</f>
        <v>581</v>
      </c>
      <c r="F160" s="525">
        <f t="shared" si="40"/>
        <v>6841</v>
      </c>
      <c r="G160" s="526"/>
      <c r="H160" s="1608" t="s">
        <v>643</v>
      </c>
    </row>
    <row r="161" spans="1:8" s="514" customFormat="1" x14ac:dyDescent="0.2">
      <c r="A161" s="1704"/>
      <c r="B161" s="1705"/>
      <c r="C161" s="416">
        <v>2261</v>
      </c>
      <c r="D161" s="527">
        <v>1440</v>
      </c>
      <c r="E161" s="423"/>
      <c r="F161" s="423">
        <f>D161+E161</f>
        <v>1440</v>
      </c>
      <c r="G161" s="492"/>
      <c r="H161" s="1608"/>
    </row>
    <row r="162" spans="1:8" s="514" customFormat="1" ht="60" x14ac:dyDescent="0.2">
      <c r="A162" s="1704"/>
      <c r="B162" s="1705"/>
      <c r="C162" s="529">
        <v>2262</v>
      </c>
      <c r="D162" s="530">
        <v>1280</v>
      </c>
      <c r="E162" s="385">
        <v>581</v>
      </c>
      <c r="F162" s="385">
        <f>D162+E162</f>
        <v>1861</v>
      </c>
      <c r="G162" s="531" t="s">
        <v>623</v>
      </c>
      <c r="H162" s="1608"/>
    </row>
    <row r="163" spans="1:8" s="514" customFormat="1" ht="13.5" customHeight="1" x14ac:dyDescent="0.2">
      <c r="A163" s="1704"/>
      <c r="B163" s="1705"/>
      <c r="C163" s="529">
        <v>2279</v>
      </c>
      <c r="D163" s="530">
        <v>2000</v>
      </c>
      <c r="E163" s="385"/>
      <c r="F163" s="385">
        <f>D163+E163</f>
        <v>2000</v>
      </c>
      <c r="G163" s="531"/>
      <c r="H163" s="1608"/>
    </row>
    <row r="164" spans="1:8" s="514" customFormat="1" x14ac:dyDescent="0.2">
      <c r="A164" s="1704"/>
      <c r="B164" s="1705"/>
      <c r="C164" s="416">
        <v>2363</v>
      </c>
      <c r="D164" s="527">
        <v>1540</v>
      </c>
      <c r="E164" s="423"/>
      <c r="F164" s="423">
        <f>D164+E164</f>
        <v>1540</v>
      </c>
      <c r="G164" s="492"/>
      <c r="H164" s="1608"/>
    </row>
    <row r="165" spans="1:8" s="514" customFormat="1" x14ac:dyDescent="0.2">
      <c r="A165" s="1704">
        <v>8.1999999999999993</v>
      </c>
      <c r="B165" s="1706" t="s">
        <v>706</v>
      </c>
      <c r="C165" s="529"/>
      <c r="D165" s="525">
        <f>SUM(D166:D168)</f>
        <v>2570</v>
      </c>
      <c r="E165" s="525">
        <f t="shared" ref="E165:F165" si="41">SUM(E166:E168)</f>
        <v>1260</v>
      </c>
      <c r="F165" s="525">
        <f t="shared" si="41"/>
        <v>3830</v>
      </c>
      <c r="G165" s="526"/>
      <c r="H165" s="1703" t="s">
        <v>650</v>
      </c>
    </row>
    <row r="166" spans="1:8" s="514" customFormat="1" x14ac:dyDescent="0.2">
      <c r="A166" s="1704"/>
      <c r="B166" s="1706"/>
      <c r="C166" s="529">
        <v>2341</v>
      </c>
      <c r="D166" s="530">
        <v>50</v>
      </c>
      <c r="E166" s="524"/>
      <c r="F166" s="385">
        <f>D166+E166</f>
        <v>50</v>
      </c>
      <c r="G166" s="526"/>
      <c r="H166" s="1703"/>
    </row>
    <row r="167" spans="1:8" s="514" customFormat="1" ht="24" x14ac:dyDescent="0.2">
      <c r="A167" s="1704"/>
      <c r="B167" s="1706"/>
      <c r="C167" s="529">
        <v>2361</v>
      </c>
      <c r="D167" s="530">
        <v>1050</v>
      </c>
      <c r="E167" s="530">
        <v>1260</v>
      </c>
      <c r="F167" s="385">
        <f>D167+E167</f>
        <v>2310</v>
      </c>
      <c r="G167" s="531" t="s">
        <v>707</v>
      </c>
      <c r="H167" s="1703"/>
    </row>
    <row r="168" spans="1:8" s="514" customFormat="1" x14ac:dyDescent="0.2">
      <c r="A168" s="1704"/>
      <c r="B168" s="1706"/>
      <c r="C168" s="529">
        <v>2370</v>
      </c>
      <c r="D168" s="530">
        <v>1470</v>
      </c>
      <c r="E168" s="534"/>
      <c r="F168" s="385">
        <f>D168+E168</f>
        <v>1470</v>
      </c>
      <c r="G168" s="531"/>
      <c r="H168" s="1703"/>
    </row>
    <row r="169" spans="1:8" s="514" customFormat="1" x14ac:dyDescent="0.2">
      <c r="A169" s="536" t="s">
        <v>708</v>
      </c>
      <c r="B169" s="554" t="s">
        <v>652</v>
      </c>
      <c r="C169" s="558"/>
      <c r="D169" s="520">
        <f>D170+D173</f>
        <v>7930</v>
      </c>
      <c r="E169" s="520">
        <f t="shared" ref="E169:F169" si="42">E170+E173</f>
        <v>-2280</v>
      </c>
      <c r="F169" s="520">
        <f t="shared" si="42"/>
        <v>5650</v>
      </c>
      <c r="G169" s="516"/>
      <c r="H169" s="521"/>
    </row>
    <row r="170" spans="1:8" s="514" customFormat="1" ht="12" customHeight="1" x14ac:dyDescent="0.2">
      <c r="A170" s="1695" t="s">
        <v>709</v>
      </c>
      <c r="B170" s="1607" t="s">
        <v>654</v>
      </c>
      <c r="C170" s="541"/>
      <c r="D170" s="520">
        <f>SUM(D171:D172)</f>
        <v>2850</v>
      </c>
      <c r="E170" s="520">
        <f t="shared" ref="E170:F170" si="43">SUM(E171:E172)</f>
        <v>0</v>
      </c>
      <c r="F170" s="520">
        <f t="shared" si="43"/>
        <v>2850</v>
      </c>
      <c r="G170" s="516"/>
      <c r="H170" s="1717" t="s">
        <v>655</v>
      </c>
    </row>
    <row r="171" spans="1:8" s="514" customFormat="1" x14ac:dyDescent="0.2">
      <c r="A171" s="1695"/>
      <c r="B171" s="1607"/>
      <c r="C171" s="548">
        <v>2341</v>
      </c>
      <c r="D171" s="549">
        <v>50</v>
      </c>
      <c r="E171" s="549"/>
      <c r="F171" s="423">
        <f>D171+E171</f>
        <v>50</v>
      </c>
      <c r="G171" s="550"/>
      <c r="H171" s="1718"/>
    </row>
    <row r="172" spans="1:8" s="514" customFormat="1" x14ac:dyDescent="0.2">
      <c r="A172" s="1695"/>
      <c r="B172" s="1607"/>
      <c r="C172" s="541">
        <v>2363</v>
      </c>
      <c r="D172" s="551">
        <v>2800</v>
      </c>
      <c r="E172" s="551"/>
      <c r="F172" s="385">
        <f>D172+E172</f>
        <v>2800</v>
      </c>
      <c r="G172" s="559"/>
      <c r="H172" s="1719"/>
    </row>
    <row r="173" spans="1:8" s="514" customFormat="1" x14ac:dyDescent="0.2">
      <c r="A173" s="1696" t="s">
        <v>710</v>
      </c>
      <c r="B173" s="1607" t="s">
        <v>657</v>
      </c>
      <c r="C173" s="541"/>
      <c r="D173" s="520">
        <f t="shared" ref="D173:F173" si="44">SUM(D174:D177)</f>
        <v>5080</v>
      </c>
      <c r="E173" s="520">
        <f t="shared" si="44"/>
        <v>-2280</v>
      </c>
      <c r="F173" s="520">
        <f t="shared" si="44"/>
        <v>2800</v>
      </c>
      <c r="G173" s="516"/>
      <c r="H173" s="1717" t="s">
        <v>655</v>
      </c>
    </row>
    <row r="174" spans="1:8" s="514" customFormat="1" ht="36" x14ac:dyDescent="0.2">
      <c r="A174" s="1720"/>
      <c r="B174" s="1607"/>
      <c r="C174" s="548">
        <v>2111</v>
      </c>
      <c r="D174" s="549">
        <v>180</v>
      </c>
      <c r="E174" s="549">
        <v>-180</v>
      </c>
      <c r="F174" s="423">
        <f>D174+E174</f>
        <v>0</v>
      </c>
      <c r="G174" s="550" t="s">
        <v>711</v>
      </c>
      <c r="H174" s="1718"/>
    </row>
    <row r="175" spans="1:8" s="514" customFormat="1" ht="36" x14ac:dyDescent="0.2">
      <c r="A175" s="1720"/>
      <c r="B175" s="1607"/>
      <c r="C175" s="541">
        <v>2261</v>
      </c>
      <c r="D175" s="551">
        <v>2400</v>
      </c>
      <c r="E175" s="551">
        <v>-2100</v>
      </c>
      <c r="F175" s="385">
        <f>D175+E175</f>
        <v>300</v>
      </c>
      <c r="G175" s="550" t="s">
        <v>712</v>
      </c>
      <c r="H175" s="1718"/>
    </row>
    <row r="176" spans="1:8" s="514" customFormat="1" x14ac:dyDescent="0.2">
      <c r="A176" s="1720"/>
      <c r="B176" s="1607"/>
      <c r="C176" s="541">
        <v>2262</v>
      </c>
      <c r="D176" s="551">
        <v>400</v>
      </c>
      <c r="E176" s="551"/>
      <c r="F176" s="385">
        <f>D176+E176</f>
        <v>400</v>
      </c>
      <c r="G176" s="559"/>
      <c r="H176" s="1718"/>
    </row>
    <row r="177" spans="1:8" s="514" customFormat="1" x14ac:dyDescent="0.2">
      <c r="A177" s="1720"/>
      <c r="B177" s="1607"/>
      <c r="C177" s="548">
        <v>2363</v>
      </c>
      <c r="D177" s="549">
        <v>2100</v>
      </c>
      <c r="E177" s="549"/>
      <c r="F177" s="423">
        <f>D177+E177</f>
        <v>2100</v>
      </c>
      <c r="G177" s="550"/>
      <c r="H177" s="1718"/>
    </row>
    <row r="178" spans="1:8" s="514" customFormat="1" x14ac:dyDescent="0.2">
      <c r="A178" s="543">
        <v>9</v>
      </c>
      <c r="B178" s="544" t="s">
        <v>713</v>
      </c>
      <c r="C178" s="520"/>
      <c r="D178" s="520">
        <f>D179+D184+D188</f>
        <v>28018</v>
      </c>
      <c r="E178" s="520">
        <f>E179+E184+E188</f>
        <v>2451</v>
      </c>
      <c r="F178" s="520">
        <f t="shared" ref="F178" si="45">F179+F184+F188</f>
        <v>30469</v>
      </c>
      <c r="G178" s="516"/>
      <c r="H178" s="521"/>
    </row>
    <row r="179" spans="1:8" s="514" customFormat="1" ht="24" x14ac:dyDescent="0.2">
      <c r="A179" s="1704">
        <v>9.1</v>
      </c>
      <c r="B179" s="1705" t="s">
        <v>665</v>
      </c>
      <c r="C179" s="529"/>
      <c r="D179" s="525">
        <f>SUM(D180:D183)</f>
        <v>12450</v>
      </c>
      <c r="E179" s="525">
        <f t="shared" ref="E179:F179" si="46">SUM(E180:E183)</f>
        <v>4742</v>
      </c>
      <c r="F179" s="525">
        <f t="shared" si="46"/>
        <v>17192</v>
      </c>
      <c r="G179" s="526" t="s">
        <v>714</v>
      </c>
      <c r="H179" s="1608" t="s">
        <v>643</v>
      </c>
    </row>
    <row r="180" spans="1:8" s="514" customFormat="1" ht="30.75" customHeight="1" x14ac:dyDescent="0.2">
      <c r="A180" s="1704"/>
      <c r="B180" s="1705"/>
      <c r="C180" s="529">
        <v>2261</v>
      </c>
      <c r="D180" s="530">
        <v>1200</v>
      </c>
      <c r="E180" s="385">
        <v>128</v>
      </c>
      <c r="F180" s="385">
        <f>D180+E180</f>
        <v>1328</v>
      </c>
      <c r="G180" s="531" t="s">
        <v>715</v>
      </c>
      <c r="H180" s="1608"/>
    </row>
    <row r="181" spans="1:8" s="514" customFormat="1" ht="60" x14ac:dyDescent="0.2">
      <c r="A181" s="1704"/>
      <c r="B181" s="1705"/>
      <c r="C181" s="529">
        <v>2262</v>
      </c>
      <c r="D181" s="530">
        <v>4680</v>
      </c>
      <c r="E181" s="385">
        <v>2835</v>
      </c>
      <c r="F181" s="385">
        <f>D181+E181</f>
        <v>7515</v>
      </c>
      <c r="G181" s="531" t="s">
        <v>623</v>
      </c>
      <c r="H181" s="1608"/>
    </row>
    <row r="182" spans="1:8" s="514" customFormat="1" ht="24" x14ac:dyDescent="0.2">
      <c r="A182" s="1704"/>
      <c r="B182" s="1705"/>
      <c r="C182" s="416">
        <v>2279</v>
      </c>
      <c r="D182" s="527">
        <v>4855</v>
      </c>
      <c r="E182" s="423">
        <v>1382</v>
      </c>
      <c r="F182" s="423">
        <f>D182+E182</f>
        <v>6237</v>
      </c>
      <c r="G182" s="492" t="s">
        <v>716</v>
      </c>
      <c r="H182" s="1608"/>
    </row>
    <row r="183" spans="1:8" s="514" customFormat="1" ht="48" x14ac:dyDescent="0.2">
      <c r="A183" s="1704"/>
      <c r="B183" s="1705"/>
      <c r="C183" s="416">
        <v>2363</v>
      </c>
      <c r="D183" s="527">
        <v>1715</v>
      </c>
      <c r="E183" s="423">
        <v>397</v>
      </c>
      <c r="F183" s="423">
        <f>D183+E183</f>
        <v>2112</v>
      </c>
      <c r="G183" s="492" t="s">
        <v>717</v>
      </c>
      <c r="H183" s="1608"/>
    </row>
    <row r="184" spans="1:8" s="514" customFormat="1" x14ac:dyDescent="0.2">
      <c r="A184" s="1704">
        <v>9.1999999999999993</v>
      </c>
      <c r="B184" s="1706" t="s">
        <v>718</v>
      </c>
      <c r="C184" s="529"/>
      <c r="D184" s="525">
        <f>SUM(D185:D187)</f>
        <v>2140</v>
      </c>
      <c r="E184" s="525">
        <f t="shared" ref="E184:F184" si="47">SUM(E185:E187)</f>
        <v>0</v>
      </c>
      <c r="F184" s="525">
        <f t="shared" si="47"/>
        <v>2140</v>
      </c>
      <c r="G184" s="526"/>
      <c r="H184" s="1703" t="s">
        <v>650</v>
      </c>
    </row>
    <row r="185" spans="1:8" s="514" customFormat="1" x14ac:dyDescent="0.2">
      <c r="A185" s="1704"/>
      <c r="B185" s="1706"/>
      <c r="C185" s="529">
        <v>2341</v>
      </c>
      <c r="D185" s="530">
        <v>100</v>
      </c>
      <c r="E185" s="524"/>
      <c r="F185" s="385">
        <f>D185+E185</f>
        <v>100</v>
      </c>
      <c r="G185" s="526"/>
      <c r="H185" s="1703"/>
    </row>
    <row r="186" spans="1:8" s="514" customFormat="1" ht="12.75" customHeight="1" x14ac:dyDescent="0.2">
      <c r="A186" s="1704"/>
      <c r="B186" s="1706"/>
      <c r="C186" s="529">
        <v>2361</v>
      </c>
      <c r="D186" s="530">
        <v>1200</v>
      </c>
      <c r="E186" s="534"/>
      <c r="F186" s="385">
        <f>D186+E186</f>
        <v>1200</v>
      </c>
      <c r="G186" s="531"/>
      <c r="H186" s="1703"/>
    </row>
    <row r="187" spans="1:8" s="514" customFormat="1" ht="12.75" customHeight="1" x14ac:dyDescent="0.2">
      <c r="A187" s="1704"/>
      <c r="B187" s="1706"/>
      <c r="C187" s="416">
        <v>2370</v>
      </c>
      <c r="D187" s="527">
        <v>840</v>
      </c>
      <c r="E187" s="527"/>
      <c r="F187" s="423">
        <f>D187+E187</f>
        <v>840</v>
      </c>
      <c r="G187" s="492"/>
      <c r="H187" s="1703"/>
    </row>
    <row r="188" spans="1:8" s="514" customFormat="1" ht="15" customHeight="1" x14ac:dyDescent="0.2">
      <c r="A188" s="536" t="s">
        <v>719</v>
      </c>
      <c r="B188" s="554" t="s">
        <v>652</v>
      </c>
      <c r="C188" s="529"/>
      <c r="D188" s="525">
        <f>D189+D196+D200+D204</f>
        <v>13428</v>
      </c>
      <c r="E188" s="525">
        <f>E189+E196+E200+E204</f>
        <v>-2291</v>
      </c>
      <c r="F188" s="525">
        <f>F189+F196+F200+F204</f>
        <v>11137</v>
      </c>
      <c r="G188" s="526"/>
      <c r="H188" s="521"/>
    </row>
    <row r="189" spans="1:8" s="514" customFormat="1" x14ac:dyDescent="0.2">
      <c r="A189" s="1695" t="s">
        <v>720</v>
      </c>
      <c r="B189" s="1607" t="s">
        <v>721</v>
      </c>
      <c r="C189" s="534"/>
      <c r="D189" s="525">
        <f>SUM(D190:D195)</f>
        <v>3368</v>
      </c>
      <c r="E189" s="525">
        <f t="shared" ref="E189:F189" si="48">SUM(E190:E195)</f>
        <v>-184</v>
      </c>
      <c r="F189" s="525">
        <f t="shared" si="48"/>
        <v>3184</v>
      </c>
      <c r="G189" s="526"/>
      <c r="H189" s="1707" t="s">
        <v>722</v>
      </c>
    </row>
    <row r="190" spans="1:8" s="514" customFormat="1" ht="36" x14ac:dyDescent="0.2">
      <c r="A190" s="1695"/>
      <c r="B190" s="1607"/>
      <c r="C190" s="529">
        <v>2121</v>
      </c>
      <c r="D190" s="530">
        <v>406</v>
      </c>
      <c r="E190" s="530">
        <v>-174</v>
      </c>
      <c r="F190" s="385">
        <f t="shared" ref="F190:F195" si="49">D190+E190</f>
        <v>232</v>
      </c>
      <c r="G190" s="531" t="s">
        <v>723</v>
      </c>
      <c r="H190" s="1708"/>
    </row>
    <row r="191" spans="1:8" s="514" customFormat="1" ht="12" customHeight="1" x14ac:dyDescent="0.2">
      <c r="A191" s="1695"/>
      <c r="B191" s="1607"/>
      <c r="C191" s="529">
        <v>2122</v>
      </c>
      <c r="D191" s="530">
        <v>112</v>
      </c>
      <c r="E191" s="530"/>
      <c r="F191" s="385">
        <f t="shared" si="49"/>
        <v>112</v>
      </c>
      <c r="G191" s="531"/>
      <c r="H191" s="1708"/>
    </row>
    <row r="192" spans="1:8" s="514" customFormat="1" ht="24" x14ac:dyDescent="0.2">
      <c r="A192" s="1695"/>
      <c r="B192" s="1607"/>
      <c r="C192" s="529">
        <v>2261</v>
      </c>
      <c r="D192" s="530">
        <v>1120</v>
      </c>
      <c r="E192" s="530">
        <v>-10</v>
      </c>
      <c r="F192" s="385">
        <f t="shared" si="49"/>
        <v>1110</v>
      </c>
      <c r="G192" s="531" t="s">
        <v>724</v>
      </c>
      <c r="H192" s="1708"/>
    </row>
    <row r="193" spans="1:8" s="514" customFormat="1" ht="12.75" customHeight="1" x14ac:dyDescent="0.2">
      <c r="A193" s="1695"/>
      <c r="B193" s="1607"/>
      <c r="C193" s="529">
        <v>2262</v>
      </c>
      <c r="D193" s="530">
        <v>700</v>
      </c>
      <c r="E193" s="530"/>
      <c r="F193" s="385">
        <f t="shared" si="49"/>
        <v>700</v>
      </c>
      <c r="G193" s="531"/>
      <c r="H193" s="1708"/>
    </row>
    <row r="194" spans="1:8" s="514" customFormat="1" ht="12" customHeight="1" x14ac:dyDescent="0.2">
      <c r="A194" s="1695"/>
      <c r="B194" s="1607"/>
      <c r="C194" s="529">
        <v>2341</v>
      </c>
      <c r="D194" s="530">
        <v>50</v>
      </c>
      <c r="E194" s="530"/>
      <c r="F194" s="385">
        <f t="shared" si="49"/>
        <v>50</v>
      </c>
      <c r="G194" s="531"/>
      <c r="H194" s="1708"/>
    </row>
    <row r="195" spans="1:8" s="514" customFormat="1" ht="11.25" customHeight="1" x14ac:dyDescent="0.2">
      <c r="A195" s="1695"/>
      <c r="B195" s="1607"/>
      <c r="C195" s="529">
        <v>2363</v>
      </c>
      <c r="D195" s="530">
        <v>980</v>
      </c>
      <c r="E195" s="530"/>
      <c r="F195" s="385">
        <f t="shared" si="49"/>
        <v>980</v>
      </c>
      <c r="G195" s="531"/>
      <c r="H195" s="1709"/>
    </row>
    <row r="196" spans="1:8" s="514" customFormat="1" x14ac:dyDescent="0.2">
      <c r="A196" s="1695" t="s">
        <v>725</v>
      </c>
      <c r="B196" s="1607" t="s">
        <v>726</v>
      </c>
      <c r="C196" s="529"/>
      <c r="D196" s="525">
        <f>SUM(D197:D199)</f>
        <v>3160</v>
      </c>
      <c r="E196" s="525">
        <f t="shared" ref="E196:F196" si="50">SUM(E197:E199)</f>
        <v>-360</v>
      </c>
      <c r="F196" s="525">
        <f t="shared" si="50"/>
        <v>2800</v>
      </c>
      <c r="G196" s="526"/>
      <c r="H196" s="1707" t="s">
        <v>655</v>
      </c>
    </row>
    <row r="197" spans="1:8" s="514" customFormat="1" ht="34.5" customHeight="1" x14ac:dyDescent="0.2">
      <c r="A197" s="1695"/>
      <c r="B197" s="1607"/>
      <c r="C197" s="416">
        <v>2262</v>
      </c>
      <c r="D197" s="527">
        <v>200</v>
      </c>
      <c r="E197" s="527">
        <v>-200</v>
      </c>
      <c r="F197" s="423">
        <f>D197+E197</f>
        <v>0</v>
      </c>
      <c r="G197" s="550" t="s">
        <v>727</v>
      </c>
      <c r="H197" s="1708"/>
    </row>
    <row r="198" spans="1:8" s="514" customFormat="1" ht="37.5" customHeight="1" x14ac:dyDescent="0.2">
      <c r="A198" s="1695"/>
      <c r="B198" s="1607"/>
      <c r="C198" s="416">
        <v>2279</v>
      </c>
      <c r="D198" s="527">
        <v>160</v>
      </c>
      <c r="E198" s="527">
        <v>-160</v>
      </c>
      <c r="F198" s="423">
        <f>D198+E198</f>
        <v>0</v>
      </c>
      <c r="G198" s="550" t="s">
        <v>727</v>
      </c>
      <c r="H198" s="1708"/>
    </row>
    <row r="199" spans="1:8" s="514" customFormat="1" x14ac:dyDescent="0.2">
      <c r="A199" s="1695"/>
      <c r="B199" s="1607"/>
      <c r="C199" s="529">
        <v>2363</v>
      </c>
      <c r="D199" s="530">
        <v>2800</v>
      </c>
      <c r="E199" s="530"/>
      <c r="F199" s="385">
        <f>D199+E199</f>
        <v>2800</v>
      </c>
      <c r="G199" s="531"/>
      <c r="H199" s="1709"/>
    </row>
    <row r="200" spans="1:8" s="514" customFormat="1" x14ac:dyDescent="0.2">
      <c r="A200" s="1695" t="s">
        <v>728</v>
      </c>
      <c r="B200" s="1607" t="s">
        <v>729</v>
      </c>
      <c r="C200" s="529"/>
      <c r="D200" s="525">
        <f>SUM(D201:D203)</f>
        <v>3160</v>
      </c>
      <c r="E200" s="525">
        <f t="shared" ref="E200:F200" si="51">SUM(E201:E203)</f>
        <v>-1573</v>
      </c>
      <c r="F200" s="525">
        <f t="shared" si="51"/>
        <v>1587</v>
      </c>
      <c r="G200" s="526"/>
      <c r="H200" s="1707" t="s">
        <v>655</v>
      </c>
    </row>
    <row r="201" spans="1:8" s="514" customFormat="1" ht="24" x14ac:dyDescent="0.2">
      <c r="A201" s="1695"/>
      <c r="B201" s="1607"/>
      <c r="C201" s="416">
        <v>2262</v>
      </c>
      <c r="D201" s="527">
        <v>200</v>
      </c>
      <c r="E201" s="527">
        <v>-48</v>
      </c>
      <c r="F201" s="423">
        <f>D201+E201</f>
        <v>152</v>
      </c>
      <c r="G201" s="550" t="s">
        <v>687</v>
      </c>
      <c r="H201" s="1708"/>
    </row>
    <row r="202" spans="1:8" s="514" customFormat="1" ht="24" x14ac:dyDescent="0.2">
      <c r="A202" s="1695"/>
      <c r="B202" s="1607"/>
      <c r="C202" s="416">
        <v>2279</v>
      </c>
      <c r="D202" s="527">
        <v>160</v>
      </c>
      <c r="E202" s="527">
        <v>-160</v>
      </c>
      <c r="F202" s="423">
        <f>D202+E202</f>
        <v>0</v>
      </c>
      <c r="G202" s="492" t="s">
        <v>730</v>
      </c>
      <c r="H202" s="1708"/>
    </row>
    <row r="203" spans="1:8" s="514" customFormat="1" ht="36" x14ac:dyDescent="0.2">
      <c r="A203" s="1695"/>
      <c r="B203" s="1607"/>
      <c r="C203" s="529">
        <v>2363</v>
      </c>
      <c r="D203" s="530">
        <v>2800</v>
      </c>
      <c r="E203" s="530">
        <v>-1365</v>
      </c>
      <c r="F203" s="385">
        <f>D203+E203</f>
        <v>1435</v>
      </c>
      <c r="G203" s="531" t="s">
        <v>731</v>
      </c>
      <c r="H203" s="1709"/>
    </row>
    <row r="204" spans="1:8" s="514" customFormat="1" x14ac:dyDescent="0.2">
      <c r="A204" s="1711" t="s">
        <v>732</v>
      </c>
      <c r="B204" s="1714" t="s">
        <v>733</v>
      </c>
      <c r="C204" s="529"/>
      <c r="D204" s="525">
        <f>SUM(D205:D208)</f>
        <v>3740</v>
      </c>
      <c r="E204" s="525">
        <f t="shared" ref="E204" si="52">SUM(E205:E207)</f>
        <v>-174</v>
      </c>
      <c r="F204" s="525">
        <f>SUM(F205:F208)</f>
        <v>3566</v>
      </c>
      <c r="G204" s="531"/>
      <c r="H204" s="560"/>
    </row>
    <row r="205" spans="1:8" s="514" customFormat="1" ht="24" x14ac:dyDescent="0.2">
      <c r="A205" s="1712"/>
      <c r="B205" s="1715"/>
      <c r="C205" s="416">
        <v>2121</v>
      </c>
      <c r="D205" s="527">
        <v>580</v>
      </c>
      <c r="E205" s="527">
        <v>-174</v>
      </c>
      <c r="F205" s="423">
        <f>D205+E205</f>
        <v>406</v>
      </c>
      <c r="G205" s="492" t="s">
        <v>734</v>
      </c>
      <c r="H205" s="1707" t="s">
        <v>722</v>
      </c>
    </row>
    <row r="206" spans="1:8" s="514" customFormat="1" x14ac:dyDescent="0.2">
      <c r="A206" s="1712"/>
      <c r="B206" s="1715"/>
      <c r="C206" s="529">
        <v>2122</v>
      </c>
      <c r="D206" s="530">
        <v>160</v>
      </c>
      <c r="E206" s="530"/>
      <c r="F206" s="385">
        <f>D206+E206</f>
        <v>160</v>
      </c>
      <c r="G206" s="531"/>
      <c r="H206" s="1708"/>
    </row>
    <row r="207" spans="1:8" s="514" customFormat="1" x14ac:dyDescent="0.2">
      <c r="A207" s="1712"/>
      <c r="B207" s="1715"/>
      <c r="C207" s="529">
        <v>2261</v>
      </c>
      <c r="D207" s="530">
        <v>1600</v>
      </c>
      <c r="E207" s="530"/>
      <c r="F207" s="385">
        <f>D207+E207</f>
        <v>1600</v>
      </c>
      <c r="G207" s="531"/>
      <c r="H207" s="1708"/>
    </row>
    <row r="208" spans="1:8" s="514" customFormat="1" ht="12.75" customHeight="1" x14ac:dyDescent="0.2">
      <c r="A208" s="1713"/>
      <c r="B208" s="1716"/>
      <c r="C208" s="529">
        <v>2363</v>
      </c>
      <c r="D208" s="530">
        <v>1400</v>
      </c>
      <c r="E208" s="530"/>
      <c r="F208" s="385">
        <f>D208+E208</f>
        <v>1400</v>
      </c>
      <c r="G208" s="531"/>
      <c r="H208" s="1709"/>
    </row>
    <row r="209" spans="1:8" s="514" customFormat="1" ht="13.5" customHeight="1" x14ac:dyDescent="0.2">
      <c r="A209" s="543">
        <v>10</v>
      </c>
      <c r="B209" s="544" t="s">
        <v>735</v>
      </c>
      <c r="C209" s="541"/>
      <c r="D209" s="520">
        <f>D210+D214+D218</f>
        <v>5199</v>
      </c>
      <c r="E209" s="520">
        <f t="shared" ref="E209:F209" si="53">E210+E214+E218</f>
        <v>-1708</v>
      </c>
      <c r="F209" s="520">
        <f t="shared" si="53"/>
        <v>3491</v>
      </c>
      <c r="G209" s="516"/>
      <c r="H209" s="521"/>
    </row>
    <row r="210" spans="1:8" s="514" customFormat="1" ht="12.75" customHeight="1" x14ac:dyDescent="0.2">
      <c r="A210" s="1710">
        <v>10.1</v>
      </c>
      <c r="B210" s="1705" t="s">
        <v>665</v>
      </c>
      <c r="C210" s="529"/>
      <c r="D210" s="525">
        <f>SUM(D211:D213)</f>
        <v>2549</v>
      </c>
      <c r="E210" s="525">
        <f t="shared" ref="E210:F210" si="54">SUM(E211:E213)</f>
        <v>-1294</v>
      </c>
      <c r="F210" s="525">
        <f t="shared" si="54"/>
        <v>1255</v>
      </c>
      <c r="G210" s="526"/>
      <c r="H210" s="1608" t="s">
        <v>643</v>
      </c>
    </row>
    <row r="211" spans="1:8" s="514" customFormat="1" ht="24" x14ac:dyDescent="0.2">
      <c r="A211" s="1710"/>
      <c r="B211" s="1705"/>
      <c r="C211" s="529">
        <v>2262</v>
      </c>
      <c r="D211" s="530">
        <v>1800</v>
      </c>
      <c r="E211" s="385">
        <v>-1000</v>
      </c>
      <c r="F211" s="385">
        <f>D211+E211</f>
        <v>800</v>
      </c>
      <c r="G211" s="531" t="s">
        <v>736</v>
      </c>
      <c r="H211" s="1608"/>
    </row>
    <row r="212" spans="1:8" s="514" customFormat="1" ht="13.5" customHeight="1" x14ac:dyDescent="0.2">
      <c r="A212" s="1710"/>
      <c r="B212" s="1705"/>
      <c r="C212" s="529">
        <v>2279</v>
      </c>
      <c r="D212" s="530">
        <v>455</v>
      </c>
      <c r="E212" s="385"/>
      <c r="F212" s="385">
        <f>D212+E212</f>
        <v>455</v>
      </c>
      <c r="G212" s="531"/>
      <c r="H212" s="1608"/>
    </row>
    <row r="213" spans="1:8" s="514" customFormat="1" ht="36" x14ac:dyDescent="0.2">
      <c r="A213" s="1710"/>
      <c r="B213" s="1705"/>
      <c r="C213" s="529">
        <v>2363</v>
      </c>
      <c r="D213" s="530">
        <v>294</v>
      </c>
      <c r="E213" s="385">
        <v>-294</v>
      </c>
      <c r="F213" s="385">
        <f>D213+E213</f>
        <v>0</v>
      </c>
      <c r="G213" s="531" t="s">
        <v>737</v>
      </c>
      <c r="H213" s="1608"/>
    </row>
    <row r="214" spans="1:8" s="514" customFormat="1" x14ac:dyDescent="0.2">
      <c r="A214" s="1704">
        <v>10.199999999999999</v>
      </c>
      <c r="B214" s="1706" t="s">
        <v>738</v>
      </c>
      <c r="C214" s="529"/>
      <c r="D214" s="525">
        <f t="shared" ref="D214:F214" si="55">SUM(D215:D217)</f>
        <v>1000</v>
      </c>
      <c r="E214" s="525">
        <f t="shared" si="55"/>
        <v>0</v>
      </c>
      <c r="F214" s="525">
        <f t="shared" si="55"/>
        <v>1000</v>
      </c>
      <c r="G214" s="526"/>
      <c r="H214" s="1703" t="s">
        <v>650</v>
      </c>
    </row>
    <row r="215" spans="1:8" s="514" customFormat="1" x14ac:dyDescent="0.2">
      <c r="A215" s="1704"/>
      <c r="B215" s="1706"/>
      <c r="C215" s="529">
        <v>2341</v>
      </c>
      <c r="D215" s="530">
        <v>50</v>
      </c>
      <c r="E215" s="385"/>
      <c r="F215" s="385">
        <f>D215+E215</f>
        <v>50</v>
      </c>
      <c r="G215" s="531"/>
      <c r="H215" s="1703"/>
    </row>
    <row r="216" spans="1:8" s="514" customFormat="1" x14ac:dyDescent="0.2">
      <c r="A216" s="1704"/>
      <c r="B216" s="1706"/>
      <c r="C216" s="529">
        <v>2361</v>
      </c>
      <c r="D216" s="530">
        <v>750</v>
      </c>
      <c r="E216" s="534"/>
      <c r="F216" s="385">
        <f>D216+E216</f>
        <v>750</v>
      </c>
      <c r="G216" s="531"/>
      <c r="H216" s="1703"/>
    </row>
    <row r="217" spans="1:8" s="514" customFormat="1" x14ac:dyDescent="0.2">
      <c r="A217" s="1704"/>
      <c r="B217" s="1706"/>
      <c r="C217" s="416">
        <v>2370</v>
      </c>
      <c r="D217" s="527">
        <v>200</v>
      </c>
      <c r="E217" s="527"/>
      <c r="F217" s="423">
        <f>D217+E217</f>
        <v>200</v>
      </c>
      <c r="G217" s="492"/>
      <c r="H217" s="1703"/>
    </row>
    <row r="218" spans="1:8" s="514" customFormat="1" x14ac:dyDescent="0.2">
      <c r="A218" s="561" t="s">
        <v>739</v>
      </c>
      <c r="B218" s="554" t="s">
        <v>652</v>
      </c>
      <c r="C218" s="558"/>
      <c r="D218" s="520">
        <f t="shared" ref="D218:F218" si="56">D219</f>
        <v>1650</v>
      </c>
      <c r="E218" s="520">
        <f t="shared" si="56"/>
        <v>-414</v>
      </c>
      <c r="F218" s="520">
        <f t="shared" si="56"/>
        <v>1236</v>
      </c>
      <c r="G218" s="516"/>
      <c r="H218" s="521"/>
    </row>
    <row r="219" spans="1:8" s="514" customFormat="1" x14ac:dyDescent="0.2">
      <c r="A219" s="1695" t="s">
        <v>740</v>
      </c>
      <c r="B219" s="1607" t="s">
        <v>654</v>
      </c>
      <c r="C219" s="541"/>
      <c r="D219" s="520">
        <f>SUM(D220:D223)</f>
        <v>1650</v>
      </c>
      <c r="E219" s="520">
        <f t="shared" ref="E219:F219" si="57">SUM(E220:E223)</f>
        <v>-414</v>
      </c>
      <c r="F219" s="520">
        <f t="shared" si="57"/>
        <v>1236</v>
      </c>
      <c r="G219" s="516"/>
      <c r="H219" s="1691" t="s">
        <v>655</v>
      </c>
    </row>
    <row r="220" spans="1:8" s="514" customFormat="1" ht="48" x14ac:dyDescent="0.2">
      <c r="A220" s="1695"/>
      <c r="B220" s="1607"/>
      <c r="C220" s="548">
        <v>2262</v>
      </c>
      <c r="D220" s="549">
        <v>200</v>
      </c>
      <c r="E220" s="549">
        <v>-200</v>
      </c>
      <c r="F220" s="423">
        <f>D220+E220</f>
        <v>0</v>
      </c>
      <c r="G220" s="550" t="s">
        <v>741</v>
      </c>
      <c r="H220" s="1692"/>
    </row>
    <row r="221" spans="1:8" s="514" customFormat="1" ht="24" x14ac:dyDescent="0.2">
      <c r="A221" s="1695"/>
      <c r="B221" s="1607"/>
      <c r="C221" s="548">
        <v>2279</v>
      </c>
      <c r="D221" s="549">
        <v>175</v>
      </c>
      <c r="E221" s="549">
        <v>-19</v>
      </c>
      <c r="F221" s="423">
        <f>D221+E221</f>
        <v>156</v>
      </c>
      <c r="G221" s="492" t="s">
        <v>742</v>
      </c>
      <c r="H221" s="1692"/>
    </row>
    <row r="222" spans="1:8" s="514" customFormat="1" x14ac:dyDescent="0.2">
      <c r="A222" s="1695"/>
      <c r="B222" s="1607"/>
      <c r="C222" s="541">
        <v>2341</v>
      </c>
      <c r="D222" s="551">
        <v>50</v>
      </c>
      <c r="E222" s="520"/>
      <c r="F222" s="385">
        <f>D222+E222</f>
        <v>50</v>
      </c>
      <c r="G222" s="516"/>
      <c r="H222" s="1692"/>
    </row>
    <row r="223" spans="1:8" s="514" customFormat="1" ht="24" x14ac:dyDescent="0.2">
      <c r="A223" s="1695"/>
      <c r="B223" s="1607"/>
      <c r="C223" s="541">
        <v>2363</v>
      </c>
      <c r="D223" s="551">
        <v>1225</v>
      </c>
      <c r="E223" s="551">
        <v>-195</v>
      </c>
      <c r="F223" s="385">
        <f>D223+E223</f>
        <v>1030</v>
      </c>
      <c r="G223" s="559" t="s">
        <v>743</v>
      </c>
      <c r="H223" s="1693"/>
    </row>
    <row r="224" spans="1:8" s="514" customFormat="1" x14ac:dyDescent="0.2">
      <c r="A224" s="543">
        <v>11</v>
      </c>
      <c r="B224" s="544" t="s">
        <v>744</v>
      </c>
      <c r="C224" s="541"/>
      <c r="D224" s="520">
        <f t="shared" ref="D224:F224" si="58">D225+D230+D234</f>
        <v>12102</v>
      </c>
      <c r="E224" s="520">
        <f t="shared" si="58"/>
        <v>-1031</v>
      </c>
      <c r="F224" s="520">
        <f t="shared" si="58"/>
        <v>11071</v>
      </c>
      <c r="G224" s="516"/>
      <c r="H224" s="521"/>
    </row>
    <row r="225" spans="1:8" s="514" customFormat="1" x14ac:dyDescent="0.2">
      <c r="A225" s="1704">
        <v>11.1</v>
      </c>
      <c r="B225" s="1705" t="s">
        <v>665</v>
      </c>
      <c r="C225" s="529"/>
      <c r="D225" s="525">
        <f>SUM(D226:D229)</f>
        <v>2818</v>
      </c>
      <c r="E225" s="525">
        <f t="shared" ref="E225:F225" si="59">SUM(E226:E229)</f>
        <v>-807</v>
      </c>
      <c r="F225" s="525">
        <f t="shared" si="59"/>
        <v>2011</v>
      </c>
      <c r="G225" s="526"/>
      <c r="H225" s="1608" t="s">
        <v>643</v>
      </c>
    </row>
    <row r="226" spans="1:8" s="514" customFormat="1" ht="24" x14ac:dyDescent="0.2">
      <c r="A226" s="1704"/>
      <c r="B226" s="1705"/>
      <c r="C226" s="529">
        <v>2261</v>
      </c>
      <c r="D226" s="530">
        <v>240</v>
      </c>
      <c r="E226" s="385">
        <v>-240</v>
      </c>
      <c r="F226" s="385">
        <f>D226+E226</f>
        <v>0</v>
      </c>
      <c r="G226" s="531" t="s">
        <v>745</v>
      </c>
      <c r="H226" s="1608"/>
    </row>
    <row r="227" spans="1:8" s="514" customFormat="1" ht="36" x14ac:dyDescent="0.2">
      <c r="A227" s="1704"/>
      <c r="B227" s="1705"/>
      <c r="C227" s="529">
        <v>2262</v>
      </c>
      <c r="D227" s="530">
        <v>1800</v>
      </c>
      <c r="E227" s="385">
        <v>-273</v>
      </c>
      <c r="F227" s="385">
        <f>D227+E227</f>
        <v>1527</v>
      </c>
      <c r="G227" s="531" t="s">
        <v>746</v>
      </c>
      <c r="H227" s="1608"/>
    </row>
    <row r="228" spans="1:8" s="514" customFormat="1" ht="12" customHeight="1" x14ac:dyDescent="0.2">
      <c r="A228" s="1704"/>
      <c r="B228" s="1705"/>
      <c r="C228" s="529">
        <v>2279</v>
      </c>
      <c r="D228" s="530">
        <v>400</v>
      </c>
      <c r="E228" s="385"/>
      <c r="F228" s="385">
        <f>D228+E228</f>
        <v>400</v>
      </c>
      <c r="G228" s="531"/>
      <c r="H228" s="1608"/>
    </row>
    <row r="229" spans="1:8" s="514" customFormat="1" ht="36" x14ac:dyDescent="0.2">
      <c r="A229" s="1704"/>
      <c r="B229" s="1705"/>
      <c r="C229" s="529">
        <v>2363</v>
      </c>
      <c r="D229" s="530">
        <v>378</v>
      </c>
      <c r="E229" s="385">
        <v>-294</v>
      </c>
      <c r="F229" s="385">
        <f>D229+E229</f>
        <v>84</v>
      </c>
      <c r="G229" s="531" t="s">
        <v>747</v>
      </c>
      <c r="H229" s="1608"/>
    </row>
    <row r="230" spans="1:8" s="514" customFormat="1" x14ac:dyDescent="0.2">
      <c r="A230" s="1704">
        <v>11.2</v>
      </c>
      <c r="B230" s="1706" t="s">
        <v>748</v>
      </c>
      <c r="C230" s="529"/>
      <c r="D230" s="525">
        <f t="shared" ref="D230:F230" si="60">SUM(D231:D233)</f>
        <v>714</v>
      </c>
      <c r="E230" s="525">
        <f t="shared" si="60"/>
        <v>0</v>
      </c>
      <c r="F230" s="525">
        <f t="shared" si="60"/>
        <v>714</v>
      </c>
      <c r="G230" s="526"/>
      <c r="H230" s="1703" t="s">
        <v>650</v>
      </c>
    </row>
    <row r="231" spans="1:8" s="514" customFormat="1" ht="12.75" customHeight="1" x14ac:dyDescent="0.2">
      <c r="A231" s="1704"/>
      <c r="B231" s="1706"/>
      <c r="C231" s="529">
        <v>2341</v>
      </c>
      <c r="D231" s="530">
        <v>50</v>
      </c>
      <c r="E231" s="385"/>
      <c r="F231" s="385">
        <f>D231+E231</f>
        <v>50</v>
      </c>
      <c r="G231" s="531"/>
      <c r="H231" s="1703"/>
    </row>
    <row r="232" spans="1:8" s="514" customFormat="1" x14ac:dyDescent="0.2">
      <c r="A232" s="1704"/>
      <c r="B232" s="1706"/>
      <c r="C232" s="529">
        <v>2361</v>
      </c>
      <c r="D232" s="530">
        <v>300</v>
      </c>
      <c r="E232" s="385"/>
      <c r="F232" s="385">
        <f>D232+E232</f>
        <v>300</v>
      </c>
      <c r="G232" s="531"/>
      <c r="H232" s="1703"/>
    </row>
    <row r="233" spans="1:8" s="514" customFormat="1" x14ac:dyDescent="0.2">
      <c r="A233" s="1704"/>
      <c r="B233" s="1706"/>
      <c r="C233" s="529">
        <v>2370</v>
      </c>
      <c r="D233" s="530">
        <v>364</v>
      </c>
      <c r="E233" s="534"/>
      <c r="F233" s="385">
        <f>D233+E233</f>
        <v>364</v>
      </c>
      <c r="G233" s="531"/>
      <c r="H233" s="1703"/>
    </row>
    <row r="234" spans="1:8" s="514" customFormat="1" x14ac:dyDescent="0.2">
      <c r="A234" s="561" t="s">
        <v>749</v>
      </c>
      <c r="B234" s="554" t="s">
        <v>652</v>
      </c>
      <c r="C234" s="529"/>
      <c r="D234" s="525">
        <f t="shared" ref="D234:F234" si="61">D235+D237+D243</f>
        <v>8570</v>
      </c>
      <c r="E234" s="525">
        <f t="shared" si="61"/>
        <v>-224</v>
      </c>
      <c r="F234" s="525">
        <f t="shared" si="61"/>
        <v>8346</v>
      </c>
      <c r="G234" s="526"/>
      <c r="H234" s="521"/>
    </row>
    <row r="235" spans="1:8" s="514" customFormat="1" ht="14.25" customHeight="1" x14ac:dyDescent="0.2">
      <c r="A235" s="1695" t="s">
        <v>750</v>
      </c>
      <c r="B235" s="1607" t="s">
        <v>654</v>
      </c>
      <c r="C235" s="529"/>
      <c r="D235" s="525">
        <f>SUM(D236:D236)</f>
        <v>1050</v>
      </c>
      <c r="E235" s="525">
        <f t="shared" ref="E235:F235" si="62">SUM(E236:E236)</f>
        <v>-24</v>
      </c>
      <c r="F235" s="525">
        <f t="shared" si="62"/>
        <v>1026</v>
      </c>
      <c r="G235" s="526"/>
      <c r="H235" s="1707" t="s">
        <v>655</v>
      </c>
    </row>
    <row r="236" spans="1:8" s="514" customFormat="1" ht="24" x14ac:dyDescent="0.2">
      <c r="A236" s="1695"/>
      <c r="B236" s="1607"/>
      <c r="C236" s="562">
        <v>2363</v>
      </c>
      <c r="D236" s="530">
        <v>1050</v>
      </c>
      <c r="E236" s="530">
        <v>-24</v>
      </c>
      <c r="F236" s="385">
        <f>D236+E236</f>
        <v>1026</v>
      </c>
      <c r="G236" s="492" t="s">
        <v>751</v>
      </c>
      <c r="H236" s="1709"/>
    </row>
    <row r="237" spans="1:8" s="514" customFormat="1" x14ac:dyDescent="0.2">
      <c r="A237" s="1695" t="s">
        <v>752</v>
      </c>
      <c r="B237" s="1607" t="s">
        <v>657</v>
      </c>
      <c r="C237" s="529"/>
      <c r="D237" s="525">
        <f>SUM(D238:D242)</f>
        <v>3160</v>
      </c>
      <c r="E237" s="525">
        <f t="shared" ref="E237:F237" si="63">SUM(E238:E242)</f>
        <v>-200</v>
      </c>
      <c r="F237" s="525">
        <f t="shared" si="63"/>
        <v>2960</v>
      </c>
      <c r="G237" s="526"/>
      <c r="H237" s="1707" t="s">
        <v>655</v>
      </c>
    </row>
    <row r="238" spans="1:8" s="514" customFormat="1" x14ac:dyDescent="0.2">
      <c r="A238" s="1695"/>
      <c r="B238" s="1607"/>
      <c r="C238" s="529">
        <v>2111</v>
      </c>
      <c r="D238" s="530">
        <v>120</v>
      </c>
      <c r="E238" s="530"/>
      <c r="F238" s="385">
        <f>D238+E238</f>
        <v>120</v>
      </c>
      <c r="G238" s="531"/>
      <c r="H238" s="1708"/>
    </row>
    <row r="239" spans="1:8" s="514" customFormat="1" x14ac:dyDescent="0.2">
      <c r="A239" s="1695"/>
      <c r="B239" s="1607"/>
      <c r="C239" s="529">
        <v>2261</v>
      </c>
      <c r="D239" s="530">
        <v>1760</v>
      </c>
      <c r="E239" s="530"/>
      <c r="F239" s="385">
        <f>D239+E239</f>
        <v>1760</v>
      </c>
      <c r="G239" s="531"/>
      <c r="H239" s="1708"/>
    </row>
    <row r="240" spans="1:8" s="514" customFormat="1" ht="24" x14ac:dyDescent="0.2">
      <c r="A240" s="1695"/>
      <c r="B240" s="1607"/>
      <c r="C240" s="529">
        <v>2262</v>
      </c>
      <c r="D240" s="530">
        <v>200</v>
      </c>
      <c r="E240" s="530">
        <v>-200</v>
      </c>
      <c r="F240" s="385">
        <f>D240+E240</f>
        <v>0</v>
      </c>
      <c r="G240" s="531" t="s">
        <v>753</v>
      </c>
      <c r="H240" s="1708"/>
    </row>
    <row r="241" spans="1:9" s="514" customFormat="1" x14ac:dyDescent="0.2">
      <c r="A241" s="1695"/>
      <c r="B241" s="1607"/>
      <c r="C241" s="529">
        <v>2341</v>
      </c>
      <c r="D241" s="530">
        <v>100</v>
      </c>
      <c r="E241" s="530"/>
      <c r="F241" s="385">
        <f>D241+E241</f>
        <v>100</v>
      </c>
      <c r="G241" s="531"/>
      <c r="H241" s="1708"/>
    </row>
    <row r="242" spans="1:9" s="514" customFormat="1" x14ac:dyDescent="0.2">
      <c r="A242" s="1695"/>
      <c r="B242" s="1607"/>
      <c r="C242" s="529">
        <v>2363</v>
      </c>
      <c r="D242" s="530">
        <v>980</v>
      </c>
      <c r="E242" s="530"/>
      <c r="F242" s="385">
        <f>D242+E242</f>
        <v>980</v>
      </c>
      <c r="G242" s="531"/>
      <c r="H242" s="1709"/>
    </row>
    <row r="243" spans="1:9" s="514" customFormat="1" x14ac:dyDescent="0.2">
      <c r="A243" s="1695" t="s">
        <v>754</v>
      </c>
      <c r="B243" s="1607" t="s">
        <v>755</v>
      </c>
      <c r="C243" s="529"/>
      <c r="D243" s="525">
        <f>SUM(D244:D246)</f>
        <v>4360</v>
      </c>
      <c r="E243" s="525">
        <f t="shared" ref="E243:F243" si="64">SUM(E244:E246)</f>
        <v>0</v>
      </c>
      <c r="F243" s="525">
        <f t="shared" si="64"/>
        <v>4360</v>
      </c>
      <c r="G243" s="526"/>
      <c r="H243" s="1707" t="s">
        <v>756</v>
      </c>
    </row>
    <row r="244" spans="1:9" s="514" customFormat="1" x14ac:dyDescent="0.2">
      <c r="A244" s="1695"/>
      <c r="B244" s="1607"/>
      <c r="C244" s="529">
        <v>2121</v>
      </c>
      <c r="D244" s="530">
        <v>800</v>
      </c>
      <c r="E244" s="524"/>
      <c r="F244" s="385">
        <f>D244+E244</f>
        <v>800</v>
      </c>
      <c r="G244" s="526"/>
      <c r="H244" s="1708"/>
    </row>
    <row r="245" spans="1:9" s="514" customFormat="1" x14ac:dyDescent="0.2">
      <c r="A245" s="1695"/>
      <c r="B245" s="1607"/>
      <c r="C245" s="529">
        <v>2122</v>
      </c>
      <c r="D245" s="530">
        <v>890</v>
      </c>
      <c r="E245" s="524"/>
      <c r="F245" s="385">
        <f>D245+E245</f>
        <v>890</v>
      </c>
      <c r="G245" s="526"/>
      <c r="H245" s="1708"/>
    </row>
    <row r="246" spans="1:9" s="514" customFormat="1" x14ac:dyDescent="0.2">
      <c r="A246" s="1696"/>
      <c r="B246" s="1607"/>
      <c r="C246" s="563">
        <v>2279</v>
      </c>
      <c r="D246" s="527">
        <v>2670</v>
      </c>
      <c r="E246" s="527"/>
      <c r="F246" s="423">
        <f>D246+E246</f>
        <v>2670</v>
      </c>
      <c r="G246" s="492"/>
      <c r="H246" s="1709"/>
    </row>
    <row r="247" spans="1:9" s="514" customFormat="1" x14ac:dyDescent="0.2">
      <c r="A247" s="564">
        <v>12</v>
      </c>
      <c r="B247" s="544" t="s">
        <v>757</v>
      </c>
      <c r="C247" s="541"/>
      <c r="D247" s="520">
        <f>D248+D253+D258</f>
        <v>6158</v>
      </c>
      <c r="E247" s="520">
        <f t="shared" ref="E247:F247" si="65">E248+E253+E258</f>
        <v>1660</v>
      </c>
      <c r="F247" s="520">
        <f t="shared" si="65"/>
        <v>7818</v>
      </c>
      <c r="G247" s="516"/>
      <c r="H247" s="521"/>
    </row>
    <row r="248" spans="1:9" s="514" customFormat="1" x14ac:dyDescent="0.2">
      <c r="A248" s="1704">
        <v>12.1</v>
      </c>
      <c r="B248" s="1705" t="s">
        <v>665</v>
      </c>
      <c r="C248" s="529"/>
      <c r="D248" s="525">
        <f>SUM(D249:D252)</f>
        <v>3406</v>
      </c>
      <c r="E248" s="525">
        <f t="shared" ref="E248:F248" si="66">SUM(E249:E252)</f>
        <v>1500</v>
      </c>
      <c r="F248" s="525">
        <f t="shared" si="66"/>
        <v>4906</v>
      </c>
      <c r="G248" s="526"/>
      <c r="H248" s="1608" t="s">
        <v>643</v>
      </c>
    </row>
    <row r="249" spans="1:9" s="514" customFormat="1" x14ac:dyDescent="0.2">
      <c r="A249" s="1704"/>
      <c r="B249" s="1705"/>
      <c r="C249" s="529">
        <v>2261</v>
      </c>
      <c r="D249" s="530">
        <v>384</v>
      </c>
      <c r="E249" s="385">
        <v>0</v>
      </c>
      <c r="F249" s="385">
        <f>D249+E249</f>
        <v>384</v>
      </c>
      <c r="G249" s="531"/>
      <c r="H249" s="1608"/>
    </row>
    <row r="250" spans="1:9" s="514" customFormat="1" ht="48" x14ac:dyDescent="0.2">
      <c r="A250" s="1704"/>
      <c r="B250" s="1705"/>
      <c r="C250" s="529">
        <v>2262</v>
      </c>
      <c r="D250" s="530">
        <v>1800</v>
      </c>
      <c r="E250" s="385">
        <v>1500</v>
      </c>
      <c r="F250" s="385">
        <f>D250+E250</f>
        <v>3300</v>
      </c>
      <c r="G250" s="531" t="s">
        <v>758</v>
      </c>
      <c r="H250" s="1608"/>
    </row>
    <row r="251" spans="1:9" s="514" customFormat="1" x14ac:dyDescent="0.2">
      <c r="A251" s="1704"/>
      <c r="B251" s="1705"/>
      <c r="C251" s="529">
        <v>2279</v>
      </c>
      <c r="D251" s="530">
        <v>760</v>
      </c>
      <c r="E251" s="385"/>
      <c r="F251" s="385">
        <f>D251+E251</f>
        <v>760</v>
      </c>
      <c r="G251" s="531"/>
      <c r="H251" s="1608"/>
    </row>
    <row r="252" spans="1:9" s="514" customFormat="1" x14ac:dyDescent="0.2">
      <c r="A252" s="1704"/>
      <c r="B252" s="1705"/>
      <c r="C252" s="529">
        <v>2363</v>
      </c>
      <c r="D252" s="530">
        <v>462</v>
      </c>
      <c r="E252" s="385"/>
      <c r="F252" s="385">
        <f>D252+E252</f>
        <v>462</v>
      </c>
      <c r="G252" s="531"/>
      <c r="H252" s="1608"/>
    </row>
    <row r="253" spans="1:9" s="514" customFormat="1" x14ac:dyDescent="0.2">
      <c r="A253" s="1704">
        <v>12.2</v>
      </c>
      <c r="B253" s="1706" t="s">
        <v>759</v>
      </c>
      <c r="C253" s="529"/>
      <c r="D253" s="525">
        <f>SUM(D254:D256)</f>
        <v>620</v>
      </c>
      <c r="E253" s="525">
        <f t="shared" ref="E253:F253" si="67">SUM(E254:E256)</f>
        <v>360</v>
      </c>
      <c r="F253" s="525">
        <f t="shared" si="67"/>
        <v>980</v>
      </c>
      <c r="G253" s="526"/>
      <c r="H253" s="1703" t="s">
        <v>650</v>
      </c>
      <c r="I253" s="565"/>
    </row>
    <row r="254" spans="1:9" s="514" customFormat="1" x14ac:dyDescent="0.2">
      <c r="A254" s="1704"/>
      <c r="B254" s="1706"/>
      <c r="C254" s="529">
        <v>2341</v>
      </c>
      <c r="D254" s="530">
        <v>25</v>
      </c>
      <c r="E254" s="385"/>
      <c r="F254" s="385">
        <f>D254+E254</f>
        <v>25</v>
      </c>
      <c r="G254" s="531"/>
      <c r="H254" s="1703"/>
      <c r="I254" s="565"/>
    </row>
    <row r="255" spans="1:9" s="514" customFormat="1" x14ac:dyDescent="0.2">
      <c r="A255" s="1704"/>
      <c r="B255" s="1706"/>
      <c r="C255" s="416">
        <v>2361</v>
      </c>
      <c r="D255" s="527">
        <v>420</v>
      </c>
      <c r="E255" s="423"/>
      <c r="F255" s="423">
        <f>D255+E255</f>
        <v>420</v>
      </c>
      <c r="G255" s="492"/>
      <c r="H255" s="1703"/>
    </row>
    <row r="256" spans="1:9" s="514" customFormat="1" ht="24" x14ac:dyDescent="0.2">
      <c r="A256" s="1704"/>
      <c r="B256" s="1706"/>
      <c r="C256" s="416">
        <v>2370</v>
      </c>
      <c r="D256" s="527">
        <v>175</v>
      </c>
      <c r="E256" s="527">
        <v>360</v>
      </c>
      <c r="F256" s="423">
        <f>D256+E256</f>
        <v>535</v>
      </c>
      <c r="G256" s="566" t="s">
        <v>628</v>
      </c>
      <c r="H256" s="1703"/>
      <c r="I256" s="565"/>
    </row>
    <row r="257" spans="1:8" s="514" customFormat="1" x14ac:dyDescent="0.2">
      <c r="A257" s="536" t="s">
        <v>760</v>
      </c>
      <c r="B257" s="567" t="s">
        <v>652</v>
      </c>
      <c r="C257" s="416"/>
      <c r="D257" s="538">
        <f>D258</f>
        <v>2132</v>
      </c>
      <c r="E257" s="527"/>
      <c r="F257" s="546">
        <f>F258</f>
        <v>1932</v>
      </c>
      <c r="G257" s="492"/>
      <c r="H257" s="568"/>
    </row>
    <row r="258" spans="1:8" s="514" customFormat="1" x14ac:dyDescent="0.2">
      <c r="A258" s="1695" t="s">
        <v>761</v>
      </c>
      <c r="B258" s="1607" t="s">
        <v>657</v>
      </c>
      <c r="C258" s="534"/>
      <c r="D258" s="525">
        <f>SUM(D259:D262)</f>
        <v>2132</v>
      </c>
      <c r="E258" s="525">
        <f t="shared" ref="E258:F258" si="68">SUM(E259:E262)</f>
        <v>-200</v>
      </c>
      <c r="F258" s="525">
        <f t="shared" si="68"/>
        <v>1932</v>
      </c>
      <c r="G258" s="526"/>
      <c r="H258" s="1691" t="s">
        <v>655</v>
      </c>
    </row>
    <row r="259" spans="1:8" s="514" customFormat="1" x14ac:dyDescent="0.2">
      <c r="A259" s="1696"/>
      <c r="B259" s="1642"/>
      <c r="C259" s="569">
        <v>2111</v>
      </c>
      <c r="D259" s="570">
        <v>42</v>
      </c>
      <c r="E259" s="525"/>
      <c r="F259" s="385">
        <f>D259+E259</f>
        <v>42</v>
      </c>
      <c r="G259" s="526"/>
      <c r="H259" s="1692"/>
    </row>
    <row r="260" spans="1:8" s="514" customFormat="1" x14ac:dyDescent="0.2">
      <c r="A260" s="1696"/>
      <c r="B260" s="1642"/>
      <c r="C260" s="569">
        <v>2261</v>
      </c>
      <c r="D260" s="570">
        <v>1008</v>
      </c>
      <c r="E260" s="525"/>
      <c r="F260" s="385">
        <f>D260+E260</f>
        <v>1008</v>
      </c>
      <c r="G260" s="526"/>
      <c r="H260" s="1692"/>
    </row>
    <row r="261" spans="1:8" ht="24" x14ac:dyDescent="0.2">
      <c r="A261" s="1696"/>
      <c r="B261" s="1642"/>
      <c r="C261" s="569">
        <v>2262</v>
      </c>
      <c r="D261" s="570">
        <v>200</v>
      </c>
      <c r="E261" s="530">
        <v>-200</v>
      </c>
      <c r="F261" s="385">
        <f>D261+E261</f>
        <v>0</v>
      </c>
      <c r="G261" s="531" t="s">
        <v>762</v>
      </c>
      <c r="H261" s="1692"/>
    </row>
    <row r="262" spans="1:8" x14ac:dyDescent="0.2">
      <c r="A262" s="1695"/>
      <c r="B262" s="1607"/>
      <c r="C262" s="529">
        <v>2363</v>
      </c>
      <c r="D262" s="530">
        <v>882</v>
      </c>
      <c r="E262" s="530"/>
      <c r="F262" s="385">
        <f>D262+E262</f>
        <v>882</v>
      </c>
      <c r="G262" s="531"/>
      <c r="H262" s="1693"/>
    </row>
    <row r="263" spans="1:8" x14ac:dyDescent="0.2">
      <c r="A263" s="1697">
        <v>13</v>
      </c>
      <c r="B263" s="1700" t="s">
        <v>763</v>
      </c>
      <c r="C263" s="984"/>
      <c r="D263" s="571">
        <f t="shared" ref="D263:F263" si="69">SUM(D264:D268)</f>
        <v>7580</v>
      </c>
      <c r="E263" s="525">
        <f t="shared" si="69"/>
        <v>0</v>
      </c>
      <c r="F263" s="525">
        <f t="shared" si="69"/>
        <v>7580</v>
      </c>
      <c r="G263" s="526"/>
      <c r="H263" s="572"/>
    </row>
    <row r="264" spans="1:8" x14ac:dyDescent="0.2">
      <c r="A264" s="1698"/>
      <c r="B264" s="1701"/>
      <c r="C264" s="416">
        <v>2121</v>
      </c>
      <c r="D264" s="527">
        <v>1175</v>
      </c>
      <c r="E264" s="527"/>
      <c r="F264" s="423">
        <f>D264+E264</f>
        <v>1175</v>
      </c>
      <c r="G264" s="492"/>
      <c r="H264" s="1703" t="s">
        <v>764</v>
      </c>
    </row>
    <row r="265" spans="1:8" x14ac:dyDescent="0.2">
      <c r="A265" s="1698"/>
      <c r="B265" s="1701"/>
      <c r="C265" s="529">
        <v>2122</v>
      </c>
      <c r="D265" s="530">
        <v>1890</v>
      </c>
      <c r="E265" s="530"/>
      <c r="F265" s="385">
        <f>D265+E265</f>
        <v>1890</v>
      </c>
      <c r="G265" s="531"/>
      <c r="H265" s="1703"/>
    </row>
    <row r="266" spans="1:8" x14ac:dyDescent="0.2">
      <c r="A266" s="1698"/>
      <c r="B266" s="1701"/>
      <c r="C266" s="416">
        <v>2279</v>
      </c>
      <c r="D266" s="527">
        <v>3065</v>
      </c>
      <c r="E266" s="527"/>
      <c r="F266" s="423">
        <f>D266+E266</f>
        <v>3065</v>
      </c>
      <c r="G266" s="492"/>
      <c r="H266" s="1703"/>
    </row>
    <row r="267" spans="1:8" x14ac:dyDescent="0.2">
      <c r="A267" s="1698"/>
      <c r="B267" s="1701"/>
      <c r="C267" s="529">
        <v>2341</v>
      </c>
      <c r="D267" s="530">
        <v>950</v>
      </c>
      <c r="E267" s="530"/>
      <c r="F267" s="385">
        <f>D267+E267</f>
        <v>950</v>
      </c>
      <c r="G267" s="531"/>
      <c r="H267" s="1703"/>
    </row>
    <row r="268" spans="1:8" ht="12" customHeight="1" x14ac:dyDescent="0.2">
      <c r="A268" s="1699"/>
      <c r="B268" s="1702"/>
      <c r="C268" s="529">
        <v>2370</v>
      </c>
      <c r="D268" s="530">
        <v>500</v>
      </c>
      <c r="E268" s="530"/>
      <c r="F268" s="385">
        <f>D268+E268</f>
        <v>500</v>
      </c>
      <c r="G268" s="531"/>
      <c r="H268" s="1703"/>
    </row>
    <row r="269" spans="1:8" ht="12" customHeight="1" x14ac:dyDescent="0.2">
      <c r="A269" s="1685">
        <v>14</v>
      </c>
      <c r="B269" s="1688" t="s">
        <v>765</v>
      </c>
      <c r="C269" s="529"/>
      <c r="D269" s="573">
        <f>SUM(D270:D272)</f>
        <v>1923</v>
      </c>
      <c r="E269" s="574">
        <f>SUM(E270:E272)</f>
        <v>0</v>
      </c>
      <c r="F269" s="575">
        <f>SUM(F270:F272)</f>
        <v>1923</v>
      </c>
      <c r="G269" s="531"/>
      <c r="H269" s="1691" t="s">
        <v>764</v>
      </c>
    </row>
    <row r="270" spans="1:8" ht="12" customHeight="1" x14ac:dyDescent="0.2">
      <c r="A270" s="1686"/>
      <c r="B270" s="1689"/>
      <c r="C270" s="576">
        <v>2121</v>
      </c>
      <c r="D270" s="385">
        <v>279</v>
      </c>
      <c r="E270" s="385"/>
      <c r="F270" s="577">
        <f>D270+E270</f>
        <v>279</v>
      </c>
      <c r="G270" s="578"/>
      <c r="H270" s="1692"/>
    </row>
    <row r="271" spans="1:8" x14ac:dyDescent="0.2">
      <c r="A271" s="1686"/>
      <c r="B271" s="1689"/>
      <c r="C271" s="579">
        <v>2122</v>
      </c>
      <c r="D271" s="385">
        <v>757</v>
      </c>
      <c r="E271" s="385"/>
      <c r="F271" s="577">
        <f>D271+E271</f>
        <v>757</v>
      </c>
      <c r="G271" s="531"/>
      <c r="H271" s="1692"/>
    </row>
    <row r="272" spans="1:8" x14ac:dyDescent="0.2">
      <c r="A272" s="1687"/>
      <c r="B272" s="1690"/>
      <c r="C272" s="580">
        <v>2279</v>
      </c>
      <c r="D272" s="385">
        <v>887</v>
      </c>
      <c r="E272" s="385"/>
      <c r="F272" s="581">
        <f>D272+E272</f>
        <v>887</v>
      </c>
      <c r="G272" s="531"/>
      <c r="H272" s="1693"/>
    </row>
    <row r="273" spans="1:8" x14ac:dyDescent="0.2">
      <c r="A273" s="582"/>
      <c r="B273" s="583"/>
      <c r="C273" s="584"/>
      <c r="D273" s="585"/>
      <c r="E273" s="586"/>
      <c r="F273" s="586"/>
      <c r="G273" s="587"/>
      <c r="H273" s="588"/>
    </row>
    <row r="274" spans="1:8" x14ac:dyDescent="0.2">
      <c r="A274" s="322" t="s">
        <v>766</v>
      </c>
      <c r="B274" s="589"/>
      <c r="C274" s="590"/>
      <c r="D274" s="589"/>
      <c r="E274" s="590"/>
      <c r="F274" s="501"/>
    </row>
    <row r="275" spans="1:8" x14ac:dyDescent="0.2">
      <c r="A275" s="591" t="s">
        <v>767</v>
      </c>
      <c r="B275" s="589"/>
      <c r="C275" s="590"/>
      <c r="D275" s="589"/>
      <c r="E275" s="590"/>
      <c r="F275" s="501"/>
    </row>
    <row r="276" spans="1:8" x14ac:dyDescent="0.2">
      <c r="A276" s="592" t="s">
        <v>768</v>
      </c>
      <c r="B276" s="589"/>
      <c r="C276" s="590"/>
      <c r="D276" s="589"/>
      <c r="E276" s="590"/>
      <c r="F276" s="501"/>
    </row>
    <row r="277" spans="1:8" x14ac:dyDescent="0.2">
      <c r="A277" s="592" t="s">
        <v>769</v>
      </c>
      <c r="B277" s="589"/>
      <c r="C277" s="590"/>
      <c r="D277" s="589"/>
      <c r="E277" s="590"/>
      <c r="F277" s="501"/>
    </row>
    <row r="278" spans="1:8" x14ac:dyDescent="0.2">
      <c r="A278" s="592" t="s">
        <v>770</v>
      </c>
      <c r="B278" s="589"/>
      <c r="C278" s="590"/>
      <c r="D278" s="589"/>
      <c r="E278" s="590"/>
      <c r="F278" s="501"/>
    </row>
    <row r="279" spans="1:8" x14ac:dyDescent="0.2">
      <c r="A279" s="592" t="s">
        <v>771</v>
      </c>
      <c r="B279" s="589"/>
      <c r="C279" s="590"/>
      <c r="D279" s="589"/>
      <c r="E279" s="590"/>
      <c r="F279" s="501"/>
    </row>
    <row r="280" spans="1:8" x14ac:dyDescent="0.2">
      <c r="A280" s="592" t="s">
        <v>772</v>
      </c>
      <c r="B280" s="589"/>
      <c r="C280" s="590"/>
      <c r="D280" s="589"/>
      <c r="E280" s="590"/>
      <c r="F280" s="501"/>
    </row>
    <row r="281" spans="1:8" x14ac:dyDescent="0.2">
      <c r="A281" s="592" t="s">
        <v>773</v>
      </c>
      <c r="B281" s="589"/>
      <c r="C281" s="590"/>
      <c r="D281" s="589"/>
      <c r="E281" s="590"/>
      <c r="F281" s="501"/>
    </row>
    <row r="282" spans="1:8" x14ac:dyDescent="0.2">
      <c r="B282" s="589"/>
      <c r="C282" s="590"/>
      <c r="D282" s="589"/>
      <c r="E282" s="590"/>
      <c r="F282" s="501"/>
    </row>
    <row r="283" spans="1:8" x14ac:dyDescent="0.2">
      <c r="A283" s="593" t="s">
        <v>774</v>
      </c>
      <c r="B283" s="589"/>
      <c r="C283" s="590"/>
      <c r="D283" s="589"/>
      <c r="E283" s="590"/>
      <c r="F283" s="501"/>
    </row>
    <row r="284" spans="1:8" x14ac:dyDescent="0.2">
      <c r="A284" s="592" t="s">
        <v>775</v>
      </c>
      <c r="B284" s="589"/>
      <c r="C284" s="590"/>
      <c r="D284" s="589"/>
      <c r="E284" s="590"/>
      <c r="F284" s="501"/>
    </row>
    <row r="285" spans="1:8" x14ac:dyDescent="0.2">
      <c r="A285" s="592" t="s">
        <v>776</v>
      </c>
      <c r="B285" s="589"/>
      <c r="C285" s="590"/>
      <c r="D285" s="589"/>
      <c r="E285" s="590"/>
      <c r="F285" s="501"/>
    </row>
    <row r="286" spans="1:8" x14ac:dyDescent="0.2">
      <c r="A286" s="592" t="s">
        <v>777</v>
      </c>
      <c r="B286" s="589"/>
      <c r="C286" s="590"/>
      <c r="D286" s="589"/>
      <c r="E286" s="590"/>
      <c r="F286" s="501"/>
    </row>
    <row r="287" spans="1:8" x14ac:dyDescent="0.2">
      <c r="A287" s="592" t="s">
        <v>778</v>
      </c>
      <c r="B287" s="589"/>
      <c r="C287" s="590"/>
      <c r="D287" s="589"/>
      <c r="E287" s="590"/>
      <c r="F287" s="501"/>
    </row>
    <row r="288" spans="1:8" x14ac:dyDescent="0.2">
      <c r="A288" s="594" t="s">
        <v>779</v>
      </c>
      <c r="B288" s="589"/>
      <c r="C288" s="590"/>
      <c r="D288" s="589"/>
      <c r="E288" s="590"/>
      <c r="F288" s="501"/>
    </row>
    <row r="289" spans="1:6" x14ac:dyDescent="0.2">
      <c r="A289" s="1694" t="s">
        <v>780</v>
      </c>
      <c r="B289" s="1694"/>
      <c r="C289" s="1694"/>
      <c r="D289" s="1694"/>
      <c r="E289" s="1694"/>
      <c r="F289" s="1694"/>
    </row>
    <row r="292" spans="1:6" x14ac:dyDescent="0.2">
      <c r="E292" s="323" t="s">
        <v>630</v>
      </c>
    </row>
    <row r="294" spans="1:6" x14ac:dyDescent="0.2">
      <c r="E294" s="323" t="s">
        <v>615</v>
      </c>
    </row>
  </sheetData>
  <sheetProtection algorithmName="SHA-512" hashValue="6KQ6E3mD9F8SdLApm/my6uoPX01ubEJYy6cSBkOGD+j39hBl8Qmf6x3qwqHulF9mNO77xQUWktI63sFSD1TxBQ==" saltValue="QXTfoDxAp4BcB7+BOWpQoQ==" spinCount="100000" sheet="1" objects="1" scenarios="1"/>
  <mergeCells count="155">
    <mergeCell ref="A12:B12"/>
    <mergeCell ref="A15:A19"/>
    <mergeCell ref="B15:B19"/>
    <mergeCell ref="H15:H19"/>
    <mergeCell ref="A20:A29"/>
    <mergeCell ref="B20:B29"/>
    <mergeCell ref="H20:H29"/>
    <mergeCell ref="A5:H5"/>
    <mergeCell ref="A10:A11"/>
    <mergeCell ref="B10:B11"/>
    <mergeCell ref="C10:C11"/>
    <mergeCell ref="G10:G11"/>
    <mergeCell ref="H10:H11"/>
    <mergeCell ref="A53:A54"/>
    <mergeCell ref="B53:B54"/>
    <mergeCell ref="H53:H54"/>
    <mergeCell ref="A55:A61"/>
    <mergeCell ref="B55:B61"/>
    <mergeCell ref="H55:H61"/>
    <mergeCell ref="A30:A47"/>
    <mergeCell ref="B30:B47"/>
    <mergeCell ref="H30:H47"/>
    <mergeCell ref="A48:A51"/>
    <mergeCell ref="B48:B51"/>
    <mergeCell ref="H48:H51"/>
    <mergeCell ref="A74:A77"/>
    <mergeCell ref="B74:B77"/>
    <mergeCell ref="H74:H77"/>
    <mergeCell ref="A78:A81"/>
    <mergeCell ref="B78:B81"/>
    <mergeCell ref="H78:H81"/>
    <mergeCell ref="A64:A67"/>
    <mergeCell ref="B64:B67"/>
    <mergeCell ref="H65:H67"/>
    <mergeCell ref="A68:A73"/>
    <mergeCell ref="B68:B73"/>
    <mergeCell ref="H68:H73"/>
    <mergeCell ref="A90:A92"/>
    <mergeCell ref="B90:B92"/>
    <mergeCell ref="H90:H92"/>
    <mergeCell ref="A94:A97"/>
    <mergeCell ref="B94:B97"/>
    <mergeCell ref="H94:H96"/>
    <mergeCell ref="A83:A85"/>
    <mergeCell ref="B83:B85"/>
    <mergeCell ref="H83:H85"/>
    <mergeCell ref="A86:A89"/>
    <mergeCell ref="B86:B89"/>
    <mergeCell ref="H86:H88"/>
    <mergeCell ref="A107:A113"/>
    <mergeCell ref="B107:B113"/>
    <mergeCell ref="H107:H113"/>
    <mergeCell ref="A115:A118"/>
    <mergeCell ref="B115:B118"/>
    <mergeCell ref="H115:H118"/>
    <mergeCell ref="A98:A100"/>
    <mergeCell ref="B98:B100"/>
    <mergeCell ref="H98:H100"/>
    <mergeCell ref="A102:A106"/>
    <mergeCell ref="B102:B106"/>
    <mergeCell ref="H102:H106"/>
    <mergeCell ref="A130:A133"/>
    <mergeCell ref="B130:B133"/>
    <mergeCell ref="H130:H133"/>
    <mergeCell ref="A136:A140"/>
    <mergeCell ref="B136:B140"/>
    <mergeCell ref="H136:H140"/>
    <mergeCell ref="A119:A123"/>
    <mergeCell ref="B119:B123"/>
    <mergeCell ref="H119:H123"/>
    <mergeCell ref="A125:A129"/>
    <mergeCell ref="B125:B129"/>
    <mergeCell ref="H125:H129"/>
    <mergeCell ref="A151:A152"/>
    <mergeCell ref="B151:B152"/>
    <mergeCell ref="H151:H152"/>
    <mergeCell ref="A153:A158"/>
    <mergeCell ref="B153:B158"/>
    <mergeCell ref="H153:H158"/>
    <mergeCell ref="A142:A145"/>
    <mergeCell ref="B142:B145"/>
    <mergeCell ref="H142:H145"/>
    <mergeCell ref="A146:A149"/>
    <mergeCell ref="B146:B149"/>
    <mergeCell ref="H146:H149"/>
    <mergeCell ref="A170:A172"/>
    <mergeCell ref="B170:B172"/>
    <mergeCell ref="H170:H172"/>
    <mergeCell ref="A173:A177"/>
    <mergeCell ref="B173:B177"/>
    <mergeCell ref="H173:H177"/>
    <mergeCell ref="A160:A164"/>
    <mergeCell ref="B160:B164"/>
    <mergeCell ref="H160:H164"/>
    <mergeCell ref="A165:A168"/>
    <mergeCell ref="B165:B168"/>
    <mergeCell ref="H165:H168"/>
    <mergeCell ref="A189:A195"/>
    <mergeCell ref="B189:B195"/>
    <mergeCell ref="H189:H195"/>
    <mergeCell ref="A196:A199"/>
    <mergeCell ref="B196:B199"/>
    <mergeCell ref="H196:H199"/>
    <mergeCell ref="A179:A183"/>
    <mergeCell ref="B179:B183"/>
    <mergeCell ref="H179:H183"/>
    <mergeCell ref="A184:A187"/>
    <mergeCell ref="B184:B187"/>
    <mergeCell ref="H184:H187"/>
    <mergeCell ref="A210:A213"/>
    <mergeCell ref="B210:B213"/>
    <mergeCell ref="H210:H213"/>
    <mergeCell ref="A214:A217"/>
    <mergeCell ref="B214:B217"/>
    <mergeCell ref="H214:H217"/>
    <mergeCell ref="A200:A203"/>
    <mergeCell ref="B200:B203"/>
    <mergeCell ref="H200:H203"/>
    <mergeCell ref="A204:A208"/>
    <mergeCell ref="B204:B208"/>
    <mergeCell ref="H205:H208"/>
    <mergeCell ref="A230:A233"/>
    <mergeCell ref="B230:B233"/>
    <mergeCell ref="H230:H233"/>
    <mergeCell ref="A235:A236"/>
    <mergeCell ref="B235:B236"/>
    <mergeCell ref="H235:H236"/>
    <mergeCell ref="A219:A223"/>
    <mergeCell ref="B219:B223"/>
    <mergeCell ref="H219:H223"/>
    <mergeCell ref="A225:A229"/>
    <mergeCell ref="B225:B229"/>
    <mergeCell ref="H225:H229"/>
    <mergeCell ref="A248:A252"/>
    <mergeCell ref="B248:B252"/>
    <mergeCell ref="H248:H252"/>
    <mergeCell ref="A253:A256"/>
    <mergeCell ref="B253:B256"/>
    <mergeCell ref="H253:H256"/>
    <mergeCell ref="A237:A242"/>
    <mergeCell ref="B237:B242"/>
    <mergeCell ref="H237:H242"/>
    <mergeCell ref="A243:A246"/>
    <mergeCell ref="B243:B246"/>
    <mergeCell ref="H243:H246"/>
    <mergeCell ref="A269:A272"/>
    <mergeCell ref="B269:B272"/>
    <mergeCell ref="H269:H272"/>
    <mergeCell ref="A289:F289"/>
    <mergeCell ref="A258:A262"/>
    <mergeCell ref="B258:B262"/>
    <mergeCell ref="H258:H262"/>
    <mergeCell ref="A263:A268"/>
    <mergeCell ref="B263:B268"/>
    <mergeCell ref="H264:H26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2019.gada 31.oktobra saistošajiem noteikumiem Nr.46
(protokols Nr.14, 28.punkts)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23"/>
  <sheetViews>
    <sheetView view="pageLayout" zoomScale="80" zoomScaleNormal="70" zoomScaleSheetLayoutView="70" zoomScalePageLayoutView="80" workbookViewId="0">
      <selection activeCell="D13" sqref="D13"/>
    </sheetView>
  </sheetViews>
  <sheetFormatPr defaultRowHeight="12.75" x14ac:dyDescent="0.2"/>
  <cols>
    <col min="1" max="1" width="14.42578125" style="1027" customWidth="1"/>
    <col min="2" max="2" width="13.5703125" style="1027" customWidth="1"/>
    <col min="3" max="3" width="48.28515625" style="1027" customWidth="1"/>
    <col min="4" max="18" width="13.7109375" style="1027" customWidth="1"/>
    <col min="19" max="20" width="9.140625" style="1027"/>
    <col min="21" max="21" width="9.85546875" style="1027" customWidth="1"/>
    <col min="22" max="16384" width="9.140625" style="1027"/>
  </cols>
  <sheetData>
    <row r="1" spans="1:18" x14ac:dyDescent="0.2">
      <c r="R1" s="495" t="s">
        <v>1293</v>
      </c>
    </row>
    <row r="2" spans="1:18" x14ac:dyDescent="0.2">
      <c r="R2" s="495" t="s">
        <v>434</v>
      </c>
    </row>
    <row r="3" spans="1:18" ht="19.5" customHeight="1" x14ac:dyDescent="0.3">
      <c r="A3" s="1747" t="s">
        <v>1294</v>
      </c>
      <c r="B3" s="1747"/>
      <c r="C3" s="1747"/>
      <c r="D3" s="1747"/>
      <c r="E3" s="1747"/>
      <c r="F3" s="1747"/>
      <c r="G3" s="1747"/>
      <c r="H3" s="1747"/>
      <c r="I3" s="1747"/>
      <c r="J3" s="1747"/>
      <c r="K3" s="1747"/>
      <c r="L3" s="1747"/>
      <c r="M3" s="1747"/>
      <c r="N3" s="1747"/>
      <c r="O3" s="1747"/>
      <c r="P3" s="1747"/>
      <c r="Q3" s="1747"/>
      <c r="R3" s="1747"/>
    </row>
    <row r="4" spans="1:18" ht="13.5" thickBot="1" x14ac:dyDescent="0.25">
      <c r="A4" s="1028"/>
      <c r="B4" s="1028"/>
      <c r="C4" s="1028"/>
      <c r="D4" s="1029"/>
      <c r="E4" s="1029"/>
      <c r="F4" s="1029"/>
      <c r="G4" s="1029"/>
      <c r="H4" s="1030"/>
      <c r="I4" s="1031"/>
      <c r="J4" s="1031"/>
      <c r="K4" s="1031"/>
      <c r="L4" s="1031"/>
      <c r="M4" s="1031"/>
      <c r="N4" s="1031"/>
      <c r="O4" s="1031"/>
      <c r="P4" s="1031"/>
      <c r="Q4" s="1031"/>
      <c r="R4" s="1032"/>
    </row>
    <row r="5" spans="1:18" ht="51" customHeight="1" x14ac:dyDescent="0.2">
      <c r="A5" s="1033" t="s">
        <v>1295</v>
      </c>
      <c r="B5" s="1034" t="s">
        <v>1296</v>
      </c>
      <c r="C5" s="1035" t="s">
        <v>1297</v>
      </c>
      <c r="D5" s="1036">
        <v>2019</v>
      </c>
      <c r="E5" s="1036">
        <v>2020</v>
      </c>
      <c r="F5" s="1037">
        <v>2021</v>
      </c>
      <c r="G5" s="1038">
        <v>2022</v>
      </c>
      <c r="H5" s="1034">
        <v>2023</v>
      </c>
      <c r="I5" s="1038">
        <v>2024</v>
      </c>
      <c r="J5" s="1038">
        <v>2025</v>
      </c>
      <c r="K5" s="1034">
        <v>2026</v>
      </c>
      <c r="L5" s="1034">
        <v>2027</v>
      </c>
      <c r="M5" s="1034">
        <v>2028</v>
      </c>
      <c r="N5" s="1034">
        <v>2029</v>
      </c>
      <c r="O5" s="1034">
        <v>2030</v>
      </c>
      <c r="P5" s="1037">
        <v>2031</v>
      </c>
      <c r="Q5" s="1034">
        <v>2032</v>
      </c>
      <c r="R5" s="1039" t="s">
        <v>1298</v>
      </c>
    </row>
    <row r="6" spans="1:18" ht="15.75" x14ac:dyDescent="0.25">
      <c r="A6" s="1040"/>
      <c r="B6" s="1041"/>
      <c r="C6" s="1042" t="s">
        <v>1299</v>
      </c>
      <c r="D6" s="1043">
        <f t="shared" ref="D6:R6" si="0">SUM(D15:D102)</f>
        <v>6804412.5756727979</v>
      </c>
      <c r="E6" s="1043">
        <f t="shared" si="0"/>
        <v>8672604.6491714511</v>
      </c>
      <c r="F6" s="1043">
        <f t="shared" si="0"/>
        <v>10426510.292639552</v>
      </c>
      <c r="G6" s="1043">
        <f t="shared" si="0"/>
        <v>13286266.525869751</v>
      </c>
      <c r="H6" s="1043">
        <f t="shared" si="0"/>
        <v>13634736.331</v>
      </c>
      <c r="I6" s="1043">
        <f t="shared" si="0"/>
        <v>13344181.031000001</v>
      </c>
      <c r="J6" s="1043">
        <f t="shared" si="0"/>
        <v>10921427.731000001</v>
      </c>
      <c r="K6" s="1043">
        <f t="shared" si="0"/>
        <v>10037201.606000001</v>
      </c>
      <c r="L6" s="1043">
        <f t="shared" si="0"/>
        <v>9276205.8760000002</v>
      </c>
      <c r="M6" s="1043">
        <f t="shared" si="0"/>
        <v>8981127.2479999997</v>
      </c>
      <c r="N6" s="1043">
        <f t="shared" si="0"/>
        <v>8526818.4480000008</v>
      </c>
      <c r="O6" s="1043">
        <f t="shared" si="0"/>
        <v>7849493.9000000004</v>
      </c>
      <c r="P6" s="1043">
        <f t="shared" si="0"/>
        <v>7519325.1850000005</v>
      </c>
      <c r="Q6" s="1043">
        <f t="shared" si="0"/>
        <v>6140995.8119999999</v>
      </c>
      <c r="R6" s="1044">
        <f t="shared" si="0"/>
        <v>21505125</v>
      </c>
    </row>
    <row r="7" spans="1:18" ht="31.5" x14ac:dyDescent="0.25">
      <c r="A7" s="1045"/>
      <c r="B7" s="1046"/>
      <c r="C7" s="1047" t="s">
        <v>1300</v>
      </c>
      <c r="D7" s="1048">
        <f>D6/D13</f>
        <v>9.7588107520096029E-2</v>
      </c>
      <c r="E7" s="1048">
        <f t="shared" ref="E7:Q7" si="1">E6/E13</f>
        <v>0.12438150473245586</v>
      </c>
      <c r="F7" s="1048">
        <f t="shared" si="1"/>
        <v>0.14953581902650709</v>
      </c>
      <c r="G7" s="1048">
        <f>G6/G13</f>
        <v>0.19055011609713104</v>
      </c>
      <c r="H7" s="1048">
        <f t="shared" si="1"/>
        <v>0.19554783021754432</v>
      </c>
      <c r="I7" s="1048">
        <f t="shared" si="1"/>
        <v>0.19138071931096765</v>
      </c>
      <c r="J7" s="1049">
        <f t="shared" si="1"/>
        <v>0.15663386836598509</v>
      </c>
      <c r="K7" s="1048">
        <f t="shared" si="1"/>
        <v>0.14395239833474646</v>
      </c>
      <c r="L7" s="1048">
        <f t="shared" si="1"/>
        <v>0.13303828454524994</v>
      </c>
      <c r="M7" s="1048">
        <f t="shared" si="1"/>
        <v>0.12880630058544437</v>
      </c>
      <c r="N7" s="1048">
        <f t="shared" si="1"/>
        <v>0.1222906556963862</v>
      </c>
      <c r="O7" s="1048">
        <f t="shared" si="1"/>
        <v>0.11257654443679831</v>
      </c>
      <c r="P7" s="1049">
        <f t="shared" si="1"/>
        <v>0.10784130245949859</v>
      </c>
      <c r="Q7" s="1048">
        <f t="shared" si="1"/>
        <v>8.8073460113882035E-2</v>
      </c>
      <c r="R7" s="1050"/>
    </row>
    <row r="8" spans="1:18" ht="19.5" hidden="1" customHeight="1" x14ac:dyDescent="0.25">
      <c r="A8" s="1045"/>
      <c r="B8" s="1046"/>
      <c r="C8" s="1046" t="s">
        <v>1301</v>
      </c>
      <c r="D8" s="1051"/>
      <c r="E8" s="1051"/>
      <c r="F8" s="1052"/>
      <c r="G8" s="1052"/>
      <c r="H8" s="1051"/>
      <c r="I8" s="1052"/>
      <c r="J8" s="1052"/>
      <c r="K8" s="1053"/>
      <c r="L8" s="1053"/>
      <c r="M8" s="1053"/>
      <c r="N8" s="1053"/>
      <c r="O8" s="1053"/>
      <c r="P8" s="1054"/>
      <c r="Q8" s="1053"/>
      <c r="R8" s="1055"/>
    </row>
    <row r="9" spans="1:18" ht="19.5" customHeight="1" x14ac:dyDescent="0.25">
      <c r="A9" s="1045"/>
      <c r="B9" s="1046"/>
      <c r="C9" s="1748" t="s">
        <v>1302</v>
      </c>
      <c r="D9" s="1051">
        <f t="shared" ref="D9:R9" si="2">SUM(D40:D101)</f>
        <v>6726197.1091727978</v>
      </c>
      <c r="E9" s="1051">
        <f t="shared" si="2"/>
        <v>5848018.9330399502</v>
      </c>
      <c r="F9" s="1051">
        <f t="shared" si="2"/>
        <v>7253035.2889999999</v>
      </c>
      <c r="G9" s="1051">
        <f t="shared" si="2"/>
        <v>8635639.699000001</v>
      </c>
      <c r="H9" s="1051">
        <f t="shared" si="2"/>
        <v>7368407.04</v>
      </c>
      <c r="I9" s="1051">
        <f t="shared" si="2"/>
        <v>7206953.9400000004</v>
      </c>
      <c r="J9" s="1051">
        <f t="shared" si="2"/>
        <v>4697594.84</v>
      </c>
      <c r="K9" s="1051">
        <f t="shared" si="2"/>
        <v>3812921.1150000002</v>
      </c>
      <c r="L9" s="1051">
        <f t="shared" si="2"/>
        <v>3345418.4050000003</v>
      </c>
      <c r="M9" s="1051">
        <f t="shared" si="2"/>
        <v>3124517.1150000002</v>
      </c>
      <c r="N9" s="1051">
        <f t="shared" si="2"/>
        <v>2680380.1150000002</v>
      </c>
      <c r="O9" s="1051">
        <f t="shared" si="2"/>
        <v>2521751.1150000002</v>
      </c>
      <c r="P9" s="1052">
        <f t="shared" si="2"/>
        <v>2334585</v>
      </c>
      <c r="Q9" s="1051">
        <f t="shared" si="2"/>
        <v>1944274</v>
      </c>
      <c r="R9" s="1044">
        <f t="shared" si="2"/>
        <v>7669959</v>
      </c>
    </row>
    <row r="10" spans="1:18" ht="19.5" customHeight="1" x14ac:dyDescent="0.25">
      <c r="A10" s="1045"/>
      <c r="B10" s="1046"/>
      <c r="C10" s="1748"/>
      <c r="D10" s="1056">
        <f>D9/D13</f>
        <v>9.6466350238383625E-2</v>
      </c>
      <c r="E10" s="1056">
        <f t="shared" ref="E10:Q10" si="3">E9/E13</f>
        <v>8.3871619198609706E-2</v>
      </c>
      <c r="F10" s="1056">
        <f t="shared" si="3"/>
        <v>0.10402220320392563</v>
      </c>
      <c r="G10" s="1056">
        <f t="shared" si="3"/>
        <v>0.12385135764162492</v>
      </c>
      <c r="H10" s="1056">
        <f t="shared" si="3"/>
        <v>0.10567685167154248</v>
      </c>
      <c r="I10" s="1057">
        <f t="shared" si="3"/>
        <v>0.10336130976296047</v>
      </c>
      <c r="J10" s="1057">
        <f t="shared" si="3"/>
        <v>6.73723683320952E-2</v>
      </c>
      <c r="K10" s="1056">
        <f t="shared" si="3"/>
        <v>5.4684478872810395E-2</v>
      </c>
      <c r="L10" s="1056">
        <f t="shared" si="3"/>
        <v>4.7979608434394153E-2</v>
      </c>
      <c r="M10" s="1056">
        <f t="shared" si="3"/>
        <v>4.4811467378850292E-2</v>
      </c>
      <c r="N10" s="1056">
        <f t="shared" si="3"/>
        <v>3.8441705282911055E-2</v>
      </c>
      <c r="O10" s="1056">
        <f t="shared" si="3"/>
        <v>3.6166666293777641E-2</v>
      </c>
      <c r="P10" s="1057">
        <f t="shared" si="3"/>
        <v>3.3482351262669657E-2</v>
      </c>
      <c r="Q10" s="1056">
        <f t="shared" si="3"/>
        <v>2.7884555507242524E-2</v>
      </c>
      <c r="R10" s="1058"/>
    </row>
    <row r="11" spans="1:18" ht="19.5" customHeight="1" x14ac:dyDescent="0.25">
      <c r="A11" s="1045"/>
      <c r="B11" s="1046"/>
      <c r="C11" s="1749" t="s">
        <v>1303</v>
      </c>
      <c r="D11" s="1051">
        <f t="shared" ref="D11:R11" si="4">SUM(D15:D38)</f>
        <v>78215.466499999995</v>
      </c>
      <c r="E11" s="1051">
        <f t="shared" si="4"/>
        <v>2824585.7161315</v>
      </c>
      <c r="F11" s="1051">
        <f t="shared" si="4"/>
        <v>3173475.0036395504</v>
      </c>
      <c r="G11" s="1051">
        <f t="shared" si="4"/>
        <v>4650626.8268697504</v>
      </c>
      <c r="H11" s="1051">
        <f t="shared" si="4"/>
        <v>6266329.2909999993</v>
      </c>
      <c r="I11" s="1051">
        <f t="shared" si="4"/>
        <v>6137227.091</v>
      </c>
      <c r="J11" s="1051">
        <f t="shared" si="4"/>
        <v>6223832.8910000008</v>
      </c>
      <c r="K11" s="1051">
        <f t="shared" si="4"/>
        <v>6224280.4910000004</v>
      </c>
      <c r="L11" s="1051">
        <f t="shared" si="4"/>
        <v>5930787.4709999999</v>
      </c>
      <c r="M11" s="1051">
        <f t="shared" si="4"/>
        <v>5856610.1329999994</v>
      </c>
      <c r="N11" s="1051">
        <f t="shared" si="4"/>
        <v>5846438.3330000006</v>
      </c>
      <c r="O11" s="1051">
        <f t="shared" si="4"/>
        <v>5327742.7850000001</v>
      </c>
      <c r="P11" s="1051">
        <f t="shared" si="4"/>
        <v>5184740.1850000005</v>
      </c>
      <c r="Q11" s="1051">
        <f t="shared" si="4"/>
        <v>4196721.8119999999</v>
      </c>
      <c r="R11" s="1044">
        <f t="shared" si="4"/>
        <v>13835166</v>
      </c>
    </row>
    <row r="12" spans="1:18" ht="19.5" customHeight="1" x14ac:dyDescent="0.25">
      <c r="A12" s="1045"/>
      <c r="B12" s="1046"/>
      <c r="C12" s="1749"/>
      <c r="D12" s="1056">
        <f>D11/D13</f>
        <v>1.121757281712412E-3</v>
      </c>
      <c r="E12" s="1056">
        <f t="shared" ref="E12:O12" si="5">E11/E13</f>
        <v>4.050988553384615E-2</v>
      </c>
      <c r="F12" s="1056">
        <f t="shared" si="5"/>
        <v>4.5513615822581441E-2</v>
      </c>
      <c r="G12" s="1056">
        <f t="shared" si="5"/>
        <v>6.669875845550613E-2</v>
      </c>
      <c r="H12" s="1056">
        <f t="shared" si="5"/>
        <v>8.9870978546001831E-2</v>
      </c>
      <c r="I12" s="1057">
        <f t="shared" si="5"/>
        <v>8.801940954800716E-2</v>
      </c>
      <c r="J12" s="1057">
        <f t="shared" si="5"/>
        <v>8.9261500033889885E-2</v>
      </c>
      <c r="K12" s="1056">
        <f t="shared" si="5"/>
        <v>8.9267919461936046E-2</v>
      </c>
      <c r="L12" s="1056">
        <f t="shared" si="5"/>
        <v>8.5058676110855783E-2</v>
      </c>
      <c r="M12" s="1056">
        <f t="shared" si="5"/>
        <v>8.399483320659408E-2</v>
      </c>
      <c r="N12" s="1056">
        <f t="shared" si="5"/>
        <v>8.3848950413475135E-2</v>
      </c>
      <c r="O12" s="1056">
        <f t="shared" si="5"/>
        <v>7.6409878143020665E-2</v>
      </c>
      <c r="P12" s="1057">
        <f>P11/P13</f>
        <v>7.4358951196828935E-2</v>
      </c>
      <c r="Q12" s="1057">
        <f>Q11/Q13</f>
        <v>6.0188904606639504E-2</v>
      </c>
      <c r="R12" s="1058"/>
    </row>
    <row r="13" spans="1:18" ht="33.75" customHeight="1" thickBot="1" x14ac:dyDescent="0.3">
      <c r="A13" s="1059"/>
      <c r="B13" s="1060"/>
      <c r="C13" s="1061" t="s">
        <v>1304</v>
      </c>
      <c r="D13" s="1062">
        <f>92415679-11158627-11531214</f>
        <v>69725838</v>
      </c>
      <c r="E13" s="1062">
        <f t="shared" ref="E13:R13" si="6">92415679-11158627-11531214</f>
        <v>69725838</v>
      </c>
      <c r="F13" s="1062">
        <f t="shared" si="6"/>
        <v>69725838</v>
      </c>
      <c r="G13" s="1062">
        <f t="shared" si="6"/>
        <v>69725838</v>
      </c>
      <c r="H13" s="1062">
        <f t="shared" si="6"/>
        <v>69725838</v>
      </c>
      <c r="I13" s="1062">
        <f t="shared" si="6"/>
        <v>69725838</v>
      </c>
      <c r="J13" s="1062">
        <f t="shared" si="6"/>
        <v>69725838</v>
      </c>
      <c r="K13" s="1062">
        <f t="shared" si="6"/>
        <v>69725838</v>
      </c>
      <c r="L13" s="1062">
        <f t="shared" si="6"/>
        <v>69725838</v>
      </c>
      <c r="M13" s="1062">
        <f t="shared" si="6"/>
        <v>69725838</v>
      </c>
      <c r="N13" s="1062">
        <f t="shared" si="6"/>
        <v>69725838</v>
      </c>
      <c r="O13" s="1062">
        <f t="shared" si="6"/>
        <v>69725838</v>
      </c>
      <c r="P13" s="1062">
        <f t="shared" si="6"/>
        <v>69725838</v>
      </c>
      <c r="Q13" s="1062">
        <f t="shared" si="6"/>
        <v>69725838</v>
      </c>
      <c r="R13" s="1062">
        <f t="shared" si="6"/>
        <v>69725838</v>
      </c>
    </row>
    <row r="14" spans="1:18" ht="16.5" thickBot="1" x14ac:dyDescent="0.25">
      <c r="A14" s="1063">
        <f>SUM(A15:A38)</f>
        <v>66529633</v>
      </c>
      <c r="B14" s="1064"/>
      <c r="C14" s="1064" t="s">
        <v>1305</v>
      </c>
      <c r="D14" s="1065">
        <f t="shared" ref="D14:R14" si="7">SUM(D15:D38)</f>
        <v>78215.466499999995</v>
      </c>
      <c r="E14" s="1065">
        <f t="shared" si="7"/>
        <v>2824585.7161315</v>
      </c>
      <c r="F14" s="1065">
        <f t="shared" si="7"/>
        <v>3173475.0036395504</v>
      </c>
      <c r="G14" s="1065">
        <f t="shared" si="7"/>
        <v>4650626.8268697504</v>
      </c>
      <c r="H14" s="1065">
        <f t="shared" si="7"/>
        <v>6266329.2909999993</v>
      </c>
      <c r="I14" s="1065">
        <f t="shared" si="7"/>
        <v>6137227.091</v>
      </c>
      <c r="J14" s="1065">
        <f t="shared" si="7"/>
        <v>6223832.8910000008</v>
      </c>
      <c r="K14" s="1065">
        <f t="shared" si="7"/>
        <v>6224280.4910000004</v>
      </c>
      <c r="L14" s="1065">
        <f t="shared" si="7"/>
        <v>5930787.4709999999</v>
      </c>
      <c r="M14" s="1065">
        <f t="shared" si="7"/>
        <v>5856610.1329999994</v>
      </c>
      <c r="N14" s="1065">
        <f t="shared" si="7"/>
        <v>5846438.3330000006</v>
      </c>
      <c r="O14" s="1065">
        <f t="shared" si="7"/>
        <v>5327742.7850000001</v>
      </c>
      <c r="P14" s="1065">
        <f t="shared" si="7"/>
        <v>5184740.1850000005</v>
      </c>
      <c r="Q14" s="1065">
        <f t="shared" si="7"/>
        <v>4196721.8119999999</v>
      </c>
      <c r="R14" s="1066">
        <f t="shared" si="7"/>
        <v>13835166</v>
      </c>
    </row>
    <row r="15" spans="1:18" ht="47.25" x14ac:dyDescent="0.25">
      <c r="A15" s="1067">
        <f>1462506+4830432-379022+3054958</f>
        <v>8968874</v>
      </c>
      <c r="B15" s="1068" t="s">
        <v>1306</v>
      </c>
      <c r="C15" s="1069" t="s">
        <v>1307</v>
      </c>
      <c r="D15" s="1070"/>
      <c r="E15" s="1070">
        <v>0</v>
      </c>
      <c r="F15" s="1070">
        <v>0</v>
      </c>
      <c r="G15" s="1070">
        <f>295700-295700</f>
        <v>0</v>
      </c>
      <c r="H15" s="1070">
        <f t="shared" ref="H15:Q15" si="8">295700+218600</f>
        <v>514300</v>
      </c>
      <c r="I15" s="1070">
        <f t="shared" si="8"/>
        <v>514300</v>
      </c>
      <c r="J15" s="1070">
        <f t="shared" si="8"/>
        <v>514300</v>
      </c>
      <c r="K15" s="1070">
        <f t="shared" si="8"/>
        <v>514300</v>
      </c>
      <c r="L15" s="1070">
        <f t="shared" si="8"/>
        <v>514300</v>
      </c>
      <c r="M15" s="1070">
        <f t="shared" si="8"/>
        <v>514300</v>
      </c>
      <c r="N15" s="1070">
        <f t="shared" si="8"/>
        <v>514300</v>
      </c>
      <c r="O15" s="1071">
        <f t="shared" si="8"/>
        <v>514300</v>
      </c>
      <c r="P15" s="1070">
        <f t="shared" si="8"/>
        <v>514300</v>
      </c>
      <c r="Q15" s="1071">
        <f t="shared" si="8"/>
        <v>514300</v>
      </c>
      <c r="R15" s="1072">
        <f>(295700+295700+295700+295700+295700+295700+295700+295700+295616)+1164658</f>
        <v>3825874</v>
      </c>
    </row>
    <row r="16" spans="1:18" ht="16.5" thickBot="1" x14ac:dyDescent="0.3">
      <c r="A16" s="1073"/>
      <c r="B16" s="1074"/>
      <c r="C16" s="1075" t="s">
        <v>1308</v>
      </c>
      <c r="D16" s="1076"/>
      <c r="E16" s="1077">
        <f>(D16+(A15/3)*2/2)*0.027</f>
        <v>80719.865999999995</v>
      </c>
      <c r="F16" s="1077">
        <f>(E16+(A15/2))*0.027</f>
        <v>123259.23538200001</v>
      </c>
      <c r="G16" s="1078">
        <f>(A15-F15)*0.027</f>
        <v>242159.598</v>
      </c>
      <c r="H16" s="1078">
        <f>(A15-F15-G15)*0.027</f>
        <v>242159.598</v>
      </c>
      <c r="I16" s="1078">
        <f>(A15-F15-G15-H15)*0.027</f>
        <v>228273.49799999999</v>
      </c>
      <c r="J16" s="1078">
        <f>(A15-F15-G15-H15-I15)*0.027</f>
        <v>214387.39799999999</v>
      </c>
      <c r="K16" s="1079">
        <f>(A15-F15-G15-H15-I15-J15)*0.027</f>
        <v>200501.29800000001</v>
      </c>
      <c r="L16" s="1078">
        <v>94069</v>
      </c>
      <c r="M16" s="1079">
        <f>(A15-F15-G15-H15-I15-J15-K15-L15)*0.027</f>
        <v>172729.098</v>
      </c>
      <c r="N16" s="1078">
        <f>(A15-F15-G15-H15-I15-J15-K15-L15-M15)*0.027</f>
        <v>158842.99799999999</v>
      </c>
      <c r="O16" s="1079">
        <f>(A15-F15-G15-H15-I15-J15-K15-L15-M15-N15)*0.027</f>
        <v>144956.89799999999</v>
      </c>
      <c r="P16" s="1078">
        <f>(A15-E15-F15-G15-H15-I15-J15-K15-L15-M15-N15-O15)*0.027</f>
        <v>131070.798</v>
      </c>
      <c r="Q16" s="1080">
        <f>(A15-E15-F15-G15-H15-I15-J15-K15-L15-M15-N15-O15-P15)*0.027</f>
        <v>117184.698</v>
      </c>
      <c r="R16" s="1081">
        <v>568142</v>
      </c>
    </row>
    <row r="17" spans="1:18" ht="47.25" x14ac:dyDescent="0.25">
      <c r="A17" s="1082">
        <f>1423690+1297848+843282+4807578-5164048</f>
        <v>3208350</v>
      </c>
      <c r="B17" s="1083" t="s">
        <v>1306</v>
      </c>
      <c r="C17" s="1084" t="s">
        <v>1309</v>
      </c>
      <c r="D17" s="1085"/>
      <c r="E17" s="1085">
        <v>0</v>
      </c>
      <c r="F17" s="1085">
        <v>0</v>
      </c>
      <c r="G17" s="1085">
        <v>0</v>
      </c>
      <c r="H17" s="1085">
        <f>418600-218600</f>
        <v>200000</v>
      </c>
      <c r="I17" s="1085">
        <f>418600-218600</f>
        <v>200000</v>
      </c>
      <c r="J17" s="1085">
        <f>418600-118600</f>
        <v>300000</v>
      </c>
      <c r="K17" s="1085">
        <f>418600-118600</f>
        <v>300000</v>
      </c>
      <c r="L17" s="1085">
        <f>418600-118100</f>
        <v>300500</v>
      </c>
      <c r="M17" s="1085">
        <f>418600-118100</f>
        <v>300500</v>
      </c>
      <c r="N17" s="1085">
        <v>418600</v>
      </c>
      <c r="O17" s="1086">
        <v>418600</v>
      </c>
      <c r="P17" s="1085">
        <v>418600</v>
      </c>
      <c r="Q17" s="1086">
        <f>418600-67050</f>
        <v>351550</v>
      </c>
      <c r="R17" s="1087"/>
    </row>
    <row r="18" spans="1:18" ht="16.5" thickBot="1" x14ac:dyDescent="0.3">
      <c r="A18" s="1088"/>
      <c r="B18" s="1089"/>
      <c r="C18" s="1090" t="s">
        <v>1308</v>
      </c>
      <c r="D18" s="1091"/>
      <c r="E18" s="1091">
        <f>(A17/3/2)*0.027</f>
        <v>14437.575000000001</v>
      </c>
      <c r="F18" s="1091">
        <f>(E18+(A17/3)*2/2)*0.027</f>
        <v>29264.964524999999</v>
      </c>
      <c r="G18" s="1091">
        <f>(F18+(A17/2))*0.027</f>
        <v>44102.879042175002</v>
      </c>
      <c r="H18" s="1091">
        <f>(A17-G17)*0.027</f>
        <v>86625.45</v>
      </c>
      <c r="I18" s="1091">
        <f>(A17-G17-H17)*0.027</f>
        <v>81225.45</v>
      </c>
      <c r="J18" s="1091">
        <f>(A17-G17-H17-I17)*0.027</f>
        <v>75825.45</v>
      </c>
      <c r="K18" s="1091">
        <f>(A17-G17-H17-I17-J17)*0.027</f>
        <v>67725.45</v>
      </c>
      <c r="L18" s="1091">
        <f>(A17-G17-H17-I17-J17-K17)*0.027</f>
        <v>59625.45</v>
      </c>
      <c r="M18" s="1092">
        <f>(A17-G17-H17-I17-J17-K17-L17)*0.027</f>
        <v>51511.95</v>
      </c>
      <c r="N18" s="1092">
        <f>(A17-G17-H17-I17-J17-K17-L17-M17)*0.027</f>
        <v>43398.45</v>
      </c>
      <c r="O18" s="1092">
        <f>(A17-G17-H17-I17-J17-K17-L17-M17-N17)*0.027</f>
        <v>32096.25</v>
      </c>
      <c r="P18" s="1091">
        <f>(A17-G17-H17-I17-J17-K17-L17-M17-N17-O17)*0.027</f>
        <v>20794.05</v>
      </c>
      <c r="Q18" s="1092">
        <f>SUM(A17-E17-F17-G17-H17-I17-J17-K17-L17-M17-N17-O17-P17)*0.027</f>
        <v>9491.85</v>
      </c>
      <c r="R18" s="1093"/>
    </row>
    <row r="19" spans="1:18" ht="47.25" x14ac:dyDescent="0.25">
      <c r="A19" s="1082">
        <f>1387873+480280+492399-493102-31711+74604+31711-322175</f>
        <v>1619879</v>
      </c>
      <c r="B19" s="1083" t="s">
        <v>1310</v>
      </c>
      <c r="C19" s="1084" t="s">
        <v>1311</v>
      </c>
      <c r="D19" s="1085">
        <v>0</v>
      </c>
      <c r="E19" s="1085">
        <v>0</v>
      </c>
      <c r="F19" s="1085">
        <v>0</v>
      </c>
      <c r="G19" s="1085">
        <f>236100-123300-7900+7400+3200-32200</f>
        <v>83300</v>
      </c>
      <c r="H19" s="1085">
        <f>236100-123300-7900+7400+3200-32200</f>
        <v>83300</v>
      </c>
      <c r="I19" s="1085">
        <f>236100-123300-7900+7400+3200-32200</f>
        <v>83300</v>
      </c>
      <c r="J19" s="1085">
        <f>236100-123200-8000+7400+3200-32200</f>
        <v>83300</v>
      </c>
      <c r="K19" s="1085">
        <f>236100+7400+3200-32200</f>
        <v>214500</v>
      </c>
      <c r="L19" s="1085">
        <f>236100+7400+3200-32200</f>
        <v>214500</v>
      </c>
      <c r="M19" s="1085">
        <f>236100+7400+3200-32200</f>
        <v>214500</v>
      </c>
      <c r="N19" s="1085">
        <f>236100+7400+3200-32200</f>
        <v>214500</v>
      </c>
      <c r="O19" s="1086">
        <f>236100+7400+3200-32300</f>
        <v>214400</v>
      </c>
      <c r="P19" s="1085">
        <f>235639+7004+3911-32275</f>
        <v>214279</v>
      </c>
      <c r="Q19" s="1086"/>
      <c r="R19" s="1087"/>
    </row>
    <row r="20" spans="1:18" ht="16.5" thickBot="1" x14ac:dyDescent="0.3">
      <c r="A20" s="1088"/>
      <c r="B20" s="1089"/>
      <c r="C20" s="1090" t="s">
        <v>1312</v>
      </c>
      <c r="D20" s="1091">
        <f>(A19/3/2)*0.027-1450</f>
        <v>5839.4554999999991</v>
      </c>
      <c r="E20" s="1091">
        <f>(D20+(A19/3)*2/2)*0.027-2939</f>
        <v>11797.5762985</v>
      </c>
      <c r="F20" s="1091">
        <f>(E20+(A19/2))*0.027-4429</f>
        <v>17757.901060059499</v>
      </c>
      <c r="G20" s="1091">
        <f>(A19-F19)*0.027-8699</f>
        <v>35037.733</v>
      </c>
      <c r="H20" s="1091">
        <f>(A19-F19-G19)*0.027-7829</f>
        <v>33658.633000000002</v>
      </c>
      <c r="I20" s="1091">
        <f>(A19-F19-G19-H19)*0.027-6960</f>
        <v>32278.533000000003</v>
      </c>
      <c r="J20" s="1091">
        <f>(A19-F19-G19-H19-I19)*0.027-6091</f>
        <v>30898.432999999997</v>
      </c>
      <c r="K20" s="1092">
        <f>(A19-F19-G19-H19-I19-J19)*0.027-5221</f>
        <v>29519.332999999999</v>
      </c>
      <c r="L20" s="1092">
        <f>(A19-F19-G19-H19-I19-J19-K19)*0.027-4352</f>
        <v>24596.832999999999</v>
      </c>
      <c r="M20" s="1092">
        <f>(A19-F19-G19-H19-I19-J19-K19-L19)*0.027-3482</f>
        <v>19675.332999999999</v>
      </c>
      <c r="N20" s="1092">
        <f>(A19-F19-G19-H19-I19-J19-K19-L19-M19)*0.027-2613</f>
        <v>14752.832999999999</v>
      </c>
      <c r="O20" s="1092">
        <f>(A19-F19-G19-H19-I19-J19-K19-L19-M19-N19)*0.027-1744</f>
        <v>9830.3330000000005</v>
      </c>
      <c r="P20" s="1091">
        <f>(A19-E19-F19-G19-H19-I19-J19-K19-L19-M19-N19-O19)*0.027-871</f>
        <v>4914.5330000000004</v>
      </c>
      <c r="Q20" s="1092"/>
      <c r="R20" s="1094"/>
    </row>
    <row r="21" spans="1:18" ht="47.25" x14ac:dyDescent="0.25">
      <c r="A21" s="1067">
        <f>2223273-610288</f>
        <v>1612985</v>
      </c>
      <c r="B21" s="1068" t="s">
        <v>1313</v>
      </c>
      <c r="C21" s="1069" t="s">
        <v>1314</v>
      </c>
      <c r="D21" s="1070"/>
      <c r="E21" s="1070">
        <v>0</v>
      </c>
      <c r="F21" s="1070">
        <v>0</v>
      </c>
      <c r="G21" s="1070">
        <f>222300-60300</f>
        <v>162000</v>
      </c>
      <c r="H21" s="1070">
        <f>222300-60300</f>
        <v>162000</v>
      </c>
      <c r="I21" s="1070">
        <f t="shared" ref="I21:O21" si="9">222300-60300</f>
        <v>162000</v>
      </c>
      <c r="J21" s="1070">
        <f t="shared" si="9"/>
        <v>162000</v>
      </c>
      <c r="K21" s="1070">
        <f t="shared" si="9"/>
        <v>162000</v>
      </c>
      <c r="L21" s="1070">
        <f t="shared" si="9"/>
        <v>162000</v>
      </c>
      <c r="M21" s="1070">
        <f t="shared" si="9"/>
        <v>162000</v>
      </c>
      <c r="N21" s="1070">
        <f t="shared" si="9"/>
        <v>162000</v>
      </c>
      <c r="O21" s="1070">
        <f t="shared" si="9"/>
        <v>162000</v>
      </c>
      <c r="P21" s="1070">
        <f>222573-67588</f>
        <v>154985</v>
      </c>
      <c r="Q21" s="1071"/>
      <c r="R21" s="1072"/>
    </row>
    <row r="22" spans="1:18" ht="16.5" thickBot="1" x14ac:dyDescent="0.3">
      <c r="A22" s="1088"/>
      <c r="B22" s="1089"/>
      <c r="C22" s="1090" t="s">
        <v>1308</v>
      </c>
      <c r="D22" s="1091"/>
      <c r="E22" s="1091">
        <f>(A21/3/2)*0.027</f>
        <v>7258.432499999999</v>
      </c>
      <c r="F22" s="1091">
        <f>(E22+A21/2)*0.027</f>
        <v>21971.2751775</v>
      </c>
      <c r="G22" s="1091">
        <f>A21*0.027</f>
        <v>43550.595000000001</v>
      </c>
      <c r="H22" s="1091">
        <f>(A21-G21)*0.027</f>
        <v>39176.595000000001</v>
      </c>
      <c r="I22" s="1091">
        <f>(A21-G21-H21)*0.027</f>
        <v>34802.595000000001</v>
      </c>
      <c r="J22" s="1091">
        <f>(A21-G21-H21-I21)*0.027</f>
        <v>30428.595000000001</v>
      </c>
      <c r="K22" s="1091">
        <f>(A21-G21-H21-I21-J21)*0.027</f>
        <v>26054.595000000001</v>
      </c>
      <c r="L22" s="1091">
        <f>(A21-G21-H21-I21-J21-K21)*0.027</f>
        <v>21680.595000000001</v>
      </c>
      <c r="M22" s="1092">
        <f>(A21-G21-H21-I21-J21-K21-L21)*0.027</f>
        <v>17306.595000000001</v>
      </c>
      <c r="N22" s="1092">
        <f>(A21-G21-H21-I21-J21-K21-L21-M21)*0.027</f>
        <v>12932.594999999999</v>
      </c>
      <c r="O22" s="1092">
        <f>(A21-G21-H21-I21-J21-K21-L21-M21-N21)*0.027</f>
        <v>8558.5949999999993</v>
      </c>
      <c r="P22" s="1091">
        <f>(A21-G21-H21-I21-J21-K21-L21-M21-N21-O21)*0.027</f>
        <v>4184.5950000000003</v>
      </c>
      <c r="Q22" s="1092"/>
      <c r="R22" s="1094"/>
    </row>
    <row r="23" spans="1:18" ht="47.25" x14ac:dyDescent="0.25">
      <c r="A23" s="1082">
        <f>280919+13590+222945</f>
        <v>517454</v>
      </c>
      <c r="B23" s="1083" t="s">
        <v>1313</v>
      </c>
      <c r="C23" s="1084" t="s">
        <v>1315</v>
      </c>
      <c r="D23" s="1085"/>
      <c r="E23" s="1085">
        <v>0</v>
      </c>
      <c r="F23" s="1085">
        <v>0</v>
      </c>
      <c r="G23" s="1085">
        <v>103500</v>
      </c>
      <c r="H23" s="1085">
        <v>103500</v>
      </c>
      <c r="I23" s="1085">
        <v>103500</v>
      </c>
      <c r="J23" s="1085">
        <v>103500</v>
      </c>
      <c r="K23" s="1085">
        <v>103454</v>
      </c>
      <c r="L23" s="1086"/>
      <c r="M23" s="1086"/>
      <c r="N23" s="1086"/>
      <c r="O23" s="1086"/>
      <c r="P23" s="1085"/>
      <c r="Q23" s="1086"/>
      <c r="R23" s="1087"/>
    </row>
    <row r="24" spans="1:18" ht="16.5" thickBot="1" x14ac:dyDescent="0.3">
      <c r="A24" s="1088"/>
      <c r="B24" s="1089"/>
      <c r="C24" s="1090" t="s">
        <v>1308</v>
      </c>
      <c r="D24" s="1091"/>
      <c r="E24" s="1091">
        <f>(A23/3/2)*0.027</f>
        <v>2328.5429999999997</v>
      </c>
      <c r="F24" s="1091">
        <f>(E24+A23/2)*0.027</f>
        <v>7048.4996609999998</v>
      </c>
      <c r="G24" s="1091">
        <f>(A23-E23-F23)*0.027</f>
        <v>13971.258</v>
      </c>
      <c r="H24" s="1091">
        <f>(A23-E23-F23-G23)*0.027</f>
        <v>11176.758</v>
      </c>
      <c r="I24" s="1091">
        <f>(A23-E23-F23-G23-H23)*0.027</f>
        <v>8382.2579999999998</v>
      </c>
      <c r="J24" s="1091">
        <f>(A23-E23-F23-G23-H23-I23)*0.027</f>
        <v>5587.7579999999998</v>
      </c>
      <c r="K24" s="1091">
        <f>(A23-E23-F23-G23-H23-I23-J23)*0.027</f>
        <v>2793.2579999999998</v>
      </c>
      <c r="L24" s="1092"/>
      <c r="M24" s="1092"/>
      <c r="N24" s="1092"/>
      <c r="O24" s="1092"/>
      <c r="P24" s="1091"/>
      <c r="Q24" s="1092"/>
      <c r="R24" s="1094"/>
    </row>
    <row r="25" spans="1:18" ht="47.25" x14ac:dyDescent="0.25">
      <c r="A25" s="1082">
        <f>1495263-10268-502733</f>
        <v>982262</v>
      </c>
      <c r="B25" s="1083" t="s">
        <v>1316</v>
      </c>
      <c r="C25" s="1084" t="s">
        <v>1317</v>
      </c>
      <c r="D25" s="1086">
        <v>0</v>
      </c>
      <c r="E25" s="1086">
        <v>0</v>
      </c>
      <c r="F25" s="1086">
        <v>0</v>
      </c>
      <c r="G25" s="1086">
        <f t="shared" ref="G25:O25" si="10">149500-50200</f>
        <v>99300</v>
      </c>
      <c r="H25" s="1086">
        <f t="shared" si="10"/>
        <v>99300</v>
      </c>
      <c r="I25" s="1086">
        <f t="shared" si="10"/>
        <v>99300</v>
      </c>
      <c r="J25" s="1086">
        <f t="shared" si="10"/>
        <v>99300</v>
      </c>
      <c r="K25" s="1086">
        <f t="shared" si="10"/>
        <v>99300</v>
      </c>
      <c r="L25" s="1086">
        <f t="shared" si="10"/>
        <v>99300</v>
      </c>
      <c r="M25" s="1086">
        <f t="shared" si="10"/>
        <v>99300</v>
      </c>
      <c r="N25" s="1086">
        <f t="shared" si="10"/>
        <v>99300</v>
      </c>
      <c r="O25" s="1086">
        <f t="shared" si="10"/>
        <v>99300</v>
      </c>
      <c r="P25" s="1085">
        <f>139495-50933</f>
        <v>88562</v>
      </c>
      <c r="Q25" s="1086"/>
      <c r="R25" s="1087"/>
    </row>
    <row r="26" spans="1:18" ht="16.5" thickBot="1" x14ac:dyDescent="0.3">
      <c r="A26" s="1088"/>
      <c r="B26" s="1089"/>
      <c r="C26" s="1090" t="s">
        <v>1308</v>
      </c>
      <c r="D26" s="1092">
        <f>(A25/3/2)*0.027</f>
        <v>4420.1790000000001</v>
      </c>
      <c r="E26" s="1092">
        <f>(D26+(A25/3)*2/2)*0.027</f>
        <v>8959.7028330000012</v>
      </c>
      <c r="F26" s="1092">
        <f>(E26+(A25/2))*0.027</f>
        <v>13502.448976490999</v>
      </c>
      <c r="G26" s="1092">
        <f>A25*0.027</f>
        <v>26521.074000000001</v>
      </c>
      <c r="H26" s="1092">
        <f>(A25-G25)*0.027</f>
        <v>23839.973999999998</v>
      </c>
      <c r="I26" s="1092">
        <f>(A25-G25-H25)*0.027</f>
        <v>21158.874</v>
      </c>
      <c r="J26" s="1092">
        <f>(A25-G25-H25-I25)*0.027</f>
        <v>18477.774000000001</v>
      </c>
      <c r="K26" s="1092">
        <f>(A25-G25-H25-I25-J25)*0.027</f>
        <v>15796.673999999999</v>
      </c>
      <c r="L26" s="1092">
        <f>(A25-G25-H25-I25-J25-K25)*0.027</f>
        <v>13115.574000000001</v>
      </c>
      <c r="M26" s="1092">
        <f>(A25-G25-H25-I25-J25-K25-L25)*0.027</f>
        <v>10434.474</v>
      </c>
      <c r="N26" s="1092">
        <f>(A25-G25-H25-I25-J25-K25-L25-M25)*0.027</f>
        <v>7753.3739999999998</v>
      </c>
      <c r="O26" s="1092">
        <f>(A25-G25-H25-I25-J25-K25-L25-M25-N25)*0.027</f>
        <v>5072.2740000000003</v>
      </c>
      <c r="P26" s="1091">
        <f>(A25-G25-H25-I25-J25-K25-L25-M25-N25-O25)*0.027</f>
        <v>2391.174</v>
      </c>
      <c r="Q26" s="1092"/>
      <c r="R26" s="1094"/>
    </row>
    <row r="27" spans="1:18" ht="31.5" x14ac:dyDescent="0.25">
      <c r="A27" s="1067">
        <v>12000000</v>
      </c>
      <c r="B27" s="1068" t="s">
        <v>1313</v>
      </c>
      <c r="C27" s="1069" t="s">
        <v>1318</v>
      </c>
      <c r="D27" s="1070"/>
      <c r="E27" s="1070"/>
      <c r="F27" s="1070"/>
      <c r="G27" s="1070">
        <f>225000*2</f>
        <v>450000</v>
      </c>
      <c r="H27" s="1070">
        <f>375000*2</f>
        <v>750000</v>
      </c>
      <c r="I27" s="1070">
        <f t="shared" ref="I27:Q27" si="11">375000*2</f>
        <v>750000</v>
      </c>
      <c r="J27" s="1070">
        <f t="shared" si="11"/>
        <v>750000</v>
      </c>
      <c r="K27" s="1070">
        <f t="shared" si="11"/>
        <v>750000</v>
      </c>
      <c r="L27" s="1070">
        <f t="shared" si="11"/>
        <v>750000</v>
      </c>
      <c r="M27" s="1070">
        <f t="shared" si="11"/>
        <v>750000</v>
      </c>
      <c r="N27" s="1070">
        <f t="shared" si="11"/>
        <v>750000</v>
      </c>
      <c r="O27" s="1070">
        <f t="shared" si="11"/>
        <v>750000</v>
      </c>
      <c r="P27" s="1070">
        <f t="shared" si="11"/>
        <v>750000</v>
      </c>
      <c r="Q27" s="1071">
        <f t="shared" si="11"/>
        <v>750000</v>
      </c>
      <c r="R27" s="1072">
        <v>4050000</v>
      </c>
    </row>
    <row r="28" spans="1:18" ht="16.5" thickBot="1" x14ac:dyDescent="0.3">
      <c r="A28" s="1095"/>
      <c r="B28" s="1096"/>
      <c r="C28" s="1097" t="s">
        <v>1308</v>
      </c>
      <c r="D28" s="1098"/>
      <c r="E28" s="1098">
        <f>((A27/2)/2)*0.027</f>
        <v>81000</v>
      </c>
      <c r="F28" s="1098">
        <f>(E28+A27/2)*0.027</f>
        <v>164187</v>
      </c>
      <c r="G28" s="1098">
        <f>(A27-F27)*0.027</f>
        <v>324000</v>
      </c>
      <c r="H28" s="1098">
        <f>(A27-F27-G27)*0.027</f>
        <v>311850</v>
      </c>
      <c r="I28" s="1098">
        <f>(A27-F27-G27-H27)*0.027</f>
        <v>291600</v>
      </c>
      <c r="J28" s="1098">
        <f>(A27-F27-G27-H27-I27)*0.027</f>
        <v>271350</v>
      </c>
      <c r="K28" s="1098">
        <f>(A27-F27-G27-H27-I27-J27)*0.027</f>
        <v>251100</v>
      </c>
      <c r="L28" s="1098">
        <f>(A27-F27-G27-H27-I27-J27-K27)*0.027</f>
        <v>230850</v>
      </c>
      <c r="M28" s="1098">
        <f>(A27-F27-G27-H27-I27-J27-K27-L27)*0.027</f>
        <v>210600</v>
      </c>
      <c r="N28" s="1098">
        <f>(A27-F27-G27-H27-I27-J27-K27-L27-M27)*0.027</f>
        <v>190350</v>
      </c>
      <c r="O28" s="1099">
        <f>(A27-F27-G27-H27-I27-J27-K27-L27-M27-N27)*0.027</f>
        <v>170100</v>
      </c>
      <c r="P28" s="1098">
        <f>(A27-F27-G27-H27-I27-J27-K27-L27-M27-N27-O27)*0.027</f>
        <v>149850</v>
      </c>
      <c r="Q28" s="1099">
        <f>SUM(A27-F27-G27-H27-I27-J27-K27-L27-M27-N27-O27-P27)*0.027</f>
        <v>129600</v>
      </c>
      <c r="R28" s="1100">
        <f>293625-58725+40500</f>
        <v>275400</v>
      </c>
    </row>
    <row r="29" spans="1:18" ht="63" x14ac:dyDescent="0.25">
      <c r="A29" s="1082">
        <f>2152272+71001</f>
        <v>2223273</v>
      </c>
      <c r="B29" s="1083" t="s">
        <v>1313</v>
      </c>
      <c r="C29" s="1084" t="s">
        <v>1319</v>
      </c>
      <c r="D29" s="1085"/>
      <c r="E29" s="1085">
        <v>0</v>
      </c>
      <c r="F29" s="1085">
        <v>0</v>
      </c>
      <c r="G29" s="1085">
        <v>86400</v>
      </c>
      <c r="H29" s="1085">
        <v>159600</v>
      </c>
      <c r="I29" s="1085">
        <v>149600</v>
      </c>
      <c r="J29" s="1085">
        <v>261200</v>
      </c>
      <c r="K29" s="1085">
        <v>261200</v>
      </c>
      <c r="L29" s="1085">
        <v>261200</v>
      </c>
      <c r="M29" s="1086">
        <v>261200</v>
      </c>
      <c r="N29" s="1086">
        <v>261200</v>
      </c>
      <c r="O29" s="1086">
        <v>261200</v>
      </c>
      <c r="P29" s="1085">
        <v>260473</v>
      </c>
      <c r="Q29" s="1086"/>
      <c r="R29" s="1087"/>
    </row>
    <row r="30" spans="1:18" ht="16.5" thickBot="1" x14ac:dyDescent="0.3">
      <c r="A30" s="1088"/>
      <c r="B30" s="1089"/>
      <c r="C30" s="1090" t="s">
        <v>1308</v>
      </c>
      <c r="D30" s="1091"/>
      <c r="E30" s="1091">
        <f>(A29/3/2)*0.027</f>
        <v>10004.728499999999</v>
      </c>
      <c r="F30" s="1091">
        <f>(E30+A29/2)*0.027</f>
        <v>30284.313169499997</v>
      </c>
      <c r="G30" s="1091">
        <f>(A29-E29-F29)*0.027</f>
        <v>60028.370999999999</v>
      </c>
      <c r="H30" s="1091">
        <f>(A29-E29-F29-G29)*0.027</f>
        <v>57695.570999999996</v>
      </c>
      <c r="I30" s="1091">
        <f>(A29-E29-F29-G29-H29)*0.027</f>
        <v>53386.370999999999</v>
      </c>
      <c r="J30" s="1091">
        <f>(A29-E29-F29-G29-H29-I29)*0.027</f>
        <v>49347.171000000002</v>
      </c>
      <c r="K30" s="1091">
        <f>(A29-E29-F29-G29-H29-I29-J29)*0.027</f>
        <v>42294.771000000001</v>
      </c>
      <c r="L30" s="1091">
        <f>(A29-E29-F29-G29-H29-I29-J29-K29)*0.027</f>
        <v>35242.370999999999</v>
      </c>
      <c r="M30" s="1092">
        <f>(A29-E29-F29-G29-H29-I29-J29-K29-L29)*0.027</f>
        <v>28189.971000000001</v>
      </c>
      <c r="N30" s="1092">
        <f>(A29-E29-F29-G29-H29-I29-J29-K29-L29-M29)*0.027</f>
        <v>21137.571</v>
      </c>
      <c r="O30" s="1092">
        <f>(A29-E29-F29-G29-H29-I29-J29-K29-L29-M29-N29)*0.027</f>
        <v>14085.171</v>
      </c>
      <c r="P30" s="1091">
        <f>(A29-E29-F29-G29-H29-I29-J29-K29-L29-M29-N29-O29)*0.027</f>
        <v>7032.7709999999997</v>
      </c>
      <c r="Q30" s="1092"/>
      <c r="R30" s="1094"/>
    </row>
    <row r="31" spans="1:18" ht="31.5" x14ac:dyDescent="0.25">
      <c r="A31" s="1067">
        <f>4924140-1215479+66663</f>
        <v>3775324</v>
      </c>
      <c r="B31" s="1068">
        <v>2019</v>
      </c>
      <c r="C31" s="1068" t="s">
        <v>1320</v>
      </c>
      <c r="D31" s="1101"/>
      <c r="E31" s="1101">
        <f>492500-124900+8000</f>
        <v>375600</v>
      </c>
      <c r="F31" s="1101">
        <f>692500-173400</f>
        <v>519100</v>
      </c>
      <c r="G31" s="1102">
        <f>292500-68300</f>
        <v>224200</v>
      </c>
      <c r="H31" s="1102">
        <f>492500-126900+8000</f>
        <v>373600</v>
      </c>
      <c r="I31" s="1102">
        <f>492500-120900+8000</f>
        <v>379600</v>
      </c>
      <c r="J31" s="1102">
        <f>492500-120900+8000</f>
        <v>379600</v>
      </c>
      <c r="K31" s="1102">
        <f>492500-120900+8000</f>
        <v>379600</v>
      </c>
      <c r="L31" s="1102">
        <f>492500-120900+8000</f>
        <v>379600</v>
      </c>
      <c r="M31" s="1102">
        <f>492500-120900+9000</f>
        <v>380600</v>
      </c>
      <c r="N31" s="1102">
        <f>491640-117479+9663</f>
        <v>383824</v>
      </c>
      <c r="O31" s="1101"/>
      <c r="P31" s="1102"/>
      <c r="Q31" s="1101"/>
      <c r="R31" s="1103"/>
    </row>
    <row r="32" spans="1:18" ht="16.5" thickBot="1" x14ac:dyDescent="0.3">
      <c r="A32" s="1095"/>
      <c r="B32" s="1104"/>
      <c r="C32" s="1105" t="s">
        <v>1308</v>
      </c>
      <c r="D32" s="1106">
        <f>E32/12*8</f>
        <v>67955.831999999995</v>
      </c>
      <c r="E32" s="1106">
        <f>A31*0.027</f>
        <v>101933.74799999999</v>
      </c>
      <c r="F32" s="1078">
        <f>(A31-E31)*0.027</f>
        <v>91792.547999999995</v>
      </c>
      <c r="G32" s="1078">
        <f>(A31-E31-F31)*0.027</f>
        <v>77776.847999999998</v>
      </c>
      <c r="H32" s="1107">
        <f>(A31-E31-F31-G31)*0.027</f>
        <v>71723.448000000004</v>
      </c>
      <c r="I32" s="1107">
        <f>(A31-E31-F31-G31-H31)*0.027</f>
        <v>61636.248</v>
      </c>
      <c r="J32" s="1107">
        <f>(A31-E31-F31-G31-H31-I31)*0.027</f>
        <v>51387.048000000003</v>
      </c>
      <c r="K32" s="1107">
        <f>(A31-E31-F31-G31-H31-I31-J31)*0.027</f>
        <v>41137.847999999998</v>
      </c>
      <c r="L32" s="1107">
        <f>(A31-E31-F31-G31-H31-I31-J31-K31)*0.027</f>
        <v>30888.648000000001</v>
      </c>
      <c r="M32" s="1107">
        <f>(A31-E31-F31-G31-H31-I31-J31-K31-L31)*0.027</f>
        <v>20639.448</v>
      </c>
      <c r="N32" s="1107">
        <f>(A31-E31-F31-G31-H31-I31-J31-K31-L31-M31)*0.027</f>
        <v>10363.248</v>
      </c>
      <c r="O32" s="1106"/>
      <c r="P32" s="1107"/>
      <c r="Q32" s="1106"/>
      <c r="R32" s="1108"/>
    </row>
    <row r="33" spans="1:18" ht="15.75" x14ac:dyDescent="0.25">
      <c r="A33" s="1067">
        <v>7000000</v>
      </c>
      <c r="B33" s="1068" t="s">
        <v>1313</v>
      </c>
      <c r="C33" s="1069" t="s">
        <v>1321</v>
      </c>
      <c r="D33" s="1071"/>
      <c r="E33" s="1071"/>
      <c r="F33" s="1071"/>
      <c r="G33" s="1071">
        <v>350000</v>
      </c>
      <c r="H33" s="1071">
        <v>350000</v>
      </c>
      <c r="I33" s="1071">
        <v>350000</v>
      </c>
      <c r="J33" s="1071">
        <v>350000</v>
      </c>
      <c r="K33" s="1071">
        <v>350000</v>
      </c>
      <c r="L33" s="1071">
        <v>350000</v>
      </c>
      <c r="M33" s="1071">
        <v>350000</v>
      </c>
      <c r="N33" s="1071">
        <v>350000</v>
      </c>
      <c r="O33" s="1071">
        <v>350000</v>
      </c>
      <c r="P33" s="1070">
        <v>350000</v>
      </c>
      <c r="Q33" s="1071">
        <v>350000</v>
      </c>
      <c r="R33" s="1072">
        <f>3850000-350000-350000</f>
        <v>3150000</v>
      </c>
    </row>
    <row r="34" spans="1:18" ht="16.5" thickBot="1" x14ac:dyDescent="0.3">
      <c r="A34" s="1095"/>
      <c r="B34" s="1096"/>
      <c r="C34" s="1097" t="s">
        <v>1312</v>
      </c>
      <c r="D34" s="1099"/>
      <c r="E34" s="1099">
        <f>(A33/2/2)*0.027</f>
        <v>47250</v>
      </c>
      <c r="F34" s="1099">
        <f>(E34+A33/2)*0.027</f>
        <v>95775.75</v>
      </c>
      <c r="G34" s="1099">
        <f>A33*0.027</f>
        <v>189000</v>
      </c>
      <c r="H34" s="1099">
        <f>(A33-G33)*0.027</f>
        <v>179550</v>
      </c>
      <c r="I34" s="1099">
        <f>(A33-G33-H33)*0.027</f>
        <v>170100</v>
      </c>
      <c r="J34" s="1099">
        <f>(A33-G33-H33-I33)*0.027</f>
        <v>160650</v>
      </c>
      <c r="K34" s="1099">
        <f>(A33-G33-H33-I33-J33)*0.027</f>
        <v>151200</v>
      </c>
      <c r="L34" s="1099">
        <f>(A33-G33-H33-I33-J33-K33)*0.027</f>
        <v>141750</v>
      </c>
      <c r="M34" s="1099">
        <f>(A33-G33-H33-I33-J33-K33-L33)*0.027</f>
        <v>132300</v>
      </c>
      <c r="N34" s="1099">
        <f>(A33-G33-H33-I33-J33-K33-L33-M33)*0.027</f>
        <v>122850</v>
      </c>
      <c r="O34" s="1099">
        <f>(A33-G33-H33-I33-J33-K33-L33-M33-N33)*0.027</f>
        <v>113400</v>
      </c>
      <c r="P34" s="1098">
        <f>(A33-G33-H33-I33-J33-K33-L33-M33-N33-O33)*0.027</f>
        <v>103950</v>
      </c>
      <c r="Q34" s="1099">
        <f>SUM(A33-G33-H33-I33-J33-K33-L33-M33-N33-O33-P33)*0.027</f>
        <v>94500</v>
      </c>
      <c r="R34" s="1100">
        <f>519750-94500</f>
        <v>425250</v>
      </c>
    </row>
    <row r="35" spans="1:18" s="1110" customFormat="1" ht="67.5" customHeight="1" x14ac:dyDescent="0.25">
      <c r="A35" s="1067">
        <f>2469793+1151439</f>
        <v>3621232</v>
      </c>
      <c r="B35" s="1068" t="s">
        <v>1306</v>
      </c>
      <c r="C35" s="1069" t="s">
        <v>1322</v>
      </c>
      <c r="D35" s="1109"/>
      <c r="E35" s="1109">
        <v>0</v>
      </c>
      <c r="F35" s="1101">
        <v>0</v>
      </c>
      <c r="G35" s="1102">
        <v>0</v>
      </c>
      <c r="H35" s="1102">
        <f>247000+123000</f>
        <v>370000</v>
      </c>
      <c r="I35" s="1102">
        <f t="shared" ref="I35:P35" si="12">247000+123000</f>
        <v>370000</v>
      </c>
      <c r="J35" s="1102">
        <f t="shared" si="12"/>
        <v>370000</v>
      </c>
      <c r="K35" s="1102">
        <f t="shared" si="12"/>
        <v>370000</v>
      </c>
      <c r="L35" s="1102">
        <f t="shared" si="12"/>
        <v>370000</v>
      </c>
      <c r="M35" s="1102">
        <f t="shared" si="12"/>
        <v>370000</v>
      </c>
      <c r="N35" s="1102">
        <f t="shared" si="12"/>
        <v>370000</v>
      </c>
      <c r="O35" s="1102">
        <f t="shared" si="12"/>
        <v>370000</v>
      </c>
      <c r="P35" s="1102">
        <f t="shared" si="12"/>
        <v>370000</v>
      </c>
      <c r="Q35" s="1101">
        <f>246793+44439</f>
        <v>291232</v>
      </c>
      <c r="R35" s="1103"/>
    </row>
    <row r="36" spans="1:18" s="1110" customFormat="1" ht="16.5" thickBot="1" x14ac:dyDescent="0.3">
      <c r="A36" s="1073"/>
      <c r="B36" s="1111"/>
      <c r="C36" s="1075" t="s">
        <v>1308</v>
      </c>
      <c r="D36" s="1078"/>
      <c r="E36" s="1098">
        <f>(A35/3/2)*0.027</f>
        <v>16295.543999999998</v>
      </c>
      <c r="F36" s="1098">
        <f>(E36+(A35/3)*2/2)*0.027</f>
        <v>33031.067687999996</v>
      </c>
      <c r="G36" s="1098">
        <f>(F36+(A35/2))*0.027</f>
        <v>49778.470827575999</v>
      </c>
      <c r="H36" s="1078">
        <f>(A35-F35-G35)*0.027</f>
        <v>97773.263999999996</v>
      </c>
      <c r="I36" s="1078">
        <f>(A35-F35-G35-H35)*0.027</f>
        <v>87783.263999999996</v>
      </c>
      <c r="J36" s="1078">
        <f>(A35-F35-G35-H35-I35)*0.027</f>
        <v>77793.263999999996</v>
      </c>
      <c r="K36" s="1079">
        <f>(A35-F35-G35-H35-I35-J35)*0.027</f>
        <v>67803.263999999996</v>
      </c>
      <c r="L36" s="1078">
        <v>94069</v>
      </c>
      <c r="M36" s="1079">
        <f>(A35-F35-G35-H35-I35-J35-K35-L35)*0.027</f>
        <v>47823.264000000003</v>
      </c>
      <c r="N36" s="1078">
        <f>(A35-F35-G35-H35-I35-J35-K35-L35-M35)*0.027</f>
        <v>37833.264000000003</v>
      </c>
      <c r="O36" s="1079">
        <f>(A35-F35-G35-H35-I35-J35-K35-L35-M35-N35)*0.027</f>
        <v>27843.263999999999</v>
      </c>
      <c r="P36" s="1078">
        <f>(A35-E35-F35-G35-H35-I35-J35-K35-L35-M35-N35-O35)*0.027</f>
        <v>17853.263999999999</v>
      </c>
      <c r="Q36" s="1079">
        <f>(A35-H35-I35-J35-K35-L35-M35-N35-O35-P35)*0.027</f>
        <v>7863.2640000000001</v>
      </c>
      <c r="R36" s="1112"/>
    </row>
    <row r="37" spans="1:18" s="1110" customFormat="1" ht="31.5" x14ac:dyDescent="0.25">
      <c r="A37" s="1113">
        <v>21000000</v>
      </c>
      <c r="B37" s="1114" t="s">
        <v>1323</v>
      </c>
      <c r="C37" s="1034" t="s">
        <v>1324</v>
      </c>
      <c r="D37" s="1115"/>
      <c r="E37" s="1115">
        <v>1500000</v>
      </c>
      <c r="F37" s="1115">
        <v>1500000</v>
      </c>
      <c r="G37" s="1115">
        <v>1500000</v>
      </c>
      <c r="H37" s="1115">
        <v>1500000</v>
      </c>
      <c r="I37" s="1115">
        <v>1500000</v>
      </c>
      <c r="J37" s="1115">
        <v>1500000</v>
      </c>
      <c r="K37" s="1115">
        <v>1500000</v>
      </c>
      <c r="L37" s="1115">
        <v>1500000</v>
      </c>
      <c r="M37" s="1115">
        <v>1500000</v>
      </c>
      <c r="N37" s="1115">
        <v>1500000</v>
      </c>
      <c r="O37" s="1115">
        <v>1500000</v>
      </c>
      <c r="P37" s="1115">
        <v>1500000</v>
      </c>
      <c r="Q37" s="1115">
        <v>1500000</v>
      </c>
      <c r="R37" s="1115">
        <v>1500000</v>
      </c>
    </row>
    <row r="38" spans="1:18" s="1110" customFormat="1" ht="18" customHeight="1" thickBot="1" x14ac:dyDescent="0.3">
      <c r="A38" s="1116"/>
      <c r="B38" s="1117"/>
      <c r="C38" s="1117"/>
      <c r="D38" s="1118"/>
      <c r="E38" s="1118">
        <f>(A37-D37)*0.027</f>
        <v>567000</v>
      </c>
      <c r="F38" s="1119">
        <f>(A37-D37-E37)*0.027</f>
        <v>526500</v>
      </c>
      <c r="G38" s="1118">
        <f>(A37-D37-E37-F37)*0.027</f>
        <v>486000</v>
      </c>
      <c r="H38" s="1118">
        <f>(A37-D37-E37-F37-G37)*0.027</f>
        <v>445500</v>
      </c>
      <c r="I38" s="1118">
        <f>(A37-D37-E37-F37-G37-H37)*0.027</f>
        <v>405000</v>
      </c>
      <c r="J38" s="1118">
        <f>(A37-D37-E37-F37-G37-H37-I37)*0.027</f>
        <v>364500</v>
      </c>
      <c r="K38" s="1118">
        <f>(A37-D37-E37-F37-G37-H37-I37-J37)*0.027</f>
        <v>324000</v>
      </c>
      <c r="L38" s="1119">
        <f>(A37-D37-E37-F37-G37-H37-I37-J37-K37)*0.027</f>
        <v>283500</v>
      </c>
      <c r="M38" s="1119">
        <f>(A37-D37-E37-F37-G37-H37-I37-J37-K37-L37)*0.027</f>
        <v>243000</v>
      </c>
      <c r="N38" s="1119">
        <f>(A37-D37-E37-F37-G37-H37-I37-J37-K37-L37-M37)*0.027</f>
        <v>202500</v>
      </c>
      <c r="O38" s="1119">
        <f>(A37-D37-E37-F37-G37-H37-I37-J37-K37-L37-M37-N37)*0.027</f>
        <v>162000</v>
      </c>
      <c r="P38" s="1119">
        <f>(A37-D37-E37-F37-G37-H37-I37-J37-K37-L37-M37-N37-O37)*0.027</f>
        <v>121500</v>
      </c>
      <c r="Q38" s="1119">
        <f>(A37-D37-E37-F37-G37-H37-I37-J37-K37-L37-M37-N37-O37-P37)*0.027</f>
        <v>81000</v>
      </c>
      <c r="R38" s="1120">
        <f>(A37-D37-E37-F37-G37-H37-I37-J37-K37-L37-M37-N37-O37-P37-Q37)*0.027</f>
        <v>40500</v>
      </c>
    </row>
    <row r="39" spans="1:18" ht="22.5" customHeight="1" thickBot="1" x14ac:dyDescent="0.3">
      <c r="A39" s="1121"/>
      <c r="B39" s="1122"/>
      <c r="C39" s="1123" t="s">
        <v>1325</v>
      </c>
      <c r="D39" s="1124"/>
      <c r="E39" s="1124"/>
      <c r="F39" s="1125"/>
      <c r="G39" s="1124"/>
      <c r="H39" s="1125"/>
      <c r="I39" s="1124"/>
      <c r="J39" s="1126"/>
      <c r="K39" s="1127"/>
      <c r="L39" s="1127"/>
      <c r="M39" s="1127"/>
      <c r="N39" s="1127"/>
      <c r="O39" s="1127"/>
      <c r="P39" s="1126"/>
      <c r="Q39" s="1127"/>
      <c r="R39" s="1128"/>
    </row>
    <row r="40" spans="1:18" s="1110" customFormat="1" ht="50.25" customHeight="1" x14ac:dyDescent="0.25">
      <c r="A40" s="1129">
        <v>2148174</v>
      </c>
      <c r="B40" s="1130" t="s">
        <v>1326</v>
      </c>
      <c r="C40" s="1130" t="s">
        <v>1327</v>
      </c>
      <c r="D40" s="1131">
        <v>160586</v>
      </c>
      <c r="E40" s="1070">
        <v>241889</v>
      </c>
      <c r="F40" s="1132">
        <v>241888</v>
      </c>
      <c r="G40" s="1131">
        <v>170377</v>
      </c>
      <c r="H40" s="1132"/>
      <c r="I40" s="1131"/>
      <c r="J40" s="1131"/>
      <c r="K40" s="1071"/>
      <c r="L40" s="1071"/>
      <c r="M40" s="1071"/>
      <c r="N40" s="1071"/>
      <c r="O40" s="1071"/>
      <c r="P40" s="1070"/>
      <c r="Q40" s="1071"/>
      <c r="R40" s="1072"/>
    </row>
    <row r="41" spans="1:18" s="1110" customFormat="1" ht="16.5" thickBot="1" x14ac:dyDescent="0.3">
      <c r="A41" s="1133"/>
      <c r="B41" s="1134"/>
      <c r="C41" s="1135" t="s">
        <v>1328</v>
      </c>
      <c r="D41" s="1136">
        <v>16424</v>
      </c>
      <c r="E41" s="1136">
        <v>11991</v>
      </c>
      <c r="F41" s="1137">
        <v>7557</v>
      </c>
      <c r="G41" s="1137">
        <v>3123</v>
      </c>
      <c r="H41" s="1138"/>
      <c r="I41" s="1137"/>
      <c r="J41" s="1137"/>
      <c r="K41" s="1099"/>
      <c r="L41" s="1099"/>
      <c r="M41" s="1099"/>
      <c r="N41" s="1099"/>
      <c r="O41" s="1099"/>
      <c r="P41" s="1098"/>
      <c r="Q41" s="1099"/>
      <c r="R41" s="1100"/>
    </row>
    <row r="42" spans="1:18" s="1110" customFormat="1" ht="47.25" x14ac:dyDescent="0.25">
      <c r="A42" s="1129">
        <v>1244225</v>
      </c>
      <c r="B42" s="1130" t="s">
        <v>1329</v>
      </c>
      <c r="C42" s="1130" t="s">
        <v>1330</v>
      </c>
      <c r="D42" s="1131">
        <v>217104</v>
      </c>
      <c r="E42" s="1131">
        <v>100668</v>
      </c>
      <c r="F42" s="1131">
        <v>82989</v>
      </c>
      <c r="G42" s="1131">
        <v>16668</v>
      </c>
      <c r="H42" s="1132"/>
      <c r="I42" s="1131"/>
      <c r="J42" s="1131"/>
      <c r="K42" s="1071"/>
      <c r="L42" s="1071"/>
      <c r="M42" s="1071"/>
      <c r="N42" s="1071"/>
      <c r="O42" s="1071"/>
      <c r="P42" s="1070"/>
      <c r="Q42" s="1071"/>
      <c r="R42" s="1072"/>
    </row>
    <row r="43" spans="1:18" s="1110" customFormat="1" ht="16.5" thickBot="1" x14ac:dyDescent="0.3">
      <c r="A43" s="1133"/>
      <c r="B43" s="1134"/>
      <c r="C43" s="1135" t="s">
        <v>1331</v>
      </c>
      <c r="D43" s="1137">
        <v>7497</v>
      </c>
      <c r="E43" s="1137">
        <v>5409</v>
      </c>
      <c r="F43" s="1137">
        <v>2691</v>
      </c>
      <c r="G43" s="1137">
        <v>450</v>
      </c>
      <c r="H43" s="1138"/>
      <c r="I43" s="1137"/>
      <c r="J43" s="1137"/>
      <c r="K43" s="1099"/>
      <c r="L43" s="1099"/>
      <c r="M43" s="1099"/>
      <c r="N43" s="1099"/>
      <c r="O43" s="1099"/>
      <c r="P43" s="1098"/>
      <c r="Q43" s="1099"/>
      <c r="R43" s="1100"/>
    </row>
    <row r="44" spans="1:18" s="1110" customFormat="1" ht="51" customHeight="1" x14ac:dyDescent="0.25">
      <c r="A44" s="1067">
        <v>12083954</v>
      </c>
      <c r="B44" s="1068" t="s">
        <v>1332</v>
      </c>
      <c r="C44" s="1068" t="s">
        <v>1333</v>
      </c>
      <c r="D44" s="1070">
        <f>651688</f>
        <v>651688</v>
      </c>
      <c r="E44" s="1131">
        <v>669388</v>
      </c>
      <c r="F44" s="1131">
        <v>669388</v>
      </c>
      <c r="G44" s="1131">
        <v>669388</v>
      </c>
      <c r="H44" s="1131">
        <v>669388</v>
      </c>
      <c r="I44" s="1131">
        <v>669388</v>
      </c>
      <c r="J44" s="1131">
        <v>669388</v>
      </c>
      <c r="K44" s="1131">
        <v>669388</v>
      </c>
      <c r="L44" s="1131">
        <v>669388</v>
      </c>
      <c r="M44" s="1131">
        <v>669388</v>
      </c>
      <c r="N44" s="1131">
        <v>669388</v>
      </c>
      <c r="O44" s="1132">
        <v>669388</v>
      </c>
      <c r="P44" s="1131">
        <v>669388</v>
      </c>
      <c r="Q44" s="1132">
        <v>669388</v>
      </c>
      <c r="R44" s="1072">
        <f>2056851-669388-669388</f>
        <v>718075</v>
      </c>
    </row>
    <row r="45" spans="1:18" s="1110" customFormat="1" ht="16.5" thickBot="1" x14ac:dyDescent="0.3">
      <c r="A45" s="1095"/>
      <c r="B45" s="1096">
        <v>2016</v>
      </c>
      <c r="C45" s="1105" t="s">
        <v>1334</v>
      </c>
      <c r="D45" s="1098">
        <v>271938</v>
      </c>
      <c r="E45" s="1098">
        <v>254343</v>
      </c>
      <c r="F45" s="1098">
        <v>236269</v>
      </c>
      <c r="G45" s="1098">
        <v>218196</v>
      </c>
      <c r="H45" s="1098">
        <v>200122</v>
      </c>
      <c r="I45" s="1098">
        <v>182049</v>
      </c>
      <c r="J45" s="1098">
        <v>163976</v>
      </c>
      <c r="K45" s="1098">
        <v>145902</v>
      </c>
      <c r="L45" s="1098">
        <v>127829</v>
      </c>
      <c r="M45" s="1098">
        <v>109755</v>
      </c>
      <c r="N45" s="1098">
        <v>91682</v>
      </c>
      <c r="O45" s="1099">
        <v>73608</v>
      </c>
      <c r="P45" s="1098">
        <v>55535</v>
      </c>
      <c r="Q45" s="1099">
        <v>37461</v>
      </c>
      <c r="R45" s="1100">
        <f>137587-55535-37461</f>
        <v>44591</v>
      </c>
    </row>
    <row r="46" spans="1:18" s="1110" customFormat="1" ht="15.75" x14ac:dyDescent="0.25">
      <c r="A46" s="1129">
        <v>2985430</v>
      </c>
      <c r="B46" s="1130" t="s">
        <v>1335</v>
      </c>
      <c r="C46" s="1130" t="s">
        <v>1336</v>
      </c>
      <c r="D46" s="1131">
        <v>284577</v>
      </c>
      <c r="E46" s="1131">
        <v>284577</v>
      </c>
      <c r="F46" s="1131">
        <v>376289</v>
      </c>
      <c r="G46" s="1070">
        <v>562083</v>
      </c>
      <c r="H46" s="1071">
        <v>27516</v>
      </c>
      <c r="I46" s="1070">
        <v>27509</v>
      </c>
      <c r="J46" s="1070"/>
      <c r="K46" s="1071"/>
      <c r="L46" s="1071"/>
      <c r="M46" s="1071"/>
      <c r="N46" s="1071"/>
      <c r="O46" s="1071"/>
      <c r="P46" s="1070"/>
      <c r="Q46" s="1071"/>
      <c r="R46" s="1072"/>
    </row>
    <row r="47" spans="1:18" s="1110" customFormat="1" ht="18" customHeight="1" thickBot="1" x14ac:dyDescent="0.3">
      <c r="A47" s="1133"/>
      <c r="B47" s="1139"/>
      <c r="C47" s="1135" t="s">
        <v>1337</v>
      </c>
      <c r="D47" s="1137">
        <v>42189</v>
      </c>
      <c r="E47" s="1137">
        <v>34505</v>
      </c>
      <c r="F47" s="1137">
        <v>26822</v>
      </c>
      <c r="G47" s="1098">
        <v>16662</v>
      </c>
      <c r="H47" s="1099">
        <v>1486</v>
      </c>
      <c r="I47" s="1098">
        <v>743</v>
      </c>
      <c r="J47" s="1098"/>
      <c r="K47" s="1099"/>
      <c r="L47" s="1099"/>
      <c r="M47" s="1099"/>
      <c r="N47" s="1099"/>
      <c r="O47" s="1099"/>
      <c r="P47" s="1098"/>
      <c r="Q47" s="1099"/>
      <c r="R47" s="1100"/>
    </row>
    <row r="48" spans="1:18" s="1110" customFormat="1" ht="31.5" x14ac:dyDescent="0.25">
      <c r="A48" s="1129">
        <v>546714</v>
      </c>
      <c r="B48" s="1130" t="s">
        <v>1335</v>
      </c>
      <c r="C48" s="1130" t="s">
        <v>1338</v>
      </c>
      <c r="D48" s="1131">
        <v>6096</v>
      </c>
      <c r="E48" s="1131"/>
      <c r="F48" s="1131"/>
      <c r="G48" s="1131"/>
      <c r="H48" s="1132"/>
      <c r="I48" s="1131"/>
      <c r="J48" s="1131"/>
      <c r="K48" s="1071"/>
      <c r="L48" s="1071"/>
      <c r="M48" s="1071"/>
      <c r="N48" s="1071"/>
      <c r="O48" s="1071"/>
      <c r="P48" s="1070"/>
      <c r="Q48" s="1071"/>
      <c r="R48" s="1072"/>
    </row>
    <row r="49" spans="1:18" s="1110" customFormat="1" ht="16.5" thickBot="1" x14ac:dyDescent="0.3">
      <c r="A49" s="1133"/>
      <c r="B49" s="1139"/>
      <c r="C49" s="1135" t="s">
        <v>1339</v>
      </c>
      <c r="D49" s="1137">
        <v>38</v>
      </c>
      <c r="E49" s="1137"/>
      <c r="F49" s="1137"/>
      <c r="G49" s="1137"/>
      <c r="H49" s="1138"/>
      <c r="I49" s="1137"/>
      <c r="J49" s="1137"/>
      <c r="K49" s="1080"/>
      <c r="L49" s="1080"/>
      <c r="M49" s="1080"/>
      <c r="N49" s="1080"/>
      <c r="O49" s="1080"/>
      <c r="P49" s="1140"/>
      <c r="Q49" s="1080"/>
      <c r="R49" s="1081"/>
    </row>
    <row r="50" spans="1:18" s="1110" customFormat="1" ht="63" x14ac:dyDescent="0.25">
      <c r="A50" s="1067">
        <v>2178272</v>
      </c>
      <c r="B50" s="1068" t="s">
        <v>1340</v>
      </c>
      <c r="C50" s="1068" t="s">
        <v>1341</v>
      </c>
      <c r="D50" s="1070">
        <v>202540</v>
      </c>
      <c r="E50" s="1070">
        <v>242540</v>
      </c>
      <c r="F50" s="1070">
        <v>262540</v>
      </c>
      <c r="G50" s="1070">
        <v>207540</v>
      </c>
      <c r="H50" s="1071">
        <v>209457</v>
      </c>
      <c r="I50" s="1070">
        <v>189171</v>
      </c>
      <c r="J50" s="1070">
        <v>33517</v>
      </c>
      <c r="K50" s="1071"/>
      <c r="L50" s="1071"/>
      <c r="M50" s="1071"/>
      <c r="N50" s="1071"/>
      <c r="O50" s="1071"/>
      <c r="P50" s="1070"/>
      <c r="Q50" s="1071"/>
      <c r="R50" s="1072"/>
    </row>
    <row r="51" spans="1:18" s="1110" customFormat="1" ht="16.5" thickBot="1" x14ac:dyDescent="0.3">
      <c r="A51" s="1095"/>
      <c r="B51" s="1096"/>
      <c r="C51" s="1105" t="s">
        <v>1308</v>
      </c>
      <c r="D51" s="1098">
        <v>36377</v>
      </c>
      <c r="E51" s="1098">
        <v>30909</v>
      </c>
      <c r="F51" s="1098">
        <v>24360</v>
      </c>
      <c r="G51" s="1098">
        <v>17271</v>
      </c>
      <c r="H51" s="1099">
        <v>11668</v>
      </c>
      <c r="I51" s="1099">
        <v>6013</v>
      </c>
      <c r="J51" s="1099">
        <v>905</v>
      </c>
      <c r="K51" s="1099"/>
      <c r="L51" s="1099"/>
      <c r="M51" s="1099"/>
      <c r="N51" s="1099"/>
      <c r="O51" s="1099"/>
      <c r="P51" s="1098"/>
      <c r="Q51" s="1099"/>
      <c r="R51" s="1100"/>
    </row>
    <row r="52" spans="1:18" s="1110" customFormat="1" ht="47.25" x14ac:dyDescent="0.25">
      <c r="A52" s="1067">
        <v>4986010</v>
      </c>
      <c r="B52" s="1068" t="s">
        <v>1342</v>
      </c>
      <c r="C52" s="1068" t="s">
        <v>1343</v>
      </c>
      <c r="D52" s="1070">
        <v>500500</v>
      </c>
      <c r="E52" s="1070">
        <v>500500</v>
      </c>
      <c r="F52" s="1070">
        <v>550500</v>
      </c>
      <c r="G52" s="1070">
        <v>600500</v>
      </c>
      <c r="H52" s="1071">
        <v>600500</v>
      </c>
      <c r="I52" s="1070">
        <v>532510</v>
      </c>
      <c r="J52" s="1070"/>
      <c r="K52" s="1071"/>
      <c r="L52" s="1071"/>
      <c r="M52" s="1071"/>
      <c r="N52" s="1071"/>
      <c r="O52" s="1071"/>
      <c r="P52" s="1070"/>
      <c r="Q52" s="1071"/>
      <c r="R52" s="1072"/>
    </row>
    <row r="53" spans="1:18" s="1110" customFormat="1" ht="16.5" thickBot="1" x14ac:dyDescent="0.3">
      <c r="A53" s="1095"/>
      <c r="B53" s="1096">
        <v>2016</v>
      </c>
      <c r="C53" s="1105" t="s">
        <v>1308</v>
      </c>
      <c r="D53" s="1098">
        <v>88695</v>
      </c>
      <c r="E53" s="1098">
        <v>75182</v>
      </c>
      <c r="F53" s="1098">
        <v>61668</v>
      </c>
      <c r="G53" s="1098">
        <v>46805</v>
      </c>
      <c r="H53" s="1098">
        <v>30591</v>
      </c>
      <c r="I53" s="1098">
        <v>14378</v>
      </c>
      <c r="J53" s="1098"/>
      <c r="K53" s="1099"/>
      <c r="L53" s="1099"/>
      <c r="M53" s="1099"/>
      <c r="N53" s="1099"/>
      <c r="O53" s="1099"/>
      <c r="P53" s="1098"/>
      <c r="Q53" s="1099"/>
      <c r="R53" s="1100"/>
    </row>
    <row r="54" spans="1:18" s="1110" customFormat="1" ht="15.75" x14ac:dyDescent="0.25">
      <c r="A54" s="1067">
        <v>1082988</v>
      </c>
      <c r="B54" s="1068">
        <v>2014</v>
      </c>
      <c r="C54" s="1141" t="s">
        <v>1344</v>
      </c>
      <c r="D54" s="1070">
        <v>181883</v>
      </c>
      <c r="E54" s="1070"/>
      <c r="F54" s="1070"/>
      <c r="G54" s="1070"/>
      <c r="H54" s="1071"/>
      <c r="I54" s="1070"/>
      <c r="J54" s="1070"/>
      <c r="K54" s="1071"/>
      <c r="L54" s="1071"/>
      <c r="M54" s="1071"/>
      <c r="N54" s="1071"/>
      <c r="O54" s="1071"/>
      <c r="P54" s="1070"/>
      <c r="Q54" s="1071"/>
      <c r="R54" s="1072"/>
    </row>
    <row r="55" spans="1:18" s="1110" customFormat="1" ht="19.5" customHeight="1" thickBot="1" x14ac:dyDescent="0.3">
      <c r="A55" s="1095"/>
      <c r="B55" s="1104"/>
      <c r="C55" s="1096" t="s">
        <v>1308</v>
      </c>
      <c r="D55" s="1140">
        <v>5186</v>
      </c>
      <c r="E55" s="1140"/>
      <c r="F55" s="1140"/>
      <c r="G55" s="1140"/>
      <c r="H55" s="1080"/>
      <c r="I55" s="1140"/>
      <c r="J55" s="1140"/>
      <c r="K55" s="1080"/>
      <c r="L55" s="1080"/>
      <c r="M55" s="1080"/>
      <c r="N55" s="1080"/>
      <c r="O55" s="1080"/>
      <c r="P55" s="1140"/>
      <c r="Q55" s="1080"/>
      <c r="R55" s="1081"/>
    </row>
    <row r="56" spans="1:18" s="1110" customFormat="1" ht="31.5" x14ac:dyDescent="0.25">
      <c r="A56" s="1067">
        <v>5369974</v>
      </c>
      <c r="B56" s="1130" t="s">
        <v>1342</v>
      </c>
      <c r="C56" s="1130" t="s">
        <v>1345</v>
      </c>
      <c r="D56" s="1070">
        <v>650000</v>
      </c>
      <c r="E56" s="1131">
        <v>650000</v>
      </c>
      <c r="F56" s="1131">
        <v>650000</v>
      </c>
      <c r="G56" s="1131">
        <v>650000</v>
      </c>
      <c r="H56" s="1131">
        <v>700000</v>
      </c>
      <c r="I56" s="1132">
        <v>769974</v>
      </c>
      <c r="J56" s="1131"/>
      <c r="K56" s="1071"/>
      <c r="L56" s="1071"/>
      <c r="M56" s="1071"/>
      <c r="N56" s="1071"/>
      <c r="O56" s="1071"/>
      <c r="P56" s="1070"/>
      <c r="Q56" s="1071"/>
      <c r="R56" s="1072"/>
    </row>
    <row r="57" spans="1:18" s="1110" customFormat="1" ht="16.5" customHeight="1" thickBot="1" x14ac:dyDescent="0.3">
      <c r="A57" s="1095"/>
      <c r="B57" s="1139"/>
      <c r="C57" s="1142" t="s">
        <v>1346</v>
      </c>
      <c r="D57" s="1137">
        <v>109889</v>
      </c>
      <c r="E57" s="1137">
        <v>92339</v>
      </c>
      <c r="F57" s="1137">
        <v>74789</v>
      </c>
      <c r="G57" s="1137">
        <v>57239</v>
      </c>
      <c r="H57" s="1138">
        <v>39689</v>
      </c>
      <c r="I57" s="1137">
        <v>20789</v>
      </c>
      <c r="J57" s="1137"/>
      <c r="K57" s="1099"/>
      <c r="L57" s="1099"/>
      <c r="M57" s="1099"/>
      <c r="N57" s="1099"/>
      <c r="O57" s="1099"/>
      <c r="P57" s="1098"/>
      <c r="Q57" s="1099"/>
      <c r="R57" s="1100"/>
    </row>
    <row r="58" spans="1:18" s="1143" customFormat="1" ht="47.25" x14ac:dyDescent="0.25">
      <c r="A58" s="1067">
        <v>662019</v>
      </c>
      <c r="B58" s="1130" t="s">
        <v>1342</v>
      </c>
      <c r="C58" s="1130" t="s">
        <v>1347</v>
      </c>
      <c r="D58" s="1131">
        <v>87758</v>
      </c>
      <c r="E58" s="1131"/>
      <c r="F58" s="1131"/>
      <c r="G58" s="1131"/>
      <c r="H58" s="1131"/>
      <c r="I58" s="1131"/>
      <c r="J58" s="1131"/>
      <c r="K58" s="1132"/>
      <c r="L58" s="1132"/>
      <c r="M58" s="1132"/>
      <c r="N58" s="1132"/>
      <c r="O58" s="1132"/>
      <c r="P58" s="1131"/>
      <c r="Q58" s="1132"/>
      <c r="R58" s="1072"/>
    </row>
    <row r="59" spans="1:18" s="1143" customFormat="1" ht="16.5" thickBot="1" x14ac:dyDescent="0.3">
      <c r="A59" s="1095"/>
      <c r="B59" s="1139"/>
      <c r="C59" s="1144" t="s">
        <v>1308</v>
      </c>
      <c r="D59" s="1137">
        <v>2369</v>
      </c>
      <c r="E59" s="1137"/>
      <c r="F59" s="1137"/>
      <c r="G59" s="1137"/>
      <c r="H59" s="1137"/>
      <c r="I59" s="1137"/>
      <c r="J59" s="1137"/>
      <c r="K59" s="1138"/>
      <c r="L59" s="1138"/>
      <c r="M59" s="1138"/>
      <c r="N59" s="1138"/>
      <c r="O59" s="1138"/>
      <c r="P59" s="1137"/>
      <c r="Q59" s="1138"/>
      <c r="R59" s="1100"/>
    </row>
    <row r="60" spans="1:18" s="1143" customFormat="1" ht="31.5" x14ac:dyDescent="0.25">
      <c r="A60" s="1067">
        <f>3549134-88557+189120</f>
        <v>3649697</v>
      </c>
      <c r="B60" s="1068" t="s">
        <v>1342</v>
      </c>
      <c r="C60" s="1068" t="s">
        <v>1348</v>
      </c>
      <c r="D60" s="1070">
        <f>300000-300000</f>
        <v>0</v>
      </c>
      <c r="E60" s="1070">
        <f>300000-163982</f>
        <v>136018</v>
      </c>
      <c r="F60" s="1070">
        <f>300000</f>
        <v>300000</v>
      </c>
      <c r="G60" s="1070">
        <f>300000</f>
        <v>300000</v>
      </c>
      <c r="H60" s="1071">
        <v>520000</v>
      </c>
      <c r="I60" s="1070">
        <v>540577</v>
      </c>
      <c r="J60" s="1131"/>
      <c r="K60" s="1132"/>
      <c r="L60" s="1132"/>
      <c r="M60" s="1132"/>
      <c r="N60" s="1132"/>
      <c r="O60" s="1132"/>
      <c r="P60" s="1131"/>
      <c r="Q60" s="1132"/>
      <c r="R60" s="1072"/>
    </row>
    <row r="61" spans="1:18" s="1143" customFormat="1" ht="16.5" thickBot="1" x14ac:dyDescent="0.3">
      <c r="A61" s="1095"/>
      <c r="B61" s="1096"/>
      <c r="C61" s="1105" t="s">
        <v>1308</v>
      </c>
      <c r="D61" s="1098">
        <v>48508</v>
      </c>
      <c r="E61" s="1098">
        <v>40408</v>
      </c>
      <c r="F61" s="1098">
        <v>32308</v>
      </c>
      <c r="G61" s="1098">
        <v>24208</v>
      </c>
      <c r="H61" s="1099">
        <v>16108</v>
      </c>
      <c r="I61" s="1098">
        <v>7468</v>
      </c>
      <c r="J61" s="1098"/>
      <c r="K61" s="1138"/>
      <c r="L61" s="1138"/>
      <c r="M61" s="1138"/>
      <c r="N61" s="1138"/>
      <c r="O61" s="1138"/>
      <c r="P61" s="1137"/>
      <c r="Q61" s="1138"/>
      <c r="R61" s="1100"/>
    </row>
    <row r="62" spans="1:18" s="1143" customFormat="1" ht="31.5" x14ac:dyDescent="0.25">
      <c r="A62" s="1082">
        <v>2404762</v>
      </c>
      <c r="B62" s="1083">
        <v>2015</v>
      </c>
      <c r="C62" s="1068" t="s">
        <v>1349</v>
      </c>
      <c r="D62" s="1085">
        <v>235000</v>
      </c>
      <c r="E62" s="1085">
        <v>243000</v>
      </c>
      <c r="F62" s="1085">
        <v>243000</v>
      </c>
      <c r="G62" s="1085">
        <v>243000</v>
      </c>
      <c r="H62" s="1085">
        <v>243000</v>
      </c>
      <c r="I62" s="1085">
        <v>243000</v>
      </c>
      <c r="J62" s="1085">
        <v>241762</v>
      </c>
      <c r="K62" s="1145"/>
      <c r="L62" s="1145"/>
      <c r="M62" s="1145"/>
      <c r="N62" s="1145"/>
      <c r="O62" s="1145"/>
      <c r="P62" s="1146"/>
      <c r="Q62" s="1145"/>
      <c r="R62" s="1081"/>
    </row>
    <row r="63" spans="1:18" s="1143" customFormat="1" ht="16.5" thickBot="1" x14ac:dyDescent="0.3">
      <c r="A63" s="1088"/>
      <c r="B63" s="1089"/>
      <c r="C63" s="1105" t="s">
        <v>1346</v>
      </c>
      <c r="D63" s="1091">
        <v>45678</v>
      </c>
      <c r="E63" s="1091">
        <v>39333</v>
      </c>
      <c r="F63" s="1091">
        <v>32772</v>
      </c>
      <c r="G63" s="1091">
        <v>26211</v>
      </c>
      <c r="H63" s="1092">
        <v>19650</v>
      </c>
      <c r="I63" s="1091">
        <v>13089</v>
      </c>
      <c r="J63" s="1091">
        <v>6528</v>
      </c>
      <c r="K63" s="1147"/>
      <c r="L63" s="1147"/>
      <c r="M63" s="1147"/>
      <c r="N63" s="1147"/>
      <c r="O63" s="1147"/>
      <c r="P63" s="1148"/>
      <c r="Q63" s="1147"/>
      <c r="R63" s="1094"/>
    </row>
    <row r="64" spans="1:18" s="1143" customFormat="1" ht="47.25" x14ac:dyDescent="0.25">
      <c r="A64" s="1067">
        <v>5274194</v>
      </c>
      <c r="B64" s="1068" t="s">
        <v>1350</v>
      </c>
      <c r="C64" s="1149" t="s">
        <v>1351</v>
      </c>
      <c r="D64" s="1071">
        <f>546041+37949</f>
        <v>583990</v>
      </c>
      <c r="E64" s="1071">
        <v>546041</v>
      </c>
      <c r="F64" s="1071">
        <v>546041</v>
      </c>
      <c r="G64" s="1071">
        <v>546041</v>
      </c>
      <c r="H64" s="1071">
        <v>546041</v>
      </c>
      <c r="I64" s="1071">
        <v>546041</v>
      </c>
      <c r="J64" s="1071">
        <v>546041</v>
      </c>
      <c r="K64" s="1071">
        <v>321875</v>
      </c>
      <c r="L64" s="1070"/>
      <c r="M64" s="1071"/>
      <c r="N64" s="1070"/>
      <c r="O64" s="1071"/>
      <c r="P64" s="1070"/>
      <c r="Q64" s="1071"/>
      <c r="R64" s="1072"/>
    </row>
    <row r="65" spans="1:18" s="1143" customFormat="1" ht="16.5" thickBot="1" x14ac:dyDescent="0.3">
      <c r="A65" s="1095"/>
      <c r="B65" s="1096"/>
      <c r="C65" s="1150" t="s">
        <v>1308</v>
      </c>
      <c r="D65" s="1099">
        <v>117945</v>
      </c>
      <c r="E65" s="1099">
        <v>103202</v>
      </c>
      <c r="F65" s="1099">
        <v>88459</v>
      </c>
      <c r="G65" s="1099">
        <v>73716</v>
      </c>
      <c r="H65" s="1099">
        <v>58972</v>
      </c>
      <c r="I65" s="1099">
        <v>44229</v>
      </c>
      <c r="J65" s="1099">
        <v>29486</v>
      </c>
      <c r="K65" s="1099">
        <v>14743</v>
      </c>
      <c r="L65" s="1098"/>
      <c r="M65" s="1099"/>
      <c r="N65" s="1098"/>
      <c r="O65" s="1099"/>
      <c r="P65" s="1098"/>
      <c r="Q65" s="1099"/>
      <c r="R65" s="1100"/>
    </row>
    <row r="66" spans="1:18" s="1143" customFormat="1" ht="31.5" x14ac:dyDescent="0.25">
      <c r="A66" s="1067">
        <v>1156633</v>
      </c>
      <c r="B66" s="1068">
        <v>2016</v>
      </c>
      <c r="C66" s="1068" t="s">
        <v>1352</v>
      </c>
      <c r="D66" s="1070">
        <v>121216</v>
      </c>
      <c r="E66" s="1070">
        <v>121216</v>
      </c>
      <c r="F66" s="1070">
        <v>121216</v>
      </c>
      <c r="G66" s="1070">
        <v>121216</v>
      </c>
      <c r="H66" s="1070">
        <v>121216</v>
      </c>
      <c r="I66" s="1070">
        <v>121216</v>
      </c>
      <c r="J66" s="1070">
        <v>93452</v>
      </c>
      <c r="K66" s="1070">
        <v>93453</v>
      </c>
      <c r="L66" s="1070"/>
      <c r="M66" s="1071"/>
      <c r="N66" s="1070"/>
      <c r="O66" s="1071"/>
      <c r="P66" s="1070"/>
      <c r="Q66" s="1071"/>
      <c r="R66" s="1072"/>
    </row>
    <row r="67" spans="1:18" s="1143" customFormat="1" ht="16.5" thickBot="1" x14ac:dyDescent="0.3">
      <c r="A67" s="1095"/>
      <c r="B67" s="1096"/>
      <c r="C67" s="1105" t="s">
        <v>1308</v>
      </c>
      <c r="D67" s="1098">
        <v>24683</v>
      </c>
      <c r="E67" s="1098">
        <v>21411</v>
      </c>
      <c r="F67" s="1098">
        <v>18138</v>
      </c>
      <c r="G67" s="1098">
        <v>14865</v>
      </c>
      <c r="H67" s="1098">
        <v>11592</v>
      </c>
      <c r="I67" s="1098">
        <v>8319</v>
      </c>
      <c r="J67" s="1098">
        <v>5046</v>
      </c>
      <c r="K67" s="1098">
        <v>2523</v>
      </c>
      <c r="L67" s="1098"/>
      <c r="M67" s="1099"/>
      <c r="N67" s="1098"/>
      <c r="O67" s="1099"/>
      <c r="P67" s="1098"/>
      <c r="Q67" s="1099"/>
      <c r="R67" s="1100"/>
    </row>
    <row r="68" spans="1:18" s="1110" customFormat="1" ht="39" customHeight="1" x14ac:dyDescent="0.25">
      <c r="A68" s="1067">
        <v>722842.29</v>
      </c>
      <c r="B68" s="1068">
        <v>2017</v>
      </c>
      <c r="C68" s="1068" t="s">
        <v>1353</v>
      </c>
      <c r="D68" s="1070">
        <v>70000</v>
      </c>
      <c r="E68" s="1070">
        <v>70000</v>
      </c>
      <c r="F68" s="1070">
        <v>70000</v>
      </c>
      <c r="G68" s="1070">
        <v>74000</v>
      </c>
      <c r="H68" s="1070">
        <v>75000</v>
      </c>
      <c r="I68" s="1070">
        <v>75000</v>
      </c>
      <c r="J68" s="1070">
        <v>75000</v>
      </c>
      <c r="K68" s="1070">
        <v>75000</v>
      </c>
      <c r="L68" s="1070">
        <v>63842.29</v>
      </c>
      <c r="M68" s="1070"/>
      <c r="N68" s="1070"/>
      <c r="O68" s="1071"/>
      <c r="P68" s="1070"/>
      <c r="Q68" s="1071"/>
      <c r="R68" s="1072"/>
    </row>
    <row r="69" spans="1:18" s="1110" customFormat="1" ht="17.25" customHeight="1" thickBot="1" x14ac:dyDescent="0.3">
      <c r="A69" s="1095"/>
      <c r="B69" s="1096"/>
      <c r="C69" s="1105" t="s">
        <v>1308</v>
      </c>
      <c r="D69" s="1098">
        <v>17492</v>
      </c>
      <c r="E69" s="1098">
        <v>15602</v>
      </c>
      <c r="F69" s="1098">
        <v>13712</v>
      </c>
      <c r="G69" s="1098">
        <v>11822</v>
      </c>
      <c r="H69" s="1098">
        <v>9824</v>
      </c>
      <c r="I69" s="1098">
        <v>7799</v>
      </c>
      <c r="J69" s="1098">
        <v>5774</v>
      </c>
      <c r="K69" s="1098">
        <v>3749</v>
      </c>
      <c r="L69" s="1098">
        <v>1724</v>
      </c>
      <c r="M69" s="1099"/>
      <c r="N69" s="1099"/>
      <c r="O69" s="1099"/>
      <c r="P69" s="1098"/>
      <c r="Q69" s="1099"/>
      <c r="R69" s="1100"/>
    </row>
    <row r="70" spans="1:18" s="1110" customFormat="1" ht="36" customHeight="1" x14ac:dyDescent="0.25">
      <c r="A70" s="1067">
        <v>1950509</v>
      </c>
      <c r="B70" s="1068">
        <v>2018</v>
      </c>
      <c r="C70" s="1069" t="s">
        <v>1354</v>
      </c>
      <c r="D70" s="1071">
        <v>200000</v>
      </c>
      <c r="E70" s="1071">
        <v>200000</v>
      </c>
      <c r="F70" s="1071">
        <v>110000</v>
      </c>
      <c r="G70" s="1071">
        <v>200000</v>
      </c>
      <c r="H70" s="1071">
        <v>200000</v>
      </c>
      <c r="I70" s="1071">
        <v>200000</v>
      </c>
      <c r="J70" s="1071">
        <v>200000</v>
      </c>
      <c r="K70" s="1071">
        <v>200000</v>
      </c>
      <c r="L70" s="1071">
        <v>250000</v>
      </c>
      <c r="M70" s="1071">
        <v>190509</v>
      </c>
      <c r="N70" s="1071"/>
      <c r="O70" s="1071"/>
      <c r="P70" s="1070"/>
      <c r="Q70" s="1071"/>
      <c r="R70" s="1072"/>
    </row>
    <row r="71" spans="1:18" s="1110" customFormat="1" ht="17.25" customHeight="1" thickBot="1" x14ac:dyDescent="0.3">
      <c r="A71" s="1088"/>
      <c r="B71" s="1089"/>
      <c r="C71" s="1097" t="s">
        <v>1308</v>
      </c>
      <c r="D71" s="1092">
        <v>54380</v>
      </c>
      <c r="E71" s="1092">
        <v>48979</v>
      </c>
      <c r="F71" s="1092">
        <v>43579</v>
      </c>
      <c r="G71" s="1092">
        <v>40610</v>
      </c>
      <c r="H71" s="1092">
        <v>35209</v>
      </c>
      <c r="I71" s="1092">
        <v>29809</v>
      </c>
      <c r="J71" s="1092">
        <v>24409</v>
      </c>
      <c r="K71" s="1092">
        <v>19009</v>
      </c>
      <c r="L71" s="1092">
        <v>13610</v>
      </c>
      <c r="M71" s="1092">
        <v>6860</v>
      </c>
      <c r="N71" s="1092"/>
      <c r="O71" s="1092"/>
      <c r="P71" s="1091"/>
      <c r="Q71" s="1092"/>
      <c r="R71" s="1094"/>
    </row>
    <row r="72" spans="1:18" s="1110" customFormat="1" ht="81.75" customHeight="1" x14ac:dyDescent="0.25">
      <c r="A72" s="1067">
        <f>831574+674172</f>
        <v>1505746</v>
      </c>
      <c r="B72" s="1068">
        <v>2018</v>
      </c>
      <c r="C72" s="1069" t="s">
        <v>1355</v>
      </c>
      <c r="D72" s="1070">
        <v>809607</v>
      </c>
      <c r="E72" s="1070">
        <f>301150-301150</f>
        <v>0</v>
      </c>
      <c r="F72" s="1070">
        <f>301150-207307</f>
        <v>93843</v>
      </c>
      <c r="G72" s="1070">
        <v>435981</v>
      </c>
      <c r="H72" s="1070"/>
      <c r="I72" s="1070"/>
      <c r="J72" s="1070"/>
      <c r="K72" s="1070"/>
      <c r="L72" s="1070"/>
      <c r="M72" s="1071"/>
      <c r="N72" s="1070"/>
      <c r="O72" s="1071"/>
      <c r="P72" s="1070"/>
      <c r="Q72" s="1071"/>
      <c r="R72" s="1072"/>
    </row>
    <row r="73" spans="1:18" s="1110" customFormat="1" ht="17.25" customHeight="1" thickBot="1" x14ac:dyDescent="0.3">
      <c r="A73" s="1088"/>
      <c r="B73" s="1089"/>
      <c r="C73" s="1151" t="s">
        <v>1308</v>
      </c>
      <c r="D73" s="1091">
        <v>36165</v>
      </c>
      <c r="E73" s="1091">
        <v>28033</v>
      </c>
      <c r="F73" s="1091">
        <v>19903</v>
      </c>
      <c r="G73" s="1091">
        <v>11771</v>
      </c>
      <c r="H73" s="1091"/>
      <c r="I73" s="1091"/>
      <c r="J73" s="1091"/>
      <c r="K73" s="1091"/>
      <c r="L73" s="1091"/>
      <c r="M73" s="1092"/>
      <c r="N73" s="1091"/>
      <c r="O73" s="1092"/>
      <c r="P73" s="1091"/>
      <c r="Q73" s="1092"/>
      <c r="R73" s="1094"/>
    </row>
    <row r="74" spans="1:18" s="1110" customFormat="1" ht="32.25" customHeight="1" x14ac:dyDescent="0.25">
      <c r="A74" s="1129">
        <v>1014552</v>
      </c>
      <c r="B74" s="1068" t="s">
        <v>1356</v>
      </c>
      <c r="C74" s="1069" t="s">
        <v>1357</v>
      </c>
      <c r="D74" s="1131"/>
      <c r="E74" s="1131">
        <v>101456</v>
      </c>
      <c r="F74" s="1131">
        <v>101456</v>
      </c>
      <c r="G74" s="1131">
        <v>101455</v>
      </c>
      <c r="H74" s="1131">
        <v>101455</v>
      </c>
      <c r="I74" s="1131">
        <v>101455</v>
      </c>
      <c r="J74" s="1131">
        <v>101455</v>
      </c>
      <c r="K74" s="1131">
        <v>135274</v>
      </c>
      <c r="L74" s="1131">
        <v>135273</v>
      </c>
      <c r="M74" s="1132">
        <v>135273</v>
      </c>
      <c r="N74" s="1070"/>
      <c r="O74" s="1071"/>
      <c r="P74" s="1070"/>
      <c r="Q74" s="1071"/>
      <c r="R74" s="1072"/>
    </row>
    <row r="75" spans="1:18" s="1110" customFormat="1" ht="17.25" customHeight="1" thickBot="1" x14ac:dyDescent="0.3">
      <c r="A75" s="1073"/>
      <c r="B75" s="1074"/>
      <c r="C75" s="1075" t="s">
        <v>1308</v>
      </c>
      <c r="D75" s="1146">
        <v>13881</v>
      </c>
      <c r="E75" s="1146">
        <v>27393</v>
      </c>
      <c r="F75" s="1146">
        <v>24654</v>
      </c>
      <c r="G75" s="1146">
        <v>21914</v>
      </c>
      <c r="H75" s="1146">
        <v>19175</v>
      </c>
      <c r="I75" s="1146">
        <v>16436</v>
      </c>
      <c r="J75" s="1146">
        <v>13696</v>
      </c>
      <c r="K75" s="1146">
        <v>10957</v>
      </c>
      <c r="L75" s="1146">
        <v>7305</v>
      </c>
      <c r="M75" s="1145">
        <v>3652</v>
      </c>
      <c r="N75" s="1140"/>
      <c r="O75" s="1080"/>
      <c r="P75" s="1140"/>
      <c r="Q75" s="1080"/>
      <c r="R75" s="1081"/>
    </row>
    <row r="76" spans="1:18" ht="47.25" x14ac:dyDescent="0.25">
      <c r="A76" s="1152">
        <v>450058</v>
      </c>
      <c r="B76" s="1153">
        <v>2019</v>
      </c>
      <c r="C76" s="1084" t="s">
        <v>1358</v>
      </c>
      <c r="D76" s="1154"/>
      <c r="E76" s="1154">
        <v>90012</v>
      </c>
      <c r="F76" s="1154">
        <v>90012</v>
      </c>
      <c r="G76" s="1154">
        <v>90012</v>
      </c>
      <c r="H76" s="1154">
        <v>90011</v>
      </c>
      <c r="I76" s="1154">
        <v>90011</v>
      </c>
      <c r="J76" s="1154"/>
      <c r="K76" s="1154"/>
      <c r="L76" s="1154"/>
      <c r="M76" s="1154"/>
      <c r="N76" s="1154"/>
      <c r="O76" s="1154"/>
      <c r="P76" s="1154"/>
      <c r="Q76" s="1154"/>
      <c r="R76" s="1155"/>
    </row>
    <row r="77" spans="1:18" s="1110" customFormat="1" ht="17.25" customHeight="1" thickBot="1" x14ac:dyDescent="0.3">
      <c r="A77" s="1156"/>
      <c r="B77" s="1089"/>
      <c r="C77" s="1090" t="s">
        <v>1308</v>
      </c>
      <c r="D77" s="1092">
        <v>8101</v>
      </c>
      <c r="E77" s="1092">
        <v>12152</v>
      </c>
      <c r="F77" s="1092">
        <v>9721</v>
      </c>
      <c r="G77" s="1092">
        <v>7291</v>
      </c>
      <c r="H77" s="1092">
        <v>4861</v>
      </c>
      <c r="I77" s="1092">
        <v>2430</v>
      </c>
      <c r="J77" s="1092"/>
      <c r="K77" s="1092"/>
      <c r="L77" s="1092"/>
      <c r="M77" s="1092"/>
      <c r="N77" s="1092"/>
      <c r="O77" s="1092"/>
      <c r="P77" s="1092"/>
      <c r="Q77" s="1092"/>
      <c r="R77" s="1157"/>
    </row>
    <row r="78" spans="1:18" s="1110" customFormat="1" ht="49.5" customHeight="1" x14ac:dyDescent="0.25">
      <c r="A78" s="1067">
        <f>534114+342953-261116+261116</f>
        <v>877067</v>
      </c>
      <c r="B78" s="1068" t="s">
        <v>1310</v>
      </c>
      <c r="C78" s="1111" t="s">
        <v>1359</v>
      </c>
      <c r="D78" s="1070"/>
      <c r="E78" s="1071"/>
      <c r="F78" s="1070"/>
      <c r="G78" s="1071">
        <v>87700</v>
      </c>
      <c r="H78" s="1070">
        <v>87700</v>
      </c>
      <c r="I78" s="1071">
        <v>87700</v>
      </c>
      <c r="J78" s="1070">
        <v>87700</v>
      </c>
      <c r="K78" s="1071">
        <v>87700</v>
      </c>
      <c r="L78" s="1070">
        <v>87700</v>
      </c>
      <c r="M78" s="1071">
        <v>87700</v>
      </c>
      <c r="N78" s="1070">
        <v>87700</v>
      </c>
      <c r="O78" s="1071">
        <v>87700</v>
      </c>
      <c r="P78" s="1070">
        <v>87767</v>
      </c>
      <c r="Q78" s="1071"/>
      <c r="R78" s="1072"/>
    </row>
    <row r="79" spans="1:18" s="1110" customFormat="1" ht="17.25" customHeight="1" thickBot="1" x14ac:dyDescent="0.3">
      <c r="A79" s="1158"/>
      <c r="B79" s="1096"/>
      <c r="C79" s="1090" t="s">
        <v>1308</v>
      </c>
      <c r="D79" s="1098">
        <v>3947</v>
      </c>
      <c r="E79" s="1099">
        <v>8000</v>
      </c>
      <c r="F79" s="1098">
        <v>12056</v>
      </c>
      <c r="G79" s="1099">
        <v>23681</v>
      </c>
      <c r="H79" s="1098">
        <v>21313</v>
      </c>
      <c r="I79" s="1099">
        <v>18945</v>
      </c>
      <c r="J79" s="1098">
        <v>16577</v>
      </c>
      <c r="K79" s="1099">
        <v>14209</v>
      </c>
      <c r="L79" s="1098">
        <v>11841</v>
      </c>
      <c r="M79" s="1099">
        <v>9473</v>
      </c>
      <c r="N79" s="1098">
        <v>7106</v>
      </c>
      <c r="O79" s="1099">
        <v>4738</v>
      </c>
      <c r="P79" s="1098">
        <v>2639</v>
      </c>
      <c r="Q79" s="1099"/>
      <c r="R79" s="1100"/>
    </row>
    <row r="80" spans="1:18" s="1110" customFormat="1" ht="54" customHeight="1" x14ac:dyDescent="0.25">
      <c r="A80" s="1067">
        <v>322175</v>
      </c>
      <c r="B80" s="1068" t="s">
        <v>1310</v>
      </c>
      <c r="C80" s="1084" t="s">
        <v>1360</v>
      </c>
      <c r="D80" s="1070"/>
      <c r="E80" s="1071"/>
      <c r="F80" s="1070"/>
      <c r="G80" s="1071">
        <v>32200</v>
      </c>
      <c r="H80" s="1070">
        <v>32200</v>
      </c>
      <c r="I80" s="1071">
        <v>32200</v>
      </c>
      <c r="J80" s="1070">
        <v>32200</v>
      </c>
      <c r="K80" s="1071">
        <v>32200</v>
      </c>
      <c r="L80" s="1070">
        <v>32200</v>
      </c>
      <c r="M80" s="1071">
        <v>32200</v>
      </c>
      <c r="N80" s="1070">
        <v>32200</v>
      </c>
      <c r="O80" s="1071">
        <v>32300</v>
      </c>
      <c r="P80" s="1070">
        <v>32275</v>
      </c>
      <c r="Q80" s="1071"/>
      <c r="R80" s="1072"/>
    </row>
    <row r="81" spans="1:18" s="1110" customFormat="1" ht="17.25" customHeight="1" thickBot="1" x14ac:dyDescent="0.3">
      <c r="A81" s="1159"/>
      <c r="B81" s="1074"/>
      <c r="C81" s="1160" t="s">
        <v>1312</v>
      </c>
      <c r="D81" s="1140">
        <v>1450</v>
      </c>
      <c r="E81" s="1080">
        <v>2939</v>
      </c>
      <c r="F81" s="1140">
        <v>4429</v>
      </c>
      <c r="G81" s="1080">
        <v>8699</v>
      </c>
      <c r="H81" s="1140">
        <v>7829</v>
      </c>
      <c r="I81" s="1080">
        <v>6960</v>
      </c>
      <c r="J81" s="1140">
        <v>6091</v>
      </c>
      <c r="K81" s="1080">
        <v>5221</v>
      </c>
      <c r="L81" s="1140">
        <v>4352</v>
      </c>
      <c r="M81" s="1080">
        <v>3482</v>
      </c>
      <c r="N81" s="1140">
        <v>2613</v>
      </c>
      <c r="O81" s="1080">
        <v>1744</v>
      </c>
      <c r="P81" s="1140">
        <v>871</v>
      </c>
      <c r="Q81" s="1080"/>
      <c r="R81" s="1081"/>
    </row>
    <row r="82" spans="1:18" s="1110" customFormat="1" ht="47.25" x14ac:dyDescent="0.25">
      <c r="A82" s="1067">
        <v>1289745</v>
      </c>
      <c r="B82" s="1068" t="s">
        <v>1361</v>
      </c>
      <c r="C82" s="1069" t="s">
        <v>1362</v>
      </c>
      <c r="D82" s="1071"/>
      <c r="E82" s="1071"/>
      <c r="F82" s="1071">
        <v>129000</v>
      </c>
      <c r="G82" s="1071">
        <v>129000</v>
      </c>
      <c r="H82" s="1071">
        <v>129000</v>
      </c>
      <c r="I82" s="1071">
        <v>129000</v>
      </c>
      <c r="J82" s="1071">
        <v>129000</v>
      </c>
      <c r="K82" s="1071">
        <v>129000</v>
      </c>
      <c r="L82" s="1071">
        <v>129000</v>
      </c>
      <c r="M82" s="1071">
        <v>129000</v>
      </c>
      <c r="N82" s="1071">
        <v>129000</v>
      </c>
      <c r="O82" s="1071">
        <v>128745</v>
      </c>
      <c r="P82" s="1071"/>
      <c r="Q82" s="1071"/>
      <c r="R82" s="1161"/>
    </row>
    <row r="83" spans="1:18" s="1110" customFormat="1" ht="16.5" thickBot="1" x14ac:dyDescent="0.3">
      <c r="A83" s="1088"/>
      <c r="B83" s="1089"/>
      <c r="C83" s="1090" t="s">
        <v>1312</v>
      </c>
      <c r="D83" s="1092">
        <f>((A82/2)/2)*0.027</f>
        <v>8705.7787499999995</v>
      </c>
      <c r="E83" s="1092">
        <f>(D83+A82/2)*0.027</f>
        <v>17646.613526250003</v>
      </c>
      <c r="F83" s="1092">
        <f>(A82-D82-E82)*0.027</f>
        <v>34823.114999999998</v>
      </c>
      <c r="G83" s="1092">
        <f>(A82-D82-E82-F82)*0.027</f>
        <v>31340.114999999998</v>
      </c>
      <c r="H83" s="1092">
        <f>(A82-D82-E82-F82-G82)*0.027</f>
        <v>27857.114999999998</v>
      </c>
      <c r="I83" s="1092">
        <f>(A82-D82-E82-F82-G82-H82)*0.027</f>
        <v>24374.114999999998</v>
      </c>
      <c r="J83" s="1092">
        <f>(A82-D82-E82-F82-G82-H82-I82)*0.027</f>
        <v>20891.114999999998</v>
      </c>
      <c r="K83" s="1092">
        <f>(A82-D82-E82-F82-G82-H82-I82-J82)*0.027</f>
        <v>17408.115000000002</v>
      </c>
      <c r="L83" s="1092">
        <f>(A82-D82-E82-F82-G82-H82-I82-J82-K82)*0.027</f>
        <v>13925.115</v>
      </c>
      <c r="M83" s="1092">
        <f>(A82-D82-E82-F82-G82-H82-I82-J82-K82-L82)*0.027</f>
        <v>10442.115</v>
      </c>
      <c r="N83" s="1092">
        <f>(A82-D82-E82-F82-G82-H82-I82-J82-K82-L82-M82)*0.027</f>
        <v>6959.1149999999998</v>
      </c>
      <c r="O83" s="1092">
        <f>(A82-D82-E82-F82-G82-H82-I82-J82-K82-L82-M82-N82)*0.027</f>
        <v>3476.1149999999998</v>
      </c>
      <c r="P83" s="1092"/>
      <c r="Q83" s="1092"/>
      <c r="R83" s="1157"/>
    </row>
    <row r="84" spans="1:18" s="1110" customFormat="1" ht="47.25" x14ac:dyDescent="0.25">
      <c r="A84" s="1082">
        <f>1135705+129698-159468-309289</f>
        <v>796646</v>
      </c>
      <c r="B84" s="1083" t="s">
        <v>1361</v>
      </c>
      <c r="C84" s="1084" t="s">
        <v>1363</v>
      </c>
      <c r="D84" s="1085">
        <v>0</v>
      </c>
      <c r="E84" s="1085">
        <v>0</v>
      </c>
      <c r="F84" s="1085">
        <v>159300</v>
      </c>
      <c r="G84" s="1085">
        <v>159300</v>
      </c>
      <c r="H84" s="1085">
        <v>159300</v>
      </c>
      <c r="I84" s="1085">
        <v>159300</v>
      </c>
      <c r="J84" s="1085">
        <v>159446</v>
      </c>
      <c r="K84" s="1085"/>
      <c r="L84" s="1086"/>
      <c r="M84" s="1086"/>
      <c r="N84" s="1086"/>
      <c r="O84" s="1086"/>
      <c r="P84" s="1085"/>
      <c r="Q84" s="1086"/>
      <c r="R84" s="1087"/>
    </row>
    <row r="85" spans="1:18" s="1110" customFormat="1" ht="16.5" thickBot="1" x14ac:dyDescent="0.3">
      <c r="A85" s="1088"/>
      <c r="B85" s="1089"/>
      <c r="C85" s="1090" t="s">
        <v>1308</v>
      </c>
      <c r="D85" s="1092">
        <f>((A84/2)/2)*0.027</f>
        <v>5377.3604999999998</v>
      </c>
      <c r="E85" s="1092">
        <f>(D85+A84/2)*0.027</f>
        <v>10899.909733500001</v>
      </c>
      <c r="F85" s="1092">
        <f>(A84-E84)*0.027</f>
        <v>21509.441999999999</v>
      </c>
      <c r="G85" s="1092">
        <f>(A84-E84-F84)*0.027-0.49</f>
        <v>17207.851999999999</v>
      </c>
      <c r="H85" s="1092">
        <f>(A84-E84-F84-G84)*0.027-0.049</f>
        <v>12907.192999999999</v>
      </c>
      <c r="I85" s="1092">
        <f>(A84-E84-F84-G84-H84)*0.027-0.049</f>
        <v>8606.0929999999989</v>
      </c>
      <c r="J85" s="1092">
        <f>(A84-E84-F84-G84-H84-I84)*0.027-0.49</f>
        <v>4304.5520000000006</v>
      </c>
      <c r="K85" s="1092"/>
      <c r="L85" s="1092"/>
      <c r="M85" s="1092"/>
      <c r="N85" s="1092"/>
      <c r="O85" s="1092"/>
      <c r="P85" s="1091"/>
      <c r="Q85" s="1092"/>
      <c r="R85" s="1094"/>
    </row>
    <row r="86" spans="1:18" s="1110" customFormat="1" ht="47.25" x14ac:dyDescent="0.25">
      <c r="A86" s="1067">
        <f>816390-46604</f>
        <v>769786</v>
      </c>
      <c r="B86" s="1068" t="s">
        <v>1361</v>
      </c>
      <c r="C86" s="1084" t="s">
        <v>1364</v>
      </c>
      <c r="D86" s="1071"/>
      <c r="E86" s="1071"/>
      <c r="F86" s="1071">
        <v>154000</v>
      </c>
      <c r="G86" s="1071">
        <v>154000</v>
      </c>
      <c r="H86" s="1071">
        <v>154000</v>
      </c>
      <c r="I86" s="1071">
        <v>154000</v>
      </c>
      <c r="J86" s="1071">
        <v>153786</v>
      </c>
      <c r="K86" s="1071"/>
      <c r="L86" s="1071"/>
      <c r="M86" s="1071"/>
      <c r="N86" s="1071"/>
      <c r="O86" s="1071"/>
      <c r="P86" s="1071"/>
      <c r="Q86" s="1071"/>
      <c r="R86" s="1161"/>
    </row>
    <row r="87" spans="1:18" s="1110" customFormat="1" ht="16.5" thickBot="1" x14ac:dyDescent="0.3">
      <c r="A87" s="1088"/>
      <c r="B87" s="1089"/>
      <c r="C87" s="1090" t="s">
        <v>1308</v>
      </c>
      <c r="D87" s="1092">
        <f>((A86/2)/2)*0.027</f>
        <v>5196.0555000000004</v>
      </c>
      <c r="E87" s="1092">
        <f>(D87+A86/2)*0.027</f>
        <v>10532.4044985</v>
      </c>
      <c r="F87" s="1092">
        <f>(A86-D86-E86)*0.027-0.49</f>
        <v>20783.732</v>
      </c>
      <c r="G87" s="1092">
        <f>(A86-D86-E86-F86)*0.027-0.49</f>
        <v>16625.732</v>
      </c>
      <c r="H87" s="1092">
        <f>(A86-D86-E86-F86-G86)*0.027-0.49</f>
        <v>12467.732</v>
      </c>
      <c r="I87" s="1092">
        <f>(A86-D86-E86-F86-G86-H86)*0.027-0.49</f>
        <v>8309.732</v>
      </c>
      <c r="J87" s="1092">
        <f>(A86-D86-E86-F86-G86-H86-I86)*0.027-0.049</f>
        <v>4152.1729999999998</v>
      </c>
      <c r="K87" s="1092"/>
      <c r="L87" s="1092"/>
      <c r="M87" s="1092"/>
      <c r="N87" s="1092"/>
      <c r="O87" s="1092"/>
      <c r="P87" s="1092"/>
      <c r="Q87" s="1092"/>
      <c r="R87" s="1157"/>
    </row>
    <row r="88" spans="1:18" s="1110" customFormat="1" ht="31.5" x14ac:dyDescent="0.25">
      <c r="A88" s="1067">
        <v>3717631</v>
      </c>
      <c r="B88" s="1068" t="s">
        <v>1310</v>
      </c>
      <c r="C88" s="1069" t="s">
        <v>1365</v>
      </c>
      <c r="D88" s="1070"/>
      <c r="E88" s="1071"/>
      <c r="F88" s="1070"/>
      <c r="G88" s="1071">
        <v>700000</v>
      </c>
      <c r="H88" s="1070">
        <v>514000</v>
      </c>
      <c r="I88" s="1071">
        <v>514000</v>
      </c>
      <c r="J88" s="1070">
        <v>312000</v>
      </c>
      <c r="K88" s="1071">
        <v>312000</v>
      </c>
      <c r="L88" s="1070">
        <v>312000</v>
      </c>
      <c r="M88" s="1071">
        <v>312000</v>
      </c>
      <c r="N88" s="1070">
        <v>312000</v>
      </c>
      <c r="O88" s="1071">
        <v>214839</v>
      </c>
      <c r="P88" s="1070">
        <v>214792</v>
      </c>
      <c r="Q88" s="1071"/>
      <c r="R88" s="1072"/>
    </row>
    <row r="89" spans="1:18" s="1110" customFormat="1" ht="16.5" thickBot="1" x14ac:dyDescent="0.3">
      <c r="A89" s="1073"/>
      <c r="B89" s="1074"/>
      <c r="C89" s="1090" t="s">
        <v>1308</v>
      </c>
      <c r="D89" s="1140">
        <v>16729</v>
      </c>
      <c r="E89" s="1080">
        <v>33910</v>
      </c>
      <c r="F89" s="1140">
        <v>51104</v>
      </c>
      <c r="G89" s="1080">
        <v>100376</v>
      </c>
      <c r="H89" s="1140">
        <v>81476</v>
      </c>
      <c r="I89" s="1080">
        <v>67598</v>
      </c>
      <c r="J89" s="1140">
        <v>53720</v>
      </c>
      <c r="K89" s="1080">
        <v>45296</v>
      </c>
      <c r="L89" s="1140">
        <v>36872</v>
      </c>
      <c r="M89" s="1080">
        <v>28448</v>
      </c>
      <c r="N89" s="1140">
        <v>20024</v>
      </c>
      <c r="O89" s="1080">
        <v>11600</v>
      </c>
      <c r="P89" s="1140">
        <v>5799</v>
      </c>
      <c r="Q89" s="1080"/>
      <c r="R89" s="1081"/>
    </row>
    <row r="90" spans="1:18" s="1143" customFormat="1" ht="31.5" x14ac:dyDescent="0.25">
      <c r="A90" s="1082">
        <v>6300200</v>
      </c>
      <c r="B90" s="1162">
        <v>2015</v>
      </c>
      <c r="C90" s="1162" t="s">
        <v>1366</v>
      </c>
      <c r="D90" s="1163">
        <v>320500</v>
      </c>
      <c r="E90" s="1164">
        <v>320500</v>
      </c>
      <c r="F90" s="1163">
        <v>320500</v>
      </c>
      <c r="G90" s="1164">
        <v>320500</v>
      </c>
      <c r="H90" s="1163">
        <v>320500</v>
      </c>
      <c r="I90" s="1164">
        <v>320500</v>
      </c>
      <c r="J90" s="1163">
        <v>320500</v>
      </c>
      <c r="K90" s="1164">
        <v>320500</v>
      </c>
      <c r="L90" s="1163">
        <v>320500</v>
      </c>
      <c r="M90" s="1164">
        <v>320500</v>
      </c>
      <c r="N90" s="1163">
        <v>320500</v>
      </c>
      <c r="O90" s="1164">
        <v>320500</v>
      </c>
      <c r="P90" s="1163">
        <v>320500</v>
      </c>
      <c r="Q90" s="1164">
        <v>320500</v>
      </c>
      <c r="R90" s="1087">
        <f>1492700-320500-320500</f>
        <v>851700</v>
      </c>
    </row>
    <row r="91" spans="1:18" s="1143" customFormat="1" ht="16.5" thickBot="1" x14ac:dyDescent="0.3">
      <c r="A91" s="1165"/>
      <c r="B91" s="1166"/>
      <c r="C91" s="1142" t="s">
        <v>1346</v>
      </c>
      <c r="D91" s="1148">
        <v>144145</v>
      </c>
      <c r="E91" s="1148">
        <v>135491</v>
      </c>
      <c r="F91" s="1148">
        <v>126838</v>
      </c>
      <c r="G91" s="1148">
        <v>118184</v>
      </c>
      <c r="H91" s="1147">
        <v>109531</v>
      </c>
      <c r="I91" s="1148">
        <v>100877</v>
      </c>
      <c r="J91" s="1148">
        <v>92224</v>
      </c>
      <c r="K91" s="1167">
        <v>83570</v>
      </c>
      <c r="L91" s="1167">
        <v>74917</v>
      </c>
      <c r="M91" s="1167">
        <v>66263</v>
      </c>
      <c r="N91" s="1167">
        <v>57610</v>
      </c>
      <c r="O91" s="1092">
        <v>48956</v>
      </c>
      <c r="P91" s="1091">
        <v>40303</v>
      </c>
      <c r="Q91" s="1092">
        <v>31650</v>
      </c>
      <c r="R91" s="1094">
        <f>114949-40303-31650</f>
        <v>42996</v>
      </c>
    </row>
    <row r="92" spans="1:18" s="1110" customFormat="1" ht="20.25" customHeight="1" thickBot="1" x14ac:dyDescent="0.3">
      <c r="A92" s="1168"/>
      <c r="B92" s="1169"/>
      <c r="C92" s="1170" t="s">
        <v>1367</v>
      </c>
      <c r="D92" s="1126"/>
      <c r="E92" s="1126"/>
      <c r="F92" s="1127"/>
      <c r="G92" s="1126"/>
      <c r="H92" s="1127"/>
      <c r="I92" s="1126"/>
      <c r="J92" s="1126"/>
      <c r="K92" s="1127"/>
      <c r="L92" s="1127"/>
      <c r="M92" s="1127"/>
      <c r="N92" s="1127"/>
      <c r="O92" s="1127"/>
      <c r="P92" s="1126"/>
      <c r="Q92" s="1127"/>
      <c r="R92" s="1128"/>
    </row>
    <row r="93" spans="1:18" s="1110" customFormat="1" ht="16.5" customHeight="1" x14ac:dyDescent="0.25">
      <c r="A93" s="1129">
        <v>2110000</v>
      </c>
      <c r="B93" s="1171">
        <v>2003</v>
      </c>
      <c r="C93" s="1171" t="s">
        <v>1368</v>
      </c>
      <c r="D93" s="1131">
        <v>100476</v>
      </c>
      <c r="E93" s="1131"/>
      <c r="F93" s="1131"/>
      <c r="G93" s="1131"/>
      <c r="H93" s="1132"/>
      <c r="I93" s="1131"/>
      <c r="J93" s="1131"/>
      <c r="K93" s="1071"/>
      <c r="L93" s="1071"/>
      <c r="M93" s="1071"/>
      <c r="N93" s="1071"/>
      <c r="O93" s="1071"/>
      <c r="P93" s="1070"/>
      <c r="Q93" s="1071"/>
      <c r="R93" s="1072"/>
    </row>
    <row r="94" spans="1:18" s="1110" customFormat="1" ht="16.5" thickBot="1" x14ac:dyDescent="0.3">
      <c r="A94" s="1133"/>
      <c r="B94" s="1134"/>
      <c r="C94" s="1172" t="s">
        <v>1369</v>
      </c>
      <c r="D94" s="1137">
        <v>3014</v>
      </c>
      <c r="E94" s="1137"/>
      <c r="F94" s="1137"/>
      <c r="G94" s="1137"/>
      <c r="H94" s="1138"/>
      <c r="I94" s="1137"/>
      <c r="J94" s="1137"/>
      <c r="K94" s="1080"/>
      <c r="L94" s="1080"/>
      <c r="M94" s="1080"/>
      <c r="N94" s="1080"/>
      <c r="O94" s="1080"/>
      <c r="P94" s="1140"/>
      <c r="Q94" s="1080"/>
      <c r="R94" s="1081"/>
    </row>
    <row r="95" spans="1:18" s="1110" customFormat="1" ht="16.5" thickBot="1" x14ac:dyDescent="0.3">
      <c r="A95" s="1173">
        <v>1280192</v>
      </c>
      <c r="B95" s="1174" t="s">
        <v>1370</v>
      </c>
      <c r="C95" s="1174" t="s">
        <v>1371</v>
      </c>
      <c r="D95" s="1175">
        <v>79835.914422797825</v>
      </c>
      <c r="E95" s="1175">
        <v>78672.005281700156</v>
      </c>
      <c r="F95" s="1175">
        <v>77508</v>
      </c>
      <c r="G95" s="1175">
        <v>76343</v>
      </c>
      <c r="H95" s="1176">
        <v>75178</v>
      </c>
      <c r="I95" s="1175">
        <v>74013</v>
      </c>
      <c r="J95" s="1175">
        <v>72848</v>
      </c>
      <c r="K95" s="1177">
        <v>71683</v>
      </c>
      <c r="L95" s="1177">
        <v>70518</v>
      </c>
      <c r="M95" s="1177">
        <v>46534</v>
      </c>
      <c r="N95" s="1177"/>
      <c r="O95" s="1177"/>
      <c r="P95" s="1178"/>
      <c r="Q95" s="1177"/>
      <c r="R95" s="1179"/>
    </row>
    <row r="96" spans="1:18" s="1110" customFormat="1" ht="31.5" x14ac:dyDescent="0.25">
      <c r="A96" s="1129">
        <v>1708</v>
      </c>
      <c r="B96" s="1130">
        <v>2015</v>
      </c>
      <c r="C96" s="1130" t="s">
        <v>1372</v>
      </c>
      <c r="D96" s="1132">
        <v>171</v>
      </c>
      <c r="E96" s="1132">
        <v>171</v>
      </c>
      <c r="F96" s="1132">
        <v>171</v>
      </c>
      <c r="G96" s="1132">
        <v>171</v>
      </c>
      <c r="H96" s="1132">
        <v>171</v>
      </c>
      <c r="I96" s="1132">
        <v>171</v>
      </c>
      <c r="J96" s="1132">
        <v>171</v>
      </c>
      <c r="K96" s="1132">
        <v>171</v>
      </c>
      <c r="L96" s="1071">
        <v>71</v>
      </c>
      <c r="M96" s="1071"/>
      <c r="N96" s="1071"/>
      <c r="O96" s="1071"/>
      <c r="P96" s="1070"/>
      <c r="Q96" s="1071"/>
      <c r="R96" s="1072"/>
    </row>
    <row r="97" spans="1:18" s="1110" customFormat="1" ht="16.5" thickBot="1" x14ac:dyDescent="0.3">
      <c r="A97" s="1165"/>
      <c r="B97" s="1166"/>
      <c r="C97" s="1142" t="s">
        <v>1373</v>
      </c>
      <c r="D97" s="1147">
        <v>35</v>
      </c>
      <c r="E97" s="1147">
        <v>30</v>
      </c>
      <c r="F97" s="1147">
        <v>26</v>
      </c>
      <c r="G97" s="1147">
        <v>22</v>
      </c>
      <c r="H97" s="1147">
        <v>17</v>
      </c>
      <c r="I97" s="1147">
        <v>13</v>
      </c>
      <c r="J97" s="1147">
        <v>9</v>
      </c>
      <c r="K97" s="1092">
        <v>4</v>
      </c>
      <c r="L97" s="1092">
        <v>1</v>
      </c>
      <c r="M97" s="1092"/>
      <c r="N97" s="1092"/>
      <c r="O97" s="1092"/>
      <c r="P97" s="1091"/>
      <c r="Q97" s="1092"/>
      <c r="R97" s="1094"/>
    </row>
    <row r="98" spans="1:18" s="1110" customFormat="1" ht="31.5" x14ac:dyDescent="0.25">
      <c r="A98" s="1113">
        <v>1707</v>
      </c>
      <c r="B98" s="1180">
        <v>2015</v>
      </c>
      <c r="C98" s="1069" t="s">
        <v>1374</v>
      </c>
      <c r="D98" s="1109">
        <v>171</v>
      </c>
      <c r="E98" s="1109">
        <v>171</v>
      </c>
      <c r="F98" s="1109">
        <v>171</v>
      </c>
      <c r="G98" s="1109">
        <v>171</v>
      </c>
      <c r="H98" s="1109">
        <v>171</v>
      </c>
      <c r="I98" s="1109">
        <v>171</v>
      </c>
      <c r="J98" s="1109">
        <v>171</v>
      </c>
      <c r="K98" s="1109">
        <v>171</v>
      </c>
      <c r="L98" s="1109">
        <v>71</v>
      </c>
      <c r="M98" s="1181"/>
      <c r="N98" s="1181"/>
      <c r="O98" s="1181"/>
      <c r="P98" s="1182"/>
      <c r="Q98" s="1181"/>
      <c r="R98" s="1183"/>
    </row>
    <row r="99" spans="1:18" ht="17.25" customHeight="1" thickBot="1" x14ac:dyDescent="0.3">
      <c r="A99" s="1184"/>
      <c r="B99" s="1185"/>
      <c r="C99" s="1142" t="s">
        <v>1375</v>
      </c>
      <c r="D99" s="1147">
        <v>35</v>
      </c>
      <c r="E99" s="1147">
        <v>30</v>
      </c>
      <c r="F99" s="1147">
        <v>26</v>
      </c>
      <c r="G99" s="1147">
        <v>22</v>
      </c>
      <c r="H99" s="1147">
        <v>17</v>
      </c>
      <c r="I99" s="1147">
        <v>13</v>
      </c>
      <c r="J99" s="1147">
        <v>9</v>
      </c>
      <c r="K99" s="1092">
        <v>4</v>
      </c>
      <c r="L99" s="1092">
        <v>1</v>
      </c>
      <c r="M99" s="1092"/>
      <c r="N99" s="1092"/>
      <c r="O99" s="1092"/>
      <c r="P99" s="1091"/>
      <c r="Q99" s="1092"/>
      <c r="R99" s="1094"/>
    </row>
    <row r="100" spans="1:18" ht="47.25" x14ac:dyDescent="0.25">
      <c r="A100" s="1129">
        <v>13860510</v>
      </c>
      <c r="B100" s="1186" t="s">
        <v>1376</v>
      </c>
      <c r="C100" s="1130" t="s">
        <v>1377</v>
      </c>
      <c r="D100" s="1131"/>
      <c r="E100" s="1131"/>
      <c r="F100" s="1131">
        <v>539992</v>
      </c>
      <c r="G100" s="1131">
        <v>720028</v>
      </c>
      <c r="H100" s="1131">
        <v>720028</v>
      </c>
      <c r="I100" s="1131">
        <v>720028</v>
      </c>
      <c r="J100" s="1131">
        <v>720028</v>
      </c>
      <c r="K100" s="1131">
        <v>720028</v>
      </c>
      <c r="L100" s="1131">
        <v>720028</v>
      </c>
      <c r="M100" s="1131">
        <v>720028</v>
      </c>
      <c r="N100" s="1131">
        <v>720028</v>
      </c>
      <c r="O100" s="1131">
        <v>720028</v>
      </c>
      <c r="P100" s="1131">
        <v>720028</v>
      </c>
      <c r="Q100" s="1132">
        <v>720028</v>
      </c>
      <c r="R100" s="1103">
        <f>A100-SUM(E100:Q100)</f>
        <v>5400210</v>
      </c>
    </row>
    <row r="101" spans="1:18" ht="17.25" customHeight="1" thickBot="1" x14ac:dyDescent="0.3">
      <c r="A101" s="1133"/>
      <c r="B101" s="1187"/>
      <c r="C101" s="1105" t="s">
        <v>1308</v>
      </c>
      <c r="D101" s="1137">
        <v>126429</v>
      </c>
      <c r="E101" s="1137">
        <v>190530</v>
      </c>
      <c r="F101" s="1137">
        <v>374234</v>
      </c>
      <c r="G101" s="1137">
        <v>359654</v>
      </c>
      <c r="H101" s="1138">
        <v>340213</v>
      </c>
      <c r="I101" s="1137">
        <v>320772</v>
      </c>
      <c r="J101" s="1137">
        <v>301332</v>
      </c>
      <c r="K101" s="1099">
        <v>281883</v>
      </c>
      <c r="L101" s="1099">
        <v>262450</v>
      </c>
      <c r="M101" s="1099">
        <v>243010</v>
      </c>
      <c r="N101" s="1099">
        <v>223570</v>
      </c>
      <c r="O101" s="1099">
        <v>204129</v>
      </c>
      <c r="P101" s="1098">
        <v>184688</v>
      </c>
      <c r="Q101" s="1099">
        <v>165247</v>
      </c>
      <c r="R101" s="1100">
        <f>145806+126365+106924+87484+68044+48603+29161</f>
        <v>612387</v>
      </c>
    </row>
    <row r="102" spans="1:18" ht="18" customHeight="1" thickBot="1" x14ac:dyDescent="0.3">
      <c r="A102" s="1133">
        <v>292094</v>
      </c>
      <c r="B102" s="1139" t="s">
        <v>1378</v>
      </c>
      <c r="C102" s="1139" t="s">
        <v>1379</v>
      </c>
      <c r="D102" s="1175"/>
      <c r="E102" s="1175"/>
      <c r="F102" s="1137"/>
      <c r="G102" s="1137"/>
      <c r="H102" s="1138"/>
      <c r="I102" s="1137"/>
      <c r="J102" s="1137"/>
      <c r="K102" s="1177"/>
      <c r="L102" s="1177"/>
      <c r="M102" s="1177"/>
      <c r="N102" s="1177"/>
      <c r="O102" s="1177"/>
      <c r="P102" s="1178"/>
      <c r="Q102" s="1177"/>
      <c r="R102" s="1179"/>
    </row>
    <row r="103" spans="1:18" ht="16.5" thickBot="1" x14ac:dyDescent="0.3">
      <c r="A103" s="1188"/>
      <c r="B103" s="1189"/>
      <c r="C103" s="1190" t="s">
        <v>1380</v>
      </c>
      <c r="D103" s="1099">
        <f>SUM(D15:D102)</f>
        <v>6804412.5756727979</v>
      </c>
      <c r="E103" s="1099">
        <f t="shared" ref="E103:R103" si="13">SUM(E15:E102)</f>
        <v>8672604.6491714511</v>
      </c>
      <c r="F103" s="1099">
        <f t="shared" si="13"/>
        <v>10426510.292639552</v>
      </c>
      <c r="G103" s="1099">
        <f t="shared" si="13"/>
        <v>13286266.525869751</v>
      </c>
      <c r="H103" s="1099">
        <f t="shared" si="13"/>
        <v>13634736.331</v>
      </c>
      <c r="I103" s="1099">
        <f t="shared" si="13"/>
        <v>13344181.031000001</v>
      </c>
      <c r="J103" s="1099">
        <f t="shared" si="13"/>
        <v>10921427.731000001</v>
      </c>
      <c r="K103" s="1099">
        <f t="shared" si="13"/>
        <v>10037201.606000001</v>
      </c>
      <c r="L103" s="1099">
        <f t="shared" si="13"/>
        <v>9276205.8760000002</v>
      </c>
      <c r="M103" s="1099">
        <f t="shared" si="13"/>
        <v>8981127.2479999997</v>
      </c>
      <c r="N103" s="1099">
        <f t="shared" si="13"/>
        <v>8526818.4480000008</v>
      </c>
      <c r="O103" s="1099">
        <f t="shared" si="13"/>
        <v>7849493.9000000004</v>
      </c>
      <c r="P103" s="1099">
        <f t="shared" si="13"/>
        <v>7519325.1850000005</v>
      </c>
      <c r="Q103" s="1099">
        <f t="shared" si="13"/>
        <v>6140995.8119999999</v>
      </c>
      <c r="R103" s="1191">
        <f t="shared" si="13"/>
        <v>21505125</v>
      </c>
    </row>
    <row r="104" spans="1:18" ht="15.75" x14ac:dyDescent="0.25">
      <c r="A104" s="1192"/>
      <c r="B104" s="1192"/>
      <c r="C104" s="1192"/>
      <c r="D104" s="1193"/>
      <c r="E104" s="1193"/>
      <c r="F104" s="1193"/>
      <c r="G104" s="1193"/>
      <c r="H104" s="1194"/>
      <c r="I104" s="1195"/>
      <c r="J104" s="1195"/>
      <c r="K104" s="1195"/>
      <c r="L104" s="1195"/>
      <c r="M104" s="1195"/>
      <c r="N104" s="1195"/>
      <c r="O104" s="1195"/>
      <c r="P104" s="1196"/>
      <c r="Q104" s="1196"/>
      <c r="R104" s="1197"/>
    </row>
    <row r="105" spans="1:18" ht="15.75" hidden="1" x14ac:dyDescent="0.25">
      <c r="A105" s="1198"/>
      <c r="B105" s="1198"/>
      <c r="C105" s="1199" t="s">
        <v>1381</v>
      </c>
      <c r="D105" s="1194" t="e">
        <f>SUM(D31,#REF!,D27,#REF!,#REF!,#REF!,#REF!,D33,D35,#REF!,#REF!,D25,D17,#REF!,D29,#REF!,D19,#REF!,D84,#REF!,#REF!,#REF!,D23,#REF!,#REF!,D40,D42,D44,D46,D48,D50,D52,D54,D56,D58,D60,D62,D64,D66,D68,D90)</f>
        <v>#REF!</v>
      </c>
      <c r="E105" s="1194" t="e">
        <f>SUM(E31,#REF!,E27,#REF!,#REF!,#REF!,#REF!,E33,E35,#REF!,#REF!,E25,E17,#REF!,E29,#REF!,E19,#REF!,E84,#REF!,#REF!,#REF!,E23,#REF!,#REF!,E40,E42,E44,E46,E48,E50,E52,E54,E56,E58,E60,E62,E64,E66,E68,E90)</f>
        <v>#REF!</v>
      </c>
      <c r="F105" s="1194" t="e">
        <f>SUM(F31,#REF!,F27,#REF!,#REF!,#REF!,#REF!,F33,F35,#REF!,#REF!,F25,F17,#REF!,F29,#REF!,F19,#REF!,F84,#REF!,#REF!,#REF!,F23,#REF!,#REF!,F40,F42,F44,F46,F48,F50,F52,F54,F56,F58,F60,F62,F64,F66,F68,F90)</f>
        <v>#REF!</v>
      </c>
      <c r="G105" s="1194" t="e">
        <f>SUM(G31,#REF!,G27,#REF!,#REF!,#REF!,#REF!,G33,G35,#REF!,#REF!,G25,G17,#REF!,G29,#REF!,G19,#REF!,G84,#REF!,#REF!,#REF!,G23,#REF!,#REF!,G40,G42,G44,G46,G48,G50,G52,G54,G56,G58,G60,G62,G64,G66,G68,G90)</f>
        <v>#REF!</v>
      </c>
      <c r="H105" s="1194" t="e">
        <f>SUM(H31,#REF!,H27,#REF!,#REF!,#REF!,#REF!,H33,H35,#REF!,#REF!,H25,H17,#REF!,H29,#REF!,H19,#REF!,H84,#REF!,#REF!,#REF!,H23,#REF!,#REF!,H40,H42,H44,H46,H48,H50,H52,H54,H56,H58,H60,H62,H64,H66,H68,H90)</f>
        <v>#REF!</v>
      </c>
      <c r="I105" s="1194" t="e">
        <f>SUM(I31,#REF!,I27,#REF!,#REF!,#REF!,#REF!,I33,I35,#REF!,#REF!,I25,I17,#REF!,I29,#REF!,I19,#REF!,I84,#REF!,#REF!,#REF!,I23,#REF!,#REF!,I40,I42,I44,I46,I48,I50,I52,I54,I56,I58,I60,I62,I64,I66,I68,I90)</f>
        <v>#REF!</v>
      </c>
      <c r="J105" s="1194" t="e">
        <f>SUM(J31,#REF!,J27,#REF!,#REF!,#REF!,#REF!,J33,J35,#REF!,#REF!,J25,J17,#REF!,J29,#REF!,J19,#REF!,J84,#REF!,#REF!,#REF!,J23,#REF!,#REF!,J40,J42,J44,J46,J48,J50,J52,J54,J56,J58,J60,J62,J64,J66,J68,J90)</f>
        <v>#REF!</v>
      </c>
      <c r="K105" s="1194" t="e">
        <f>SUM(K31,#REF!,K27,#REF!,#REF!,#REF!,#REF!,K33,K35,#REF!,#REF!,K25,K17,#REF!,K29,#REF!,K19,#REF!,K84,#REF!,#REF!,#REF!,K23,#REF!,#REF!,K40,K42,K44,K46,K48,K50,K52,K54,K56,K58,K60,K62,K64,K66,K68,K90)</f>
        <v>#REF!</v>
      </c>
      <c r="L105" s="1194" t="e">
        <f>SUM(L31,#REF!,L27,#REF!,#REF!,#REF!,#REF!,L33,L35,#REF!,#REF!,L25,L17,#REF!,L29,#REF!,L19,#REF!,L84,#REF!,#REF!,#REF!,L23,#REF!,#REF!,L40,L42,L44,L46,L48,L50,L52,L54,L56,L58,L60,L62,L64,L66,L68,L90)</f>
        <v>#REF!</v>
      </c>
      <c r="M105" s="1194" t="e">
        <f>SUM(M31,#REF!,M27,#REF!,#REF!,#REF!,#REF!,M33,M35,#REF!,#REF!,M25,M17,#REF!,M29,#REF!,M19,#REF!,M84,#REF!,#REF!,#REF!,M23,#REF!,#REF!,M40,M42,M44,M46,M48,M50,M52,M54,M56,M58,M60,M62,M64,M66,M68,M90)</f>
        <v>#REF!</v>
      </c>
      <c r="N105" s="1194" t="e">
        <f>SUM(N31,#REF!,N27,#REF!,#REF!,#REF!,#REF!,N33,N35,#REF!,#REF!,N25,N17,#REF!,N29,#REF!,N19,#REF!,N84,#REF!,#REF!,#REF!,N23,#REF!,#REF!,N40,N42,N44,N46,N48,N50,N52,N54,N56,N58,N60,N62,N64,N66,N68,N90)</f>
        <v>#REF!</v>
      </c>
      <c r="O105" s="1194" t="e">
        <f>SUM(O31,#REF!,O27,#REF!,#REF!,#REF!,#REF!,O33,O35,#REF!,#REF!,O25,O17,#REF!,O29,#REF!,O19,#REF!,O84,#REF!,#REF!,#REF!,O23,#REF!,#REF!,O40,O42,O44,O46,O48,O50,O52,O54,O56,O58,O60,O62,O64,O66,O68,O90)</f>
        <v>#REF!</v>
      </c>
      <c r="P105" s="1194" t="e">
        <f>SUM(P31,#REF!,P27,#REF!,#REF!,#REF!,#REF!,P33,P35,#REF!,#REF!,P25,P17,#REF!,P29,#REF!,P19,#REF!,P84,#REF!,#REF!,#REF!,P23,#REF!,#REF!,P40,P42,P44,P46,P48,P50,P52,P54,P56,P58,P60,P62,P64,P66,P68,P90)</f>
        <v>#REF!</v>
      </c>
      <c r="Q105" s="1194"/>
      <c r="R105" s="1194" t="e">
        <f>SUM(R31,#REF!,R27,#REF!,#REF!,#REF!,#REF!,R33,R35,#REF!,#REF!,R25,R17,#REF!,R29,#REF!,R19,#REF!,R84,#REF!,#REF!,#REF!,R23,#REF!,#REF!,R40,R42,R44,R46,R48,R50,R52,R54,R56,R58,R60,R62,R64,R66,R68,R90)</f>
        <v>#REF!</v>
      </c>
    </row>
    <row r="106" spans="1:18" ht="15.75" hidden="1" x14ac:dyDescent="0.25">
      <c r="A106" s="1198"/>
      <c r="B106" s="1198"/>
      <c r="C106" s="1199" t="s">
        <v>1382</v>
      </c>
      <c r="D106" s="1199"/>
      <c r="E106" s="1199"/>
      <c r="F106" s="1199"/>
      <c r="G106" s="1199"/>
      <c r="H106" s="1194"/>
      <c r="I106" s="1199"/>
      <c r="J106" s="1199"/>
      <c r="K106" s="1199"/>
      <c r="L106" s="1199"/>
      <c r="M106" s="1199"/>
      <c r="N106" s="1199"/>
      <c r="O106" s="1199"/>
      <c r="P106" s="1199"/>
      <c r="Q106" s="1199"/>
      <c r="R106" s="1192"/>
    </row>
    <row r="107" spans="1:18" ht="15.75" hidden="1" x14ac:dyDescent="0.25">
      <c r="A107" s="1198"/>
      <c r="B107" s="1198"/>
      <c r="C107" s="1199"/>
      <c r="D107" s="1199"/>
      <c r="E107" s="1199"/>
      <c r="F107" s="1199"/>
      <c r="G107" s="1199"/>
      <c r="H107" s="1194"/>
      <c r="I107" s="1199"/>
      <c r="J107" s="1199"/>
      <c r="K107" s="1199"/>
      <c r="L107" s="1199"/>
      <c r="M107" s="1199"/>
      <c r="N107" s="1199"/>
      <c r="O107" s="1199"/>
      <c r="P107" s="1199"/>
      <c r="Q107" s="1199"/>
      <c r="R107" s="1192"/>
    </row>
    <row r="108" spans="1:18" ht="15.75" hidden="1" x14ac:dyDescent="0.25">
      <c r="A108" s="1198"/>
      <c r="B108" s="1198"/>
      <c r="C108" s="1199"/>
      <c r="D108" s="1199"/>
      <c r="E108" s="1199"/>
      <c r="F108" s="1199"/>
      <c r="G108" s="1199"/>
      <c r="H108" s="1194"/>
      <c r="I108" s="1199"/>
      <c r="J108" s="1199"/>
      <c r="K108" s="1199"/>
      <c r="L108" s="1199"/>
      <c r="M108" s="1199"/>
      <c r="N108" s="1199"/>
      <c r="O108" s="1199"/>
      <c r="P108" s="1199"/>
      <c r="Q108" s="1199"/>
      <c r="R108" s="1192"/>
    </row>
    <row r="109" spans="1:18" ht="15.75" hidden="1" x14ac:dyDescent="0.25">
      <c r="A109" s="1198"/>
      <c r="B109" s="1198"/>
      <c r="C109" s="1200" t="s">
        <v>1383</v>
      </c>
      <c r="D109" s="1199"/>
      <c r="E109" s="1199"/>
      <c r="F109" s="1199"/>
      <c r="G109" s="1199"/>
      <c r="H109" s="1194"/>
      <c r="I109" s="1199"/>
      <c r="J109" s="1199"/>
      <c r="K109" s="1199"/>
      <c r="L109" s="1199"/>
      <c r="M109" s="1199"/>
      <c r="N109" s="1199"/>
      <c r="O109" s="1199"/>
      <c r="P109" s="1199"/>
      <c r="Q109" s="1199"/>
      <c r="R109" s="1192"/>
    </row>
    <row r="110" spans="1:18" hidden="1" x14ac:dyDescent="0.2">
      <c r="A110" s="1198"/>
      <c r="B110" s="1198"/>
      <c r="C110" s="1198"/>
      <c r="D110" s="1201"/>
      <c r="E110" s="1201"/>
      <c r="F110" s="1201"/>
      <c r="G110" s="1201"/>
      <c r="H110" s="1202"/>
      <c r="I110" s="1201"/>
      <c r="J110" s="1201"/>
      <c r="K110" s="1201"/>
      <c r="L110" s="1201"/>
      <c r="M110" s="1201"/>
      <c r="N110" s="1201"/>
      <c r="O110" s="1201"/>
      <c r="P110" s="1201"/>
      <c r="Q110" s="1201"/>
      <c r="R110" s="1203"/>
    </row>
    <row r="112" spans="1:18" x14ac:dyDescent="0.2">
      <c r="D112" s="1204"/>
      <c r="E112" s="1204"/>
      <c r="F112" s="1204"/>
      <c r="G112" s="1204"/>
      <c r="H112" s="1204"/>
      <c r="I112" s="1204"/>
      <c r="J112" s="1204"/>
      <c r="K112" s="1204"/>
      <c r="L112" s="1204"/>
      <c r="M112" s="1204"/>
      <c r="N112" s="1204"/>
      <c r="O112" s="1204"/>
      <c r="P112" s="1204"/>
      <c r="Q112" s="1204"/>
      <c r="R112" s="1204"/>
    </row>
    <row r="113" spans="4:18" x14ac:dyDescent="0.2">
      <c r="D113" s="1205"/>
      <c r="E113" s="1205"/>
      <c r="F113" s="1205"/>
      <c r="G113" s="1205"/>
      <c r="H113" s="1205"/>
      <c r="I113" s="1204"/>
      <c r="J113" s="1205"/>
      <c r="K113" s="1205"/>
      <c r="L113" s="1205"/>
      <c r="M113" s="1205"/>
      <c r="N113" s="1205"/>
      <c r="O113" s="1205"/>
      <c r="P113" s="1205"/>
      <c r="Q113" s="1205"/>
      <c r="R113" s="1205"/>
    </row>
    <row r="114" spans="4:18" x14ac:dyDescent="0.2">
      <c r="D114" s="1204"/>
      <c r="E114" s="1204"/>
      <c r="F114" s="1204"/>
      <c r="G114" s="1204"/>
      <c r="H114" s="1204"/>
      <c r="I114" s="1204"/>
      <c r="J114" s="1204"/>
      <c r="K114" s="1204"/>
      <c r="L114" s="1204"/>
      <c r="M114" s="1204"/>
      <c r="N114" s="1204"/>
      <c r="O114" s="1204"/>
      <c r="P114" s="1204"/>
      <c r="Q114" s="1204"/>
      <c r="R114" s="1204"/>
    </row>
    <row r="115" spans="4:18" x14ac:dyDescent="0.2">
      <c r="D115" s="1205"/>
      <c r="E115" s="1205"/>
      <c r="F115" s="1205"/>
      <c r="G115" s="1205"/>
      <c r="H115" s="1205"/>
      <c r="I115" s="1205"/>
      <c r="J115" s="1206"/>
      <c r="K115" s="1205"/>
      <c r="L115" s="1205"/>
      <c r="M115" s="1205"/>
      <c r="N115" s="1205"/>
      <c r="O115" s="1205"/>
      <c r="P115" s="1205"/>
      <c r="Q115" s="1205"/>
      <c r="R115" s="1205"/>
    </row>
    <row r="116" spans="4:18" x14ac:dyDescent="0.2">
      <c r="D116" s="1204"/>
      <c r="E116" s="1204"/>
      <c r="F116" s="1204"/>
      <c r="G116" s="1204"/>
      <c r="H116" s="1204"/>
      <c r="I116" s="1204"/>
      <c r="J116" s="1204"/>
      <c r="K116" s="1204"/>
      <c r="L116" s="1204"/>
      <c r="M116" s="1204"/>
      <c r="N116" s="1204"/>
      <c r="O116" s="1204"/>
      <c r="P116" s="1204"/>
      <c r="Q116" s="1204"/>
      <c r="R116" s="1204"/>
    </row>
    <row r="117" spans="4:18" x14ac:dyDescent="0.2">
      <c r="J117" s="1207"/>
    </row>
    <row r="118" spans="4:18" x14ac:dyDescent="0.2">
      <c r="J118" s="1207"/>
    </row>
    <row r="119" spans="4:18" x14ac:dyDescent="0.2">
      <c r="J119" s="1207"/>
    </row>
    <row r="120" spans="4:18" x14ac:dyDescent="0.2">
      <c r="J120" s="1207"/>
    </row>
    <row r="121" spans="4:18" x14ac:dyDescent="0.2">
      <c r="J121" s="1207"/>
    </row>
    <row r="122" spans="4:18" x14ac:dyDescent="0.2">
      <c r="J122" s="1207"/>
    </row>
    <row r="123" spans="4:18" x14ac:dyDescent="0.2">
      <c r="J123" s="1207"/>
    </row>
  </sheetData>
  <sheetProtection algorithmName="SHA-512" hashValue="4B9L7Ihc0EkhIr6NAA6YC3K814YsKRwe8NoXxinf+X2xc0UK3hpy+ZCX9HW7dHYB3rRZMpXfwWCZFkge6gjInQ==" saltValue="gXEh8hTpcEODfk8vKDbqdg==" spinCount="100000" sheet="1" objects="1" scenarios="1"/>
  <mergeCells count="3">
    <mergeCell ref="A3:R3"/>
    <mergeCell ref="C9:C10"/>
    <mergeCell ref="C11:C12"/>
  </mergeCells>
  <pageMargins left="0.19685039370078741" right="0.19685039370078741" top="0.59055118110236227" bottom="0.39370078740157483" header="0.23622047244094491" footer="0.23622047244094491"/>
  <pageSetup paperSize="9" scale="50" orientation="landscape" cellComments="asDisplayed" r:id="rId1"/>
  <headerFooter differentFirst="1">
    <oddFooter>&amp;L&amp;"Times New Roman,Regular"&amp;9&amp;D; &amp;T&amp;R&amp;"Times New Roman,Regular"&amp;9&amp;P (&amp;N)</oddFooter>
    <firstHeader>&amp;R&amp;"Times New Roman,Regular"&amp;9 37.pielikums Jūrmalas pilsētas domes
2019.gada 31.oktobra saistošajiem noteikumiem Nr.46
(protokols Nr.14, 28.punkts)</firstHeader>
    <firstFooter>&amp;L&amp;9&amp;D; &amp;T&amp;R&amp;9&amp;P (&amp;N)</first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2" sqref="T2"/>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1531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1492</v>
      </c>
      <c r="D6" s="1512"/>
      <c r="E6" s="1512"/>
      <c r="F6" s="1512"/>
      <c r="G6" s="1512"/>
      <c r="H6" s="1512"/>
      <c r="I6" s="1512"/>
      <c r="J6" s="1512"/>
      <c r="K6" s="1512"/>
      <c r="L6" s="1512"/>
      <c r="M6" s="1512"/>
      <c r="N6" s="1512"/>
      <c r="O6" s="1512"/>
      <c r="P6" s="1513"/>
      <c r="Q6" s="277"/>
    </row>
    <row r="7" spans="1:17" x14ac:dyDescent="0.25">
      <c r="A7" s="7" t="s">
        <v>10</v>
      </c>
      <c r="B7" s="8"/>
      <c r="C7" s="1517" t="s">
        <v>1491</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229594</v>
      </c>
      <c r="D20" s="32">
        <f>SUM(D21,D24,D25,D41,D43)</f>
        <v>215134</v>
      </c>
      <c r="E20" s="33">
        <f t="shared" ref="E20:F20" si="1">SUM(E21,E24,E25,E41,E43)</f>
        <v>14460</v>
      </c>
      <c r="F20" s="34">
        <f t="shared" si="1"/>
        <v>229594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229594</v>
      </c>
      <c r="D24" s="60">
        <f>160000+55134</f>
        <v>215134</v>
      </c>
      <c r="E24" s="1334">
        <v>14460</v>
      </c>
      <c r="F24" s="62">
        <f t="shared" si="9"/>
        <v>229594</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229594</v>
      </c>
      <c r="D50" s="159">
        <f>SUM(D51,D286)</f>
        <v>215134</v>
      </c>
      <c r="E50" s="160">
        <f t="shared" ref="E50:F50" si="26">SUM(E51,E286)</f>
        <v>14460</v>
      </c>
      <c r="F50" s="161">
        <f t="shared" si="26"/>
        <v>229594</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229594</v>
      </c>
      <c r="D51" s="165">
        <f>SUM(D52,D194)</f>
        <v>215134</v>
      </c>
      <c r="E51" s="166">
        <f t="shared" ref="E51:F51" si="30">SUM(E52,E194)</f>
        <v>14460</v>
      </c>
      <c r="F51" s="167">
        <f t="shared" si="30"/>
        <v>229594</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229594</v>
      </c>
      <c r="D52" s="173">
        <f>SUM(D53,D75,D173,D187)</f>
        <v>215134</v>
      </c>
      <c r="E52" s="174">
        <f t="shared" ref="E52:F52" si="34">SUM(E53,E75,E173,E187)</f>
        <v>14460</v>
      </c>
      <c r="F52" s="175">
        <f t="shared" si="34"/>
        <v>229594</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86">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93</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8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8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986">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8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189</v>
      </c>
      <c r="C173" s="178">
        <f t="shared" si="193"/>
        <v>229594</v>
      </c>
      <c r="D173" s="179">
        <f>SUM(D174,D184)</f>
        <v>215134</v>
      </c>
      <c r="E173" s="180">
        <f t="shared" ref="E173:F173" si="216">SUM(E174,E184)</f>
        <v>14460</v>
      </c>
      <c r="F173" s="181">
        <f t="shared" si="216"/>
        <v>229594</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x14ac:dyDescent="0.25">
      <c r="A174" s="69">
        <v>3200</v>
      </c>
      <c r="B174" s="208" t="s">
        <v>190</v>
      </c>
      <c r="C174" s="70">
        <f t="shared" si="193"/>
        <v>229594</v>
      </c>
      <c r="D174" s="184">
        <f>SUM(D175,D179)</f>
        <v>215134</v>
      </c>
      <c r="E174" s="185">
        <f t="shared" ref="E174:O174" si="220">SUM(E175,E179)</f>
        <v>14460</v>
      </c>
      <c r="F174" s="73">
        <f t="shared" si="220"/>
        <v>229594</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x14ac:dyDescent="0.25">
      <c r="A175" s="986">
        <v>3260</v>
      </c>
      <c r="B175" s="82" t="s">
        <v>191</v>
      </c>
      <c r="C175" s="83">
        <f t="shared" si="193"/>
        <v>229594</v>
      </c>
      <c r="D175" s="194">
        <f>SUM(D176:D178)</f>
        <v>215134</v>
      </c>
      <c r="E175" s="195">
        <f t="shared" ref="E175:F175" si="221">SUM(E176:E178)</f>
        <v>14460</v>
      </c>
      <c r="F175" s="134">
        <f t="shared" si="221"/>
        <v>229594</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customHeight="1" x14ac:dyDescent="0.25">
      <c r="A177" s="51">
        <v>3262</v>
      </c>
      <c r="B177" s="89" t="s">
        <v>193</v>
      </c>
      <c r="C177" s="90">
        <f t="shared" si="193"/>
        <v>229594</v>
      </c>
      <c r="D177" s="196">
        <f>160000+55134</f>
        <v>215134</v>
      </c>
      <c r="E177" s="358">
        <v>14460</v>
      </c>
      <c r="F177" s="55">
        <f t="shared" si="225"/>
        <v>229594</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8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8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8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98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8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8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8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229594</v>
      </c>
      <c r="D289" s="252">
        <f t="shared" ref="D289:O289" si="389">SUM(D286,D269,D230,D195,D187,D173,D75,D53,D283)</f>
        <v>215134</v>
      </c>
      <c r="E289" s="253">
        <f t="shared" si="389"/>
        <v>14460</v>
      </c>
      <c r="F289" s="254">
        <f t="shared" si="389"/>
        <v>229594</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HbhzHnAJsC/oajuDEDzBi44Qn5xgriRxhIk1mi+r8QISvvlZTSEOIlj+pAMFcPd+mwrQytWeQ6/IQqfTxoJG2A==" saltValue="vZFGYe+/zShVXv084E1/Vw==" spinCount="100000" sheet="1" objects="1" scenarios="1" formatCells="0" formatColumns="0" formatRows="0" deleteColumns="0"/>
  <autoFilter ref="A18:P301">
    <filterColumn colId="2">
      <filters>
        <filter val="229 59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40.pielikums Jūrmalas pilsētas domes
2019.gada 31.oktobra saistošajiem noteikumiem Nr.46
(protokols Nr.14, 28.punkts)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5" sqref="T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202"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1547</v>
      </c>
      <c r="P1" s="1336"/>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1431</v>
      </c>
      <c r="D3" s="1517"/>
      <c r="E3" s="1517"/>
      <c r="F3" s="1517"/>
      <c r="G3" s="1517"/>
      <c r="H3" s="1517"/>
      <c r="I3" s="1517"/>
      <c r="J3" s="1517"/>
      <c r="K3" s="1517"/>
      <c r="L3" s="1517"/>
      <c r="M3" s="1517"/>
      <c r="N3" s="1517"/>
      <c r="O3" s="1517"/>
      <c r="P3" s="1518"/>
      <c r="Q3" s="277"/>
    </row>
    <row r="4" spans="1:17" ht="12.75" customHeight="1" x14ac:dyDescent="0.25">
      <c r="A4" s="5" t="s">
        <v>4</v>
      </c>
      <c r="B4" s="6"/>
      <c r="C4" s="1517" t="s">
        <v>1432</v>
      </c>
      <c r="D4" s="1517"/>
      <c r="E4" s="1517"/>
      <c r="F4" s="1517"/>
      <c r="G4" s="1517"/>
      <c r="H4" s="1517"/>
      <c r="I4" s="1517"/>
      <c r="J4" s="1517"/>
      <c r="K4" s="1517"/>
      <c r="L4" s="1517"/>
      <c r="M4" s="1517"/>
      <c r="N4" s="1517"/>
      <c r="O4" s="1517"/>
      <c r="P4" s="1518"/>
      <c r="Q4" s="277"/>
    </row>
    <row r="5" spans="1:17" ht="12.75" customHeight="1" x14ac:dyDescent="0.25">
      <c r="A5" s="7" t="s">
        <v>6</v>
      </c>
      <c r="B5" s="8"/>
      <c r="C5" s="1512" t="s">
        <v>1548</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5.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1433</v>
      </c>
      <c r="D9" s="1512"/>
      <c r="E9" s="1512"/>
      <c r="F9" s="1512"/>
      <c r="G9" s="1512"/>
      <c r="H9" s="1512"/>
      <c r="I9" s="1512"/>
      <c r="J9" s="1512"/>
      <c r="K9" s="1512"/>
      <c r="L9" s="1512"/>
      <c r="M9" s="1512"/>
      <c r="N9" s="1512"/>
      <c r="O9" s="1512"/>
      <c r="P9" s="1513"/>
      <c r="Q9" s="277"/>
    </row>
    <row r="10" spans="1:17" ht="12.75" customHeight="1" x14ac:dyDescent="0.25">
      <c r="A10" s="7"/>
      <c r="B10" s="8" t="s">
        <v>15</v>
      </c>
      <c r="C10" s="1512" t="s">
        <v>1549</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1550</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t="s">
        <v>1551</v>
      </c>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1337">
        <v>16</v>
      </c>
    </row>
    <row r="19" spans="1:16" s="28" customFormat="1" ht="12" hidden="1" customHeight="1" x14ac:dyDescent="0.25">
      <c r="A19" s="22"/>
      <c r="B19" s="23" t="s">
        <v>37</v>
      </c>
      <c r="C19" s="24"/>
      <c r="D19" s="25"/>
      <c r="E19" s="26"/>
      <c r="F19" s="27"/>
      <c r="G19" s="25"/>
      <c r="H19" s="26"/>
      <c r="I19" s="27"/>
      <c r="J19" s="25"/>
      <c r="K19" s="26"/>
      <c r="L19" s="27"/>
      <c r="M19" s="25"/>
      <c r="N19" s="26"/>
      <c r="O19" s="27"/>
      <c r="P19" s="1338"/>
    </row>
    <row r="20" spans="1:16" s="28" customFormat="1" ht="12.75" thickBot="1" x14ac:dyDescent="0.3">
      <c r="A20" s="29"/>
      <c r="B20" s="30" t="s">
        <v>38</v>
      </c>
      <c r="C20" s="31">
        <f t="shared" ref="C20:C83" si="0">F20+I20+L20+O20</f>
        <v>745790</v>
      </c>
      <c r="D20" s="32">
        <f>SUM(D21,D24,D25,D41,D43)</f>
        <v>333452</v>
      </c>
      <c r="E20" s="33">
        <f t="shared" ref="E20:F20" si="1">SUM(E21,E24,E25,E41,E43)</f>
        <v>0</v>
      </c>
      <c r="F20" s="34">
        <f t="shared" si="1"/>
        <v>333452</v>
      </c>
      <c r="G20" s="32">
        <f>SUM(G21,G24,G43)</f>
        <v>361129</v>
      </c>
      <c r="H20" s="33">
        <f t="shared" ref="H20:I20" si="2">SUM(H21,H24,H43)</f>
        <v>21793</v>
      </c>
      <c r="I20" s="34">
        <f t="shared" si="2"/>
        <v>382922</v>
      </c>
      <c r="J20" s="32">
        <f>SUM(J21,J26,J43)</f>
        <v>29416</v>
      </c>
      <c r="K20" s="33">
        <f t="shared" ref="K20:L20" si="3">SUM(K21,K26,K43)</f>
        <v>0</v>
      </c>
      <c r="L20" s="34">
        <f t="shared" si="3"/>
        <v>29416</v>
      </c>
      <c r="M20" s="32">
        <f>SUM(M21,M45)</f>
        <v>0</v>
      </c>
      <c r="N20" s="33">
        <f t="shared" ref="N20:O20" si="4">SUM(N21,N45)</f>
        <v>0</v>
      </c>
      <c r="O20" s="34">
        <f t="shared" si="4"/>
        <v>0</v>
      </c>
      <c r="P20" s="35"/>
    </row>
    <row r="21" spans="1:16" ht="12.75" thickTop="1" x14ac:dyDescent="0.25">
      <c r="A21" s="36"/>
      <c r="B21" s="37" t="s">
        <v>39</v>
      </c>
      <c r="C21" s="38">
        <f t="shared" si="0"/>
        <v>12853</v>
      </c>
      <c r="D21" s="39">
        <f>SUM(D22:D23)</f>
        <v>0</v>
      </c>
      <c r="E21" s="40">
        <f t="shared" ref="E21:F21" si="5">SUM(E22:E23)</f>
        <v>0</v>
      </c>
      <c r="F21" s="41">
        <f t="shared" si="5"/>
        <v>0</v>
      </c>
      <c r="G21" s="39">
        <f>SUM(G22:G23)</f>
        <v>0</v>
      </c>
      <c r="H21" s="40">
        <f t="shared" ref="H21:I21" si="6">SUM(H22:H23)</f>
        <v>0</v>
      </c>
      <c r="I21" s="41">
        <f t="shared" si="6"/>
        <v>0</v>
      </c>
      <c r="J21" s="39">
        <f>SUM(J22:J23)</f>
        <v>12853</v>
      </c>
      <c r="K21" s="40">
        <f t="shared" ref="K21:L21" si="7">SUM(K22:K23)</f>
        <v>0</v>
      </c>
      <c r="L21" s="41">
        <f t="shared" si="7"/>
        <v>12853</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12853</v>
      </c>
      <c r="D23" s="53"/>
      <c r="E23" s="54"/>
      <c r="F23" s="55">
        <f t="shared" ref="F23:F25" si="9">D23+E23</f>
        <v>0</v>
      </c>
      <c r="G23" s="53"/>
      <c r="H23" s="54"/>
      <c r="I23" s="55">
        <f t="shared" ref="I23:I24" si="10">G23+H23</f>
        <v>0</v>
      </c>
      <c r="J23" s="53">
        <v>12853</v>
      </c>
      <c r="K23" s="54"/>
      <c r="L23" s="56">
        <f>K23+J23</f>
        <v>12853</v>
      </c>
      <c r="M23" s="53"/>
      <c r="N23" s="54"/>
      <c r="O23" s="55">
        <f>N23+M23</f>
        <v>0</v>
      </c>
      <c r="P23" s="57"/>
    </row>
    <row r="24" spans="1:16" s="28" customFormat="1" ht="31.5" customHeight="1" thickBot="1" x14ac:dyDescent="0.3">
      <c r="A24" s="58">
        <v>19300</v>
      </c>
      <c r="B24" s="58" t="s">
        <v>42</v>
      </c>
      <c r="C24" s="59">
        <f>F24+I24</f>
        <v>716374</v>
      </c>
      <c r="D24" s="60">
        <v>333452</v>
      </c>
      <c r="E24" s="63"/>
      <c r="F24" s="62">
        <f t="shared" si="9"/>
        <v>333452</v>
      </c>
      <c r="G24" s="60">
        <v>361129</v>
      </c>
      <c r="H24" s="63">
        <v>21793</v>
      </c>
      <c r="I24" s="62">
        <f t="shared" si="10"/>
        <v>382922</v>
      </c>
      <c r="J24" s="64" t="s">
        <v>43</v>
      </c>
      <c r="K24" s="65" t="s">
        <v>43</v>
      </c>
      <c r="L24" s="66" t="s">
        <v>43</v>
      </c>
      <c r="M24" s="64" t="s">
        <v>43</v>
      </c>
      <c r="N24" s="65" t="s">
        <v>43</v>
      </c>
      <c r="O24" s="66" t="s">
        <v>43</v>
      </c>
      <c r="P24" s="1339" t="s">
        <v>1552</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1340"/>
    </row>
    <row r="26" spans="1:16" s="28" customFormat="1" ht="36" customHeight="1" thickTop="1" x14ac:dyDescent="0.25">
      <c r="A26" s="69">
        <v>21300</v>
      </c>
      <c r="B26" s="69" t="s">
        <v>45</v>
      </c>
      <c r="C26" s="70">
        <f>L26</f>
        <v>16363</v>
      </c>
      <c r="D26" s="74" t="s">
        <v>43</v>
      </c>
      <c r="E26" s="75" t="s">
        <v>43</v>
      </c>
      <c r="F26" s="76" t="s">
        <v>43</v>
      </c>
      <c r="G26" s="74" t="s">
        <v>43</v>
      </c>
      <c r="H26" s="75" t="s">
        <v>43</v>
      </c>
      <c r="I26" s="76" t="s">
        <v>43</v>
      </c>
      <c r="J26" s="78">
        <f>SUM(J27,J31,J33,J36)</f>
        <v>16363</v>
      </c>
      <c r="K26" s="79">
        <f t="shared" ref="K26:L26" si="11">SUM(K27,K31,K33,K36)</f>
        <v>0</v>
      </c>
      <c r="L26" s="80">
        <f t="shared" si="11"/>
        <v>16363</v>
      </c>
      <c r="M26" s="78" t="s">
        <v>43</v>
      </c>
      <c r="N26" s="79" t="s">
        <v>43</v>
      </c>
      <c r="O26" s="80" t="s">
        <v>43</v>
      </c>
      <c r="P26" s="1340"/>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1340"/>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1341"/>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1342"/>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1342"/>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1340"/>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343"/>
    </row>
    <row r="33" spans="1:16" s="28" customFormat="1" ht="12" customHeight="1" x14ac:dyDescent="0.25">
      <c r="A33" s="81">
        <v>21380</v>
      </c>
      <c r="B33" s="69" t="s">
        <v>52</v>
      </c>
      <c r="C33" s="70">
        <f t="shared" si="16"/>
        <v>5272</v>
      </c>
      <c r="D33" s="74" t="s">
        <v>43</v>
      </c>
      <c r="E33" s="75" t="s">
        <v>43</v>
      </c>
      <c r="F33" s="76" t="s">
        <v>43</v>
      </c>
      <c r="G33" s="74" t="s">
        <v>43</v>
      </c>
      <c r="H33" s="75" t="s">
        <v>43</v>
      </c>
      <c r="I33" s="76" t="s">
        <v>43</v>
      </c>
      <c r="J33" s="78">
        <f>SUM(J34:J35)</f>
        <v>5272</v>
      </c>
      <c r="K33" s="79">
        <f t="shared" ref="K33:L33" si="17">SUM(K34:K35)</f>
        <v>0</v>
      </c>
      <c r="L33" s="80">
        <f t="shared" si="17"/>
        <v>5272</v>
      </c>
      <c r="M33" s="78" t="s">
        <v>43</v>
      </c>
      <c r="N33" s="79" t="s">
        <v>43</v>
      </c>
      <c r="O33" s="80" t="s">
        <v>43</v>
      </c>
      <c r="P33" s="1340"/>
    </row>
    <row r="34" spans="1:16" ht="12" customHeight="1" x14ac:dyDescent="0.25">
      <c r="A34" s="44">
        <v>21381</v>
      </c>
      <c r="B34" s="82" t="s">
        <v>53</v>
      </c>
      <c r="C34" s="83">
        <f t="shared" si="16"/>
        <v>5272</v>
      </c>
      <c r="D34" s="84" t="s">
        <v>43</v>
      </c>
      <c r="E34" s="85" t="s">
        <v>43</v>
      </c>
      <c r="F34" s="86" t="s">
        <v>43</v>
      </c>
      <c r="G34" s="84" t="s">
        <v>43</v>
      </c>
      <c r="H34" s="85" t="s">
        <v>43</v>
      </c>
      <c r="I34" s="86" t="s">
        <v>43</v>
      </c>
      <c r="J34" s="46">
        <v>5272</v>
      </c>
      <c r="K34" s="47"/>
      <c r="L34" s="48">
        <f t="shared" ref="L34:L35" si="18">K34+J34</f>
        <v>5272</v>
      </c>
      <c r="M34" s="87" t="s">
        <v>43</v>
      </c>
      <c r="N34" s="88" t="s">
        <v>43</v>
      </c>
      <c r="O34" s="48" t="s">
        <v>43</v>
      </c>
      <c r="P34" s="1341"/>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1342"/>
    </row>
    <row r="36" spans="1:16" s="28" customFormat="1" ht="25.5" customHeight="1" x14ac:dyDescent="0.25">
      <c r="A36" s="81">
        <v>21390</v>
      </c>
      <c r="B36" s="69" t="s">
        <v>55</v>
      </c>
      <c r="C36" s="70">
        <f t="shared" si="16"/>
        <v>11091</v>
      </c>
      <c r="D36" s="74" t="s">
        <v>43</v>
      </c>
      <c r="E36" s="75" t="s">
        <v>43</v>
      </c>
      <c r="F36" s="76" t="s">
        <v>43</v>
      </c>
      <c r="G36" s="74" t="s">
        <v>43</v>
      </c>
      <c r="H36" s="75" t="s">
        <v>43</v>
      </c>
      <c r="I36" s="76" t="s">
        <v>43</v>
      </c>
      <c r="J36" s="78">
        <f>SUM(J37:J40)</f>
        <v>11091</v>
      </c>
      <c r="K36" s="79">
        <f t="shared" ref="K36:L36" si="19">SUM(K37:K40)</f>
        <v>0</v>
      </c>
      <c r="L36" s="80">
        <f t="shared" si="19"/>
        <v>11091</v>
      </c>
      <c r="M36" s="78" t="s">
        <v>43</v>
      </c>
      <c r="N36" s="79" t="s">
        <v>43</v>
      </c>
      <c r="O36" s="80" t="s">
        <v>43</v>
      </c>
      <c r="P36" s="1340"/>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1341"/>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1342"/>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1342"/>
    </row>
    <row r="40" spans="1:16" ht="24" customHeight="1" x14ac:dyDescent="0.25">
      <c r="A40" s="108">
        <v>21399</v>
      </c>
      <c r="B40" s="109" t="s">
        <v>59</v>
      </c>
      <c r="C40" s="110">
        <f t="shared" si="16"/>
        <v>11091</v>
      </c>
      <c r="D40" s="111" t="s">
        <v>43</v>
      </c>
      <c r="E40" s="112" t="s">
        <v>43</v>
      </c>
      <c r="F40" s="113" t="s">
        <v>43</v>
      </c>
      <c r="G40" s="111" t="s">
        <v>43</v>
      </c>
      <c r="H40" s="112" t="s">
        <v>43</v>
      </c>
      <c r="I40" s="113" t="s">
        <v>43</v>
      </c>
      <c r="J40" s="114">
        <v>11091</v>
      </c>
      <c r="K40" s="115"/>
      <c r="L40" s="116">
        <f t="shared" si="20"/>
        <v>11091</v>
      </c>
      <c r="M40" s="117" t="s">
        <v>43</v>
      </c>
      <c r="N40" s="118" t="s">
        <v>43</v>
      </c>
      <c r="O40" s="116" t="s">
        <v>43</v>
      </c>
      <c r="P40" s="1344"/>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345"/>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344"/>
    </row>
    <row r="43" spans="1:16" s="28" customFormat="1" ht="24" x14ac:dyDescent="0.25">
      <c r="A43" s="81">
        <v>21490</v>
      </c>
      <c r="B43" s="69" t="s">
        <v>62</v>
      </c>
      <c r="C43" s="132">
        <f>F43+I43+L43</f>
        <v>200</v>
      </c>
      <c r="D43" s="78">
        <f>D44</f>
        <v>0</v>
      </c>
      <c r="E43" s="79">
        <f t="shared" ref="E43:L43" si="22">E44</f>
        <v>0</v>
      </c>
      <c r="F43" s="80">
        <f t="shared" si="22"/>
        <v>0</v>
      </c>
      <c r="G43" s="78">
        <f t="shared" si="22"/>
        <v>0</v>
      </c>
      <c r="H43" s="79">
        <f t="shared" si="22"/>
        <v>0</v>
      </c>
      <c r="I43" s="80">
        <f t="shared" si="22"/>
        <v>0</v>
      </c>
      <c r="J43" s="78">
        <f t="shared" si="22"/>
        <v>200</v>
      </c>
      <c r="K43" s="79">
        <f t="shared" si="22"/>
        <v>0</v>
      </c>
      <c r="L43" s="80">
        <f t="shared" si="22"/>
        <v>200</v>
      </c>
      <c r="M43" s="78" t="s">
        <v>43</v>
      </c>
      <c r="N43" s="79" t="s">
        <v>43</v>
      </c>
      <c r="O43" s="80" t="s">
        <v>43</v>
      </c>
      <c r="P43" s="1340"/>
    </row>
    <row r="44" spans="1:16" s="28" customFormat="1" ht="24" customHeight="1" x14ac:dyDescent="0.25">
      <c r="A44" s="51">
        <v>21499</v>
      </c>
      <c r="B44" s="89" t="s">
        <v>63</v>
      </c>
      <c r="C44" s="133">
        <f>F44+I44+L44</f>
        <v>200</v>
      </c>
      <c r="D44" s="46"/>
      <c r="E44" s="47"/>
      <c r="F44" s="134">
        <f>D44+E44</f>
        <v>0</v>
      </c>
      <c r="G44" s="46"/>
      <c r="H44" s="47"/>
      <c r="I44" s="134">
        <f>G44+H44</f>
        <v>0</v>
      </c>
      <c r="J44" s="46">
        <v>200</v>
      </c>
      <c r="K44" s="47"/>
      <c r="L44" s="48">
        <f>K44+J44</f>
        <v>200</v>
      </c>
      <c r="M44" s="87" t="s">
        <v>43</v>
      </c>
      <c r="N44" s="88" t="s">
        <v>43</v>
      </c>
      <c r="O44" s="48" t="s">
        <v>43</v>
      </c>
      <c r="P44" s="1341"/>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344"/>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345"/>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345"/>
    </row>
    <row r="48" spans="1:16" ht="12" hidden="1" customHeight="1" x14ac:dyDescent="0.25">
      <c r="A48" s="142"/>
      <c r="B48" s="138"/>
      <c r="C48" s="143"/>
      <c r="D48" s="144"/>
      <c r="E48" s="145"/>
      <c r="F48" s="141"/>
      <c r="G48" s="144"/>
      <c r="H48" s="145"/>
      <c r="I48" s="141"/>
      <c r="J48" s="144"/>
      <c r="K48" s="145"/>
      <c r="L48" s="125"/>
      <c r="M48" s="144"/>
      <c r="N48" s="145"/>
      <c r="O48" s="141"/>
      <c r="P48" s="1345"/>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346"/>
    </row>
    <row r="50" spans="1:16" s="28" customFormat="1" ht="12.75" thickBot="1" x14ac:dyDescent="0.3">
      <c r="A50" s="157"/>
      <c r="B50" s="29" t="s">
        <v>68</v>
      </c>
      <c r="C50" s="158">
        <f t="shared" si="0"/>
        <v>745790</v>
      </c>
      <c r="D50" s="159">
        <f>SUM(D51,D286)</f>
        <v>333452</v>
      </c>
      <c r="E50" s="160">
        <f t="shared" ref="E50:F50" si="26">SUM(E51,E286)</f>
        <v>0</v>
      </c>
      <c r="F50" s="161">
        <f t="shared" si="26"/>
        <v>333452</v>
      </c>
      <c r="G50" s="159">
        <f>SUM(G51,G286)</f>
        <v>361129</v>
      </c>
      <c r="H50" s="160">
        <f>SUM(H51,H286)</f>
        <v>21793</v>
      </c>
      <c r="I50" s="161">
        <f t="shared" ref="I50" si="27">SUM(I51,I286)</f>
        <v>382922</v>
      </c>
      <c r="J50" s="32">
        <f>SUM(J51,J286)</f>
        <v>29416</v>
      </c>
      <c r="K50" s="33">
        <f t="shared" ref="K50:L50" si="28">SUM(K51,K286)</f>
        <v>0</v>
      </c>
      <c r="L50" s="34">
        <f t="shared" si="28"/>
        <v>29416</v>
      </c>
      <c r="M50" s="32">
        <f>SUM(M51,M286)</f>
        <v>0</v>
      </c>
      <c r="N50" s="33">
        <f t="shared" ref="N50:O50" si="29">SUM(N51,N286)</f>
        <v>0</v>
      </c>
      <c r="O50" s="34">
        <f t="shared" si="29"/>
        <v>0</v>
      </c>
      <c r="P50" s="1347"/>
    </row>
    <row r="51" spans="1:16" s="28" customFormat="1" ht="36.75" thickTop="1" x14ac:dyDescent="0.25">
      <c r="A51" s="162"/>
      <c r="B51" s="163" t="s">
        <v>69</v>
      </c>
      <c r="C51" s="164">
        <f t="shared" si="0"/>
        <v>745652</v>
      </c>
      <c r="D51" s="165">
        <f>SUM(D52,D194)</f>
        <v>333452</v>
      </c>
      <c r="E51" s="166">
        <f t="shared" ref="E51:F51" si="30">SUM(E52,E194)</f>
        <v>0</v>
      </c>
      <c r="F51" s="167">
        <f t="shared" si="30"/>
        <v>333452</v>
      </c>
      <c r="G51" s="165">
        <f>SUM(G52,G194)</f>
        <v>360991</v>
      </c>
      <c r="H51" s="166">
        <f t="shared" ref="H51:I51" si="31">SUM(H52,H194)</f>
        <v>21793</v>
      </c>
      <c r="I51" s="167">
        <f t="shared" si="31"/>
        <v>382784</v>
      </c>
      <c r="J51" s="168">
        <f>SUM(J52,J194)</f>
        <v>29416</v>
      </c>
      <c r="K51" s="169">
        <f t="shared" ref="K51:L51" si="32">SUM(K52,K194)</f>
        <v>0</v>
      </c>
      <c r="L51" s="170">
        <f t="shared" si="32"/>
        <v>29416</v>
      </c>
      <c r="M51" s="168">
        <f>SUM(M52,M194)</f>
        <v>0</v>
      </c>
      <c r="N51" s="169">
        <f t="shared" ref="N51:O51" si="33">SUM(N52,N194)</f>
        <v>0</v>
      </c>
      <c r="O51" s="170">
        <f t="shared" si="33"/>
        <v>0</v>
      </c>
      <c r="P51" s="1348"/>
    </row>
    <row r="52" spans="1:16" s="28" customFormat="1" ht="24" x14ac:dyDescent="0.25">
      <c r="A52" s="24"/>
      <c r="B52" s="22" t="s">
        <v>70</v>
      </c>
      <c r="C52" s="172">
        <f t="shared" si="0"/>
        <v>730000</v>
      </c>
      <c r="D52" s="173">
        <f>SUM(D53,D75,D173,D187)</f>
        <v>320942</v>
      </c>
      <c r="E52" s="174">
        <f t="shared" ref="E52:F52" si="34">SUM(E53,E75,E173,E187)</f>
        <v>0</v>
      </c>
      <c r="F52" s="175">
        <f t="shared" si="34"/>
        <v>320942</v>
      </c>
      <c r="G52" s="173">
        <f>SUM(G53,G75,G173,G187)</f>
        <v>357991</v>
      </c>
      <c r="H52" s="174">
        <f t="shared" ref="H52:I52" si="35">SUM(H53,H75,H173,H187)</f>
        <v>21793</v>
      </c>
      <c r="I52" s="175">
        <f t="shared" si="35"/>
        <v>379784</v>
      </c>
      <c r="J52" s="173">
        <f>SUM(J53,J75,J173,J187)</f>
        <v>29274</v>
      </c>
      <c r="K52" s="174">
        <f t="shared" ref="K52:L52" si="36">SUM(K53,K75,K173,K187)</f>
        <v>0</v>
      </c>
      <c r="L52" s="175">
        <f t="shared" si="36"/>
        <v>29274</v>
      </c>
      <c r="M52" s="173">
        <f>SUM(M53,M75,M173,M187)</f>
        <v>0</v>
      </c>
      <c r="N52" s="174">
        <f t="shared" ref="N52:O52" si="37">SUM(N53,N75,N173,N187)</f>
        <v>0</v>
      </c>
      <c r="O52" s="175">
        <f t="shared" si="37"/>
        <v>0</v>
      </c>
      <c r="P52" s="1349"/>
    </row>
    <row r="53" spans="1:16" s="28" customFormat="1" x14ac:dyDescent="0.25">
      <c r="A53" s="177">
        <v>1000</v>
      </c>
      <c r="B53" s="177" t="s">
        <v>71</v>
      </c>
      <c r="C53" s="178">
        <f t="shared" si="0"/>
        <v>612307</v>
      </c>
      <c r="D53" s="179">
        <f>SUM(D54,D67)</f>
        <v>239799</v>
      </c>
      <c r="E53" s="180">
        <f t="shared" ref="E53:F53" si="38">SUM(E54,E67)</f>
        <v>0</v>
      </c>
      <c r="F53" s="181">
        <f t="shared" si="38"/>
        <v>239799</v>
      </c>
      <c r="G53" s="179">
        <f>SUM(G54,G67)</f>
        <v>352962</v>
      </c>
      <c r="H53" s="180">
        <f t="shared" ref="H53:I53" si="39">SUM(H54,H67)</f>
        <v>19546</v>
      </c>
      <c r="I53" s="181">
        <f t="shared" si="39"/>
        <v>372508</v>
      </c>
      <c r="J53" s="179">
        <f>SUM(J54,J67)</f>
        <v>0</v>
      </c>
      <c r="K53" s="180">
        <f t="shared" ref="K53:L53" si="40">SUM(K54,K67)</f>
        <v>0</v>
      </c>
      <c r="L53" s="181">
        <f t="shared" si="40"/>
        <v>0</v>
      </c>
      <c r="M53" s="179">
        <f>SUM(M54,M67)</f>
        <v>0</v>
      </c>
      <c r="N53" s="180">
        <f t="shared" ref="N53:O53" si="41">SUM(N54,N67)</f>
        <v>0</v>
      </c>
      <c r="O53" s="181">
        <f t="shared" si="41"/>
        <v>0</v>
      </c>
      <c r="P53" s="1350"/>
    </row>
    <row r="54" spans="1:16" x14ac:dyDescent="0.25">
      <c r="A54" s="69">
        <v>1100</v>
      </c>
      <c r="B54" s="183" t="s">
        <v>72</v>
      </c>
      <c r="C54" s="70">
        <f t="shared" si="0"/>
        <v>466796</v>
      </c>
      <c r="D54" s="184">
        <f>SUM(D55,D58,D66)</f>
        <v>164757</v>
      </c>
      <c r="E54" s="185">
        <f t="shared" ref="E54:F54" si="42">SUM(E55,E58,E66)</f>
        <v>0</v>
      </c>
      <c r="F54" s="73">
        <f t="shared" si="42"/>
        <v>164757</v>
      </c>
      <c r="G54" s="184">
        <f>SUM(G55,G58,G66)</f>
        <v>283040</v>
      </c>
      <c r="H54" s="185">
        <f t="shared" ref="H54:I54" si="43">SUM(H55,H58,H66)</f>
        <v>18999</v>
      </c>
      <c r="I54" s="73">
        <f t="shared" si="43"/>
        <v>302039</v>
      </c>
      <c r="J54" s="184">
        <f>SUM(J55,J58,J66)</f>
        <v>0</v>
      </c>
      <c r="K54" s="185">
        <f t="shared" ref="K54:L54" si="44">SUM(K55,K58,K66)</f>
        <v>0</v>
      </c>
      <c r="L54" s="73">
        <f t="shared" si="44"/>
        <v>0</v>
      </c>
      <c r="M54" s="184">
        <f>SUM(M55,M58,M66)</f>
        <v>0</v>
      </c>
      <c r="N54" s="185">
        <f t="shared" ref="N54:O54" si="45">SUM(N55,N58,N66)</f>
        <v>0</v>
      </c>
      <c r="O54" s="73">
        <f t="shared" si="45"/>
        <v>0</v>
      </c>
      <c r="P54" s="1340"/>
    </row>
    <row r="55" spans="1:16" x14ac:dyDescent="0.25">
      <c r="A55" s="186">
        <v>1110</v>
      </c>
      <c r="B55" s="138" t="s">
        <v>73</v>
      </c>
      <c r="C55" s="143">
        <f t="shared" si="0"/>
        <v>429411</v>
      </c>
      <c r="D55" s="187">
        <f>SUM(D56:D57)</f>
        <v>134106</v>
      </c>
      <c r="E55" s="188">
        <f t="shared" ref="E55:F55" si="46">SUM(E56:E57)</f>
        <v>-1758</v>
      </c>
      <c r="F55" s="141">
        <f t="shared" si="46"/>
        <v>132348</v>
      </c>
      <c r="G55" s="187">
        <f>SUM(G56:G57)</f>
        <v>283040</v>
      </c>
      <c r="H55" s="188">
        <f t="shared" ref="H55:I55" si="47">SUM(H56:H57)</f>
        <v>14023</v>
      </c>
      <c r="I55" s="141">
        <f t="shared" si="47"/>
        <v>297063</v>
      </c>
      <c r="J55" s="187">
        <f>SUM(J56:J57)</f>
        <v>0</v>
      </c>
      <c r="K55" s="188">
        <f t="shared" ref="K55:L55" si="48">SUM(K56:K57)</f>
        <v>0</v>
      </c>
      <c r="L55" s="141">
        <f t="shared" si="48"/>
        <v>0</v>
      </c>
      <c r="M55" s="187">
        <f>SUM(M56:M57)</f>
        <v>0</v>
      </c>
      <c r="N55" s="188">
        <f t="shared" ref="N55:O55" si="49">SUM(N56:N57)</f>
        <v>0</v>
      </c>
      <c r="O55" s="141">
        <f t="shared" si="49"/>
        <v>0</v>
      </c>
      <c r="P55" s="1345"/>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1341"/>
    </row>
    <row r="57" spans="1:16" ht="25.5" customHeight="1" x14ac:dyDescent="0.25">
      <c r="A57" s="51">
        <v>1119</v>
      </c>
      <c r="B57" s="89" t="s">
        <v>75</v>
      </c>
      <c r="C57" s="90">
        <f t="shared" si="0"/>
        <v>429411</v>
      </c>
      <c r="D57" s="53">
        <v>134106</v>
      </c>
      <c r="E57" s="54">
        <v>-1758</v>
      </c>
      <c r="F57" s="55">
        <f t="shared" si="50"/>
        <v>132348</v>
      </c>
      <c r="G57" s="53">
        <v>283040</v>
      </c>
      <c r="H57" s="54">
        <v>14023</v>
      </c>
      <c r="I57" s="55">
        <f t="shared" si="51"/>
        <v>297063</v>
      </c>
      <c r="J57" s="53"/>
      <c r="K57" s="54"/>
      <c r="L57" s="55">
        <f t="shared" si="52"/>
        <v>0</v>
      </c>
      <c r="M57" s="53"/>
      <c r="N57" s="54"/>
      <c r="O57" s="55">
        <f t="shared" si="53"/>
        <v>0</v>
      </c>
      <c r="P57" s="364" t="s">
        <v>1553</v>
      </c>
    </row>
    <row r="58" spans="1:16" x14ac:dyDescent="0.25">
      <c r="A58" s="189">
        <v>1140</v>
      </c>
      <c r="B58" s="89" t="s">
        <v>76</v>
      </c>
      <c r="C58" s="90">
        <f t="shared" si="0"/>
        <v>34597</v>
      </c>
      <c r="D58" s="190">
        <f>SUM(D59:D65)</f>
        <v>27863</v>
      </c>
      <c r="E58" s="191">
        <f>SUM(E59:E65)</f>
        <v>1758</v>
      </c>
      <c r="F58" s="55">
        <f t="shared" ref="F58" si="54">SUM(F59:F65)</f>
        <v>29621</v>
      </c>
      <c r="G58" s="190">
        <f>SUM(G59:G65)</f>
        <v>0</v>
      </c>
      <c r="H58" s="191">
        <f t="shared" ref="H58:I58" si="55">SUM(H59:H65)</f>
        <v>4976</v>
      </c>
      <c r="I58" s="55">
        <f t="shared" si="55"/>
        <v>4976</v>
      </c>
      <c r="J58" s="190">
        <f>SUM(J59:J65)</f>
        <v>0</v>
      </c>
      <c r="K58" s="191">
        <f t="shared" ref="K58:L58" si="56">SUM(K59:K65)</f>
        <v>0</v>
      </c>
      <c r="L58" s="55">
        <f t="shared" si="56"/>
        <v>0</v>
      </c>
      <c r="M58" s="190">
        <f>SUM(M59:M65)</f>
        <v>0</v>
      </c>
      <c r="N58" s="191">
        <f t="shared" ref="N58:O58" si="57">SUM(N59:N65)</f>
        <v>0</v>
      </c>
      <c r="O58" s="55">
        <f t="shared" si="57"/>
        <v>0</v>
      </c>
      <c r="P58" s="1342"/>
    </row>
    <row r="59" spans="1:16" ht="12" customHeight="1" x14ac:dyDescent="0.25">
      <c r="A59" s="51">
        <v>1141</v>
      </c>
      <c r="B59" s="89" t="s">
        <v>77</v>
      </c>
      <c r="C59" s="90">
        <f t="shared" si="0"/>
        <v>4172</v>
      </c>
      <c r="D59" s="53">
        <v>4172</v>
      </c>
      <c r="E59" s="1351"/>
      <c r="F59" s="55">
        <f t="shared" ref="F59:F66" si="58">D59+E59</f>
        <v>4172</v>
      </c>
      <c r="G59" s="53"/>
      <c r="H59" s="1351"/>
      <c r="I59" s="55">
        <f t="shared" ref="I59:I66" si="59">G59+H59</f>
        <v>0</v>
      </c>
      <c r="J59" s="53"/>
      <c r="K59" s="54"/>
      <c r="L59" s="55">
        <f t="shared" ref="L59:L66" si="60">K59+J59</f>
        <v>0</v>
      </c>
      <c r="M59" s="53"/>
      <c r="N59" s="54"/>
      <c r="O59" s="55">
        <f t="shared" ref="O59:O66" si="61">N59+M59</f>
        <v>0</v>
      </c>
      <c r="P59" s="1342"/>
    </row>
    <row r="60" spans="1:16" ht="24.75" customHeight="1" x14ac:dyDescent="0.25">
      <c r="A60" s="51">
        <v>1142</v>
      </c>
      <c r="B60" s="89" t="s">
        <v>78</v>
      </c>
      <c r="C60" s="90">
        <f t="shared" si="0"/>
        <v>1029</v>
      </c>
      <c r="D60" s="53">
        <v>1029</v>
      </c>
      <c r="E60" s="1351"/>
      <c r="F60" s="55">
        <f t="shared" si="58"/>
        <v>1029</v>
      </c>
      <c r="G60" s="53"/>
      <c r="H60" s="1351"/>
      <c r="I60" s="55">
        <f t="shared" si="59"/>
        <v>0</v>
      </c>
      <c r="J60" s="53"/>
      <c r="K60" s="54"/>
      <c r="L60" s="55">
        <f t="shared" si="60"/>
        <v>0</v>
      </c>
      <c r="M60" s="53"/>
      <c r="N60" s="54"/>
      <c r="O60" s="55">
        <f t="shared" si="61"/>
        <v>0</v>
      </c>
      <c r="P60" s="1342"/>
    </row>
    <row r="61" spans="1:16" ht="24" hidden="1" customHeight="1" x14ac:dyDescent="0.25">
      <c r="A61" s="51">
        <v>1145</v>
      </c>
      <c r="B61" s="89" t="s">
        <v>79</v>
      </c>
      <c r="C61" s="90">
        <f t="shared" si="0"/>
        <v>0</v>
      </c>
      <c r="D61" s="53"/>
      <c r="E61" s="1351"/>
      <c r="F61" s="55">
        <f t="shared" si="58"/>
        <v>0</v>
      </c>
      <c r="G61" s="53"/>
      <c r="H61" s="1351"/>
      <c r="I61" s="55">
        <f t="shared" si="59"/>
        <v>0</v>
      </c>
      <c r="J61" s="53"/>
      <c r="K61" s="54"/>
      <c r="L61" s="55">
        <f t="shared" si="60"/>
        <v>0</v>
      </c>
      <c r="M61" s="53"/>
      <c r="N61" s="54"/>
      <c r="O61" s="55">
        <f t="shared" si="61"/>
        <v>0</v>
      </c>
      <c r="P61" s="1342"/>
    </row>
    <row r="62" spans="1:16" ht="27.75" hidden="1" customHeight="1" x14ac:dyDescent="0.25">
      <c r="A62" s="51">
        <v>1146</v>
      </c>
      <c r="B62" s="89" t="s">
        <v>80</v>
      </c>
      <c r="C62" s="90">
        <f t="shared" si="0"/>
        <v>0</v>
      </c>
      <c r="D62" s="53"/>
      <c r="E62" s="1351"/>
      <c r="F62" s="55">
        <f t="shared" si="58"/>
        <v>0</v>
      </c>
      <c r="G62" s="53"/>
      <c r="H62" s="1351"/>
      <c r="I62" s="55">
        <f t="shared" si="59"/>
        <v>0</v>
      </c>
      <c r="J62" s="53"/>
      <c r="K62" s="54"/>
      <c r="L62" s="55">
        <f t="shared" si="60"/>
        <v>0</v>
      </c>
      <c r="M62" s="53"/>
      <c r="N62" s="54"/>
      <c r="O62" s="55">
        <f t="shared" si="61"/>
        <v>0</v>
      </c>
      <c r="P62" s="1342"/>
    </row>
    <row r="63" spans="1:16" ht="12" customHeight="1" x14ac:dyDescent="0.25">
      <c r="A63" s="51">
        <v>1147</v>
      </c>
      <c r="B63" s="89" t="s">
        <v>81</v>
      </c>
      <c r="C63" s="90">
        <f t="shared" si="0"/>
        <v>2430</v>
      </c>
      <c r="D63" s="53">
        <v>2430</v>
      </c>
      <c r="E63" s="1351"/>
      <c r="F63" s="55">
        <f t="shared" si="58"/>
        <v>2430</v>
      </c>
      <c r="G63" s="53"/>
      <c r="H63" s="1351"/>
      <c r="I63" s="55">
        <f t="shared" si="59"/>
        <v>0</v>
      </c>
      <c r="J63" s="53"/>
      <c r="K63" s="54"/>
      <c r="L63" s="55">
        <f t="shared" si="60"/>
        <v>0</v>
      </c>
      <c r="M63" s="53"/>
      <c r="N63" s="54"/>
      <c r="O63" s="55">
        <f t="shared" si="61"/>
        <v>0</v>
      </c>
      <c r="P63" s="1342"/>
    </row>
    <row r="64" spans="1:16" ht="15.75" customHeight="1" x14ac:dyDescent="0.25">
      <c r="A64" s="51">
        <v>1148</v>
      </c>
      <c r="B64" s="89" t="s">
        <v>82</v>
      </c>
      <c r="C64" s="90">
        <f t="shared" si="0"/>
        <v>26602</v>
      </c>
      <c r="D64" s="53">
        <v>20232</v>
      </c>
      <c r="E64" s="54">
        <v>1758</v>
      </c>
      <c r="F64" s="55">
        <f t="shared" si="58"/>
        <v>21990</v>
      </c>
      <c r="G64" s="53"/>
      <c r="H64" s="54">
        <v>4612</v>
      </c>
      <c r="I64" s="55">
        <f t="shared" si="59"/>
        <v>4612</v>
      </c>
      <c r="J64" s="53"/>
      <c r="K64" s="54"/>
      <c r="L64" s="55">
        <f t="shared" si="60"/>
        <v>0</v>
      </c>
      <c r="M64" s="53"/>
      <c r="N64" s="54"/>
      <c r="O64" s="55">
        <f t="shared" si="61"/>
        <v>0</v>
      </c>
      <c r="P64" s="364" t="s">
        <v>1554</v>
      </c>
    </row>
    <row r="65" spans="1:16" ht="27" customHeight="1" x14ac:dyDescent="0.25">
      <c r="A65" s="51">
        <v>1149</v>
      </c>
      <c r="B65" s="89" t="s">
        <v>83</v>
      </c>
      <c r="C65" s="90">
        <f t="shared" si="0"/>
        <v>364</v>
      </c>
      <c r="D65" s="53"/>
      <c r="E65" s="54"/>
      <c r="F65" s="55">
        <f t="shared" si="58"/>
        <v>0</v>
      </c>
      <c r="G65" s="53"/>
      <c r="H65" s="54">
        <v>364</v>
      </c>
      <c r="I65" s="55">
        <f t="shared" si="59"/>
        <v>364</v>
      </c>
      <c r="J65" s="53"/>
      <c r="K65" s="54"/>
      <c r="L65" s="55">
        <f t="shared" si="60"/>
        <v>0</v>
      </c>
      <c r="M65" s="53"/>
      <c r="N65" s="54"/>
      <c r="O65" s="55">
        <f t="shared" si="61"/>
        <v>0</v>
      </c>
      <c r="P65" s="364" t="s">
        <v>1555</v>
      </c>
    </row>
    <row r="66" spans="1:16" ht="36" customHeight="1" x14ac:dyDescent="0.25">
      <c r="A66" s="186">
        <v>1150</v>
      </c>
      <c r="B66" s="138" t="s">
        <v>84</v>
      </c>
      <c r="C66" s="143">
        <f t="shared" si="0"/>
        <v>2788</v>
      </c>
      <c r="D66" s="144">
        <v>2788</v>
      </c>
      <c r="E66" s="145"/>
      <c r="F66" s="141">
        <f t="shared" si="58"/>
        <v>2788</v>
      </c>
      <c r="G66" s="144"/>
      <c r="H66" s="145"/>
      <c r="I66" s="141">
        <f t="shared" si="59"/>
        <v>0</v>
      </c>
      <c r="J66" s="144"/>
      <c r="K66" s="145"/>
      <c r="L66" s="141">
        <f t="shared" si="60"/>
        <v>0</v>
      </c>
      <c r="M66" s="144"/>
      <c r="N66" s="145"/>
      <c r="O66" s="141">
        <f t="shared" si="61"/>
        <v>0</v>
      </c>
      <c r="P66" s="1345"/>
    </row>
    <row r="67" spans="1:16" ht="24" x14ac:dyDescent="0.25">
      <c r="A67" s="69">
        <v>1200</v>
      </c>
      <c r="B67" s="183" t="s">
        <v>85</v>
      </c>
      <c r="C67" s="70">
        <f t="shared" si="0"/>
        <v>145511</v>
      </c>
      <c r="D67" s="184">
        <f>SUM(D68:D69)</f>
        <v>75042</v>
      </c>
      <c r="E67" s="185">
        <f t="shared" ref="E67:F67" si="62">SUM(E68:E69)</f>
        <v>0</v>
      </c>
      <c r="F67" s="73">
        <f t="shared" si="62"/>
        <v>75042</v>
      </c>
      <c r="G67" s="184">
        <f>SUM(G68:G69)</f>
        <v>69922</v>
      </c>
      <c r="H67" s="185">
        <f t="shared" ref="H67:I67" si="63">SUM(H68:H69)</f>
        <v>547</v>
      </c>
      <c r="I67" s="73">
        <f t="shared" si="63"/>
        <v>70469</v>
      </c>
      <c r="J67" s="184">
        <f>SUM(J68:J69)</f>
        <v>0</v>
      </c>
      <c r="K67" s="185">
        <f t="shared" ref="K67:L67" si="64">SUM(K68:K69)</f>
        <v>0</v>
      </c>
      <c r="L67" s="73">
        <f t="shared" si="64"/>
        <v>0</v>
      </c>
      <c r="M67" s="184">
        <f>SUM(M68:M69)</f>
        <v>0</v>
      </c>
      <c r="N67" s="185">
        <f t="shared" ref="N67:O67" si="65">SUM(N68:N69)</f>
        <v>0</v>
      </c>
      <c r="O67" s="73">
        <f t="shared" si="65"/>
        <v>0</v>
      </c>
      <c r="P67" s="1340"/>
    </row>
    <row r="68" spans="1:16" ht="25.5" customHeight="1" x14ac:dyDescent="0.25">
      <c r="A68" s="1208">
        <v>1210</v>
      </c>
      <c r="B68" s="82" t="s">
        <v>86</v>
      </c>
      <c r="C68" s="83">
        <f t="shared" si="0"/>
        <v>111552</v>
      </c>
      <c r="D68" s="46">
        <v>44166</v>
      </c>
      <c r="E68" s="47"/>
      <c r="F68" s="134">
        <f>D68+E68</f>
        <v>44166</v>
      </c>
      <c r="G68" s="46">
        <v>68522</v>
      </c>
      <c r="H68" s="1352">
        <v>-1136</v>
      </c>
      <c r="I68" s="134">
        <f>G68+H68</f>
        <v>67386</v>
      </c>
      <c r="J68" s="46"/>
      <c r="K68" s="47"/>
      <c r="L68" s="134">
        <f>K68+J68</f>
        <v>0</v>
      </c>
      <c r="M68" s="46"/>
      <c r="N68" s="47"/>
      <c r="O68" s="134">
        <f>N68+M68</f>
        <v>0</v>
      </c>
      <c r="P68" s="364" t="s">
        <v>1556</v>
      </c>
    </row>
    <row r="69" spans="1:16" ht="24" x14ac:dyDescent="0.25">
      <c r="A69" s="189">
        <v>1220</v>
      </c>
      <c r="B69" s="89" t="s">
        <v>87</v>
      </c>
      <c r="C69" s="90">
        <f t="shared" si="0"/>
        <v>33959</v>
      </c>
      <c r="D69" s="190">
        <f>SUM(D70:D74)</f>
        <v>30876</v>
      </c>
      <c r="E69" s="191">
        <f t="shared" ref="E69:F69" si="66">SUM(E70:E74)</f>
        <v>0</v>
      </c>
      <c r="F69" s="55">
        <f t="shared" si="66"/>
        <v>30876</v>
      </c>
      <c r="G69" s="190">
        <f>SUM(G70:G74)</f>
        <v>1400</v>
      </c>
      <c r="H69" s="1353">
        <f t="shared" ref="H69:I69" si="67">SUM(H70:H74)</f>
        <v>1683</v>
      </c>
      <c r="I69" s="55">
        <f t="shared" si="67"/>
        <v>3083</v>
      </c>
      <c r="J69" s="190">
        <f>SUM(J70:J74)</f>
        <v>0</v>
      </c>
      <c r="K69" s="191">
        <f t="shared" ref="K69:L69" si="68">SUM(K70:K74)</f>
        <v>0</v>
      </c>
      <c r="L69" s="55">
        <f t="shared" si="68"/>
        <v>0</v>
      </c>
      <c r="M69" s="190">
        <f>SUM(M70:M74)</f>
        <v>0</v>
      </c>
      <c r="N69" s="191">
        <f t="shared" ref="N69:O69" si="69">SUM(N70:N74)</f>
        <v>0</v>
      </c>
      <c r="O69" s="55">
        <f t="shared" si="69"/>
        <v>0</v>
      </c>
      <c r="P69" s="1342"/>
    </row>
    <row r="70" spans="1:16" ht="51.75" customHeight="1" x14ac:dyDescent="0.25">
      <c r="A70" s="51">
        <v>1221</v>
      </c>
      <c r="B70" s="89" t="s">
        <v>88</v>
      </c>
      <c r="C70" s="90">
        <f t="shared" si="0"/>
        <v>21668</v>
      </c>
      <c r="D70" s="53">
        <v>18585</v>
      </c>
      <c r="E70" s="54"/>
      <c r="F70" s="55">
        <f t="shared" ref="F70:F74" si="70">D70+E70</f>
        <v>18585</v>
      </c>
      <c r="G70" s="53">
        <v>1400</v>
      </c>
      <c r="H70" s="363">
        <v>1683</v>
      </c>
      <c r="I70" s="55">
        <f t="shared" ref="I70:I74" si="71">G70+H70</f>
        <v>3083</v>
      </c>
      <c r="J70" s="53"/>
      <c r="K70" s="54"/>
      <c r="L70" s="55">
        <f t="shared" ref="L70:L74" si="72">K70+J70</f>
        <v>0</v>
      </c>
      <c r="M70" s="53"/>
      <c r="N70" s="54"/>
      <c r="O70" s="55">
        <f t="shared" ref="O70:O74" si="73">N70+M70</f>
        <v>0</v>
      </c>
      <c r="P70" s="364" t="s">
        <v>1557</v>
      </c>
    </row>
    <row r="71" spans="1:16" ht="12" hidden="1" customHeight="1" x14ac:dyDescent="0.25">
      <c r="A71" s="51">
        <v>1223</v>
      </c>
      <c r="B71" s="89" t="s">
        <v>89</v>
      </c>
      <c r="C71" s="90">
        <f t="shared" si="0"/>
        <v>0</v>
      </c>
      <c r="D71" s="53"/>
      <c r="E71" s="54"/>
      <c r="F71" s="55">
        <f t="shared" si="70"/>
        <v>0</v>
      </c>
      <c r="G71" s="53"/>
      <c r="H71" s="1351"/>
      <c r="I71" s="55">
        <f t="shared" si="71"/>
        <v>0</v>
      </c>
      <c r="J71" s="53"/>
      <c r="K71" s="54"/>
      <c r="L71" s="55">
        <f t="shared" si="72"/>
        <v>0</v>
      </c>
      <c r="M71" s="53"/>
      <c r="N71" s="54"/>
      <c r="O71" s="55">
        <f t="shared" si="73"/>
        <v>0</v>
      </c>
      <c r="P71" s="1342"/>
    </row>
    <row r="72" spans="1:16" ht="24" hidden="1" customHeight="1" x14ac:dyDescent="0.25">
      <c r="A72" s="51">
        <v>1225</v>
      </c>
      <c r="B72" s="89" t="s">
        <v>90</v>
      </c>
      <c r="C72" s="90">
        <f t="shared" si="0"/>
        <v>0</v>
      </c>
      <c r="D72" s="53"/>
      <c r="E72" s="54"/>
      <c r="F72" s="55">
        <f t="shared" si="70"/>
        <v>0</v>
      </c>
      <c r="G72" s="53"/>
      <c r="H72" s="1351"/>
      <c r="I72" s="55">
        <f t="shared" si="71"/>
        <v>0</v>
      </c>
      <c r="J72" s="53"/>
      <c r="K72" s="54"/>
      <c r="L72" s="55">
        <f t="shared" si="72"/>
        <v>0</v>
      </c>
      <c r="M72" s="53"/>
      <c r="N72" s="54"/>
      <c r="O72" s="55">
        <f t="shared" si="73"/>
        <v>0</v>
      </c>
      <c r="P72" s="1342"/>
    </row>
    <row r="73" spans="1:16" ht="36" customHeight="1" x14ac:dyDescent="0.25">
      <c r="A73" s="51">
        <v>1227</v>
      </c>
      <c r="B73" s="89" t="s">
        <v>91</v>
      </c>
      <c r="C73" s="90">
        <f t="shared" si="0"/>
        <v>11739</v>
      </c>
      <c r="D73" s="53">
        <v>11739</v>
      </c>
      <c r="E73" s="54"/>
      <c r="F73" s="55">
        <f t="shared" si="70"/>
        <v>11739</v>
      </c>
      <c r="G73" s="53"/>
      <c r="H73" s="1351"/>
      <c r="I73" s="55">
        <f t="shared" si="71"/>
        <v>0</v>
      </c>
      <c r="J73" s="53"/>
      <c r="K73" s="54"/>
      <c r="L73" s="55">
        <f t="shared" si="72"/>
        <v>0</v>
      </c>
      <c r="M73" s="53"/>
      <c r="N73" s="54"/>
      <c r="O73" s="55">
        <f t="shared" si="73"/>
        <v>0</v>
      </c>
      <c r="P73" s="1342"/>
    </row>
    <row r="74" spans="1:16" ht="48" customHeight="1" x14ac:dyDescent="0.25">
      <c r="A74" s="51">
        <v>1228</v>
      </c>
      <c r="B74" s="89" t="s">
        <v>92</v>
      </c>
      <c r="C74" s="90">
        <f t="shared" si="0"/>
        <v>552</v>
      </c>
      <c r="D74" s="53">
        <v>552</v>
      </c>
      <c r="E74" s="54"/>
      <c r="F74" s="55">
        <f t="shared" si="70"/>
        <v>552</v>
      </c>
      <c r="G74" s="53"/>
      <c r="H74" s="1351"/>
      <c r="I74" s="55">
        <f t="shared" si="71"/>
        <v>0</v>
      </c>
      <c r="J74" s="53"/>
      <c r="K74" s="54"/>
      <c r="L74" s="55">
        <f t="shared" si="72"/>
        <v>0</v>
      </c>
      <c r="M74" s="53"/>
      <c r="N74" s="54"/>
      <c r="O74" s="55">
        <f t="shared" si="73"/>
        <v>0</v>
      </c>
      <c r="P74" s="1342"/>
    </row>
    <row r="75" spans="1:16" x14ac:dyDescent="0.25">
      <c r="A75" s="177">
        <v>2000</v>
      </c>
      <c r="B75" s="177" t="s">
        <v>93</v>
      </c>
      <c r="C75" s="178">
        <f t="shared" si="0"/>
        <v>117693</v>
      </c>
      <c r="D75" s="179">
        <f>SUM(D76,D83,D130,D164,D165,D172)</f>
        <v>81143</v>
      </c>
      <c r="E75" s="180">
        <f t="shared" ref="E75:F75" si="74">SUM(E76,E83,E130,E164,E165,E172)</f>
        <v>0</v>
      </c>
      <c r="F75" s="181">
        <f t="shared" si="74"/>
        <v>81143</v>
      </c>
      <c r="G75" s="179">
        <f>SUM(G76,G83,G130,G164,G165,G172)</f>
        <v>5029</v>
      </c>
      <c r="H75" s="180">
        <f t="shared" ref="H75:I75" si="75">SUM(H76,H83,H130,H164,H165,H172)</f>
        <v>2247</v>
      </c>
      <c r="I75" s="181">
        <f t="shared" si="75"/>
        <v>7276</v>
      </c>
      <c r="J75" s="179">
        <f>SUM(J76,J83,J130,J164,J165,J172)</f>
        <v>29274</v>
      </c>
      <c r="K75" s="180">
        <f t="shared" ref="K75:L75" si="76">SUM(K76,K83,K130,K164,K165,K172)</f>
        <v>0</v>
      </c>
      <c r="L75" s="181">
        <f t="shared" si="76"/>
        <v>29274</v>
      </c>
      <c r="M75" s="179">
        <f>SUM(M76,M83,M130,M164,M165,M172)</f>
        <v>0</v>
      </c>
      <c r="N75" s="180">
        <f t="shared" ref="N75:O75" si="77">SUM(N76,N83,N130,N164,N165,N172)</f>
        <v>0</v>
      </c>
      <c r="O75" s="181">
        <f t="shared" si="77"/>
        <v>0</v>
      </c>
      <c r="P75" s="1350"/>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1340"/>
    </row>
    <row r="77" spans="1:16" ht="24" hidden="1" x14ac:dyDescent="0.25">
      <c r="A77" s="1208">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1341"/>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1342"/>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1342"/>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1342"/>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1342"/>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1342"/>
    </row>
    <row r="83" spans="1:16" x14ac:dyDescent="0.25">
      <c r="A83" s="69">
        <v>2200</v>
      </c>
      <c r="B83" s="183" t="s">
        <v>99</v>
      </c>
      <c r="C83" s="70">
        <f t="shared" si="0"/>
        <v>94861</v>
      </c>
      <c r="D83" s="184">
        <f>SUM(D84,D89,D95,D103,D112,D116,D122,D128)</f>
        <v>61230</v>
      </c>
      <c r="E83" s="185">
        <f t="shared" ref="E83:F83" si="98">SUM(E84,E89,E95,E103,E112,E116,E122,E128)</f>
        <v>0</v>
      </c>
      <c r="F83" s="73">
        <f t="shared" si="98"/>
        <v>61230</v>
      </c>
      <c r="G83" s="184">
        <f>SUM(G84,G89,G95,G103,G112,G116,G122,G128)</f>
        <v>2110</v>
      </c>
      <c r="H83" s="185">
        <f t="shared" ref="H83:I83" si="99">SUM(H84,H89,H95,H103,H112,H116,H122,H128)</f>
        <v>2247</v>
      </c>
      <c r="I83" s="73">
        <f t="shared" si="99"/>
        <v>4357</v>
      </c>
      <c r="J83" s="184">
        <f>SUM(J84,J89,J95,J103,J112,J116,J122,J128)</f>
        <v>29274</v>
      </c>
      <c r="K83" s="185">
        <f t="shared" ref="K83:L83" si="100">SUM(K84,K89,K95,K103,K112,K116,K122,K128)</f>
        <v>0</v>
      </c>
      <c r="L83" s="73">
        <f t="shared" si="100"/>
        <v>29274</v>
      </c>
      <c r="M83" s="184">
        <f>SUM(M84,M89,M95,M103,M112,M116,M122,M128)</f>
        <v>0</v>
      </c>
      <c r="N83" s="185">
        <f t="shared" ref="N83:O83" si="101">SUM(N84,N89,N95,N103,N112,N116,N122,N128)</f>
        <v>0</v>
      </c>
      <c r="O83" s="73">
        <f t="shared" si="101"/>
        <v>0</v>
      </c>
      <c r="P83" s="1340"/>
    </row>
    <row r="84" spans="1:16" x14ac:dyDescent="0.25">
      <c r="A84" s="186">
        <v>2210</v>
      </c>
      <c r="B84" s="138" t="s">
        <v>100</v>
      </c>
      <c r="C84" s="143">
        <f t="shared" ref="C84:C147" si="102">F84+I84+L84+O84</f>
        <v>2264</v>
      </c>
      <c r="D84" s="187">
        <f>SUM(D85:D88)</f>
        <v>2064</v>
      </c>
      <c r="E84" s="188">
        <f t="shared" ref="E84:F84" si="103">SUM(E85:E88)</f>
        <v>0</v>
      </c>
      <c r="F84" s="141">
        <f t="shared" si="103"/>
        <v>2064</v>
      </c>
      <c r="G84" s="187">
        <f>SUM(G85:G88)</f>
        <v>0</v>
      </c>
      <c r="H84" s="188">
        <f t="shared" ref="H84:I84" si="104">SUM(H85:H88)</f>
        <v>0</v>
      </c>
      <c r="I84" s="141">
        <f t="shared" si="104"/>
        <v>0</v>
      </c>
      <c r="J84" s="187">
        <f>SUM(J85:J88)</f>
        <v>200</v>
      </c>
      <c r="K84" s="188">
        <f t="shared" ref="K84:L84" si="105">SUM(K85:K88)</f>
        <v>0</v>
      </c>
      <c r="L84" s="141">
        <f t="shared" si="105"/>
        <v>200</v>
      </c>
      <c r="M84" s="187">
        <f>SUM(M85:M88)</f>
        <v>0</v>
      </c>
      <c r="N84" s="188">
        <f t="shared" ref="N84:O84" si="106">SUM(N85:N88)</f>
        <v>0</v>
      </c>
      <c r="O84" s="141">
        <f t="shared" si="106"/>
        <v>0</v>
      </c>
      <c r="P84" s="1345"/>
    </row>
    <row r="85" spans="1:16" ht="24" hidden="1" customHeight="1" x14ac:dyDescent="0.25">
      <c r="A85" s="44">
        <v>2211</v>
      </c>
      <c r="B85" s="82" t="s">
        <v>101</v>
      </c>
      <c r="C85" s="83">
        <f t="shared" si="102"/>
        <v>0</v>
      </c>
      <c r="D85" s="199"/>
      <c r="E85" s="200"/>
      <c r="F85" s="134">
        <f t="shared" ref="F85:F88" si="107">D85+E85</f>
        <v>0</v>
      </c>
      <c r="G85" s="46"/>
      <c r="H85" s="1354"/>
      <c r="I85" s="134">
        <f t="shared" ref="I85:I88" si="108">G85+H85</f>
        <v>0</v>
      </c>
      <c r="J85" s="46"/>
      <c r="K85" s="47"/>
      <c r="L85" s="134">
        <f t="shared" ref="L85:L88" si="109">K85+J85</f>
        <v>0</v>
      </c>
      <c r="M85" s="46"/>
      <c r="N85" s="47"/>
      <c r="O85" s="134">
        <f t="shared" ref="O85:O88" si="110">N85+M85</f>
        <v>0</v>
      </c>
      <c r="P85" s="1341"/>
    </row>
    <row r="86" spans="1:16" ht="36" customHeight="1" x14ac:dyDescent="0.25">
      <c r="A86" s="51">
        <v>2212</v>
      </c>
      <c r="B86" s="89" t="s">
        <v>102</v>
      </c>
      <c r="C86" s="90">
        <f t="shared" si="102"/>
        <v>1932</v>
      </c>
      <c r="D86" s="196">
        <v>1932</v>
      </c>
      <c r="E86" s="197"/>
      <c r="F86" s="55">
        <f t="shared" si="107"/>
        <v>1932</v>
      </c>
      <c r="G86" s="53"/>
      <c r="H86" s="1351"/>
      <c r="I86" s="55">
        <f t="shared" si="108"/>
        <v>0</v>
      </c>
      <c r="J86" s="53"/>
      <c r="K86" s="54"/>
      <c r="L86" s="55">
        <f t="shared" si="109"/>
        <v>0</v>
      </c>
      <c r="M86" s="53"/>
      <c r="N86" s="54"/>
      <c r="O86" s="55">
        <f t="shared" si="110"/>
        <v>0</v>
      </c>
      <c r="P86" s="1342"/>
    </row>
    <row r="87" spans="1:16" ht="24" customHeight="1" x14ac:dyDescent="0.25">
      <c r="A87" s="51">
        <v>2214</v>
      </c>
      <c r="B87" s="89" t="s">
        <v>103</v>
      </c>
      <c r="C87" s="90">
        <f t="shared" si="102"/>
        <v>302</v>
      </c>
      <c r="D87" s="196">
        <v>102</v>
      </c>
      <c r="E87" s="197"/>
      <c r="F87" s="55">
        <f t="shared" si="107"/>
        <v>102</v>
      </c>
      <c r="G87" s="53"/>
      <c r="H87" s="1351"/>
      <c r="I87" s="55">
        <f t="shared" si="108"/>
        <v>0</v>
      </c>
      <c r="J87" s="53">
        <v>200</v>
      </c>
      <c r="K87" s="54"/>
      <c r="L87" s="55">
        <f t="shared" si="109"/>
        <v>200</v>
      </c>
      <c r="M87" s="53"/>
      <c r="N87" s="54"/>
      <c r="O87" s="55">
        <f t="shared" si="110"/>
        <v>0</v>
      </c>
      <c r="P87" s="1342"/>
    </row>
    <row r="88" spans="1:16" ht="12" customHeight="1" x14ac:dyDescent="0.25">
      <c r="A88" s="51">
        <v>2219</v>
      </c>
      <c r="B88" s="89" t="s">
        <v>104</v>
      </c>
      <c r="C88" s="90">
        <f t="shared" si="102"/>
        <v>30</v>
      </c>
      <c r="D88" s="196">
        <v>30</v>
      </c>
      <c r="E88" s="197"/>
      <c r="F88" s="55">
        <f t="shared" si="107"/>
        <v>30</v>
      </c>
      <c r="G88" s="53"/>
      <c r="H88" s="1351"/>
      <c r="I88" s="55">
        <f t="shared" si="108"/>
        <v>0</v>
      </c>
      <c r="J88" s="53"/>
      <c r="K88" s="54"/>
      <c r="L88" s="55">
        <f t="shared" si="109"/>
        <v>0</v>
      </c>
      <c r="M88" s="53"/>
      <c r="N88" s="54"/>
      <c r="O88" s="55">
        <f t="shared" si="110"/>
        <v>0</v>
      </c>
      <c r="P88" s="1342"/>
    </row>
    <row r="89" spans="1:16" ht="24" x14ac:dyDescent="0.25">
      <c r="A89" s="189">
        <v>2220</v>
      </c>
      <c r="B89" s="89" t="s">
        <v>105</v>
      </c>
      <c r="C89" s="90">
        <f t="shared" si="102"/>
        <v>75945</v>
      </c>
      <c r="D89" s="190">
        <f>SUM(D90:D94)</f>
        <v>46871</v>
      </c>
      <c r="E89" s="191">
        <f t="shared" ref="E89:F89" si="111">SUM(E90:E94)</f>
        <v>0</v>
      </c>
      <c r="F89" s="55">
        <f t="shared" si="111"/>
        <v>46871</v>
      </c>
      <c r="G89" s="190">
        <f>SUM(G90:G94)</f>
        <v>0</v>
      </c>
      <c r="H89" s="1353">
        <f t="shared" ref="H89:I89" si="112">SUM(H90:H94)</f>
        <v>0</v>
      </c>
      <c r="I89" s="55">
        <f t="shared" si="112"/>
        <v>0</v>
      </c>
      <c r="J89" s="190">
        <f>SUM(J90:J94)</f>
        <v>29074</v>
      </c>
      <c r="K89" s="191">
        <f t="shared" ref="K89:L89" si="113">SUM(K90:K94)</f>
        <v>0</v>
      </c>
      <c r="L89" s="55">
        <f t="shared" si="113"/>
        <v>29074</v>
      </c>
      <c r="M89" s="190">
        <f>SUM(M90:M94)</f>
        <v>0</v>
      </c>
      <c r="N89" s="191">
        <f t="shared" ref="N89:O89" si="114">SUM(N90:N94)</f>
        <v>0</v>
      </c>
      <c r="O89" s="55">
        <f t="shared" si="114"/>
        <v>0</v>
      </c>
      <c r="P89" s="1342"/>
    </row>
    <row r="90" spans="1:16" ht="24" customHeight="1" x14ac:dyDescent="0.25">
      <c r="A90" s="51">
        <v>2221</v>
      </c>
      <c r="B90" s="89" t="s">
        <v>106</v>
      </c>
      <c r="C90" s="90">
        <f t="shared" si="102"/>
        <v>45327</v>
      </c>
      <c r="D90" s="196">
        <v>23389</v>
      </c>
      <c r="E90" s="197"/>
      <c r="F90" s="55">
        <f t="shared" ref="F90:F94" si="115">D90+E90</f>
        <v>23389</v>
      </c>
      <c r="G90" s="53"/>
      <c r="H90" s="1351"/>
      <c r="I90" s="55">
        <f t="shared" ref="I90:I94" si="116">G90+H90</f>
        <v>0</v>
      </c>
      <c r="J90" s="53">
        <v>21938</v>
      </c>
      <c r="K90" s="54"/>
      <c r="L90" s="55">
        <f t="shared" ref="L90:L94" si="117">K90+J90</f>
        <v>21938</v>
      </c>
      <c r="M90" s="53"/>
      <c r="N90" s="54"/>
      <c r="O90" s="55">
        <f t="shared" ref="O90:O94" si="118">N90+M90</f>
        <v>0</v>
      </c>
      <c r="P90" s="1342"/>
    </row>
    <row r="91" spans="1:16" ht="12" customHeight="1" x14ac:dyDescent="0.25">
      <c r="A91" s="51">
        <v>2222</v>
      </c>
      <c r="B91" s="89" t="s">
        <v>107</v>
      </c>
      <c r="C91" s="90">
        <f t="shared" si="102"/>
        <v>4061</v>
      </c>
      <c r="D91" s="196">
        <v>455</v>
      </c>
      <c r="E91" s="197"/>
      <c r="F91" s="55">
        <f t="shared" si="115"/>
        <v>455</v>
      </c>
      <c r="G91" s="53"/>
      <c r="H91" s="1351"/>
      <c r="I91" s="55">
        <f t="shared" si="116"/>
        <v>0</v>
      </c>
      <c r="J91" s="53">
        <v>3606</v>
      </c>
      <c r="K91" s="54"/>
      <c r="L91" s="55">
        <f t="shared" si="117"/>
        <v>3606</v>
      </c>
      <c r="M91" s="53"/>
      <c r="N91" s="54"/>
      <c r="O91" s="55">
        <f t="shared" si="118"/>
        <v>0</v>
      </c>
      <c r="P91" s="1342"/>
    </row>
    <row r="92" spans="1:16" ht="12" customHeight="1" x14ac:dyDescent="0.25">
      <c r="A92" s="51">
        <v>2223</v>
      </c>
      <c r="B92" s="89" t="s">
        <v>108</v>
      </c>
      <c r="C92" s="90">
        <f t="shared" si="102"/>
        <v>25786</v>
      </c>
      <c r="D92" s="196">
        <v>22456</v>
      </c>
      <c r="E92" s="197"/>
      <c r="F92" s="55">
        <f t="shared" si="115"/>
        <v>22456</v>
      </c>
      <c r="G92" s="53"/>
      <c r="H92" s="1351"/>
      <c r="I92" s="55">
        <f t="shared" si="116"/>
        <v>0</v>
      </c>
      <c r="J92" s="53">
        <v>3330</v>
      </c>
      <c r="K92" s="54"/>
      <c r="L92" s="55">
        <f t="shared" si="117"/>
        <v>3330</v>
      </c>
      <c r="M92" s="53"/>
      <c r="N92" s="54"/>
      <c r="O92" s="55">
        <f t="shared" si="118"/>
        <v>0</v>
      </c>
      <c r="P92" s="1342"/>
    </row>
    <row r="93" spans="1:16" ht="48" customHeight="1" x14ac:dyDescent="0.25">
      <c r="A93" s="51">
        <v>2224</v>
      </c>
      <c r="B93" s="89" t="s">
        <v>109</v>
      </c>
      <c r="C93" s="90">
        <f t="shared" si="102"/>
        <v>771</v>
      </c>
      <c r="D93" s="196">
        <v>571</v>
      </c>
      <c r="E93" s="197"/>
      <c r="F93" s="55">
        <f t="shared" si="115"/>
        <v>571</v>
      </c>
      <c r="G93" s="53"/>
      <c r="H93" s="1351"/>
      <c r="I93" s="55">
        <f t="shared" si="116"/>
        <v>0</v>
      </c>
      <c r="J93" s="53">
        <v>200</v>
      </c>
      <c r="K93" s="54"/>
      <c r="L93" s="55">
        <f t="shared" si="117"/>
        <v>200</v>
      </c>
      <c r="M93" s="53"/>
      <c r="N93" s="54"/>
      <c r="O93" s="55">
        <f t="shared" si="118"/>
        <v>0</v>
      </c>
      <c r="P93" s="1342"/>
    </row>
    <row r="94" spans="1:16" ht="24" hidden="1" customHeight="1" x14ac:dyDescent="0.25">
      <c r="A94" s="51">
        <v>2229</v>
      </c>
      <c r="B94" s="89" t="s">
        <v>110</v>
      </c>
      <c r="C94" s="90">
        <f t="shared" si="102"/>
        <v>0</v>
      </c>
      <c r="D94" s="196"/>
      <c r="E94" s="197"/>
      <c r="F94" s="55">
        <f t="shared" si="115"/>
        <v>0</v>
      </c>
      <c r="G94" s="53"/>
      <c r="H94" s="1351"/>
      <c r="I94" s="55">
        <f t="shared" si="116"/>
        <v>0</v>
      </c>
      <c r="J94" s="53"/>
      <c r="K94" s="54"/>
      <c r="L94" s="55">
        <f t="shared" si="117"/>
        <v>0</v>
      </c>
      <c r="M94" s="53"/>
      <c r="N94" s="54"/>
      <c r="O94" s="55">
        <f t="shared" si="118"/>
        <v>0</v>
      </c>
      <c r="P94" s="1342"/>
    </row>
    <row r="95" spans="1:16" ht="36" x14ac:dyDescent="0.25">
      <c r="A95" s="189">
        <v>2230</v>
      </c>
      <c r="B95" s="89" t="s">
        <v>111</v>
      </c>
      <c r="C95" s="90">
        <f t="shared" si="102"/>
        <v>1704</v>
      </c>
      <c r="D95" s="190">
        <f>SUM(D96:D102)</f>
        <v>1704</v>
      </c>
      <c r="E95" s="191">
        <f t="shared" ref="E95:F95" si="119">SUM(E96:E102)</f>
        <v>0</v>
      </c>
      <c r="F95" s="55">
        <f t="shared" si="119"/>
        <v>1704</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1342"/>
    </row>
    <row r="96" spans="1:16" ht="24" hidden="1" customHeight="1" x14ac:dyDescent="0.25">
      <c r="A96" s="51">
        <v>2231</v>
      </c>
      <c r="B96" s="89" t="s">
        <v>112</v>
      </c>
      <c r="C96" s="90">
        <f t="shared" si="102"/>
        <v>0</v>
      </c>
      <c r="D96" s="196"/>
      <c r="E96" s="197"/>
      <c r="F96" s="55">
        <f t="shared" ref="F96:F102" si="123">D96+E96</f>
        <v>0</v>
      </c>
      <c r="G96" s="53"/>
      <c r="H96" s="1351"/>
      <c r="I96" s="55">
        <f t="shared" ref="I96:I102" si="124">G96+H96</f>
        <v>0</v>
      </c>
      <c r="J96" s="53"/>
      <c r="K96" s="54"/>
      <c r="L96" s="55">
        <f t="shared" ref="L96:L102" si="125">K96+J96</f>
        <v>0</v>
      </c>
      <c r="M96" s="53"/>
      <c r="N96" s="54"/>
      <c r="O96" s="55">
        <f t="shared" ref="O96:O102" si="126">N96+M96</f>
        <v>0</v>
      </c>
      <c r="P96" s="1342"/>
    </row>
    <row r="97" spans="1:16" ht="24.75" hidden="1" customHeight="1" x14ac:dyDescent="0.25">
      <c r="A97" s="51">
        <v>2232</v>
      </c>
      <c r="B97" s="89" t="s">
        <v>113</v>
      </c>
      <c r="C97" s="90">
        <f t="shared" si="102"/>
        <v>0</v>
      </c>
      <c r="D97" s="196"/>
      <c r="E97" s="197"/>
      <c r="F97" s="55">
        <f t="shared" si="123"/>
        <v>0</v>
      </c>
      <c r="G97" s="53"/>
      <c r="H97" s="1351"/>
      <c r="I97" s="55">
        <f t="shared" si="124"/>
        <v>0</v>
      </c>
      <c r="J97" s="53"/>
      <c r="K97" s="54"/>
      <c r="L97" s="55">
        <f t="shared" si="125"/>
        <v>0</v>
      </c>
      <c r="M97" s="53"/>
      <c r="N97" s="54"/>
      <c r="O97" s="55">
        <f t="shared" si="126"/>
        <v>0</v>
      </c>
      <c r="P97" s="1342"/>
    </row>
    <row r="98" spans="1:16" ht="24" hidden="1" customHeight="1" x14ac:dyDescent="0.25">
      <c r="A98" s="44">
        <v>2233</v>
      </c>
      <c r="B98" s="82" t="s">
        <v>114</v>
      </c>
      <c r="C98" s="83">
        <f t="shared" si="102"/>
        <v>0</v>
      </c>
      <c r="D98" s="199"/>
      <c r="E98" s="200"/>
      <c r="F98" s="134">
        <f t="shared" si="123"/>
        <v>0</v>
      </c>
      <c r="G98" s="46"/>
      <c r="H98" s="1354"/>
      <c r="I98" s="134">
        <f t="shared" si="124"/>
        <v>0</v>
      </c>
      <c r="J98" s="46"/>
      <c r="K98" s="47"/>
      <c r="L98" s="134">
        <f t="shared" si="125"/>
        <v>0</v>
      </c>
      <c r="M98" s="46"/>
      <c r="N98" s="47"/>
      <c r="O98" s="134">
        <f t="shared" si="126"/>
        <v>0</v>
      </c>
      <c r="P98" s="1341"/>
    </row>
    <row r="99" spans="1:16" ht="36" customHeight="1" x14ac:dyDescent="0.25">
      <c r="A99" s="51">
        <v>2234</v>
      </c>
      <c r="B99" s="89" t="s">
        <v>115</v>
      </c>
      <c r="C99" s="90">
        <f t="shared" si="102"/>
        <v>45</v>
      </c>
      <c r="D99" s="196">
        <v>45</v>
      </c>
      <c r="E99" s="197"/>
      <c r="F99" s="55">
        <f t="shared" si="123"/>
        <v>45</v>
      </c>
      <c r="G99" s="53"/>
      <c r="H99" s="1351"/>
      <c r="I99" s="55">
        <f t="shared" si="124"/>
        <v>0</v>
      </c>
      <c r="J99" s="53"/>
      <c r="K99" s="54"/>
      <c r="L99" s="55">
        <f t="shared" si="125"/>
        <v>0</v>
      </c>
      <c r="M99" s="53"/>
      <c r="N99" s="54"/>
      <c r="O99" s="55">
        <f t="shared" si="126"/>
        <v>0</v>
      </c>
      <c r="P99" s="1342"/>
    </row>
    <row r="100" spans="1:16" ht="24" hidden="1" customHeight="1" x14ac:dyDescent="0.25">
      <c r="A100" s="51">
        <v>2235</v>
      </c>
      <c r="B100" s="89" t="s">
        <v>116</v>
      </c>
      <c r="C100" s="90">
        <f t="shared" si="102"/>
        <v>0</v>
      </c>
      <c r="D100" s="196"/>
      <c r="E100" s="197"/>
      <c r="F100" s="55">
        <f t="shared" si="123"/>
        <v>0</v>
      </c>
      <c r="G100" s="53"/>
      <c r="H100" s="1351"/>
      <c r="I100" s="55">
        <f t="shared" si="124"/>
        <v>0</v>
      </c>
      <c r="J100" s="53"/>
      <c r="K100" s="54"/>
      <c r="L100" s="55">
        <f t="shared" si="125"/>
        <v>0</v>
      </c>
      <c r="M100" s="53"/>
      <c r="N100" s="54"/>
      <c r="O100" s="55">
        <f t="shared" si="126"/>
        <v>0</v>
      </c>
      <c r="P100" s="1342"/>
    </row>
    <row r="101" spans="1:16" ht="12" hidden="1" customHeight="1" x14ac:dyDescent="0.25">
      <c r="A101" s="51">
        <v>2236</v>
      </c>
      <c r="B101" s="89" t="s">
        <v>117</v>
      </c>
      <c r="C101" s="90">
        <f t="shared" si="102"/>
        <v>0</v>
      </c>
      <c r="D101" s="196"/>
      <c r="E101" s="197"/>
      <c r="F101" s="55">
        <f t="shared" si="123"/>
        <v>0</v>
      </c>
      <c r="G101" s="53"/>
      <c r="H101" s="1351"/>
      <c r="I101" s="55">
        <f t="shared" si="124"/>
        <v>0</v>
      </c>
      <c r="J101" s="53"/>
      <c r="K101" s="54"/>
      <c r="L101" s="55">
        <f t="shared" si="125"/>
        <v>0</v>
      </c>
      <c r="M101" s="53"/>
      <c r="N101" s="54"/>
      <c r="O101" s="55">
        <f t="shared" si="126"/>
        <v>0</v>
      </c>
      <c r="P101" s="1342"/>
    </row>
    <row r="102" spans="1:16" ht="24" customHeight="1" x14ac:dyDescent="0.25">
      <c r="A102" s="51">
        <v>2239</v>
      </c>
      <c r="B102" s="89" t="s">
        <v>118</v>
      </c>
      <c r="C102" s="90">
        <f t="shared" si="102"/>
        <v>1659</v>
      </c>
      <c r="D102" s="196">
        <v>1659</v>
      </c>
      <c r="E102" s="197"/>
      <c r="F102" s="55">
        <f t="shared" si="123"/>
        <v>1659</v>
      </c>
      <c r="G102" s="53"/>
      <c r="H102" s="1351"/>
      <c r="I102" s="55">
        <f t="shared" si="124"/>
        <v>0</v>
      </c>
      <c r="J102" s="53"/>
      <c r="K102" s="54"/>
      <c r="L102" s="55">
        <f t="shared" si="125"/>
        <v>0</v>
      </c>
      <c r="M102" s="53"/>
      <c r="N102" s="54"/>
      <c r="O102" s="55">
        <f t="shared" si="126"/>
        <v>0</v>
      </c>
      <c r="P102" s="1342"/>
    </row>
    <row r="103" spans="1:16" ht="36" x14ac:dyDescent="0.25">
      <c r="A103" s="189">
        <v>2240</v>
      </c>
      <c r="B103" s="89" t="s">
        <v>119</v>
      </c>
      <c r="C103" s="90">
        <f t="shared" si="102"/>
        <v>7458</v>
      </c>
      <c r="D103" s="190">
        <f>SUM(D104:D111)</f>
        <v>7458</v>
      </c>
      <c r="E103" s="191">
        <f t="shared" ref="E103:F103" si="127">SUM(E104:E111)</f>
        <v>0</v>
      </c>
      <c r="F103" s="55">
        <f t="shared" si="127"/>
        <v>7458</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1342"/>
    </row>
    <row r="104" spans="1:16" ht="12" hidden="1" customHeight="1" x14ac:dyDescent="0.25">
      <c r="A104" s="51">
        <v>2241</v>
      </c>
      <c r="B104" s="89" t="s">
        <v>120</v>
      </c>
      <c r="C104" s="90">
        <f t="shared" si="102"/>
        <v>0</v>
      </c>
      <c r="D104" s="196"/>
      <c r="E104" s="197"/>
      <c r="F104" s="55">
        <f t="shared" ref="F104:F111" si="131">D104+E104</f>
        <v>0</v>
      </c>
      <c r="G104" s="53"/>
      <c r="H104" s="1351"/>
      <c r="I104" s="55">
        <f t="shared" ref="I104:I111" si="132">G104+H104</f>
        <v>0</v>
      </c>
      <c r="J104" s="53"/>
      <c r="K104" s="54"/>
      <c r="L104" s="55">
        <f t="shared" ref="L104:L111" si="133">K104+J104</f>
        <v>0</v>
      </c>
      <c r="M104" s="53"/>
      <c r="N104" s="54"/>
      <c r="O104" s="55">
        <f t="shared" ref="O104:O111" si="134">N104+M104</f>
        <v>0</v>
      </c>
      <c r="P104" s="1342"/>
    </row>
    <row r="105" spans="1:16" ht="24" hidden="1" customHeight="1" x14ac:dyDescent="0.25">
      <c r="A105" s="51">
        <v>2242</v>
      </c>
      <c r="B105" s="89" t="s">
        <v>121</v>
      </c>
      <c r="C105" s="90">
        <f t="shared" si="102"/>
        <v>0</v>
      </c>
      <c r="D105" s="196"/>
      <c r="E105" s="197"/>
      <c r="F105" s="55">
        <f t="shared" si="131"/>
        <v>0</v>
      </c>
      <c r="G105" s="53"/>
      <c r="H105" s="1351"/>
      <c r="I105" s="55">
        <f t="shared" si="132"/>
        <v>0</v>
      </c>
      <c r="J105" s="53"/>
      <c r="K105" s="54"/>
      <c r="L105" s="55">
        <f t="shared" si="133"/>
        <v>0</v>
      </c>
      <c r="M105" s="53"/>
      <c r="N105" s="54"/>
      <c r="O105" s="55">
        <f t="shared" si="134"/>
        <v>0</v>
      </c>
      <c r="P105" s="1342"/>
    </row>
    <row r="106" spans="1:16" ht="24" customHeight="1" x14ac:dyDescent="0.25">
      <c r="A106" s="51">
        <v>2243</v>
      </c>
      <c r="B106" s="89" t="s">
        <v>122</v>
      </c>
      <c r="C106" s="90">
        <f t="shared" si="102"/>
        <v>518</v>
      </c>
      <c r="D106" s="196">
        <v>518</v>
      </c>
      <c r="E106" s="197"/>
      <c r="F106" s="55">
        <f t="shared" si="131"/>
        <v>518</v>
      </c>
      <c r="G106" s="53"/>
      <c r="H106" s="1351"/>
      <c r="I106" s="55">
        <f t="shared" si="132"/>
        <v>0</v>
      </c>
      <c r="J106" s="53"/>
      <c r="K106" s="54"/>
      <c r="L106" s="55">
        <f t="shared" si="133"/>
        <v>0</v>
      </c>
      <c r="M106" s="53"/>
      <c r="N106" s="54"/>
      <c r="O106" s="55">
        <f t="shared" si="134"/>
        <v>0</v>
      </c>
      <c r="P106" s="1342"/>
    </row>
    <row r="107" spans="1:16" ht="12" customHeight="1" x14ac:dyDescent="0.25">
      <c r="A107" s="51">
        <v>2244</v>
      </c>
      <c r="B107" s="89" t="s">
        <v>123</v>
      </c>
      <c r="C107" s="90">
        <f t="shared" si="102"/>
        <v>6940</v>
      </c>
      <c r="D107" s="196">
        <v>6940</v>
      </c>
      <c r="E107" s="197"/>
      <c r="F107" s="55">
        <f t="shared" si="131"/>
        <v>6940</v>
      </c>
      <c r="G107" s="53"/>
      <c r="H107" s="1351"/>
      <c r="I107" s="55">
        <f t="shared" si="132"/>
        <v>0</v>
      </c>
      <c r="J107" s="53"/>
      <c r="K107" s="54"/>
      <c r="L107" s="55">
        <f t="shared" si="133"/>
        <v>0</v>
      </c>
      <c r="M107" s="53"/>
      <c r="N107" s="54"/>
      <c r="O107" s="55">
        <f t="shared" si="134"/>
        <v>0</v>
      </c>
      <c r="P107" s="1342"/>
    </row>
    <row r="108" spans="1:16" ht="24" hidden="1" customHeight="1" x14ac:dyDescent="0.25">
      <c r="A108" s="51">
        <v>2246</v>
      </c>
      <c r="B108" s="89" t="s">
        <v>124</v>
      </c>
      <c r="C108" s="90">
        <f t="shared" si="102"/>
        <v>0</v>
      </c>
      <c r="D108" s="196"/>
      <c r="E108" s="197"/>
      <c r="F108" s="55">
        <f t="shared" si="131"/>
        <v>0</v>
      </c>
      <c r="G108" s="53"/>
      <c r="H108" s="1351"/>
      <c r="I108" s="55">
        <f t="shared" si="132"/>
        <v>0</v>
      </c>
      <c r="J108" s="53"/>
      <c r="K108" s="54"/>
      <c r="L108" s="55">
        <f t="shared" si="133"/>
        <v>0</v>
      </c>
      <c r="M108" s="53"/>
      <c r="N108" s="54"/>
      <c r="O108" s="55">
        <f t="shared" si="134"/>
        <v>0</v>
      </c>
      <c r="P108" s="1342"/>
    </row>
    <row r="109" spans="1:16" ht="12" hidden="1" customHeight="1" x14ac:dyDescent="0.25">
      <c r="A109" s="51">
        <v>2247</v>
      </c>
      <c r="B109" s="89" t="s">
        <v>125</v>
      </c>
      <c r="C109" s="90">
        <f t="shared" si="102"/>
        <v>0</v>
      </c>
      <c r="D109" s="196"/>
      <c r="E109" s="197"/>
      <c r="F109" s="55">
        <f t="shared" si="131"/>
        <v>0</v>
      </c>
      <c r="G109" s="53"/>
      <c r="H109" s="1351"/>
      <c r="I109" s="55">
        <f t="shared" si="132"/>
        <v>0</v>
      </c>
      <c r="J109" s="53"/>
      <c r="K109" s="54"/>
      <c r="L109" s="55">
        <f t="shared" si="133"/>
        <v>0</v>
      </c>
      <c r="M109" s="53"/>
      <c r="N109" s="54"/>
      <c r="O109" s="55">
        <f t="shared" si="134"/>
        <v>0</v>
      </c>
      <c r="P109" s="1342"/>
    </row>
    <row r="110" spans="1:16" ht="24" hidden="1" customHeight="1" x14ac:dyDescent="0.25">
      <c r="A110" s="51">
        <v>2248</v>
      </c>
      <c r="B110" s="89" t="s">
        <v>126</v>
      </c>
      <c r="C110" s="90">
        <f t="shared" si="102"/>
        <v>0</v>
      </c>
      <c r="D110" s="196"/>
      <c r="E110" s="197"/>
      <c r="F110" s="55">
        <f t="shared" si="131"/>
        <v>0</v>
      </c>
      <c r="G110" s="53"/>
      <c r="H110" s="1351"/>
      <c r="I110" s="55">
        <f t="shared" si="132"/>
        <v>0</v>
      </c>
      <c r="J110" s="53"/>
      <c r="K110" s="54"/>
      <c r="L110" s="55">
        <f t="shared" si="133"/>
        <v>0</v>
      </c>
      <c r="M110" s="53"/>
      <c r="N110" s="54"/>
      <c r="O110" s="55">
        <f t="shared" si="134"/>
        <v>0</v>
      </c>
      <c r="P110" s="1342"/>
    </row>
    <row r="111" spans="1:16" ht="24" hidden="1" customHeight="1" x14ac:dyDescent="0.25">
      <c r="A111" s="51">
        <v>2249</v>
      </c>
      <c r="B111" s="89" t="s">
        <v>127</v>
      </c>
      <c r="C111" s="90">
        <f t="shared" si="102"/>
        <v>0</v>
      </c>
      <c r="D111" s="196"/>
      <c r="E111" s="197"/>
      <c r="F111" s="55">
        <f t="shared" si="131"/>
        <v>0</v>
      </c>
      <c r="G111" s="53"/>
      <c r="H111" s="1351"/>
      <c r="I111" s="55">
        <f t="shared" si="132"/>
        <v>0</v>
      </c>
      <c r="J111" s="53"/>
      <c r="K111" s="54"/>
      <c r="L111" s="55">
        <f t="shared" si="133"/>
        <v>0</v>
      </c>
      <c r="M111" s="53"/>
      <c r="N111" s="54"/>
      <c r="O111" s="55">
        <f t="shared" si="134"/>
        <v>0</v>
      </c>
      <c r="P111" s="1342"/>
    </row>
    <row r="112" spans="1:16" x14ac:dyDescent="0.25">
      <c r="A112" s="189">
        <v>2250</v>
      </c>
      <c r="B112" s="89" t="s">
        <v>128</v>
      </c>
      <c r="C112" s="90">
        <f t="shared" si="102"/>
        <v>3107</v>
      </c>
      <c r="D112" s="190">
        <f>SUM(D113:D115)</f>
        <v>3107</v>
      </c>
      <c r="E112" s="191">
        <f t="shared" ref="E112:F112" si="135">SUM(E113:E115)</f>
        <v>0</v>
      </c>
      <c r="F112" s="55">
        <f t="shared" si="135"/>
        <v>3107</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1342"/>
    </row>
    <row r="113" spans="1:16" ht="12" customHeight="1" x14ac:dyDescent="0.25">
      <c r="A113" s="51">
        <v>2251</v>
      </c>
      <c r="B113" s="89" t="s">
        <v>129</v>
      </c>
      <c r="C113" s="90">
        <f t="shared" si="102"/>
        <v>85</v>
      </c>
      <c r="D113" s="196">
        <v>85</v>
      </c>
      <c r="E113" s="197"/>
      <c r="F113" s="55">
        <f t="shared" ref="F113:F115" si="139">D113+E113</f>
        <v>85</v>
      </c>
      <c r="G113" s="53"/>
      <c r="H113" s="1351"/>
      <c r="I113" s="55">
        <f t="shared" ref="I113:I115" si="140">G113+H113</f>
        <v>0</v>
      </c>
      <c r="J113" s="53"/>
      <c r="K113" s="54"/>
      <c r="L113" s="55">
        <f t="shared" ref="L113:L115" si="141">K113+J113</f>
        <v>0</v>
      </c>
      <c r="M113" s="53"/>
      <c r="N113" s="54"/>
      <c r="O113" s="55">
        <f t="shared" ref="O113:O115" si="142">N113+M113</f>
        <v>0</v>
      </c>
      <c r="P113" s="1342"/>
    </row>
    <row r="114" spans="1:16" ht="24" customHeight="1" x14ac:dyDescent="0.25">
      <c r="A114" s="51">
        <v>2252</v>
      </c>
      <c r="B114" s="89" t="s">
        <v>130</v>
      </c>
      <c r="C114" s="90">
        <f t="shared" si="102"/>
        <v>2586</v>
      </c>
      <c r="D114" s="196">
        <v>2586</v>
      </c>
      <c r="E114" s="197"/>
      <c r="F114" s="55">
        <f t="shared" si="139"/>
        <v>2586</v>
      </c>
      <c r="G114" s="53"/>
      <c r="H114" s="1351"/>
      <c r="I114" s="55">
        <f t="shared" si="140"/>
        <v>0</v>
      </c>
      <c r="J114" s="53"/>
      <c r="K114" s="54"/>
      <c r="L114" s="55">
        <f t="shared" si="141"/>
        <v>0</v>
      </c>
      <c r="M114" s="53"/>
      <c r="N114" s="54"/>
      <c r="O114" s="55">
        <f t="shared" si="142"/>
        <v>0</v>
      </c>
      <c r="P114" s="1342"/>
    </row>
    <row r="115" spans="1:16" ht="24" customHeight="1" x14ac:dyDescent="0.25">
      <c r="A115" s="51">
        <v>2259</v>
      </c>
      <c r="B115" s="89" t="s">
        <v>131</v>
      </c>
      <c r="C115" s="90">
        <f t="shared" si="102"/>
        <v>436</v>
      </c>
      <c r="D115" s="196">
        <v>436</v>
      </c>
      <c r="E115" s="197"/>
      <c r="F115" s="55">
        <f t="shared" si="139"/>
        <v>436</v>
      </c>
      <c r="G115" s="53"/>
      <c r="H115" s="1351"/>
      <c r="I115" s="55">
        <f t="shared" si="140"/>
        <v>0</v>
      </c>
      <c r="J115" s="53"/>
      <c r="K115" s="54"/>
      <c r="L115" s="55">
        <f t="shared" si="141"/>
        <v>0</v>
      </c>
      <c r="M115" s="53"/>
      <c r="N115" s="54"/>
      <c r="O115" s="55">
        <f t="shared" si="142"/>
        <v>0</v>
      </c>
      <c r="P115" s="1342"/>
    </row>
    <row r="116" spans="1:16" x14ac:dyDescent="0.25">
      <c r="A116" s="189">
        <v>2260</v>
      </c>
      <c r="B116" s="89" t="s">
        <v>132</v>
      </c>
      <c r="C116" s="90">
        <f t="shared" si="102"/>
        <v>1391</v>
      </c>
      <c r="D116" s="190">
        <f>SUM(D117:D121)</f>
        <v>26</v>
      </c>
      <c r="E116" s="191">
        <f t="shared" ref="E116:F116" si="143">SUM(E117:E121)</f>
        <v>0</v>
      </c>
      <c r="F116" s="55">
        <f t="shared" si="143"/>
        <v>26</v>
      </c>
      <c r="G116" s="190">
        <f>SUM(G117:G121)</f>
        <v>381</v>
      </c>
      <c r="H116" s="191">
        <f t="shared" ref="H116:I116" si="144">SUM(H117:H121)</f>
        <v>984</v>
      </c>
      <c r="I116" s="55">
        <f t="shared" si="144"/>
        <v>1365</v>
      </c>
      <c r="J116" s="190">
        <f>SUM(J117:J121)</f>
        <v>0</v>
      </c>
      <c r="K116" s="191">
        <f t="shared" ref="K116:L116" si="145">SUM(K117:K121)</f>
        <v>0</v>
      </c>
      <c r="L116" s="55">
        <f t="shared" si="145"/>
        <v>0</v>
      </c>
      <c r="M116" s="190">
        <f>SUM(M117:M121)</f>
        <v>0</v>
      </c>
      <c r="N116" s="191">
        <f t="shared" ref="N116:O116" si="146">SUM(N117:N121)</f>
        <v>0</v>
      </c>
      <c r="O116" s="55">
        <f t="shared" si="146"/>
        <v>0</v>
      </c>
      <c r="P116" s="1342"/>
    </row>
    <row r="117" spans="1:16" ht="12" hidden="1" customHeight="1" x14ac:dyDescent="0.25">
      <c r="A117" s="51">
        <v>2261</v>
      </c>
      <c r="B117" s="89" t="s">
        <v>133</v>
      </c>
      <c r="C117" s="90">
        <f t="shared" si="102"/>
        <v>0</v>
      </c>
      <c r="D117" s="196"/>
      <c r="E117" s="197"/>
      <c r="F117" s="55">
        <f t="shared" ref="F117:F121" si="147">D117+E117</f>
        <v>0</v>
      </c>
      <c r="G117" s="53"/>
      <c r="H117" s="1351"/>
      <c r="I117" s="55">
        <f t="shared" ref="I117:I121" si="148">G117+H117</f>
        <v>0</v>
      </c>
      <c r="J117" s="53"/>
      <c r="K117" s="54"/>
      <c r="L117" s="55">
        <f t="shared" ref="L117:L121" si="149">K117+J117</f>
        <v>0</v>
      </c>
      <c r="M117" s="53"/>
      <c r="N117" s="54"/>
      <c r="O117" s="55">
        <f t="shared" ref="O117:O121" si="150">N117+M117</f>
        <v>0</v>
      </c>
      <c r="P117" s="1342"/>
    </row>
    <row r="118" spans="1:16" ht="18.75" customHeight="1" x14ac:dyDescent="0.25">
      <c r="A118" s="51">
        <v>2262</v>
      </c>
      <c r="B118" s="89" t="s">
        <v>134</v>
      </c>
      <c r="C118" s="90">
        <f t="shared" si="102"/>
        <v>1365</v>
      </c>
      <c r="D118" s="196"/>
      <c r="E118" s="197"/>
      <c r="F118" s="55">
        <f t="shared" si="147"/>
        <v>0</v>
      </c>
      <c r="G118" s="53">
        <v>381</v>
      </c>
      <c r="H118" s="54">
        <v>984</v>
      </c>
      <c r="I118" s="55">
        <f t="shared" si="148"/>
        <v>1365</v>
      </c>
      <c r="J118" s="53"/>
      <c r="K118" s="54"/>
      <c r="L118" s="55">
        <f t="shared" si="149"/>
        <v>0</v>
      </c>
      <c r="M118" s="53"/>
      <c r="N118" s="54"/>
      <c r="O118" s="55">
        <f t="shared" si="150"/>
        <v>0</v>
      </c>
      <c r="P118" s="364" t="s">
        <v>1558</v>
      </c>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1342"/>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1342"/>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1342"/>
    </row>
    <row r="122" spans="1:16" x14ac:dyDescent="0.25">
      <c r="A122" s="189">
        <v>2270</v>
      </c>
      <c r="B122" s="89" t="s">
        <v>138</v>
      </c>
      <c r="C122" s="90">
        <f t="shared" si="102"/>
        <v>2992</v>
      </c>
      <c r="D122" s="190">
        <f>SUM(D123:D127)</f>
        <v>0</v>
      </c>
      <c r="E122" s="191">
        <f t="shared" ref="E122:F122" si="151">SUM(E123:E127)</f>
        <v>0</v>
      </c>
      <c r="F122" s="55">
        <f t="shared" si="151"/>
        <v>0</v>
      </c>
      <c r="G122" s="190">
        <f>SUM(G123:G127)</f>
        <v>1729</v>
      </c>
      <c r="H122" s="191">
        <f t="shared" ref="H122:I122" si="152">SUM(H123:H127)</f>
        <v>1263</v>
      </c>
      <c r="I122" s="55">
        <f t="shared" si="152"/>
        <v>2992</v>
      </c>
      <c r="J122" s="190">
        <f>SUM(J123:J127)</f>
        <v>0</v>
      </c>
      <c r="K122" s="191">
        <f t="shared" ref="K122:L122" si="153">SUM(K123:K127)</f>
        <v>0</v>
      </c>
      <c r="L122" s="55">
        <f t="shared" si="153"/>
        <v>0</v>
      </c>
      <c r="M122" s="190">
        <f>SUM(M123:M127)</f>
        <v>0</v>
      </c>
      <c r="N122" s="191">
        <f t="shared" ref="N122:O122" si="154">SUM(N123:N127)</f>
        <v>0</v>
      </c>
      <c r="O122" s="55">
        <f t="shared" si="154"/>
        <v>0</v>
      </c>
      <c r="P122" s="1342"/>
    </row>
    <row r="123" spans="1:16" ht="12" hidden="1" customHeight="1" x14ac:dyDescent="0.25">
      <c r="A123" s="51">
        <v>2272</v>
      </c>
      <c r="B123" s="201" t="s">
        <v>139</v>
      </c>
      <c r="C123" s="90">
        <f t="shared" si="102"/>
        <v>0</v>
      </c>
      <c r="D123" s="196"/>
      <c r="E123" s="197"/>
      <c r="F123" s="55">
        <f t="shared" ref="F123:F127" si="155">D123+E123</f>
        <v>0</v>
      </c>
      <c r="G123" s="53"/>
      <c r="H123" s="1351"/>
      <c r="I123" s="55">
        <f t="shared" ref="I123:I127" si="156">G123+H123</f>
        <v>0</v>
      </c>
      <c r="J123" s="53"/>
      <c r="K123" s="54"/>
      <c r="L123" s="55">
        <f t="shared" ref="L123:L127" si="157">K123+J123</f>
        <v>0</v>
      </c>
      <c r="M123" s="53"/>
      <c r="N123" s="54"/>
      <c r="O123" s="55">
        <f t="shared" ref="O123:O127" si="158">N123+M123</f>
        <v>0</v>
      </c>
      <c r="P123" s="1342"/>
    </row>
    <row r="124" spans="1:16" ht="24" hidden="1" customHeight="1" x14ac:dyDescent="0.25">
      <c r="A124" s="51">
        <v>2274</v>
      </c>
      <c r="B124" s="202" t="s">
        <v>140</v>
      </c>
      <c r="C124" s="90">
        <f t="shared" si="102"/>
        <v>0</v>
      </c>
      <c r="D124" s="196"/>
      <c r="E124" s="197"/>
      <c r="F124" s="55">
        <f t="shared" si="155"/>
        <v>0</v>
      </c>
      <c r="G124" s="53"/>
      <c r="H124" s="1351"/>
      <c r="I124" s="55">
        <f t="shared" si="156"/>
        <v>0</v>
      </c>
      <c r="J124" s="53"/>
      <c r="K124" s="54"/>
      <c r="L124" s="55">
        <f t="shared" si="157"/>
        <v>0</v>
      </c>
      <c r="M124" s="53"/>
      <c r="N124" s="54"/>
      <c r="O124" s="55">
        <f t="shared" si="158"/>
        <v>0</v>
      </c>
      <c r="P124" s="1342"/>
    </row>
    <row r="125" spans="1:16" ht="24" hidden="1" customHeight="1" x14ac:dyDescent="0.25">
      <c r="A125" s="51">
        <v>2275</v>
      </c>
      <c r="B125" s="89" t="s">
        <v>141</v>
      </c>
      <c r="C125" s="90">
        <f t="shared" si="102"/>
        <v>0</v>
      </c>
      <c r="D125" s="196"/>
      <c r="E125" s="197"/>
      <c r="F125" s="55">
        <f t="shared" si="155"/>
        <v>0</v>
      </c>
      <c r="G125" s="53"/>
      <c r="H125" s="1351"/>
      <c r="I125" s="55">
        <f t="shared" si="156"/>
        <v>0</v>
      </c>
      <c r="J125" s="53"/>
      <c r="K125" s="54"/>
      <c r="L125" s="55">
        <f t="shared" si="157"/>
        <v>0</v>
      </c>
      <c r="M125" s="53"/>
      <c r="N125" s="54"/>
      <c r="O125" s="55">
        <f t="shared" si="158"/>
        <v>0</v>
      </c>
      <c r="P125" s="1342"/>
    </row>
    <row r="126" spans="1:16" ht="36" hidden="1" customHeight="1" x14ac:dyDescent="0.25">
      <c r="A126" s="51">
        <v>2276</v>
      </c>
      <c r="B126" s="89" t="s">
        <v>142</v>
      </c>
      <c r="C126" s="90">
        <f t="shared" si="102"/>
        <v>0</v>
      </c>
      <c r="D126" s="196"/>
      <c r="E126" s="197"/>
      <c r="F126" s="55">
        <f t="shared" si="155"/>
        <v>0</v>
      </c>
      <c r="G126" s="53"/>
      <c r="H126" s="1351"/>
      <c r="I126" s="55">
        <f t="shared" si="156"/>
        <v>0</v>
      </c>
      <c r="J126" s="53"/>
      <c r="K126" s="54"/>
      <c r="L126" s="55">
        <f t="shared" si="157"/>
        <v>0</v>
      </c>
      <c r="M126" s="53"/>
      <c r="N126" s="54"/>
      <c r="O126" s="55">
        <f t="shared" si="158"/>
        <v>0</v>
      </c>
      <c r="P126" s="1342"/>
    </row>
    <row r="127" spans="1:16" ht="26.25" customHeight="1" x14ac:dyDescent="0.25">
      <c r="A127" s="51">
        <v>2279</v>
      </c>
      <c r="B127" s="89" t="s">
        <v>143</v>
      </c>
      <c r="C127" s="90">
        <f t="shared" si="102"/>
        <v>2992</v>
      </c>
      <c r="D127" s="196"/>
      <c r="E127" s="197"/>
      <c r="F127" s="55">
        <f t="shared" si="155"/>
        <v>0</v>
      </c>
      <c r="G127" s="53">
        <v>1729</v>
      </c>
      <c r="H127" s="54">
        <v>1263</v>
      </c>
      <c r="I127" s="55">
        <f t="shared" si="156"/>
        <v>2992</v>
      </c>
      <c r="J127" s="53"/>
      <c r="K127" s="54"/>
      <c r="L127" s="55">
        <f t="shared" si="157"/>
        <v>0</v>
      </c>
      <c r="M127" s="53"/>
      <c r="N127" s="54"/>
      <c r="O127" s="55">
        <f t="shared" si="158"/>
        <v>0</v>
      </c>
      <c r="P127" s="1355" t="s">
        <v>1559</v>
      </c>
    </row>
    <row r="128" spans="1:16" ht="48" hidden="1" x14ac:dyDescent="0.25">
      <c r="A128" s="1208">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1356"/>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1345"/>
    </row>
    <row r="130" spans="1:16" ht="38.25" customHeight="1" x14ac:dyDescent="0.25">
      <c r="A130" s="69">
        <v>2300</v>
      </c>
      <c r="B130" s="183" t="s">
        <v>146</v>
      </c>
      <c r="C130" s="70">
        <f t="shared" si="102"/>
        <v>22832</v>
      </c>
      <c r="D130" s="184">
        <f>SUM(D131,D136,D140,D141,D144,D151,D159,D160,D163)</f>
        <v>19913</v>
      </c>
      <c r="E130" s="185">
        <f t="shared" ref="E130:F130" si="160">SUM(E131,E136,E140,E141,E144,E151,E159,E160,E163)</f>
        <v>0</v>
      </c>
      <c r="F130" s="73">
        <f t="shared" si="160"/>
        <v>19913</v>
      </c>
      <c r="G130" s="184">
        <f>SUM(G131,G136,G140,G141,G144,G151,G159,G160,G163)</f>
        <v>2919</v>
      </c>
      <c r="H130" s="185">
        <f t="shared" ref="H130:I130" si="161">SUM(H131,H136,H140,H141,H144,H151,H159,H160,H163)</f>
        <v>0</v>
      </c>
      <c r="I130" s="73">
        <f t="shared" si="161"/>
        <v>2919</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1340"/>
    </row>
    <row r="131" spans="1:16" ht="24" x14ac:dyDescent="0.25">
      <c r="A131" s="1208">
        <v>2310</v>
      </c>
      <c r="B131" s="82" t="s">
        <v>147</v>
      </c>
      <c r="C131" s="83">
        <f t="shared" si="102"/>
        <v>8763</v>
      </c>
      <c r="D131" s="194">
        <f t="shared" ref="D131:O131" si="164">SUM(D132:D135)</f>
        <v>8763</v>
      </c>
      <c r="E131" s="195">
        <f t="shared" si="164"/>
        <v>0</v>
      </c>
      <c r="F131" s="134">
        <f t="shared" si="164"/>
        <v>8763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1341"/>
    </row>
    <row r="132" spans="1:16" ht="12" customHeight="1" x14ac:dyDescent="0.25">
      <c r="A132" s="51">
        <v>2311</v>
      </c>
      <c r="B132" s="89" t="s">
        <v>148</v>
      </c>
      <c r="C132" s="90">
        <f t="shared" si="102"/>
        <v>1988</v>
      </c>
      <c r="D132" s="196">
        <v>1988</v>
      </c>
      <c r="E132" s="197"/>
      <c r="F132" s="55">
        <f t="shared" ref="F132:F135" si="165">D132+E132</f>
        <v>1988</v>
      </c>
      <c r="G132" s="53"/>
      <c r="H132" s="54"/>
      <c r="I132" s="55">
        <f t="shared" ref="I132:I135" si="166">G132+H132</f>
        <v>0</v>
      </c>
      <c r="J132" s="53"/>
      <c r="K132" s="54"/>
      <c r="L132" s="55">
        <f t="shared" ref="L132:L135" si="167">K132+J132</f>
        <v>0</v>
      </c>
      <c r="M132" s="53"/>
      <c r="N132" s="54"/>
      <c r="O132" s="55">
        <f t="shared" ref="O132:O135" si="168">N132+M132</f>
        <v>0</v>
      </c>
      <c r="P132" s="1342"/>
    </row>
    <row r="133" spans="1:16" ht="12" customHeight="1" x14ac:dyDescent="0.25">
      <c r="A133" s="51">
        <v>2312</v>
      </c>
      <c r="B133" s="89" t="s">
        <v>149</v>
      </c>
      <c r="C133" s="90">
        <f t="shared" si="102"/>
        <v>6625</v>
      </c>
      <c r="D133" s="196">
        <v>6625</v>
      </c>
      <c r="E133" s="197"/>
      <c r="F133" s="55">
        <f t="shared" si="165"/>
        <v>6625</v>
      </c>
      <c r="G133" s="53"/>
      <c r="H133" s="54"/>
      <c r="I133" s="55">
        <f t="shared" si="166"/>
        <v>0</v>
      </c>
      <c r="J133" s="53"/>
      <c r="K133" s="54"/>
      <c r="L133" s="55">
        <f t="shared" si="167"/>
        <v>0</v>
      </c>
      <c r="M133" s="53"/>
      <c r="N133" s="54"/>
      <c r="O133" s="55">
        <f t="shared" si="168"/>
        <v>0</v>
      </c>
      <c r="P133" s="1342"/>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1342"/>
    </row>
    <row r="135" spans="1:16" ht="36" customHeight="1" x14ac:dyDescent="0.25">
      <c r="A135" s="51">
        <v>2314</v>
      </c>
      <c r="B135" s="89" t="s">
        <v>151</v>
      </c>
      <c r="C135" s="90">
        <f t="shared" si="102"/>
        <v>150</v>
      </c>
      <c r="D135" s="196">
        <v>150</v>
      </c>
      <c r="E135" s="197"/>
      <c r="F135" s="55">
        <f t="shared" si="165"/>
        <v>150</v>
      </c>
      <c r="G135" s="53"/>
      <c r="H135" s="54"/>
      <c r="I135" s="55">
        <f t="shared" si="166"/>
        <v>0</v>
      </c>
      <c r="J135" s="53"/>
      <c r="K135" s="54"/>
      <c r="L135" s="55">
        <f t="shared" si="167"/>
        <v>0</v>
      </c>
      <c r="M135" s="53"/>
      <c r="N135" s="54"/>
      <c r="O135" s="55">
        <f t="shared" si="168"/>
        <v>0</v>
      </c>
      <c r="P135" s="1342"/>
    </row>
    <row r="136" spans="1:16" x14ac:dyDescent="0.25">
      <c r="A136" s="189">
        <v>2320</v>
      </c>
      <c r="B136" s="89" t="s">
        <v>152</v>
      </c>
      <c r="C136" s="90">
        <f t="shared" si="102"/>
        <v>292</v>
      </c>
      <c r="D136" s="190">
        <f>SUM(D137:D139)</f>
        <v>292</v>
      </c>
      <c r="E136" s="191">
        <f t="shared" ref="E136:F136" si="169">SUM(E137:E139)</f>
        <v>0</v>
      </c>
      <c r="F136" s="55">
        <f t="shared" si="169"/>
        <v>292</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1342"/>
    </row>
    <row r="137" spans="1:16" ht="12" hidden="1" customHeight="1" x14ac:dyDescent="0.25">
      <c r="A137" s="51">
        <v>2321</v>
      </c>
      <c r="B137" s="89" t="s">
        <v>153</v>
      </c>
      <c r="C137" s="90">
        <f t="shared" si="102"/>
        <v>0</v>
      </c>
      <c r="D137" s="196"/>
      <c r="E137" s="197"/>
      <c r="F137" s="55">
        <f t="shared" ref="F137:F140" si="173">D137+E137</f>
        <v>0</v>
      </c>
      <c r="G137" s="53"/>
      <c r="H137" s="1351"/>
      <c r="I137" s="55">
        <f t="shared" ref="I137:I140" si="174">G137+H137</f>
        <v>0</v>
      </c>
      <c r="J137" s="53"/>
      <c r="K137" s="54"/>
      <c r="L137" s="55">
        <f t="shared" ref="L137:L140" si="175">K137+J137</f>
        <v>0</v>
      </c>
      <c r="M137" s="53"/>
      <c r="N137" s="54"/>
      <c r="O137" s="55">
        <f t="shared" ref="O137:O140" si="176">N137+M137</f>
        <v>0</v>
      </c>
      <c r="P137" s="1342"/>
    </row>
    <row r="138" spans="1:16" ht="12" customHeight="1" x14ac:dyDescent="0.25">
      <c r="A138" s="51">
        <v>2322</v>
      </c>
      <c r="B138" s="89" t="s">
        <v>154</v>
      </c>
      <c r="C138" s="90">
        <f t="shared" si="102"/>
        <v>292</v>
      </c>
      <c r="D138" s="196">
        <v>292</v>
      </c>
      <c r="E138" s="197"/>
      <c r="F138" s="55">
        <f t="shared" si="173"/>
        <v>292</v>
      </c>
      <c r="G138" s="53"/>
      <c r="H138" s="1351"/>
      <c r="I138" s="55">
        <f t="shared" si="174"/>
        <v>0</v>
      </c>
      <c r="J138" s="53"/>
      <c r="K138" s="54"/>
      <c r="L138" s="55">
        <f t="shared" si="175"/>
        <v>0</v>
      </c>
      <c r="M138" s="53"/>
      <c r="N138" s="54"/>
      <c r="O138" s="55">
        <f t="shared" si="176"/>
        <v>0</v>
      </c>
      <c r="P138" s="1342"/>
    </row>
    <row r="139" spans="1:16" ht="10.5" hidden="1" customHeight="1" x14ac:dyDescent="0.25">
      <c r="A139" s="51">
        <v>2329</v>
      </c>
      <c r="B139" s="89" t="s">
        <v>155</v>
      </c>
      <c r="C139" s="90">
        <f t="shared" si="102"/>
        <v>0</v>
      </c>
      <c r="D139" s="196"/>
      <c r="E139" s="197"/>
      <c r="F139" s="55">
        <f t="shared" si="173"/>
        <v>0</v>
      </c>
      <c r="G139" s="53"/>
      <c r="H139" s="1351"/>
      <c r="I139" s="55">
        <f t="shared" si="174"/>
        <v>0</v>
      </c>
      <c r="J139" s="53"/>
      <c r="K139" s="54"/>
      <c r="L139" s="55">
        <f t="shared" si="175"/>
        <v>0</v>
      </c>
      <c r="M139" s="53"/>
      <c r="N139" s="54"/>
      <c r="O139" s="55">
        <f t="shared" si="176"/>
        <v>0</v>
      </c>
      <c r="P139" s="1342"/>
    </row>
    <row r="140" spans="1:16" ht="12" hidden="1" customHeight="1" x14ac:dyDescent="0.25">
      <c r="A140" s="189">
        <v>2330</v>
      </c>
      <c r="B140" s="89" t="s">
        <v>156</v>
      </c>
      <c r="C140" s="90">
        <f t="shared" si="102"/>
        <v>0</v>
      </c>
      <c r="D140" s="196"/>
      <c r="E140" s="197"/>
      <c r="F140" s="55">
        <f t="shared" si="173"/>
        <v>0</v>
      </c>
      <c r="G140" s="53"/>
      <c r="H140" s="1351"/>
      <c r="I140" s="55">
        <f t="shared" si="174"/>
        <v>0</v>
      </c>
      <c r="J140" s="53"/>
      <c r="K140" s="54"/>
      <c r="L140" s="55">
        <f t="shared" si="175"/>
        <v>0</v>
      </c>
      <c r="M140" s="53"/>
      <c r="N140" s="54"/>
      <c r="O140" s="55">
        <f t="shared" si="176"/>
        <v>0</v>
      </c>
      <c r="P140" s="1342"/>
    </row>
    <row r="141" spans="1:16" ht="48" x14ac:dyDescent="0.25">
      <c r="A141" s="189">
        <v>2340</v>
      </c>
      <c r="B141" s="89" t="s">
        <v>157</v>
      </c>
      <c r="C141" s="90">
        <f t="shared" si="102"/>
        <v>130</v>
      </c>
      <c r="D141" s="190">
        <f>SUM(D142:D143)</f>
        <v>130</v>
      </c>
      <c r="E141" s="191">
        <f t="shared" ref="E141:F141" si="177">SUM(E142:E143)</f>
        <v>0</v>
      </c>
      <c r="F141" s="55">
        <f t="shared" si="177"/>
        <v>130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1342"/>
    </row>
    <row r="142" spans="1:16" ht="12" customHeight="1" x14ac:dyDescent="0.25">
      <c r="A142" s="51">
        <v>2341</v>
      </c>
      <c r="B142" s="89" t="s">
        <v>158</v>
      </c>
      <c r="C142" s="90">
        <f t="shared" si="102"/>
        <v>130</v>
      </c>
      <c r="D142" s="196">
        <v>130</v>
      </c>
      <c r="E142" s="197"/>
      <c r="F142" s="55">
        <f t="shared" ref="F142:F143" si="181">D142+E142</f>
        <v>130</v>
      </c>
      <c r="G142" s="53"/>
      <c r="H142" s="54"/>
      <c r="I142" s="55">
        <f t="shared" ref="I142:I143" si="182">G142+H142</f>
        <v>0</v>
      </c>
      <c r="J142" s="53"/>
      <c r="K142" s="54"/>
      <c r="L142" s="55">
        <f t="shared" ref="L142:L143" si="183">K142+J142</f>
        <v>0</v>
      </c>
      <c r="M142" s="53"/>
      <c r="N142" s="54"/>
      <c r="O142" s="55">
        <f t="shared" ref="O142:O143" si="184">N142+M142</f>
        <v>0</v>
      </c>
      <c r="P142" s="1342"/>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1342"/>
    </row>
    <row r="144" spans="1:16" ht="24" x14ac:dyDescent="0.25">
      <c r="A144" s="186">
        <v>2350</v>
      </c>
      <c r="B144" s="138" t="s">
        <v>160</v>
      </c>
      <c r="C144" s="143">
        <f t="shared" si="102"/>
        <v>3041</v>
      </c>
      <c r="D144" s="187">
        <f>SUM(D145:D150)</f>
        <v>3041</v>
      </c>
      <c r="E144" s="188">
        <f t="shared" ref="E144:F144" si="185">SUM(E145:E150)</f>
        <v>0</v>
      </c>
      <c r="F144" s="141">
        <f t="shared" si="185"/>
        <v>3041</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345"/>
    </row>
    <row r="145" spans="1:16" ht="12" customHeight="1" x14ac:dyDescent="0.25">
      <c r="A145" s="44">
        <v>2351</v>
      </c>
      <c r="B145" s="82" t="s">
        <v>161</v>
      </c>
      <c r="C145" s="83">
        <f t="shared" si="102"/>
        <v>712</v>
      </c>
      <c r="D145" s="199">
        <v>712</v>
      </c>
      <c r="E145" s="200"/>
      <c r="F145" s="134">
        <f t="shared" ref="F145:F150" si="189">D145+E145</f>
        <v>712</v>
      </c>
      <c r="G145" s="46"/>
      <c r="H145" s="47"/>
      <c r="I145" s="134">
        <f t="shared" ref="I145:I150" si="190">G145+H145</f>
        <v>0</v>
      </c>
      <c r="J145" s="46"/>
      <c r="K145" s="47"/>
      <c r="L145" s="134">
        <f t="shared" ref="L145:L150" si="191">K145+J145</f>
        <v>0</v>
      </c>
      <c r="M145" s="46"/>
      <c r="N145" s="47"/>
      <c r="O145" s="134">
        <f t="shared" ref="O145:O150" si="192">N145+M145</f>
        <v>0</v>
      </c>
      <c r="P145" s="1341"/>
    </row>
    <row r="146" spans="1:16" ht="12" customHeight="1" x14ac:dyDescent="0.25">
      <c r="A146" s="51">
        <v>2352</v>
      </c>
      <c r="B146" s="89" t="s">
        <v>162</v>
      </c>
      <c r="C146" s="90">
        <f t="shared" si="102"/>
        <v>1629</v>
      </c>
      <c r="D146" s="196">
        <v>1629</v>
      </c>
      <c r="E146" s="197"/>
      <c r="F146" s="55">
        <f t="shared" si="189"/>
        <v>1629</v>
      </c>
      <c r="G146" s="53"/>
      <c r="H146" s="54"/>
      <c r="I146" s="55">
        <f t="shared" si="190"/>
        <v>0</v>
      </c>
      <c r="J146" s="53"/>
      <c r="K146" s="54"/>
      <c r="L146" s="55">
        <f t="shared" si="191"/>
        <v>0</v>
      </c>
      <c r="M146" s="53"/>
      <c r="N146" s="54"/>
      <c r="O146" s="55">
        <f t="shared" si="192"/>
        <v>0</v>
      </c>
      <c r="P146" s="1342"/>
    </row>
    <row r="147" spans="1:16" ht="24" customHeight="1" x14ac:dyDescent="0.25">
      <c r="A147" s="51">
        <v>2353</v>
      </c>
      <c r="B147" s="89" t="s">
        <v>163</v>
      </c>
      <c r="C147" s="90">
        <f t="shared" si="102"/>
        <v>200</v>
      </c>
      <c r="D147" s="196">
        <v>200</v>
      </c>
      <c r="E147" s="197"/>
      <c r="F147" s="55">
        <f t="shared" si="189"/>
        <v>200</v>
      </c>
      <c r="G147" s="53"/>
      <c r="H147" s="54"/>
      <c r="I147" s="55">
        <f t="shared" si="190"/>
        <v>0</v>
      </c>
      <c r="J147" s="53"/>
      <c r="K147" s="54"/>
      <c r="L147" s="55">
        <f t="shared" si="191"/>
        <v>0</v>
      </c>
      <c r="M147" s="53"/>
      <c r="N147" s="54"/>
      <c r="O147" s="55">
        <f t="shared" si="192"/>
        <v>0</v>
      </c>
      <c r="P147" s="1342"/>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1342"/>
    </row>
    <row r="149" spans="1:16" ht="24" customHeight="1" x14ac:dyDescent="0.25">
      <c r="A149" s="51">
        <v>2355</v>
      </c>
      <c r="B149" s="89" t="s">
        <v>165</v>
      </c>
      <c r="C149" s="90">
        <f t="shared" si="193"/>
        <v>500</v>
      </c>
      <c r="D149" s="196">
        <v>500</v>
      </c>
      <c r="E149" s="197"/>
      <c r="F149" s="55">
        <f t="shared" si="189"/>
        <v>500</v>
      </c>
      <c r="G149" s="53"/>
      <c r="H149" s="54"/>
      <c r="I149" s="55">
        <f t="shared" si="190"/>
        <v>0</v>
      </c>
      <c r="J149" s="53"/>
      <c r="K149" s="54"/>
      <c r="L149" s="55">
        <f t="shared" si="191"/>
        <v>0</v>
      </c>
      <c r="M149" s="53"/>
      <c r="N149" s="54"/>
      <c r="O149" s="55">
        <f t="shared" si="192"/>
        <v>0</v>
      </c>
      <c r="P149" s="1342"/>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1342"/>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1342"/>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1342"/>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1342"/>
    </row>
    <row r="154" spans="1:16" ht="12" hidden="1" customHeight="1" x14ac:dyDescent="0.25">
      <c r="A154" s="50">
        <v>2363</v>
      </c>
      <c r="B154" s="89" t="s">
        <v>170</v>
      </c>
      <c r="C154" s="90">
        <f t="shared" si="193"/>
        <v>0</v>
      </c>
      <c r="D154" s="196"/>
      <c r="E154" s="197"/>
      <c r="F154" s="55">
        <f t="shared" si="198"/>
        <v>0</v>
      </c>
      <c r="G154" s="53"/>
      <c r="H154" s="1351"/>
      <c r="I154" s="55">
        <f t="shared" si="199"/>
        <v>0</v>
      </c>
      <c r="J154" s="53"/>
      <c r="K154" s="54"/>
      <c r="L154" s="55">
        <f t="shared" si="200"/>
        <v>0</v>
      </c>
      <c r="M154" s="53"/>
      <c r="N154" s="54"/>
      <c r="O154" s="55">
        <f t="shared" si="201"/>
        <v>0</v>
      </c>
      <c r="P154" s="1342"/>
    </row>
    <row r="155" spans="1:16" ht="12" hidden="1" customHeight="1" x14ac:dyDescent="0.25">
      <c r="A155" s="50">
        <v>2364</v>
      </c>
      <c r="B155" s="89" t="s">
        <v>171</v>
      </c>
      <c r="C155" s="90">
        <f t="shared" si="193"/>
        <v>0</v>
      </c>
      <c r="D155" s="196"/>
      <c r="E155" s="197"/>
      <c r="F155" s="55">
        <f t="shared" si="198"/>
        <v>0</v>
      </c>
      <c r="G155" s="53"/>
      <c r="H155" s="1351"/>
      <c r="I155" s="55">
        <f t="shared" si="199"/>
        <v>0</v>
      </c>
      <c r="J155" s="53"/>
      <c r="K155" s="54"/>
      <c r="L155" s="55">
        <f t="shared" si="200"/>
        <v>0</v>
      </c>
      <c r="M155" s="53"/>
      <c r="N155" s="54"/>
      <c r="O155" s="55">
        <f t="shared" si="201"/>
        <v>0</v>
      </c>
      <c r="P155" s="1342"/>
    </row>
    <row r="156" spans="1:16" ht="12.75" hidden="1" customHeight="1" x14ac:dyDescent="0.25">
      <c r="A156" s="50">
        <v>2365</v>
      </c>
      <c r="B156" s="89" t="s">
        <v>172</v>
      </c>
      <c r="C156" s="90">
        <f t="shared" si="193"/>
        <v>0</v>
      </c>
      <c r="D156" s="196"/>
      <c r="E156" s="197"/>
      <c r="F156" s="55">
        <f t="shared" si="198"/>
        <v>0</v>
      </c>
      <c r="G156" s="53"/>
      <c r="H156" s="1351"/>
      <c r="I156" s="55">
        <f t="shared" si="199"/>
        <v>0</v>
      </c>
      <c r="J156" s="53"/>
      <c r="K156" s="54"/>
      <c r="L156" s="55">
        <f t="shared" si="200"/>
        <v>0</v>
      </c>
      <c r="M156" s="53"/>
      <c r="N156" s="54"/>
      <c r="O156" s="55">
        <f t="shared" si="201"/>
        <v>0</v>
      </c>
      <c r="P156" s="1342"/>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1342"/>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1342"/>
    </row>
    <row r="159" spans="1:16" ht="12" customHeight="1" x14ac:dyDescent="0.25">
      <c r="A159" s="186">
        <v>2370</v>
      </c>
      <c r="B159" s="138" t="s">
        <v>175</v>
      </c>
      <c r="C159" s="143">
        <f t="shared" si="193"/>
        <v>10606</v>
      </c>
      <c r="D159" s="203">
        <v>7687</v>
      </c>
      <c r="E159" s="204"/>
      <c r="F159" s="141">
        <f t="shared" si="198"/>
        <v>7687</v>
      </c>
      <c r="G159" s="144">
        <v>2919</v>
      </c>
      <c r="H159" s="145"/>
      <c r="I159" s="141">
        <f t="shared" si="199"/>
        <v>2919</v>
      </c>
      <c r="J159" s="144"/>
      <c r="K159" s="145"/>
      <c r="L159" s="141">
        <f t="shared" si="200"/>
        <v>0</v>
      </c>
      <c r="M159" s="144"/>
      <c r="N159" s="145"/>
      <c r="O159" s="141">
        <f t="shared" si="201"/>
        <v>0</v>
      </c>
      <c r="P159" s="1345"/>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345"/>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1341"/>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1342"/>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345"/>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1340"/>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1340"/>
    </row>
    <row r="166" spans="1:16" ht="16.5" hidden="1" customHeight="1" x14ac:dyDescent="0.25">
      <c r="A166" s="1208">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1341"/>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1342"/>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1342"/>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1342"/>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1342"/>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1342"/>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1341"/>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350"/>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1340"/>
    </row>
    <row r="175" spans="1:16" ht="36" hidden="1" x14ac:dyDescent="0.25">
      <c r="A175" s="1208">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1341"/>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1342"/>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1342"/>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1342"/>
    </row>
    <row r="179" spans="1:16" ht="84" hidden="1" x14ac:dyDescent="0.25">
      <c r="A179" s="1208">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1341"/>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1342"/>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1342"/>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1342"/>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1357"/>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1358"/>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208">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208">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15652</v>
      </c>
      <c r="D194" s="173">
        <f t="shared" ref="D194:O194" si="259">SUM(D195,D230,D269,D283)</f>
        <v>12510</v>
      </c>
      <c r="E194" s="174">
        <f t="shared" si="259"/>
        <v>0</v>
      </c>
      <c r="F194" s="175">
        <f t="shared" si="259"/>
        <v>12510</v>
      </c>
      <c r="G194" s="173">
        <f t="shared" si="259"/>
        <v>3000</v>
      </c>
      <c r="H194" s="174">
        <f t="shared" si="259"/>
        <v>0</v>
      </c>
      <c r="I194" s="175">
        <f t="shared" si="259"/>
        <v>3000</v>
      </c>
      <c r="J194" s="173">
        <f t="shared" si="259"/>
        <v>142</v>
      </c>
      <c r="K194" s="174">
        <f t="shared" si="259"/>
        <v>0</v>
      </c>
      <c r="L194" s="175">
        <f t="shared" si="259"/>
        <v>142</v>
      </c>
      <c r="M194" s="173">
        <f t="shared" si="259"/>
        <v>0</v>
      </c>
      <c r="N194" s="174">
        <f t="shared" si="259"/>
        <v>0</v>
      </c>
      <c r="O194" s="175">
        <f t="shared" si="259"/>
        <v>0</v>
      </c>
      <c r="P194" s="176"/>
    </row>
    <row r="195" spans="1:16" x14ac:dyDescent="0.25">
      <c r="A195" s="177">
        <v>5000</v>
      </c>
      <c r="B195" s="177" t="s">
        <v>211</v>
      </c>
      <c r="C195" s="178">
        <f t="shared" si="193"/>
        <v>15510</v>
      </c>
      <c r="D195" s="179">
        <f>D196+D204</f>
        <v>12510</v>
      </c>
      <c r="E195" s="180">
        <f t="shared" ref="E195:F195" si="260">E196+E204</f>
        <v>0</v>
      </c>
      <c r="F195" s="181">
        <f t="shared" si="260"/>
        <v>12510</v>
      </c>
      <c r="G195" s="179">
        <f>G196+G204</f>
        <v>3000</v>
      </c>
      <c r="H195" s="180">
        <f t="shared" ref="H195:I195" si="261">H196+H204</f>
        <v>0</v>
      </c>
      <c r="I195" s="181">
        <f t="shared" si="261"/>
        <v>3000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325</v>
      </c>
      <c r="D196" s="184">
        <f>D197+D198+D201+D202+D203</f>
        <v>325</v>
      </c>
      <c r="E196" s="185">
        <f t="shared" ref="E196:F196" si="264">E197+E198+E201+E202+E203</f>
        <v>0</v>
      </c>
      <c r="F196" s="73">
        <f t="shared" si="264"/>
        <v>325</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208">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325</v>
      </c>
      <c r="D198" s="190">
        <f>D199+D200</f>
        <v>325</v>
      </c>
      <c r="E198" s="191">
        <f t="shared" ref="E198:F198" si="268">E199+E200</f>
        <v>0</v>
      </c>
      <c r="F198" s="55">
        <f t="shared" si="268"/>
        <v>325</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325</v>
      </c>
      <c r="D199" s="196">
        <v>325</v>
      </c>
      <c r="E199" s="197"/>
      <c r="F199" s="55">
        <f t="shared" ref="F199:F203" si="272">D199+E199</f>
        <v>325</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15185</v>
      </c>
      <c r="D204" s="184">
        <f>D205+D215+D216+D225+D226+D227+D229</f>
        <v>12185</v>
      </c>
      <c r="E204" s="185">
        <f t="shared" ref="E204:F204" si="276">E205+E215+E216+E225+E226+E227+E229</f>
        <v>0</v>
      </c>
      <c r="F204" s="73">
        <f t="shared" si="276"/>
        <v>12185</v>
      </c>
      <c r="G204" s="184">
        <f>G205+G215+G216+G225+G226+G227+G229</f>
        <v>3000</v>
      </c>
      <c r="H204" s="185">
        <f t="shared" ref="H204:I204" si="277">H205+H215+H216+H225+H226+H227+H229</f>
        <v>0</v>
      </c>
      <c r="I204" s="73">
        <f t="shared" si="277"/>
        <v>3000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15185</v>
      </c>
      <c r="D216" s="190">
        <f>SUM(D217:D224)</f>
        <v>12185</v>
      </c>
      <c r="E216" s="191">
        <f t="shared" ref="E216:F216" si="289">SUM(E217:E224)</f>
        <v>0</v>
      </c>
      <c r="F216" s="55">
        <f t="shared" si="289"/>
        <v>12185</v>
      </c>
      <c r="G216" s="190">
        <f>SUM(G217:G224)</f>
        <v>3000</v>
      </c>
      <c r="H216" s="191">
        <f t="shared" ref="H216:I216" si="290">SUM(H217:H224)</f>
        <v>0</v>
      </c>
      <c r="I216" s="55">
        <f t="shared" si="290"/>
        <v>3000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6985</v>
      </c>
      <c r="D219" s="196">
        <v>3985</v>
      </c>
      <c r="E219" s="197"/>
      <c r="F219" s="55">
        <f t="shared" si="293"/>
        <v>3985</v>
      </c>
      <c r="G219" s="53">
        <v>3000</v>
      </c>
      <c r="H219" s="54"/>
      <c r="I219" s="55">
        <f t="shared" si="294"/>
        <v>3000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8200</v>
      </c>
      <c r="D223" s="196">
        <v>8200</v>
      </c>
      <c r="E223" s="197"/>
      <c r="F223" s="55">
        <f t="shared" si="293"/>
        <v>8200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208">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8">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208">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208">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8">
        <v>7000</v>
      </c>
      <c r="B269" s="228" t="s">
        <v>285</v>
      </c>
      <c r="C269" s="229">
        <f t="shared" si="288"/>
        <v>142</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142</v>
      </c>
      <c r="K269" s="231">
        <f t="shared" ref="K269:L269" si="357">SUM(K270,K281)</f>
        <v>0</v>
      </c>
      <c r="L269" s="232">
        <f t="shared" si="357"/>
        <v>142</v>
      </c>
      <c r="M269" s="230">
        <f>SUM(M270,M281)</f>
        <v>0</v>
      </c>
      <c r="N269" s="231">
        <f t="shared" ref="N269:O269" si="358">SUM(N270,N281)</f>
        <v>0</v>
      </c>
      <c r="O269" s="232">
        <f t="shared" si="358"/>
        <v>0</v>
      </c>
      <c r="P269" s="233"/>
    </row>
    <row r="270" spans="1:16" ht="24" x14ac:dyDescent="0.25">
      <c r="A270" s="69">
        <v>7200</v>
      </c>
      <c r="B270" s="183" t="s">
        <v>286</v>
      </c>
      <c r="C270" s="70">
        <f t="shared" si="288"/>
        <v>142</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142</v>
      </c>
      <c r="K270" s="185">
        <f t="shared" ref="K270:L270" si="361">SUM(K271,K272,K275,K276,K280)</f>
        <v>0</v>
      </c>
      <c r="L270" s="73">
        <f t="shared" si="361"/>
        <v>142</v>
      </c>
      <c r="M270" s="184">
        <f>SUM(M271,M272,M275,M276,M280)</f>
        <v>0</v>
      </c>
      <c r="N270" s="185">
        <f t="shared" ref="N270:O270" si="362">SUM(N271,N272,N275,N276,N280)</f>
        <v>0</v>
      </c>
      <c r="O270" s="73">
        <f t="shared" si="362"/>
        <v>0</v>
      </c>
      <c r="P270" s="77"/>
    </row>
    <row r="271" spans="1:16" ht="24" hidden="1" customHeight="1" x14ac:dyDescent="0.25">
      <c r="A271" s="1208">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291</v>
      </c>
      <c r="C275" s="90">
        <f t="shared" si="288"/>
        <v>142</v>
      </c>
      <c r="D275" s="196"/>
      <c r="E275" s="197"/>
      <c r="F275" s="55">
        <f t="shared" si="367"/>
        <v>0</v>
      </c>
      <c r="G275" s="53"/>
      <c r="H275" s="54"/>
      <c r="I275" s="55">
        <f t="shared" si="368"/>
        <v>0</v>
      </c>
      <c r="J275" s="53">
        <v>142</v>
      </c>
      <c r="K275" s="54"/>
      <c r="L275" s="55">
        <f t="shared" si="369"/>
        <v>142</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8">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138</v>
      </c>
      <c r="D286" s="190">
        <f>SUM(D287:D288)</f>
        <v>0</v>
      </c>
      <c r="E286" s="191">
        <f t="shared" ref="E286:F286" si="381">SUM(E287:E288)</f>
        <v>0</v>
      </c>
      <c r="F286" s="55">
        <f t="shared" si="381"/>
        <v>0</v>
      </c>
      <c r="G286" s="190">
        <f>SUM(G287:G288)</f>
        <v>138</v>
      </c>
      <c r="H286" s="191">
        <f t="shared" ref="H286:I286" si="382">SUM(H287:H288)</f>
        <v>0</v>
      </c>
      <c r="I286" s="55">
        <f t="shared" si="382"/>
        <v>138</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138</v>
      </c>
      <c r="D288" s="199"/>
      <c r="E288" s="200"/>
      <c r="F288" s="134">
        <f t="shared" si="385"/>
        <v>0</v>
      </c>
      <c r="G288" s="46">
        <v>138</v>
      </c>
      <c r="H288" s="47"/>
      <c r="I288" s="134">
        <f t="shared" si="386"/>
        <v>138</v>
      </c>
      <c r="J288" s="46"/>
      <c r="K288" s="47"/>
      <c r="L288" s="134">
        <f t="shared" si="387"/>
        <v>0</v>
      </c>
      <c r="M288" s="46"/>
      <c r="N288" s="47"/>
      <c r="O288" s="134">
        <f t="shared" si="388"/>
        <v>0</v>
      </c>
      <c r="P288" s="49"/>
    </row>
    <row r="289" spans="1:16" ht="12.75" thickBot="1" x14ac:dyDescent="0.3">
      <c r="A289" s="250"/>
      <c r="B289" s="250" t="s">
        <v>307</v>
      </c>
      <c r="C289" s="251">
        <f t="shared" si="371"/>
        <v>745790</v>
      </c>
      <c r="D289" s="252">
        <f t="shared" ref="D289:O289" si="389">SUM(D286,D269,D230,D195,D187,D173,D75,D53,D283)</f>
        <v>333452</v>
      </c>
      <c r="E289" s="253">
        <f t="shared" si="389"/>
        <v>0</v>
      </c>
      <c r="F289" s="254">
        <f t="shared" si="389"/>
        <v>333452</v>
      </c>
      <c r="G289" s="252">
        <f t="shared" si="389"/>
        <v>361129</v>
      </c>
      <c r="H289" s="253">
        <f t="shared" si="389"/>
        <v>21793</v>
      </c>
      <c r="I289" s="254">
        <f t="shared" si="389"/>
        <v>382922</v>
      </c>
      <c r="J289" s="252">
        <f t="shared" si="389"/>
        <v>29416</v>
      </c>
      <c r="K289" s="253">
        <f t="shared" si="389"/>
        <v>0</v>
      </c>
      <c r="L289" s="254">
        <f t="shared" si="389"/>
        <v>29416</v>
      </c>
      <c r="M289" s="252">
        <f t="shared" si="389"/>
        <v>0</v>
      </c>
      <c r="N289" s="253">
        <f t="shared" si="389"/>
        <v>0</v>
      </c>
      <c r="O289" s="254">
        <f t="shared" si="389"/>
        <v>0</v>
      </c>
      <c r="P289" s="255"/>
    </row>
    <row r="290" spans="1:16" s="28" customFormat="1" ht="13.5" thickTop="1" thickBot="1" x14ac:dyDescent="0.3">
      <c r="A290" s="1544" t="s">
        <v>308</v>
      </c>
      <c r="B290" s="1545"/>
      <c r="C290" s="256">
        <f t="shared" si="371"/>
        <v>-12715</v>
      </c>
      <c r="D290" s="257">
        <f>SUM(D24,D25,D41)-D51</f>
        <v>0</v>
      </c>
      <c r="E290" s="258">
        <f t="shared" ref="E290:F290" si="390">SUM(E24,E25,E41)-E51</f>
        <v>0</v>
      </c>
      <c r="F290" s="259">
        <f t="shared" si="390"/>
        <v>0</v>
      </c>
      <c r="G290" s="257">
        <f>SUM(G24,G25,G41)-G51</f>
        <v>138</v>
      </c>
      <c r="H290" s="258">
        <f t="shared" ref="H290:I290" si="391">SUM(H24,H25,H41)-H51</f>
        <v>0</v>
      </c>
      <c r="I290" s="259">
        <f t="shared" si="391"/>
        <v>138</v>
      </c>
      <c r="J290" s="257">
        <f>(J26+J43)-J51</f>
        <v>-12853</v>
      </c>
      <c r="K290" s="258">
        <f t="shared" ref="K290:L290" si="392">(K26+K43)-K51</f>
        <v>0</v>
      </c>
      <c r="L290" s="259">
        <f t="shared" si="392"/>
        <v>-12853</v>
      </c>
      <c r="M290" s="257">
        <f>M45-M51</f>
        <v>0</v>
      </c>
      <c r="N290" s="258">
        <f t="shared" ref="N290:O290" si="393">N45-N51</f>
        <v>0</v>
      </c>
      <c r="O290" s="259">
        <f t="shared" si="393"/>
        <v>0</v>
      </c>
      <c r="P290" s="260"/>
    </row>
    <row r="291" spans="1:16" s="28" customFormat="1" ht="12.75" thickTop="1" x14ac:dyDescent="0.25">
      <c r="A291" s="1546" t="s">
        <v>309</v>
      </c>
      <c r="B291" s="1547"/>
      <c r="C291" s="261">
        <f t="shared" si="371"/>
        <v>12715</v>
      </c>
      <c r="D291" s="262">
        <f t="shared" ref="D291:O291" si="394">SUM(D292,D293)-D300+D301</f>
        <v>0</v>
      </c>
      <c r="E291" s="263">
        <f t="shared" si="394"/>
        <v>0</v>
      </c>
      <c r="F291" s="264">
        <f t="shared" si="394"/>
        <v>0</v>
      </c>
      <c r="G291" s="262">
        <f t="shared" si="394"/>
        <v>-138</v>
      </c>
      <c r="H291" s="263">
        <f t="shared" si="394"/>
        <v>0</v>
      </c>
      <c r="I291" s="264">
        <f t="shared" si="394"/>
        <v>-138</v>
      </c>
      <c r="J291" s="262">
        <f t="shared" si="394"/>
        <v>12853</v>
      </c>
      <c r="K291" s="263">
        <f t="shared" si="394"/>
        <v>0</v>
      </c>
      <c r="L291" s="264">
        <f t="shared" si="394"/>
        <v>12853</v>
      </c>
      <c r="M291" s="262">
        <f t="shared" si="394"/>
        <v>0</v>
      </c>
      <c r="N291" s="263">
        <f t="shared" si="394"/>
        <v>0</v>
      </c>
      <c r="O291" s="264">
        <f t="shared" si="394"/>
        <v>0</v>
      </c>
      <c r="P291" s="265"/>
    </row>
    <row r="292" spans="1:16" s="28" customFormat="1" ht="12.75" thickBot="1" x14ac:dyDescent="0.3">
      <c r="A292" s="157" t="s">
        <v>310</v>
      </c>
      <c r="B292" s="157" t="s">
        <v>311</v>
      </c>
      <c r="C292" s="158">
        <f t="shared" si="371"/>
        <v>12715</v>
      </c>
      <c r="D292" s="159">
        <f t="shared" ref="D292:O292" si="395">D21-D286</f>
        <v>0</v>
      </c>
      <c r="E292" s="160">
        <f t="shared" si="395"/>
        <v>0</v>
      </c>
      <c r="F292" s="161">
        <f t="shared" si="395"/>
        <v>0</v>
      </c>
      <c r="G292" s="159">
        <f t="shared" si="395"/>
        <v>-138</v>
      </c>
      <c r="H292" s="160">
        <f t="shared" si="395"/>
        <v>0</v>
      </c>
      <c r="I292" s="161">
        <f t="shared" si="395"/>
        <v>-138</v>
      </c>
      <c r="J292" s="159">
        <f t="shared" si="395"/>
        <v>12853</v>
      </c>
      <c r="K292" s="160">
        <f t="shared" si="395"/>
        <v>0</v>
      </c>
      <c r="L292" s="161">
        <f t="shared" si="395"/>
        <v>12853</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TlUL5AockZqTd2xjnQLf3adU/q8PcoGsHAvXAUflOAu1qcLdUoahdIt/TfnVaVahEPFqG0jkjHiI5FF4pebi9A==" saltValue="mOVsP39m2S+5yjl+TC4+ig==" spinCount="100000" sheet="1" objects="1" scenarios="1" formatCells="0" formatColumns="0" formatRows="0" deleteColumns="0"/>
  <autoFilter ref="A18:P301">
    <filterColumn colId="2">
      <filters>
        <filter val="1 029"/>
        <filter val="1 365"/>
        <filter val="1 391"/>
        <filter val="1 629"/>
        <filter val="1 659"/>
        <filter val="1 704"/>
        <filter val="1 932"/>
        <filter val="1 988"/>
        <filter val="10 606"/>
        <filter val="11 091"/>
        <filter val="11 739"/>
        <filter val="111 552"/>
        <filter val="117 693"/>
        <filter val="12 715"/>
        <filter val="-12 715"/>
        <filter val="12 853"/>
        <filter val="130"/>
        <filter val="138"/>
        <filter val="142"/>
        <filter val="145 511"/>
        <filter val="15 185"/>
        <filter val="15 510"/>
        <filter val="15 652"/>
        <filter val="150"/>
        <filter val="16 363"/>
        <filter val="2 264"/>
        <filter val="2 430"/>
        <filter val="2 586"/>
        <filter val="2 788"/>
        <filter val="2 992"/>
        <filter val="200"/>
        <filter val="21 668"/>
        <filter val="22 832"/>
        <filter val="25 786"/>
        <filter val="26"/>
        <filter val="26 602"/>
        <filter val="292"/>
        <filter val="3 041"/>
        <filter val="3 107"/>
        <filter val="30"/>
        <filter val="302"/>
        <filter val="325"/>
        <filter val="33 959"/>
        <filter val="34 597"/>
        <filter val="364"/>
        <filter val="4 061"/>
        <filter val="4 172"/>
        <filter val="429 411"/>
        <filter val="436"/>
        <filter val="45"/>
        <filter val="45 327"/>
        <filter val="466 796"/>
        <filter val="5 272"/>
        <filter val="500"/>
        <filter val="518"/>
        <filter val="552"/>
        <filter val="6 625"/>
        <filter val="6 940"/>
        <filter val="6 985"/>
        <filter val="612 307"/>
        <filter val="7 458"/>
        <filter val="712"/>
        <filter val="716 374"/>
        <filter val="730 000"/>
        <filter val="745 652"/>
        <filter val="745 790"/>
        <filter val="75 945"/>
        <filter val="771"/>
        <filter val="8 200"/>
        <filter val="8 763"/>
        <filter val="85"/>
        <filter val="94 86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41.pielikums Jūrmalas pilsētas domes
2019.gada 31.oktobra saistošajiem noteikumiem Nr.46
(protokols Nr.14, 28.punkts)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5" sqref="T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1430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1431</v>
      </c>
      <c r="D3" s="1517"/>
      <c r="E3" s="1517"/>
      <c r="F3" s="1517"/>
      <c r="G3" s="1517"/>
      <c r="H3" s="1517"/>
      <c r="I3" s="1517"/>
      <c r="J3" s="1517"/>
      <c r="K3" s="1517"/>
      <c r="L3" s="1517"/>
      <c r="M3" s="1517"/>
      <c r="N3" s="1517"/>
      <c r="O3" s="1517"/>
      <c r="P3" s="1518"/>
      <c r="Q3" s="277"/>
    </row>
    <row r="4" spans="1:17" ht="12.75" customHeight="1" x14ac:dyDescent="0.25">
      <c r="A4" s="5" t="s">
        <v>4</v>
      </c>
      <c r="B4" s="6"/>
      <c r="C4" s="1517" t="s">
        <v>1432</v>
      </c>
      <c r="D4" s="1517"/>
      <c r="E4" s="1517"/>
      <c r="F4" s="1517"/>
      <c r="G4" s="1517"/>
      <c r="H4" s="1517"/>
      <c r="I4" s="1517"/>
      <c r="J4" s="1517"/>
      <c r="K4" s="1517"/>
      <c r="L4" s="1517"/>
      <c r="M4" s="1517"/>
      <c r="N4" s="1517"/>
      <c r="O4" s="1517"/>
      <c r="P4" s="1518"/>
      <c r="Q4" s="277"/>
    </row>
    <row r="5" spans="1:17" ht="12.75" customHeight="1" x14ac:dyDescent="0.25">
      <c r="A5" s="7" t="s">
        <v>6</v>
      </c>
      <c r="B5" s="8"/>
      <c r="C5" s="1512" t="s">
        <v>923</v>
      </c>
      <c r="D5" s="1512"/>
      <c r="E5" s="1512"/>
      <c r="F5" s="1512"/>
      <c r="G5" s="1512"/>
      <c r="H5" s="1512"/>
      <c r="I5" s="1512"/>
      <c r="J5" s="1512"/>
      <c r="K5" s="1512"/>
      <c r="L5" s="1512"/>
      <c r="M5" s="1512"/>
      <c r="N5" s="1512"/>
      <c r="O5" s="1512"/>
      <c r="P5" s="1513"/>
      <c r="Q5" s="277"/>
    </row>
    <row r="6" spans="1:17" ht="12.75" customHeight="1" x14ac:dyDescent="0.25">
      <c r="A6" s="7" t="s">
        <v>8</v>
      </c>
      <c r="B6" s="8"/>
      <c r="C6" s="1512" t="s">
        <v>924</v>
      </c>
      <c r="D6" s="1512"/>
      <c r="E6" s="1512"/>
      <c r="F6" s="1512"/>
      <c r="G6" s="1512"/>
      <c r="H6" s="1512"/>
      <c r="I6" s="1512"/>
      <c r="J6" s="1512"/>
      <c r="K6" s="1512"/>
      <c r="L6" s="1512"/>
      <c r="M6" s="1512"/>
      <c r="N6" s="1512"/>
      <c r="O6" s="1512"/>
      <c r="P6" s="1513"/>
      <c r="Q6" s="277"/>
    </row>
    <row r="7" spans="1:17" x14ac:dyDescent="0.25">
      <c r="A7" s="7" t="s">
        <v>10</v>
      </c>
      <c r="B7" s="8"/>
      <c r="C7" s="1517" t="s">
        <v>925</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1433</v>
      </c>
      <c r="D9" s="1512"/>
      <c r="E9" s="1512"/>
      <c r="F9" s="1512"/>
      <c r="G9" s="1512"/>
      <c r="H9" s="1512"/>
      <c r="I9" s="1512"/>
      <c r="J9" s="1512"/>
      <c r="K9" s="1512"/>
      <c r="L9" s="1512"/>
      <c r="M9" s="1512"/>
      <c r="N9" s="1512"/>
      <c r="O9" s="1512"/>
      <c r="P9" s="1513"/>
      <c r="Q9" s="277"/>
    </row>
    <row r="10" spans="1:17" ht="12.75" customHeight="1" x14ac:dyDescent="0.25">
      <c r="A10" s="7"/>
      <c r="B10" s="8" t="s">
        <v>15</v>
      </c>
      <c r="C10" s="1512" t="s">
        <v>1434</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88985</v>
      </c>
      <c r="D20" s="32">
        <f>SUM(D21,D24,D25,D41,D43)</f>
        <v>61512</v>
      </c>
      <c r="E20" s="33">
        <f t="shared" ref="E20:F20" si="1">SUM(E21,E24,E25,E41,E43)</f>
        <v>0</v>
      </c>
      <c r="F20" s="34">
        <f t="shared" si="1"/>
        <v>61512</v>
      </c>
      <c r="G20" s="32">
        <f>SUM(G21,G24,G43)</f>
        <v>26689</v>
      </c>
      <c r="H20" s="33">
        <f t="shared" ref="H20:I20" si="2">SUM(H21,H24,H43)</f>
        <v>784</v>
      </c>
      <c r="I20" s="34">
        <f t="shared" si="2"/>
        <v>27473</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88985</v>
      </c>
      <c r="D24" s="60">
        <v>61512</v>
      </c>
      <c r="E24" s="63"/>
      <c r="F24" s="62">
        <f t="shared" si="9"/>
        <v>61512</v>
      </c>
      <c r="G24" s="60">
        <v>26689</v>
      </c>
      <c r="H24" s="63">
        <v>784</v>
      </c>
      <c r="I24" s="62">
        <f t="shared" si="10"/>
        <v>27473</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88985</v>
      </c>
      <c r="D50" s="159">
        <f>SUM(D51,D286)</f>
        <v>61512</v>
      </c>
      <c r="E50" s="160">
        <f t="shared" ref="E50:F50" si="26">SUM(E51,E286)</f>
        <v>0</v>
      </c>
      <c r="F50" s="161">
        <f t="shared" si="26"/>
        <v>61512</v>
      </c>
      <c r="G50" s="159">
        <f>SUM(G51,G286)</f>
        <v>26689</v>
      </c>
      <c r="H50" s="160">
        <f>SUM(H51,H286)</f>
        <v>784</v>
      </c>
      <c r="I50" s="161">
        <f t="shared" ref="I50" si="27">SUM(I51,I286)</f>
        <v>27473</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88985</v>
      </c>
      <c r="D51" s="165">
        <f>SUM(D52,D194)</f>
        <v>61512</v>
      </c>
      <c r="E51" s="166">
        <f t="shared" ref="E51:F51" si="30">SUM(E52,E194)</f>
        <v>0</v>
      </c>
      <c r="F51" s="167">
        <f t="shared" si="30"/>
        <v>61512</v>
      </c>
      <c r="G51" s="165">
        <f>SUM(G52,G194)</f>
        <v>26689</v>
      </c>
      <c r="H51" s="166">
        <f t="shared" ref="H51:I51" si="31">SUM(H52,H194)</f>
        <v>784</v>
      </c>
      <c r="I51" s="167">
        <f t="shared" si="31"/>
        <v>27473</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88985</v>
      </c>
      <c r="D52" s="173">
        <f>SUM(D53,D75,D173,D187)</f>
        <v>61512</v>
      </c>
      <c r="E52" s="174">
        <f t="shared" ref="E52:F52" si="34">SUM(E53,E75,E173,E187)</f>
        <v>0</v>
      </c>
      <c r="F52" s="175">
        <f t="shared" si="34"/>
        <v>61512</v>
      </c>
      <c r="G52" s="173">
        <f>SUM(G53,G75,G173,G187)</f>
        <v>26689</v>
      </c>
      <c r="H52" s="174">
        <f t="shared" ref="H52:I52" si="35">SUM(H53,H75,H173,H187)</f>
        <v>784</v>
      </c>
      <c r="I52" s="175">
        <f t="shared" si="35"/>
        <v>27473</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86">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88985</v>
      </c>
      <c r="D75" s="179">
        <f>SUM(D76,D83,D130,D164,D165,D172)</f>
        <v>61512</v>
      </c>
      <c r="E75" s="180">
        <f t="shared" ref="E75:F75" si="74">SUM(E76,E83,E130,E164,E165,E172)</f>
        <v>0</v>
      </c>
      <c r="F75" s="181">
        <f t="shared" si="74"/>
        <v>61512</v>
      </c>
      <c r="G75" s="179">
        <f>SUM(G76,G83,G130,G164,G165,G172)</f>
        <v>26689</v>
      </c>
      <c r="H75" s="180">
        <f t="shared" ref="H75:I75" si="75">SUM(H76,H83,H130,H164,H165,H172)</f>
        <v>784</v>
      </c>
      <c r="I75" s="181">
        <f t="shared" si="75"/>
        <v>27473</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8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8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88985</v>
      </c>
      <c r="D130" s="184">
        <f>SUM(D131,D136,D140,D141,D144,D151,D159,D160,D163)</f>
        <v>61512</v>
      </c>
      <c r="E130" s="185">
        <f t="shared" ref="E130:F130" si="160">SUM(E131,E136,E140,E141,E144,E151,E159,E160,E163)</f>
        <v>0</v>
      </c>
      <c r="F130" s="73">
        <f t="shared" si="160"/>
        <v>61512</v>
      </c>
      <c r="G130" s="184">
        <f>SUM(G131,G136,G140,G141,G144,G151,G159,G160,G163)</f>
        <v>26689</v>
      </c>
      <c r="H130" s="185">
        <f t="shared" ref="H130:I130" si="161">SUM(H131,H136,H140,H141,H144,H151,H159,H160,H163)</f>
        <v>784</v>
      </c>
      <c r="I130" s="73">
        <f t="shared" si="161"/>
        <v>27473</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986">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88985</v>
      </c>
      <c r="D151" s="190">
        <f>SUM(D152:D158)</f>
        <v>61512</v>
      </c>
      <c r="E151" s="191">
        <f t="shared" ref="E151:F151" si="194">SUM(E152:E158)</f>
        <v>0</v>
      </c>
      <c r="F151" s="55">
        <f t="shared" si="194"/>
        <v>61512</v>
      </c>
      <c r="G151" s="190">
        <f>SUM(G152:G158)</f>
        <v>26689</v>
      </c>
      <c r="H151" s="191">
        <f t="shared" ref="H151:I151" si="195">SUM(H152:H158)</f>
        <v>784</v>
      </c>
      <c r="I151" s="55">
        <f t="shared" si="195"/>
        <v>27473</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88985</v>
      </c>
      <c r="D154" s="196">
        <v>61512</v>
      </c>
      <c r="E154" s="197"/>
      <c r="F154" s="55">
        <f t="shared" si="198"/>
        <v>61512</v>
      </c>
      <c r="G154" s="53">
        <v>26689</v>
      </c>
      <c r="H154" s="54">
        <v>784</v>
      </c>
      <c r="I154" s="55">
        <f t="shared" si="199"/>
        <v>27473</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8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8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8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8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8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98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8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8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8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88985</v>
      </c>
      <c r="D289" s="252">
        <f t="shared" ref="D289:O289" si="389">SUM(D286,D269,D230,D195,D187,D173,D75,D53,D283)</f>
        <v>61512</v>
      </c>
      <c r="E289" s="253">
        <f t="shared" si="389"/>
        <v>0</v>
      </c>
      <c r="F289" s="254">
        <f t="shared" si="389"/>
        <v>61512</v>
      </c>
      <c r="G289" s="252">
        <f t="shared" si="389"/>
        <v>26689</v>
      </c>
      <c r="H289" s="253">
        <f t="shared" si="389"/>
        <v>784</v>
      </c>
      <c r="I289" s="254">
        <f t="shared" si="389"/>
        <v>27473</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p8LBaOpNj3JoFLRh1JoWL34MhoHZV9rAbLtk06u+cMQkGkcygSoi00FOsf9ADXy88dqKS5KZBw0RGzNdgqxtVg==" saltValue="dJan7rB99aSN98AcFNqc4Q==" spinCount="100000" sheet="1" objects="1" scenarios="1" formatCells="0" formatColumns="0" formatRows="0" deleteColumns="0"/>
  <autoFilter ref="A18:P301">
    <filterColumn colId="2">
      <filters>
        <filter val="88 98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42.pielikums Jūrmalas pilsētas domes
2019.gada 31.oktobra saistošajiem noteikumiem Nr.46
(protokols Nr.14, 28.punkts)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7" sqref="T7"/>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1435</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1436</v>
      </c>
      <c r="D3" s="1517"/>
      <c r="E3" s="1517"/>
      <c r="F3" s="1517"/>
      <c r="G3" s="1517"/>
      <c r="H3" s="1517"/>
      <c r="I3" s="1517"/>
      <c r="J3" s="1517"/>
      <c r="K3" s="1517"/>
      <c r="L3" s="1517"/>
      <c r="M3" s="1517"/>
      <c r="N3" s="1517"/>
      <c r="O3" s="1517"/>
      <c r="P3" s="1518"/>
      <c r="Q3" s="853"/>
    </row>
    <row r="4" spans="1:17" ht="12.75" customHeight="1" x14ac:dyDescent="0.25">
      <c r="A4" s="5" t="s">
        <v>4</v>
      </c>
      <c r="B4" s="6"/>
      <c r="C4" s="1517" t="s">
        <v>1437</v>
      </c>
      <c r="D4" s="1517"/>
      <c r="E4" s="1517"/>
      <c r="F4" s="1517"/>
      <c r="G4" s="1517"/>
      <c r="H4" s="1517"/>
      <c r="I4" s="1517"/>
      <c r="J4" s="1517"/>
      <c r="K4" s="1517"/>
      <c r="L4" s="1517"/>
      <c r="M4" s="1517"/>
      <c r="N4" s="1517"/>
      <c r="O4" s="1517"/>
      <c r="P4" s="1518"/>
      <c r="Q4" s="853"/>
    </row>
    <row r="5" spans="1:17" ht="12.75" customHeight="1" x14ac:dyDescent="0.25">
      <c r="A5" s="7" t="s">
        <v>6</v>
      </c>
      <c r="B5" s="8"/>
      <c r="C5" s="1512" t="s">
        <v>1438</v>
      </c>
      <c r="D5" s="1512"/>
      <c r="E5" s="1512"/>
      <c r="F5" s="1512"/>
      <c r="G5" s="1512"/>
      <c r="H5" s="1512"/>
      <c r="I5" s="1512"/>
      <c r="J5" s="1512"/>
      <c r="K5" s="1512"/>
      <c r="L5" s="1512"/>
      <c r="M5" s="1512"/>
      <c r="N5" s="1512"/>
      <c r="O5" s="1512"/>
      <c r="P5" s="1513"/>
      <c r="Q5" s="853"/>
    </row>
    <row r="6" spans="1:17" ht="12.75" customHeight="1" x14ac:dyDescent="0.25">
      <c r="A6" s="7" t="s">
        <v>8</v>
      </c>
      <c r="B6" s="8"/>
      <c r="C6" s="1512" t="s">
        <v>924</v>
      </c>
      <c r="D6" s="1512"/>
      <c r="E6" s="1512"/>
      <c r="F6" s="1512"/>
      <c r="G6" s="1512"/>
      <c r="H6" s="1512"/>
      <c r="I6" s="1512"/>
      <c r="J6" s="1512"/>
      <c r="K6" s="1512"/>
      <c r="L6" s="1512"/>
      <c r="M6" s="1512"/>
      <c r="N6" s="1512"/>
      <c r="O6" s="1512"/>
      <c r="P6" s="1513"/>
      <c r="Q6" s="853"/>
    </row>
    <row r="7" spans="1:17" x14ac:dyDescent="0.25">
      <c r="A7" s="7" t="s">
        <v>10</v>
      </c>
      <c r="B7" s="8"/>
      <c r="C7" s="1517" t="s">
        <v>925</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1439</v>
      </c>
      <c r="D9" s="1512"/>
      <c r="E9" s="1512"/>
      <c r="F9" s="1512"/>
      <c r="G9" s="1512"/>
      <c r="H9" s="1512"/>
      <c r="I9" s="1512"/>
      <c r="J9" s="1512"/>
      <c r="K9" s="1512"/>
      <c r="L9" s="1512"/>
      <c r="M9" s="1512"/>
      <c r="N9" s="1512"/>
      <c r="O9" s="1512"/>
      <c r="P9" s="1513"/>
      <c r="Q9" s="853"/>
    </row>
    <row r="10" spans="1:17" ht="12.75" customHeight="1" x14ac:dyDescent="0.25">
      <c r="A10" s="7"/>
      <c r="B10" s="8" t="s">
        <v>15</v>
      </c>
      <c r="C10" s="1512" t="s">
        <v>1440</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186437</v>
      </c>
      <c r="D20" s="32">
        <f>SUM(D21,D24,D25,D41,D43)</f>
        <v>121957</v>
      </c>
      <c r="E20" s="33">
        <f t="shared" ref="E20:F20" si="1">SUM(E21,E24,E25,E41,E43)</f>
        <v>0</v>
      </c>
      <c r="F20" s="34">
        <f t="shared" si="1"/>
        <v>121957</v>
      </c>
      <c r="G20" s="32">
        <f>SUM(G21,G24,G43)</f>
        <v>67384</v>
      </c>
      <c r="H20" s="33">
        <f t="shared" ref="H20:I20" si="2">SUM(H21,H24,H43)</f>
        <v>-2904</v>
      </c>
      <c r="I20" s="34">
        <f t="shared" si="2"/>
        <v>64480</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186437</v>
      </c>
      <c r="D24" s="60">
        <v>121957</v>
      </c>
      <c r="E24" s="63"/>
      <c r="F24" s="62">
        <f t="shared" si="9"/>
        <v>121957</v>
      </c>
      <c r="G24" s="60">
        <v>67384</v>
      </c>
      <c r="H24" s="63">
        <v>-2904</v>
      </c>
      <c r="I24" s="62">
        <f t="shared" si="10"/>
        <v>64480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186437</v>
      </c>
      <c r="D50" s="159">
        <f>SUM(D51,D286)</f>
        <v>121957</v>
      </c>
      <c r="E50" s="160">
        <f t="shared" ref="E50:F50" si="26">SUM(E51,E286)</f>
        <v>0</v>
      </c>
      <c r="F50" s="161">
        <f t="shared" si="26"/>
        <v>121957</v>
      </c>
      <c r="G50" s="159">
        <f>SUM(G51,G286)</f>
        <v>67384</v>
      </c>
      <c r="H50" s="160">
        <f>SUM(H51,H286)</f>
        <v>-2904</v>
      </c>
      <c r="I50" s="161">
        <f t="shared" ref="I50" si="27">SUM(I51,I286)</f>
        <v>64480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186437</v>
      </c>
      <c r="D51" s="165">
        <f>SUM(D52,D194)</f>
        <v>121957</v>
      </c>
      <c r="E51" s="166">
        <f t="shared" ref="E51:F51" si="30">SUM(E52,E194)</f>
        <v>0</v>
      </c>
      <c r="F51" s="167">
        <f t="shared" si="30"/>
        <v>121957</v>
      </c>
      <c r="G51" s="165">
        <f>SUM(G52,G194)</f>
        <v>67384</v>
      </c>
      <c r="H51" s="166">
        <f t="shared" ref="H51:I51" si="31">SUM(H52,H194)</f>
        <v>-2904</v>
      </c>
      <c r="I51" s="167">
        <f t="shared" si="31"/>
        <v>64480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186437</v>
      </c>
      <c r="D52" s="173">
        <f>SUM(D53,D75,D173,D187)</f>
        <v>121957</v>
      </c>
      <c r="E52" s="174">
        <f t="shared" ref="E52:F52" si="34">SUM(E53,E75,E173,E187)</f>
        <v>0</v>
      </c>
      <c r="F52" s="175">
        <f t="shared" si="34"/>
        <v>121957</v>
      </c>
      <c r="G52" s="173">
        <f>SUM(G53,G75,G173,G187)</f>
        <v>67384</v>
      </c>
      <c r="H52" s="174">
        <f t="shared" ref="H52:I52" si="35">SUM(H53,H75,H173,H187)</f>
        <v>-2904</v>
      </c>
      <c r="I52" s="175">
        <f t="shared" si="35"/>
        <v>64480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t="12"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86">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186437</v>
      </c>
      <c r="D75" s="179">
        <f>SUM(D76,D83,D130,D164,D165,D172)</f>
        <v>121957</v>
      </c>
      <c r="E75" s="180">
        <f t="shared" ref="E75:F75" si="74">SUM(E76,E83,E130,E164,E165,E172)</f>
        <v>0</v>
      </c>
      <c r="F75" s="181">
        <f t="shared" si="74"/>
        <v>121957</v>
      </c>
      <c r="G75" s="179">
        <f>SUM(G76,G83,G130,G164,G165,G172)</f>
        <v>67384</v>
      </c>
      <c r="H75" s="180">
        <f t="shared" ref="H75:I75" si="75">SUM(H76,H83,H130,H164,H165,H172)</f>
        <v>-2904</v>
      </c>
      <c r="I75" s="181">
        <f t="shared" si="75"/>
        <v>64480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8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8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186437</v>
      </c>
      <c r="D130" s="184">
        <f>SUM(D131,D136,D140,D141,D144,D151,D159,D160,D163)</f>
        <v>121957</v>
      </c>
      <c r="E130" s="185">
        <f t="shared" ref="E130:F130" si="160">SUM(E131,E136,E140,E141,E144,E151,E159,E160,E163)</f>
        <v>0</v>
      </c>
      <c r="F130" s="73">
        <f t="shared" si="160"/>
        <v>121957</v>
      </c>
      <c r="G130" s="184">
        <f>SUM(G131,G136,G140,G141,G144,G151,G159,G160,G163)</f>
        <v>67384</v>
      </c>
      <c r="H130" s="185">
        <f t="shared" ref="H130:I130" si="161">SUM(H131,H136,H140,H141,H144,H151,H159,H160,H163)</f>
        <v>-2904</v>
      </c>
      <c r="I130" s="73">
        <f t="shared" si="161"/>
        <v>64480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986">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186437</v>
      </c>
      <c r="D151" s="190">
        <f>SUM(D152:D158)</f>
        <v>121957</v>
      </c>
      <c r="E151" s="191">
        <f t="shared" ref="E151:F151" si="194">SUM(E152:E158)</f>
        <v>0</v>
      </c>
      <c r="F151" s="55">
        <f t="shared" si="194"/>
        <v>121957</v>
      </c>
      <c r="G151" s="190">
        <f>SUM(G152:G158)</f>
        <v>67384</v>
      </c>
      <c r="H151" s="191">
        <f t="shared" ref="H151:I151" si="195">SUM(H152:H158)</f>
        <v>-2904</v>
      </c>
      <c r="I151" s="55">
        <f t="shared" si="195"/>
        <v>64480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186437</v>
      </c>
      <c r="D154" s="196">
        <v>121957</v>
      </c>
      <c r="E154" s="197"/>
      <c r="F154" s="55">
        <f t="shared" si="198"/>
        <v>121957</v>
      </c>
      <c r="G154" s="53">
        <v>67384</v>
      </c>
      <c r="H154" s="54">
        <v>-2904</v>
      </c>
      <c r="I154" s="55">
        <f t="shared" si="199"/>
        <v>64480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8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8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8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8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8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98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8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8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8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186437</v>
      </c>
      <c r="D289" s="252">
        <f t="shared" ref="D289:O289" si="389">SUM(D286,D269,D230,D195,D187,D173,D75,D53,D283)</f>
        <v>121957</v>
      </c>
      <c r="E289" s="253">
        <f t="shared" si="389"/>
        <v>0</v>
      </c>
      <c r="F289" s="254">
        <f t="shared" si="389"/>
        <v>121957</v>
      </c>
      <c r="G289" s="252">
        <f t="shared" si="389"/>
        <v>67384</v>
      </c>
      <c r="H289" s="253">
        <f t="shared" si="389"/>
        <v>-2904</v>
      </c>
      <c r="I289" s="254">
        <f t="shared" si="389"/>
        <v>64480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GiRz3WFzxE9QG1maaQ3FRo7xtLv8yKsYjuLPpOEcYmMwtgzeFHiAX5REksbJ+dbR20wmQ8XilDilmmRDuC7LQ==" saltValue="BYslO4qk2/i0PKTcQmyUhw==" spinCount="100000" sheet="1" objects="1" scenarios="1" formatCells="0" formatColumns="0" formatRows="0" deleteColumns="0"/>
  <autoFilter ref="A18:P301">
    <filterColumn colId="2">
      <filters>
        <filter val="186 43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43.pielikums Jūrmalas pilsētas domes
2019.gada 31.oktobra saistošajiem noteikumiem Nr.46
(protokols Nr.14, 28.punkts)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view="pageLayout" zoomScaleNormal="100" workbookViewId="0">
      <selection activeCell="T4" sqref="T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9</v>
      </c>
      <c r="D6" s="1512"/>
      <c r="E6" s="1512"/>
      <c r="F6" s="1512"/>
      <c r="G6" s="1512"/>
      <c r="H6" s="1512"/>
      <c r="I6" s="1512"/>
      <c r="J6" s="1512"/>
      <c r="K6" s="1512"/>
      <c r="L6" s="1512"/>
      <c r="M6" s="1512"/>
      <c r="N6" s="1512"/>
      <c r="O6" s="1512"/>
      <c r="P6" s="1513"/>
      <c r="Q6" s="277"/>
    </row>
    <row r="7" spans="1:17" ht="25.5" customHeight="1" x14ac:dyDescent="0.25">
      <c r="A7" s="7" t="s">
        <v>10</v>
      </c>
      <c r="B7" s="8"/>
      <c r="C7" s="1517" t="s">
        <v>11</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42844</v>
      </c>
      <c r="D20" s="32">
        <f>SUM(D21,D24,D25,D41,D43)</f>
        <v>42844</v>
      </c>
      <c r="E20" s="33">
        <f t="shared" ref="E20:F20" si="1">SUM(E21,E24,E25,E41,E43)</f>
        <v>0</v>
      </c>
      <c r="F20" s="34">
        <f t="shared" si="1"/>
        <v>42844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42844</v>
      </c>
      <c r="D24" s="60">
        <f>D51</f>
        <v>42844</v>
      </c>
      <c r="E24" s="61">
        <f>-1500+1500+500-3500+3000-500+500</f>
        <v>0</v>
      </c>
      <c r="F24" s="62">
        <f t="shared" si="9"/>
        <v>42844</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42844</v>
      </c>
      <c r="D50" s="159">
        <f>SUM(D51,D286)</f>
        <v>42844</v>
      </c>
      <c r="E50" s="160">
        <f t="shared" ref="E50:F50" si="26">SUM(E51,E286)</f>
        <v>0</v>
      </c>
      <c r="F50" s="161">
        <f t="shared" si="26"/>
        <v>42844</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42844</v>
      </c>
      <c r="D51" s="165">
        <f>SUM(D52,D194)</f>
        <v>42844</v>
      </c>
      <c r="E51" s="166">
        <f t="shared" ref="E51:F51" si="30">SUM(E52,E194)</f>
        <v>0</v>
      </c>
      <c r="F51" s="167">
        <f t="shared" si="30"/>
        <v>42844</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42844</v>
      </c>
      <c r="D52" s="173">
        <f>SUM(D53,D75,D173,D187)</f>
        <v>42844</v>
      </c>
      <c r="E52" s="174">
        <f t="shared" ref="E52:F52" si="34">SUM(E53,E75,E173,E187)</f>
        <v>0</v>
      </c>
      <c r="F52" s="175">
        <f t="shared" si="34"/>
        <v>42844</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813</v>
      </c>
      <c r="D53" s="179">
        <f>SUM(D54,D67)</f>
        <v>1313</v>
      </c>
      <c r="E53" s="180">
        <f t="shared" ref="E53:F53" si="38">SUM(E54,E67)</f>
        <v>-500</v>
      </c>
      <c r="F53" s="181">
        <f t="shared" si="38"/>
        <v>813</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750</v>
      </c>
      <c r="D54" s="184">
        <f>SUM(D55,D58,D66)</f>
        <v>1250</v>
      </c>
      <c r="E54" s="185">
        <f t="shared" ref="E54:F54" si="42">SUM(E55,E58,E66)</f>
        <v>-500</v>
      </c>
      <c r="F54" s="73">
        <f t="shared" si="42"/>
        <v>750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750</v>
      </c>
      <c r="D66" s="144">
        <v>1250</v>
      </c>
      <c r="E66" s="192">
        <v>-500</v>
      </c>
      <c r="F66" s="141">
        <f t="shared" si="58"/>
        <v>750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63</v>
      </c>
      <c r="D67" s="184">
        <f>SUM(D68:D69)</f>
        <v>63</v>
      </c>
      <c r="E67" s="185">
        <f t="shared" ref="E67:F67" si="62">SUM(E68:E69)</f>
        <v>0</v>
      </c>
      <c r="F67" s="73">
        <f t="shared" si="62"/>
        <v>63</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720">
        <v>1210</v>
      </c>
      <c r="B68" s="82" t="s">
        <v>86</v>
      </c>
      <c r="C68" s="83">
        <f t="shared" si="0"/>
        <v>63</v>
      </c>
      <c r="D68" s="46">
        <v>63</v>
      </c>
      <c r="E68" s="47"/>
      <c r="F68" s="134">
        <f>D68+E68</f>
        <v>63</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42031</v>
      </c>
      <c r="D75" s="179">
        <f>SUM(D76,D83,D130,D164,D165,D172)</f>
        <v>41531</v>
      </c>
      <c r="E75" s="180">
        <f t="shared" ref="E75:F75" si="74">SUM(E76,E83,E130,E164,E165,E172)</f>
        <v>500</v>
      </c>
      <c r="F75" s="181">
        <f t="shared" si="74"/>
        <v>42031</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94</v>
      </c>
      <c r="C76" s="70">
        <f t="shared" si="0"/>
        <v>11700</v>
      </c>
      <c r="D76" s="184">
        <f>SUM(D77,D80)</f>
        <v>9700</v>
      </c>
      <c r="E76" s="185">
        <f t="shared" ref="E76:F76" si="78">SUM(E77,E80)</f>
        <v>2000</v>
      </c>
      <c r="F76" s="73">
        <f t="shared" si="78"/>
        <v>11700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720">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11700</v>
      </c>
      <c r="D80" s="190">
        <f>SUM(D81:D82)</f>
        <v>9700</v>
      </c>
      <c r="E80" s="191">
        <f t="shared" ref="E80:F80" si="90">SUM(E81:E82)</f>
        <v>2000</v>
      </c>
      <c r="F80" s="55">
        <f t="shared" si="90"/>
        <v>11700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customHeight="1" x14ac:dyDescent="0.25">
      <c r="A81" s="51">
        <v>2121</v>
      </c>
      <c r="B81" s="89" t="s">
        <v>96</v>
      </c>
      <c r="C81" s="90">
        <f t="shared" si="0"/>
        <v>2200</v>
      </c>
      <c r="D81" s="196">
        <v>1700</v>
      </c>
      <c r="E81" s="198">
        <v>500</v>
      </c>
      <c r="F81" s="55">
        <f t="shared" ref="F81:F82" si="94">D81+E81</f>
        <v>2200</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9" t="s">
        <v>97</v>
      </c>
      <c r="C82" s="90">
        <f t="shared" si="0"/>
        <v>9500</v>
      </c>
      <c r="D82" s="196">
        <v>8000</v>
      </c>
      <c r="E82" s="198">
        <v>1500</v>
      </c>
      <c r="F82" s="55">
        <f t="shared" si="94"/>
        <v>9500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25831</v>
      </c>
      <c r="D83" s="184">
        <f>SUM(D84,D89,D95,D103,D112,D116,D122,D128)</f>
        <v>30331</v>
      </c>
      <c r="E83" s="185">
        <f t="shared" ref="E83:F83" si="98">SUM(E84,E89,E95,E103,E112,E116,E122,E128)</f>
        <v>-4500</v>
      </c>
      <c r="F83" s="73">
        <f t="shared" si="98"/>
        <v>25831</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v>0</v>
      </c>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21281</v>
      </c>
      <c r="D95" s="190">
        <f>SUM(D96:D102)</f>
        <v>26281</v>
      </c>
      <c r="E95" s="191">
        <f t="shared" ref="E95:F95" si="119">SUM(E96:E102)</f>
        <v>-5000</v>
      </c>
      <c r="F95" s="55">
        <f t="shared" si="119"/>
        <v>21281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20941</v>
      </c>
      <c r="D96" s="196">
        <v>25941</v>
      </c>
      <c r="E96" s="198">
        <f>-1500-3500</f>
        <v>-5000</v>
      </c>
      <c r="F96" s="55">
        <f t="shared" ref="F96:F102" si="123">D96+E96</f>
        <v>20941</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9" t="s">
        <v>113</v>
      </c>
      <c r="C97" s="90">
        <f t="shared" si="102"/>
        <v>340</v>
      </c>
      <c r="D97" s="196">
        <v>340</v>
      </c>
      <c r="E97" s="197"/>
      <c r="F97" s="55">
        <f t="shared" si="123"/>
        <v>340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v>0</v>
      </c>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800</v>
      </c>
      <c r="D116" s="190">
        <f>SUM(D117:D121)</f>
        <v>800</v>
      </c>
      <c r="E116" s="191">
        <f t="shared" ref="E116:F116" si="143">SUM(E117:E121)</f>
        <v>0</v>
      </c>
      <c r="F116" s="55">
        <f t="shared" si="143"/>
        <v>800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800</v>
      </c>
      <c r="D118" s="196">
        <v>800</v>
      </c>
      <c r="E118" s="197"/>
      <c r="F118" s="55">
        <f t="shared" si="147"/>
        <v>800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3750</v>
      </c>
      <c r="D122" s="190">
        <f>SUM(D123:D127)</f>
        <v>3250</v>
      </c>
      <c r="E122" s="191">
        <f t="shared" ref="E122:F122" si="151">SUM(E123:E127)</f>
        <v>500</v>
      </c>
      <c r="F122" s="55">
        <f t="shared" si="151"/>
        <v>3750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3750</v>
      </c>
      <c r="D127" s="196">
        <v>3250</v>
      </c>
      <c r="E127" s="198">
        <v>500</v>
      </c>
      <c r="F127" s="55">
        <f t="shared" si="155"/>
        <v>3750</v>
      </c>
      <c r="G127" s="53"/>
      <c r="H127" s="54"/>
      <c r="I127" s="55">
        <f t="shared" si="156"/>
        <v>0</v>
      </c>
      <c r="J127" s="53"/>
      <c r="K127" s="54"/>
      <c r="L127" s="55">
        <f t="shared" si="157"/>
        <v>0</v>
      </c>
      <c r="M127" s="53"/>
      <c r="N127" s="54"/>
      <c r="O127" s="55">
        <f t="shared" si="158"/>
        <v>0</v>
      </c>
      <c r="P127" s="57"/>
    </row>
    <row r="128" spans="1:16" ht="48" hidden="1" x14ac:dyDescent="0.25">
      <c r="A128" s="720">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4500</v>
      </c>
      <c r="D130" s="184">
        <f>SUM(D131,D136,D140,D141,D144,D151,D159,D160,D163)</f>
        <v>1500</v>
      </c>
      <c r="E130" s="185">
        <f t="shared" ref="E130:F130" si="160">SUM(E131,E136,E140,E141,E144,E151,E159,E160,E163)</f>
        <v>3000</v>
      </c>
      <c r="F130" s="73">
        <f t="shared" si="160"/>
        <v>4500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720">
        <v>2310</v>
      </c>
      <c r="B131" s="82" t="s">
        <v>147</v>
      </c>
      <c r="C131" s="83">
        <f t="shared" si="102"/>
        <v>4500</v>
      </c>
      <c r="D131" s="194">
        <f t="shared" ref="D131:O131" si="164">SUM(D132:D135)</f>
        <v>1500</v>
      </c>
      <c r="E131" s="195">
        <f t="shared" si="164"/>
        <v>3000</v>
      </c>
      <c r="F131" s="134">
        <f t="shared" si="164"/>
        <v>4500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4500</v>
      </c>
      <c r="D135" s="196">
        <v>1500</v>
      </c>
      <c r="E135" s="198">
        <v>3000</v>
      </c>
      <c r="F135" s="55">
        <f t="shared" si="165"/>
        <v>4500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v>0</v>
      </c>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v>0</v>
      </c>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v>0</v>
      </c>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v>0</v>
      </c>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v>0</v>
      </c>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720">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720">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20">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v>0</v>
      </c>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v>0</v>
      </c>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v>0</v>
      </c>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720">
        <v>4240</v>
      </c>
      <c r="B189" s="82" t="s">
        <v>205</v>
      </c>
      <c r="C189" s="83">
        <f t="shared" si="193"/>
        <v>0</v>
      </c>
      <c r="D189" s="199">
        <v>0</v>
      </c>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720">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SUM(D195,D230,D269,D283)</f>
        <v>0</v>
      </c>
      <c r="E194" s="174">
        <f t="shared" ref="E194:O194" si="259">SUM(E195,E230,E269,E283)</f>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720">
        <v>5110</v>
      </c>
      <c r="B197" s="82" t="s">
        <v>213</v>
      </c>
      <c r="C197" s="83">
        <f t="shared" si="193"/>
        <v>0</v>
      </c>
      <c r="D197" s="199">
        <v>0</v>
      </c>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v>0</v>
      </c>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v>0</v>
      </c>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v>0</v>
      </c>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720">
        <v>6220</v>
      </c>
      <c r="B232" s="82" t="s">
        <v>248</v>
      </c>
      <c r="C232" s="83">
        <f t="shared" si="288"/>
        <v>0</v>
      </c>
      <c r="D232" s="199">
        <v>0</v>
      </c>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v>0</v>
      </c>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20">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720">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v>0</v>
      </c>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v>0</v>
      </c>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720">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720">
        <v>7210</v>
      </c>
      <c r="B271" s="82" t="s">
        <v>287</v>
      </c>
      <c r="C271" s="83">
        <f t="shared" si="288"/>
        <v>0</v>
      </c>
      <c r="D271" s="199">
        <v>0</v>
      </c>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20">
        <v>7260</v>
      </c>
      <c r="B280" s="82" t="s">
        <v>296</v>
      </c>
      <c r="C280" s="83">
        <f t="shared" si="371"/>
        <v>0</v>
      </c>
      <c r="D280" s="199">
        <v>0</v>
      </c>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v>0</v>
      </c>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v>0</v>
      </c>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v>0</v>
      </c>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42844</v>
      </c>
      <c r="D289" s="252">
        <f t="shared" ref="D289:O289" si="389">SUM(D286,D269,D230,D195,D187,D173,D75,D53,D283)</f>
        <v>42844</v>
      </c>
      <c r="E289" s="253">
        <f t="shared" si="389"/>
        <v>0</v>
      </c>
      <c r="F289" s="254">
        <f t="shared" si="389"/>
        <v>42844</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9dnuzgFBlg4yXhmVOTOZgxipWK8aJIruWxyN3N3kMWc8T3ilyd1kzVXtUzuG2c3OxBIwxiGytaVbWkGf8cnLaw==" saltValue="qVXROTgIeb2IxT5d2+KBAw==" spinCount="100000" sheet="1" objects="1" scenarios="1"/>
  <autoFilter ref="A18:P301">
    <filterColumn colId="2">
      <filters>
        <filter val="11 700"/>
        <filter val="2 200"/>
        <filter val="20 941"/>
        <filter val="21 281"/>
        <filter val="25 831"/>
        <filter val="3 750"/>
        <filter val="340"/>
        <filter val="4 500"/>
        <filter val="42 031"/>
        <filter val="42 844"/>
        <filter val="63"/>
        <filter val="750"/>
        <filter val="800"/>
        <filter val="813"/>
        <filter val="9 5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fitToHeight="0" orientation="portrait" horizontalDpi="200" verticalDpi="200" r:id="rId1"/>
  <headerFooter differentFirst="1">
    <oddFooter>&amp;L&amp;"Times New Roman,Regular"&amp;9&amp;D; &amp;T&amp;R&amp;"Times New Roman,Regular"&amp;9&amp;P (&amp;N)</oddFooter>
    <firstHeader xml:space="preserve">&amp;R&amp;"Times New Roman,Regular"&amp;9 6.pielikums Jūrmalas pilsētas domes
2019.gada 31.oktobra saistošajiem noteikumiem Nr.46
(protokols Nr.14, 28.punkts)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showGridLines="0" view="pageLayout" zoomScaleNormal="100" workbookViewId="0">
      <selection activeCell="U5" sqref="U5"/>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1532</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782</v>
      </c>
      <c r="D3" s="1517"/>
      <c r="E3" s="1517"/>
      <c r="F3" s="1517"/>
      <c r="G3" s="1517"/>
      <c r="H3" s="1517"/>
      <c r="I3" s="1517"/>
      <c r="J3" s="1517"/>
      <c r="K3" s="1517"/>
      <c r="L3" s="1517"/>
      <c r="M3" s="1517"/>
      <c r="N3" s="1517"/>
      <c r="O3" s="1517"/>
      <c r="P3" s="1518"/>
      <c r="Q3" s="277"/>
    </row>
    <row r="4" spans="1:17" ht="12.75" customHeight="1" x14ac:dyDescent="0.25">
      <c r="A4" s="5" t="s">
        <v>4</v>
      </c>
      <c r="B4" s="6"/>
      <c r="C4" s="1517" t="s">
        <v>783</v>
      </c>
      <c r="D4" s="1517"/>
      <c r="E4" s="1517"/>
      <c r="F4" s="1517"/>
      <c r="G4" s="1517"/>
      <c r="H4" s="1517"/>
      <c r="I4" s="1517"/>
      <c r="J4" s="1517"/>
      <c r="K4" s="1517"/>
      <c r="L4" s="1517"/>
      <c r="M4" s="1517"/>
      <c r="N4" s="1517"/>
      <c r="O4" s="1517"/>
      <c r="P4" s="1518"/>
      <c r="Q4" s="277"/>
    </row>
    <row r="5" spans="1:17" ht="12.75" customHeight="1" x14ac:dyDescent="0.25">
      <c r="A5" s="7" t="s">
        <v>6</v>
      </c>
      <c r="B5" s="8"/>
      <c r="C5" s="1512" t="s">
        <v>1533</v>
      </c>
      <c r="D5" s="1512"/>
      <c r="E5" s="1512"/>
      <c r="F5" s="1512"/>
      <c r="G5" s="1512"/>
      <c r="H5" s="1512"/>
      <c r="I5" s="1512"/>
      <c r="J5" s="1512"/>
      <c r="K5" s="1512"/>
      <c r="L5" s="1512"/>
      <c r="M5" s="1512"/>
      <c r="N5" s="1512"/>
      <c r="O5" s="1512"/>
      <c r="P5" s="1513"/>
      <c r="Q5" s="277"/>
    </row>
    <row r="6" spans="1:17" ht="12.75" customHeight="1" x14ac:dyDescent="0.25">
      <c r="A6" s="7" t="s">
        <v>8</v>
      </c>
      <c r="B6" s="8"/>
      <c r="C6" s="1512" t="s">
        <v>924</v>
      </c>
      <c r="D6" s="1512"/>
      <c r="E6" s="1512"/>
      <c r="F6" s="1512"/>
      <c r="G6" s="1512"/>
      <c r="H6" s="1512"/>
      <c r="I6" s="1512"/>
      <c r="J6" s="1512"/>
      <c r="K6" s="1512"/>
      <c r="L6" s="1512"/>
      <c r="M6" s="1512"/>
      <c r="N6" s="1512"/>
      <c r="O6" s="1512"/>
      <c r="P6" s="1513"/>
      <c r="Q6" s="277"/>
    </row>
    <row r="7" spans="1:17" x14ac:dyDescent="0.25">
      <c r="A7" s="7" t="s">
        <v>10</v>
      </c>
      <c r="B7" s="8"/>
      <c r="C7" s="1517" t="s">
        <v>925</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786</v>
      </c>
      <c r="D9" s="1512"/>
      <c r="E9" s="1512"/>
      <c r="F9" s="1512"/>
      <c r="G9" s="1512"/>
      <c r="H9" s="1512"/>
      <c r="I9" s="1512"/>
      <c r="J9" s="1512"/>
      <c r="K9" s="1512"/>
      <c r="L9" s="1512"/>
      <c r="M9" s="1512"/>
      <c r="N9" s="1512"/>
      <c r="O9" s="1512"/>
      <c r="P9" s="1513"/>
      <c r="Q9" s="277"/>
    </row>
    <row r="10" spans="1:17" ht="12.75" customHeight="1" x14ac:dyDescent="0.25">
      <c r="A10" s="7"/>
      <c r="B10" s="8" t="s">
        <v>15</v>
      </c>
      <c r="C10" s="1512" t="s">
        <v>787</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118727</v>
      </c>
      <c r="D20" s="32">
        <f>SUM(D21,D24,D25,D41,D43)</f>
        <v>75508</v>
      </c>
      <c r="E20" s="33">
        <f t="shared" ref="E20:F20" si="1">SUM(E21,E24,E25,E41,E43)</f>
        <v>2916</v>
      </c>
      <c r="F20" s="34">
        <f t="shared" si="1"/>
        <v>78424</v>
      </c>
      <c r="G20" s="32">
        <f>SUM(G21,G24,G43)</f>
        <v>40303</v>
      </c>
      <c r="H20" s="33">
        <f t="shared" ref="H20:I20" si="2">SUM(H21,H24,H43)</f>
        <v>0</v>
      </c>
      <c r="I20" s="34">
        <f t="shared" si="2"/>
        <v>40303</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2.75" customHeight="1" thickTop="1" thickBot="1" x14ac:dyDescent="0.3">
      <c r="A24" s="58">
        <v>19300</v>
      </c>
      <c r="B24" s="58" t="s">
        <v>42</v>
      </c>
      <c r="C24" s="59">
        <f>F24+I24</f>
        <v>118727</v>
      </c>
      <c r="D24" s="60">
        <v>75508</v>
      </c>
      <c r="E24" s="63">
        <v>2916</v>
      </c>
      <c r="F24" s="62">
        <f t="shared" si="9"/>
        <v>78424</v>
      </c>
      <c r="G24" s="60">
        <v>40303</v>
      </c>
      <c r="H24" s="63"/>
      <c r="I24" s="62">
        <f t="shared" si="10"/>
        <v>40303</v>
      </c>
      <c r="J24" s="64" t="s">
        <v>43</v>
      </c>
      <c r="K24" s="65" t="s">
        <v>43</v>
      </c>
      <c r="L24" s="66" t="s">
        <v>43</v>
      </c>
      <c r="M24" s="64" t="s">
        <v>43</v>
      </c>
      <c r="N24" s="65" t="s">
        <v>43</v>
      </c>
      <c r="O24" s="66" t="s">
        <v>43</v>
      </c>
      <c r="P24" s="67" t="s">
        <v>1534</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118727</v>
      </c>
      <c r="D50" s="159">
        <f>SUM(D51,D286)</f>
        <v>75508</v>
      </c>
      <c r="E50" s="160">
        <f t="shared" ref="E50:F50" si="26">SUM(E51,E286)</f>
        <v>2916</v>
      </c>
      <c r="F50" s="161">
        <f t="shared" si="26"/>
        <v>78424</v>
      </c>
      <c r="G50" s="159">
        <f>SUM(G51,G286)</f>
        <v>40303</v>
      </c>
      <c r="H50" s="160">
        <f>SUM(H51,H286)</f>
        <v>0</v>
      </c>
      <c r="I50" s="161">
        <f t="shared" ref="I50" si="27">SUM(I51,I286)</f>
        <v>40303</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118727</v>
      </c>
      <c r="D51" s="165">
        <f>SUM(D52,D194)</f>
        <v>75508</v>
      </c>
      <c r="E51" s="166">
        <f t="shared" ref="E51:F51" si="30">SUM(E52,E194)</f>
        <v>2916</v>
      </c>
      <c r="F51" s="167">
        <f t="shared" si="30"/>
        <v>78424</v>
      </c>
      <c r="G51" s="165">
        <f>SUM(G52,G194)</f>
        <v>40303</v>
      </c>
      <c r="H51" s="166">
        <f t="shared" ref="H51:I51" si="31">SUM(H52,H194)</f>
        <v>0</v>
      </c>
      <c r="I51" s="167">
        <f t="shared" si="31"/>
        <v>40303</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118727</v>
      </c>
      <c r="D52" s="173">
        <f>SUM(D53,D75,D173,D187)</f>
        <v>75508</v>
      </c>
      <c r="E52" s="174">
        <f t="shared" ref="E52:F52" si="34">SUM(E53,E75,E173,E187)</f>
        <v>2916</v>
      </c>
      <c r="F52" s="175">
        <f t="shared" si="34"/>
        <v>78424</v>
      </c>
      <c r="G52" s="173">
        <f>SUM(G53,G75,G173,G187)</f>
        <v>40303</v>
      </c>
      <c r="H52" s="174">
        <f t="shared" ref="H52:I52" si="35">SUM(H53,H75,H173,H187)</f>
        <v>0</v>
      </c>
      <c r="I52" s="175">
        <f t="shared" si="35"/>
        <v>40303</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208">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118727</v>
      </c>
      <c r="D75" s="179">
        <f>SUM(D76,D83,D130,D164,D165,D172)</f>
        <v>75508</v>
      </c>
      <c r="E75" s="180">
        <f t="shared" ref="E75:F75" si="74">SUM(E76,E83,E130,E164,E165,E172)</f>
        <v>2916</v>
      </c>
      <c r="F75" s="181">
        <f t="shared" si="74"/>
        <v>78424</v>
      </c>
      <c r="G75" s="179">
        <f>SUM(G76,G83,G130,G164,G165,G172)</f>
        <v>40303</v>
      </c>
      <c r="H75" s="180">
        <f t="shared" ref="H75:I75" si="75">SUM(H76,H83,H130,H164,H165,H172)</f>
        <v>0</v>
      </c>
      <c r="I75" s="181">
        <f t="shared" si="75"/>
        <v>40303</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208">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08">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118727</v>
      </c>
      <c r="D130" s="184">
        <f>SUM(D131,D136,D140,D141,D144,D151,D159,D160,D163)</f>
        <v>75508</v>
      </c>
      <c r="E130" s="185">
        <f t="shared" ref="E130:F130" si="160">SUM(E131,E136,E140,E141,E144,E151,E159,E160,E163)</f>
        <v>2916</v>
      </c>
      <c r="F130" s="73">
        <f t="shared" si="160"/>
        <v>78424</v>
      </c>
      <c r="G130" s="184">
        <f>SUM(G131,G136,G140,G141,G144,G151,G159,G160,G163)</f>
        <v>40303</v>
      </c>
      <c r="H130" s="185">
        <f t="shared" ref="H130:I130" si="161">SUM(H131,H136,H140,H141,H144,H151,H159,H160,H163)</f>
        <v>0</v>
      </c>
      <c r="I130" s="73">
        <f t="shared" si="161"/>
        <v>40303</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208">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118727</v>
      </c>
      <c r="D151" s="190">
        <f>SUM(D152:D158)</f>
        <v>75508</v>
      </c>
      <c r="E151" s="191">
        <f t="shared" ref="E151:F151" si="194">SUM(E152:E158)</f>
        <v>2916</v>
      </c>
      <c r="F151" s="55">
        <f t="shared" si="194"/>
        <v>78424</v>
      </c>
      <c r="G151" s="190">
        <f>SUM(G152:G158)</f>
        <v>40303</v>
      </c>
      <c r="H151" s="191">
        <f t="shared" ref="H151:I151" si="195">SUM(H152:H158)</f>
        <v>0</v>
      </c>
      <c r="I151" s="55">
        <f t="shared" si="195"/>
        <v>40303</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36" customHeight="1" x14ac:dyDescent="0.25">
      <c r="A154" s="50">
        <v>2363</v>
      </c>
      <c r="B154" s="89" t="s">
        <v>170</v>
      </c>
      <c r="C154" s="90">
        <f t="shared" si="193"/>
        <v>118727</v>
      </c>
      <c r="D154" s="196">
        <v>75508</v>
      </c>
      <c r="E154" s="197">
        <v>2916</v>
      </c>
      <c r="F154" s="55">
        <f t="shared" si="198"/>
        <v>78424</v>
      </c>
      <c r="G154" s="53">
        <v>40303</v>
      </c>
      <c r="H154" s="54"/>
      <c r="I154" s="55">
        <f t="shared" si="199"/>
        <v>40303</v>
      </c>
      <c r="J154" s="53"/>
      <c r="K154" s="54"/>
      <c r="L154" s="55">
        <f t="shared" si="200"/>
        <v>0</v>
      </c>
      <c r="M154" s="53"/>
      <c r="N154" s="54"/>
      <c r="O154" s="55">
        <f t="shared" si="201"/>
        <v>0</v>
      </c>
      <c r="P154" s="57" t="s">
        <v>1535</v>
      </c>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208">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208">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08">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208">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208">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208">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208">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8">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208">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208">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208">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8">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118727</v>
      </c>
      <c r="D289" s="252">
        <f t="shared" ref="D289:O289" si="389">SUM(D286,D269,D230,D195,D187,D173,D75,D53,D283)</f>
        <v>75508</v>
      </c>
      <c r="E289" s="253">
        <f t="shared" si="389"/>
        <v>2916</v>
      </c>
      <c r="F289" s="254">
        <f t="shared" si="389"/>
        <v>78424</v>
      </c>
      <c r="G289" s="252">
        <f t="shared" si="389"/>
        <v>40303</v>
      </c>
      <c r="H289" s="253">
        <f t="shared" si="389"/>
        <v>0</v>
      </c>
      <c r="I289" s="254">
        <f t="shared" si="389"/>
        <v>40303</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sheetData>
  <sheetProtection algorithmName="SHA-512" hashValue="nNFBNGp5GNK/vt9jIllhl0g3qDdj7JJfSN/F7llCKJW4Qbxx0ggEztwDsfUAAnID9qww8swyqx6zNP/lsAZJ9g==" saltValue="2N5ILp2w2+bCaxC0jJQRhg==" spinCount="100000" sheet="1" objects="1" scenarios="1" formatCells="0" formatColumns="0" formatRows="0" deleteColumns="0"/>
  <autoFilter ref="A18:P301">
    <filterColumn colId="2">
      <filters>
        <filter val="118 72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44.pielikums Jūrmalas pilsētas domes
2019.gada 31.oktobra saistošajiem noteikumiem Nr.46
(protokols Nr.14, 28.punkts)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T7" sqref="T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1536</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1442</v>
      </c>
      <c r="D3" s="1517"/>
      <c r="E3" s="1517"/>
      <c r="F3" s="1517"/>
      <c r="G3" s="1517"/>
      <c r="H3" s="1517"/>
      <c r="I3" s="1517"/>
      <c r="J3" s="1517"/>
      <c r="K3" s="1517"/>
      <c r="L3" s="1517"/>
      <c r="M3" s="1517"/>
      <c r="N3" s="1517"/>
      <c r="O3" s="1517"/>
      <c r="P3" s="1518"/>
      <c r="Q3" s="277"/>
    </row>
    <row r="4" spans="1:17" ht="12.75" customHeight="1" x14ac:dyDescent="0.25">
      <c r="A4" s="5" t="s">
        <v>4</v>
      </c>
      <c r="B4" s="6"/>
      <c r="C4" s="1517" t="s">
        <v>1443</v>
      </c>
      <c r="D4" s="1517"/>
      <c r="E4" s="1517"/>
      <c r="F4" s="1517"/>
      <c r="G4" s="1517"/>
      <c r="H4" s="1517"/>
      <c r="I4" s="1517"/>
      <c r="J4" s="1517"/>
      <c r="K4" s="1517"/>
      <c r="L4" s="1517"/>
      <c r="M4" s="1517"/>
      <c r="N4" s="1517"/>
      <c r="O4" s="1517"/>
      <c r="P4" s="1518"/>
      <c r="Q4" s="277"/>
    </row>
    <row r="5" spans="1:17" ht="12.75" customHeight="1" x14ac:dyDescent="0.25">
      <c r="A5" s="7" t="s">
        <v>6</v>
      </c>
      <c r="B5" s="8"/>
      <c r="C5" s="1512" t="s">
        <v>1537</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1445</v>
      </c>
      <c r="D9" s="1512"/>
      <c r="E9" s="1512"/>
      <c r="F9" s="1512"/>
      <c r="G9" s="1512"/>
      <c r="H9" s="1512"/>
      <c r="I9" s="1512"/>
      <c r="J9" s="1512"/>
      <c r="K9" s="1512"/>
      <c r="L9" s="1512"/>
      <c r="M9" s="1512"/>
      <c r="N9" s="1512"/>
      <c r="O9" s="1512"/>
      <c r="P9" s="1513"/>
      <c r="Q9" s="277"/>
    </row>
    <row r="10" spans="1:17" ht="12.75" customHeight="1" x14ac:dyDescent="0.25">
      <c r="A10" s="7"/>
      <c r="B10" s="8" t="s">
        <v>15</v>
      </c>
      <c r="C10" s="1512" t="s">
        <v>1446</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1447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1566534</v>
      </c>
      <c r="D20" s="32">
        <f>SUM(D21,D24,D25,D41,D43)</f>
        <v>508856</v>
      </c>
      <c r="E20" s="33">
        <f t="shared" ref="E20:F20" si="1">SUM(E21,E24,E25,E41,E43)</f>
        <v>0</v>
      </c>
      <c r="F20" s="34">
        <f t="shared" si="1"/>
        <v>508856</v>
      </c>
      <c r="G20" s="32">
        <f>SUM(G21,G24,G43)</f>
        <v>982059</v>
      </c>
      <c r="H20" s="33">
        <f t="shared" ref="H20:I20" si="2">SUM(H21,H24,H43)</f>
        <v>34370</v>
      </c>
      <c r="I20" s="34">
        <f t="shared" si="2"/>
        <v>1016429</v>
      </c>
      <c r="J20" s="32">
        <f>SUM(J21,J26,J43)</f>
        <v>41249</v>
      </c>
      <c r="K20" s="33">
        <f t="shared" ref="K20:L20" si="3">SUM(K21,K26,K43)</f>
        <v>0</v>
      </c>
      <c r="L20" s="34">
        <f t="shared" si="3"/>
        <v>41249</v>
      </c>
      <c r="M20" s="32">
        <f>SUM(M21,M45)</f>
        <v>0</v>
      </c>
      <c r="N20" s="33">
        <f t="shared" ref="N20:O20" si="4">SUM(N21,N45)</f>
        <v>0</v>
      </c>
      <c r="O20" s="34">
        <f t="shared" si="4"/>
        <v>0</v>
      </c>
      <c r="P20" s="35"/>
    </row>
    <row r="21" spans="1:16" ht="12.75" thickTop="1" x14ac:dyDescent="0.25">
      <c r="A21" s="36"/>
      <c r="B21" s="37" t="s">
        <v>39</v>
      </c>
      <c r="C21" s="38">
        <f t="shared" si="0"/>
        <v>8429</v>
      </c>
      <c r="D21" s="39">
        <f>SUM(D22:D23)</f>
        <v>0</v>
      </c>
      <c r="E21" s="40">
        <f t="shared" ref="E21:F21" si="5">SUM(E22:E23)</f>
        <v>0</v>
      </c>
      <c r="F21" s="41">
        <f t="shared" si="5"/>
        <v>0</v>
      </c>
      <c r="G21" s="39">
        <f>SUM(G22:G23)</f>
        <v>0</v>
      </c>
      <c r="H21" s="40">
        <f t="shared" ref="H21:I21" si="6">SUM(H22:H23)</f>
        <v>0</v>
      </c>
      <c r="I21" s="41">
        <f t="shared" si="6"/>
        <v>0</v>
      </c>
      <c r="J21" s="39">
        <f>SUM(J22:J23)</f>
        <v>8429</v>
      </c>
      <c r="K21" s="40">
        <f t="shared" ref="K21:L21" si="7">SUM(K22:K23)</f>
        <v>0</v>
      </c>
      <c r="L21" s="41">
        <f t="shared" si="7"/>
        <v>8429</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8429</v>
      </c>
      <c r="D23" s="53"/>
      <c r="E23" s="54"/>
      <c r="F23" s="55">
        <f t="shared" ref="F23:F25" si="9">D23+E23</f>
        <v>0</v>
      </c>
      <c r="G23" s="53"/>
      <c r="H23" s="54"/>
      <c r="I23" s="55">
        <f t="shared" ref="I23:I24" si="10">G23+H23</f>
        <v>0</v>
      </c>
      <c r="J23" s="53">
        <v>8429</v>
      </c>
      <c r="K23" s="54"/>
      <c r="L23" s="56">
        <f>K23+J23</f>
        <v>8429</v>
      </c>
      <c r="M23" s="53"/>
      <c r="N23" s="54"/>
      <c r="O23" s="55">
        <f>N23+M23</f>
        <v>0</v>
      </c>
      <c r="P23" s="57"/>
    </row>
    <row r="24" spans="1:16" s="28" customFormat="1" ht="38.25" customHeight="1" thickBot="1" x14ac:dyDescent="0.3">
      <c r="A24" s="58">
        <v>19300</v>
      </c>
      <c r="B24" s="58" t="s">
        <v>42</v>
      </c>
      <c r="C24" s="59">
        <f>F24+I24</f>
        <v>1525285</v>
      </c>
      <c r="D24" s="60">
        <v>508856</v>
      </c>
      <c r="E24" s="63"/>
      <c r="F24" s="62">
        <f t="shared" si="9"/>
        <v>508856</v>
      </c>
      <c r="G24" s="60">
        <v>982059</v>
      </c>
      <c r="H24" s="63">
        <f>46158-9499-2289</f>
        <v>34370</v>
      </c>
      <c r="I24" s="62">
        <f t="shared" si="10"/>
        <v>1016429</v>
      </c>
      <c r="J24" s="64" t="s">
        <v>43</v>
      </c>
      <c r="K24" s="65" t="s">
        <v>43</v>
      </c>
      <c r="L24" s="66" t="s">
        <v>43</v>
      </c>
      <c r="M24" s="64" t="s">
        <v>43</v>
      </c>
      <c r="N24" s="65" t="s">
        <v>43</v>
      </c>
      <c r="O24" s="66" t="s">
        <v>43</v>
      </c>
      <c r="P24" s="67" t="s">
        <v>1538</v>
      </c>
    </row>
    <row r="25" spans="1:16" s="28" customFormat="1" ht="24.75" hidden="1" customHeight="1" thickTop="1" x14ac:dyDescent="0.25">
      <c r="A25" s="69"/>
      <c r="B25" s="69" t="s">
        <v>44</v>
      </c>
      <c r="C25" s="70">
        <f>F25</f>
        <v>0</v>
      </c>
      <c r="D25" s="71"/>
      <c r="E25" s="72">
        <v>0</v>
      </c>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32820</v>
      </c>
      <c r="D26" s="74" t="s">
        <v>43</v>
      </c>
      <c r="E26" s="75" t="s">
        <v>43</v>
      </c>
      <c r="F26" s="76" t="s">
        <v>43</v>
      </c>
      <c r="G26" s="74" t="s">
        <v>43</v>
      </c>
      <c r="H26" s="75" t="s">
        <v>43</v>
      </c>
      <c r="I26" s="76" t="s">
        <v>43</v>
      </c>
      <c r="J26" s="78">
        <f>SUM(J27,J31,J33,J36)</f>
        <v>32820</v>
      </c>
      <c r="K26" s="79">
        <f t="shared" ref="K26:L26" si="11">SUM(K27,K31,K33,K36)</f>
        <v>0</v>
      </c>
      <c r="L26" s="80">
        <f t="shared" si="11"/>
        <v>32820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28908</v>
      </c>
      <c r="D33" s="74" t="s">
        <v>43</v>
      </c>
      <c r="E33" s="75" t="s">
        <v>43</v>
      </c>
      <c r="F33" s="76" t="s">
        <v>43</v>
      </c>
      <c r="G33" s="74" t="s">
        <v>43</v>
      </c>
      <c r="H33" s="75" t="s">
        <v>43</v>
      </c>
      <c r="I33" s="76" t="s">
        <v>43</v>
      </c>
      <c r="J33" s="78">
        <f>SUM(J34:J35)</f>
        <v>28908</v>
      </c>
      <c r="K33" s="79">
        <f t="shared" ref="K33:L33" si="17">SUM(K34:K35)</f>
        <v>0</v>
      </c>
      <c r="L33" s="80">
        <f t="shared" si="17"/>
        <v>28908</v>
      </c>
      <c r="M33" s="78" t="s">
        <v>43</v>
      </c>
      <c r="N33" s="79" t="s">
        <v>43</v>
      </c>
      <c r="O33" s="80" t="s">
        <v>43</v>
      </c>
      <c r="P33" s="77"/>
    </row>
    <row r="34" spans="1:16" ht="12" customHeight="1" x14ac:dyDescent="0.25">
      <c r="A34" s="44">
        <v>21381</v>
      </c>
      <c r="B34" s="82" t="s">
        <v>53</v>
      </c>
      <c r="C34" s="83">
        <f t="shared" si="16"/>
        <v>28908</v>
      </c>
      <c r="D34" s="84" t="s">
        <v>43</v>
      </c>
      <c r="E34" s="85" t="s">
        <v>43</v>
      </c>
      <c r="F34" s="86" t="s">
        <v>43</v>
      </c>
      <c r="G34" s="84" t="s">
        <v>43</v>
      </c>
      <c r="H34" s="85" t="s">
        <v>43</v>
      </c>
      <c r="I34" s="86" t="s">
        <v>43</v>
      </c>
      <c r="J34" s="46">
        <v>28908</v>
      </c>
      <c r="K34" s="47"/>
      <c r="L34" s="48">
        <f t="shared" ref="L34:L35" si="18">K34+J34</f>
        <v>28908</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3912</v>
      </c>
      <c r="D36" s="74" t="s">
        <v>43</v>
      </c>
      <c r="E36" s="75" t="s">
        <v>43</v>
      </c>
      <c r="F36" s="76" t="s">
        <v>43</v>
      </c>
      <c r="G36" s="74" t="s">
        <v>43</v>
      </c>
      <c r="H36" s="75" t="s">
        <v>43</v>
      </c>
      <c r="I36" s="76" t="s">
        <v>43</v>
      </c>
      <c r="J36" s="78">
        <f>SUM(J37:J40)</f>
        <v>3912</v>
      </c>
      <c r="K36" s="79">
        <f t="shared" ref="K36:L36" si="19">SUM(K37:K40)</f>
        <v>0</v>
      </c>
      <c r="L36" s="80">
        <f t="shared" si="19"/>
        <v>3912</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3912</v>
      </c>
      <c r="D40" s="111" t="s">
        <v>43</v>
      </c>
      <c r="E40" s="112" t="s">
        <v>43</v>
      </c>
      <c r="F40" s="113" t="s">
        <v>43</v>
      </c>
      <c r="G40" s="111" t="s">
        <v>43</v>
      </c>
      <c r="H40" s="112" t="s">
        <v>43</v>
      </c>
      <c r="I40" s="113" t="s">
        <v>43</v>
      </c>
      <c r="J40" s="114">
        <v>3912</v>
      </c>
      <c r="K40" s="115"/>
      <c r="L40" s="116">
        <f t="shared" si="20"/>
        <v>3912</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1566534</v>
      </c>
      <c r="D50" s="159">
        <f>SUM(D51,D286)</f>
        <v>508856</v>
      </c>
      <c r="E50" s="160">
        <f t="shared" ref="E50:F50" si="26">SUM(E51,E286)</f>
        <v>0</v>
      </c>
      <c r="F50" s="161">
        <f t="shared" si="26"/>
        <v>508856</v>
      </c>
      <c r="G50" s="159">
        <f>SUM(G51,G286)</f>
        <v>982059</v>
      </c>
      <c r="H50" s="160">
        <f>SUM(H51,H286)</f>
        <v>34370</v>
      </c>
      <c r="I50" s="161">
        <f t="shared" ref="I50" si="27">SUM(I51,I286)</f>
        <v>1016429</v>
      </c>
      <c r="J50" s="32">
        <f>SUM(J51,J286)</f>
        <v>41249</v>
      </c>
      <c r="K50" s="33">
        <f t="shared" ref="K50:L50" si="28">SUM(K51,K286)</f>
        <v>0</v>
      </c>
      <c r="L50" s="34">
        <f t="shared" si="28"/>
        <v>41249</v>
      </c>
      <c r="M50" s="32">
        <f>SUM(M51,M286)</f>
        <v>0</v>
      </c>
      <c r="N50" s="33">
        <f t="shared" ref="N50:O50" si="29">SUM(N51,N286)</f>
        <v>0</v>
      </c>
      <c r="O50" s="34">
        <f t="shared" si="29"/>
        <v>0</v>
      </c>
      <c r="P50" s="35"/>
    </row>
    <row r="51" spans="1:16" s="28" customFormat="1" ht="36.75" thickTop="1" x14ac:dyDescent="0.25">
      <c r="A51" s="162"/>
      <c r="B51" s="163" t="s">
        <v>69</v>
      </c>
      <c r="C51" s="164">
        <f t="shared" si="0"/>
        <v>1565639</v>
      </c>
      <c r="D51" s="165">
        <f>SUM(D52,D194)</f>
        <v>508856</v>
      </c>
      <c r="E51" s="166">
        <f t="shared" ref="E51:F51" si="30">SUM(E52,E194)</f>
        <v>0</v>
      </c>
      <c r="F51" s="167">
        <f t="shared" si="30"/>
        <v>508856</v>
      </c>
      <c r="G51" s="165">
        <f>SUM(G52,G194)</f>
        <v>981164</v>
      </c>
      <c r="H51" s="166">
        <f t="shared" ref="H51:I51" si="31">SUM(H52,H194)</f>
        <v>34370</v>
      </c>
      <c r="I51" s="167">
        <f t="shared" si="31"/>
        <v>1015534</v>
      </c>
      <c r="J51" s="168">
        <f>SUM(J52,J194)</f>
        <v>41249</v>
      </c>
      <c r="K51" s="169">
        <f t="shared" ref="K51:L51" si="32">SUM(K52,K194)</f>
        <v>0</v>
      </c>
      <c r="L51" s="170">
        <f t="shared" si="32"/>
        <v>41249</v>
      </c>
      <c r="M51" s="168">
        <f>SUM(M52,M194)</f>
        <v>0</v>
      </c>
      <c r="N51" s="169">
        <f t="shared" ref="N51:O51" si="33">SUM(N52,N194)</f>
        <v>0</v>
      </c>
      <c r="O51" s="170">
        <f t="shared" si="33"/>
        <v>0</v>
      </c>
      <c r="P51" s="171"/>
    </row>
    <row r="52" spans="1:16" s="28" customFormat="1" ht="24" x14ac:dyDescent="0.25">
      <c r="A52" s="24"/>
      <c r="B52" s="22" t="s">
        <v>70</v>
      </c>
      <c r="C52" s="172">
        <f t="shared" si="0"/>
        <v>1553396</v>
      </c>
      <c r="D52" s="173">
        <f>SUM(D53,D75,D173,D187)</f>
        <v>501425</v>
      </c>
      <c r="E52" s="174">
        <f t="shared" ref="E52:F52" si="34">SUM(E53,E75,E173,E187)</f>
        <v>0</v>
      </c>
      <c r="F52" s="175">
        <f t="shared" si="34"/>
        <v>501425</v>
      </c>
      <c r="G52" s="173">
        <f>SUM(G53,G75,G173,G187)</f>
        <v>976352</v>
      </c>
      <c r="H52" s="174">
        <f t="shared" ref="H52:I52" si="35">SUM(H53,H75,H173,H187)</f>
        <v>34370</v>
      </c>
      <c r="I52" s="175">
        <f t="shared" si="35"/>
        <v>1010722</v>
      </c>
      <c r="J52" s="173">
        <f>SUM(J53,J75,J173,J187)</f>
        <v>41249</v>
      </c>
      <c r="K52" s="174">
        <f t="shared" ref="K52:L52" si="36">SUM(K53,K75,K173,K187)</f>
        <v>0</v>
      </c>
      <c r="L52" s="175">
        <f t="shared" si="36"/>
        <v>41249</v>
      </c>
      <c r="M52" s="173">
        <f>SUM(M53,M75,M173,M187)</f>
        <v>0</v>
      </c>
      <c r="N52" s="174">
        <f t="shared" ref="N52:O52" si="37">SUM(N53,N75,N173,N187)</f>
        <v>0</v>
      </c>
      <c r="O52" s="175">
        <f t="shared" si="37"/>
        <v>0</v>
      </c>
      <c r="P52" s="176"/>
    </row>
    <row r="53" spans="1:16" s="28" customFormat="1" x14ac:dyDescent="0.25">
      <c r="A53" s="177">
        <v>1000</v>
      </c>
      <c r="B53" s="177" t="s">
        <v>71</v>
      </c>
      <c r="C53" s="178">
        <f t="shared" si="0"/>
        <v>1403607</v>
      </c>
      <c r="D53" s="179">
        <f>SUM(D54,D67)</f>
        <v>407019</v>
      </c>
      <c r="E53" s="180">
        <f t="shared" ref="E53:F53" si="38">SUM(E54,E67)</f>
        <v>0</v>
      </c>
      <c r="F53" s="181">
        <f t="shared" si="38"/>
        <v>407019</v>
      </c>
      <c r="G53" s="179">
        <f>SUM(G54,G67)</f>
        <v>962218</v>
      </c>
      <c r="H53" s="180">
        <f t="shared" ref="H53:I53" si="39">SUM(H54,H67)</f>
        <v>34370</v>
      </c>
      <c r="I53" s="181">
        <f t="shared" si="39"/>
        <v>996588</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1068279</v>
      </c>
      <c r="D54" s="184">
        <f>SUM(D55,D58,D66)</f>
        <v>275156</v>
      </c>
      <c r="E54" s="185">
        <f t="shared" ref="E54:F54" si="42">SUM(E55,E58,E66)</f>
        <v>0</v>
      </c>
      <c r="F54" s="73">
        <f t="shared" si="42"/>
        <v>275156</v>
      </c>
      <c r="G54" s="184">
        <f>SUM(G55,G58,G66)</f>
        <v>766718</v>
      </c>
      <c r="H54" s="185">
        <f t="shared" ref="H54:I54" si="43">SUM(H55,H58,H66)</f>
        <v>26405</v>
      </c>
      <c r="I54" s="73">
        <f t="shared" si="43"/>
        <v>793123</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990749</v>
      </c>
      <c r="D55" s="187">
        <f>SUM(D56:D57)</f>
        <v>233444</v>
      </c>
      <c r="E55" s="188">
        <f t="shared" ref="E55:F55" si="46">SUM(E56:E57)</f>
        <v>-1608</v>
      </c>
      <c r="F55" s="141">
        <f t="shared" si="46"/>
        <v>231836</v>
      </c>
      <c r="G55" s="187">
        <f>SUM(G56:G57)</f>
        <v>737279</v>
      </c>
      <c r="H55" s="188">
        <f t="shared" ref="H55:I55" si="47">SUM(H56:H57)</f>
        <v>21634</v>
      </c>
      <c r="I55" s="141">
        <f t="shared" si="47"/>
        <v>758913</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6.75" customHeight="1" x14ac:dyDescent="0.25">
      <c r="A57" s="51">
        <v>1119</v>
      </c>
      <c r="B57" s="89" t="s">
        <v>75</v>
      </c>
      <c r="C57" s="90">
        <f t="shared" si="0"/>
        <v>990749</v>
      </c>
      <c r="D57" s="53">
        <v>233444</v>
      </c>
      <c r="E57" s="54">
        <v>-1608</v>
      </c>
      <c r="F57" s="55">
        <f t="shared" si="50"/>
        <v>231836</v>
      </c>
      <c r="G57" s="53">
        <v>737279</v>
      </c>
      <c r="H57" s="54">
        <f>31133-9499</f>
        <v>21634</v>
      </c>
      <c r="I57" s="55">
        <f t="shared" si="51"/>
        <v>758913</v>
      </c>
      <c r="J57" s="53"/>
      <c r="K57" s="54"/>
      <c r="L57" s="55">
        <f t="shared" si="52"/>
        <v>0</v>
      </c>
      <c r="M57" s="53"/>
      <c r="N57" s="54"/>
      <c r="O57" s="55">
        <f t="shared" si="53"/>
        <v>0</v>
      </c>
      <c r="P57" s="57" t="s">
        <v>1539</v>
      </c>
    </row>
    <row r="58" spans="1:16" x14ac:dyDescent="0.25">
      <c r="A58" s="189">
        <v>1140</v>
      </c>
      <c r="B58" s="89" t="s">
        <v>76</v>
      </c>
      <c r="C58" s="90">
        <f t="shared" si="0"/>
        <v>74742</v>
      </c>
      <c r="D58" s="190">
        <f>SUM(D59:D65)</f>
        <v>38924</v>
      </c>
      <c r="E58" s="191">
        <f>SUM(E59:E65)</f>
        <v>1608</v>
      </c>
      <c r="F58" s="55">
        <f t="shared" ref="F58" si="54">SUM(F59:F65)</f>
        <v>40532</v>
      </c>
      <c r="G58" s="190">
        <f>SUM(G59:G65)</f>
        <v>29439</v>
      </c>
      <c r="H58" s="191">
        <f t="shared" ref="H58:I58" si="55">SUM(H59:H65)</f>
        <v>4771</v>
      </c>
      <c r="I58" s="55">
        <f t="shared" si="55"/>
        <v>34210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2.5" customHeight="1" x14ac:dyDescent="0.25">
      <c r="A63" s="51">
        <v>1147</v>
      </c>
      <c r="B63" s="89" t="s">
        <v>81</v>
      </c>
      <c r="C63" s="90">
        <f t="shared" si="0"/>
        <v>12995</v>
      </c>
      <c r="D63" s="53">
        <v>3945</v>
      </c>
      <c r="E63" s="54"/>
      <c r="F63" s="55">
        <f t="shared" si="58"/>
        <v>3945</v>
      </c>
      <c r="G63" s="53">
        <v>6800</v>
      </c>
      <c r="H63" s="54">
        <v>2250</v>
      </c>
      <c r="I63" s="55">
        <f t="shared" si="59"/>
        <v>9050</v>
      </c>
      <c r="J63" s="53"/>
      <c r="K63" s="54"/>
      <c r="L63" s="55">
        <f t="shared" si="60"/>
        <v>0</v>
      </c>
      <c r="M63" s="53"/>
      <c r="N63" s="54"/>
      <c r="O63" s="55">
        <f t="shared" si="61"/>
        <v>0</v>
      </c>
      <c r="P63" s="57" t="s">
        <v>1540</v>
      </c>
    </row>
    <row r="64" spans="1:16" ht="20.25" customHeight="1" x14ac:dyDescent="0.25">
      <c r="A64" s="51">
        <v>1148</v>
      </c>
      <c r="B64" s="89" t="s">
        <v>82</v>
      </c>
      <c r="C64" s="90">
        <f t="shared" si="0"/>
        <v>32581</v>
      </c>
      <c r="D64" s="53">
        <v>29328</v>
      </c>
      <c r="E64" s="54">
        <v>1608</v>
      </c>
      <c r="F64" s="55">
        <f t="shared" si="58"/>
        <v>30936</v>
      </c>
      <c r="G64" s="53"/>
      <c r="H64" s="54">
        <v>1645</v>
      </c>
      <c r="I64" s="55">
        <f t="shared" si="59"/>
        <v>1645</v>
      </c>
      <c r="J64" s="53"/>
      <c r="K64" s="54"/>
      <c r="L64" s="55">
        <f t="shared" si="60"/>
        <v>0</v>
      </c>
      <c r="M64" s="53"/>
      <c r="N64" s="54"/>
      <c r="O64" s="55">
        <f t="shared" si="61"/>
        <v>0</v>
      </c>
      <c r="P64" s="57" t="s">
        <v>1541</v>
      </c>
    </row>
    <row r="65" spans="1:16" ht="30.75" customHeight="1" x14ac:dyDescent="0.25">
      <c r="A65" s="51">
        <v>1149</v>
      </c>
      <c r="B65" s="89" t="s">
        <v>83</v>
      </c>
      <c r="C65" s="90">
        <f t="shared" si="0"/>
        <v>23965</v>
      </c>
      <c r="D65" s="53">
        <v>450</v>
      </c>
      <c r="E65" s="54">
        <v>0</v>
      </c>
      <c r="F65" s="55">
        <f t="shared" si="58"/>
        <v>450</v>
      </c>
      <c r="G65" s="53">
        <v>22639</v>
      </c>
      <c r="H65" s="54">
        <v>876</v>
      </c>
      <c r="I65" s="55">
        <f t="shared" si="59"/>
        <v>23515</v>
      </c>
      <c r="J65" s="53"/>
      <c r="K65" s="54"/>
      <c r="L65" s="55">
        <f t="shared" si="60"/>
        <v>0</v>
      </c>
      <c r="M65" s="53"/>
      <c r="N65" s="54"/>
      <c r="O65" s="55">
        <f t="shared" si="61"/>
        <v>0</v>
      </c>
      <c r="P65" s="57" t="s">
        <v>1542</v>
      </c>
    </row>
    <row r="66" spans="1:16" ht="36" customHeight="1" x14ac:dyDescent="0.25">
      <c r="A66" s="186">
        <v>1150</v>
      </c>
      <c r="B66" s="138" t="s">
        <v>84</v>
      </c>
      <c r="C66" s="143">
        <f t="shared" si="0"/>
        <v>2788</v>
      </c>
      <c r="D66" s="144">
        <v>2788</v>
      </c>
      <c r="E66" s="145"/>
      <c r="F66" s="141">
        <f t="shared" si="58"/>
        <v>2788</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335328</v>
      </c>
      <c r="D67" s="184">
        <f>SUM(D68:D69)</f>
        <v>131863</v>
      </c>
      <c r="E67" s="185">
        <f t="shared" ref="E67:F67" si="62">SUM(E68:E69)</f>
        <v>0</v>
      </c>
      <c r="F67" s="73">
        <f t="shared" si="62"/>
        <v>131863</v>
      </c>
      <c r="G67" s="184">
        <f>SUM(G68:G69)</f>
        <v>195500</v>
      </c>
      <c r="H67" s="185">
        <f t="shared" ref="H67:I67" si="63">SUM(H68:H69)</f>
        <v>7965</v>
      </c>
      <c r="I67" s="73">
        <f t="shared" si="63"/>
        <v>203465</v>
      </c>
      <c r="J67" s="184">
        <f>SUM(J68:J69)</f>
        <v>0</v>
      </c>
      <c r="K67" s="185">
        <f t="shared" ref="K67:L67" si="64">SUM(K68:K69)</f>
        <v>0</v>
      </c>
      <c r="L67" s="73">
        <f t="shared" si="64"/>
        <v>0</v>
      </c>
      <c r="M67" s="184">
        <f>SUM(M68:M69)</f>
        <v>0</v>
      </c>
      <c r="N67" s="185">
        <f t="shared" ref="N67:O67" si="65">SUM(N68:N69)</f>
        <v>0</v>
      </c>
      <c r="O67" s="73">
        <f t="shared" si="65"/>
        <v>0</v>
      </c>
      <c r="P67" s="77"/>
    </row>
    <row r="68" spans="1:16" ht="30.75" customHeight="1" x14ac:dyDescent="0.25">
      <c r="A68" s="1208">
        <v>1210</v>
      </c>
      <c r="B68" s="82" t="s">
        <v>86</v>
      </c>
      <c r="C68" s="83">
        <f t="shared" si="0"/>
        <v>269682</v>
      </c>
      <c r="D68" s="46">
        <v>76017</v>
      </c>
      <c r="E68" s="47"/>
      <c r="F68" s="134">
        <f>D68+E68</f>
        <v>76017</v>
      </c>
      <c r="G68" s="46">
        <v>186800</v>
      </c>
      <c r="H68" s="47">
        <f>9154-2289</f>
        <v>6865</v>
      </c>
      <c r="I68" s="134">
        <f>G68+H68</f>
        <v>193665</v>
      </c>
      <c r="J68" s="46"/>
      <c r="K68" s="47"/>
      <c r="L68" s="134">
        <f>K68+J68</f>
        <v>0</v>
      </c>
      <c r="M68" s="46"/>
      <c r="N68" s="47"/>
      <c r="O68" s="134">
        <f>N68+M68</f>
        <v>0</v>
      </c>
      <c r="P68" s="49" t="s">
        <v>1543</v>
      </c>
    </row>
    <row r="69" spans="1:16" ht="24" x14ac:dyDescent="0.25">
      <c r="A69" s="189">
        <v>1220</v>
      </c>
      <c r="B69" s="89" t="s">
        <v>87</v>
      </c>
      <c r="C69" s="90">
        <f t="shared" si="0"/>
        <v>65646</v>
      </c>
      <c r="D69" s="190">
        <f>SUM(D70:D74)</f>
        <v>55846</v>
      </c>
      <c r="E69" s="191">
        <f t="shared" ref="E69:F69" si="66">SUM(E70:E74)</f>
        <v>0</v>
      </c>
      <c r="F69" s="55">
        <f t="shared" si="66"/>
        <v>55846</v>
      </c>
      <c r="G69" s="190">
        <f>SUM(G70:G74)</f>
        <v>8700</v>
      </c>
      <c r="H69" s="191">
        <f t="shared" ref="H69:I69" si="67">SUM(H70:H74)</f>
        <v>1100</v>
      </c>
      <c r="I69" s="55">
        <f t="shared" si="67"/>
        <v>9800</v>
      </c>
      <c r="J69" s="190">
        <f>SUM(J70:J74)</f>
        <v>0</v>
      </c>
      <c r="K69" s="191">
        <f t="shared" ref="K69:L69" si="68">SUM(K70:K74)</f>
        <v>0</v>
      </c>
      <c r="L69" s="55">
        <f t="shared" si="68"/>
        <v>0</v>
      </c>
      <c r="M69" s="190">
        <f>SUM(M70:M74)</f>
        <v>0</v>
      </c>
      <c r="N69" s="191">
        <f t="shared" ref="N69:O69" si="69">SUM(N70:N74)</f>
        <v>0</v>
      </c>
      <c r="O69" s="55">
        <f t="shared" si="69"/>
        <v>0</v>
      </c>
      <c r="P69" s="57"/>
    </row>
    <row r="70" spans="1:16" ht="34.5" customHeight="1" x14ac:dyDescent="0.25">
      <c r="A70" s="51">
        <v>1221</v>
      </c>
      <c r="B70" s="89" t="s">
        <v>88</v>
      </c>
      <c r="C70" s="90">
        <f t="shared" si="0"/>
        <v>49705</v>
      </c>
      <c r="D70" s="53">
        <v>39905</v>
      </c>
      <c r="E70" s="54"/>
      <c r="F70" s="55">
        <f t="shared" ref="F70:F74" si="70">D70+E70</f>
        <v>39905</v>
      </c>
      <c r="G70" s="53">
        <v>8700</v>
      </c>
      <c r="H70" s="54">
        <v>1100</v>
      </c>
      <c r="I70" s="55">
        <f t="shared" ref="I70:I74" si="71">G70+H70</f>
        <v>9800</v>
      </c>
      <c r="J70" s="53"/>
      <c r="K70" s="54"/>
      <c r="L70" s="55">
        <f t="shared" ref="L70:L74" si="72">K70+J70</f>
        <v>0</v>
      </c>
      <c r="M70" s="53"/>
      <c r="N70" s="54"/>
      <c r="O70" s="55">
        <f t="shared" ref="O70:O74" si="73">N70+M70</f>
        <v>0</v>
      </c>
      <c r="P70" s="57" t="s">
        <v>1544</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149789</v>
      </c>
      <c r="D75" s="179">
        <f>SUM(D76,D83,D130,D164,D165,D172)</f>
        <v>94406</v>
      </c>
      <c r="E75" s="180">
        <f t="shared" ref="E75:F75" si="74">SUM(E76,E83,E130,E164,E165,E172)</f>
        <v>0</v>
      </c>
      <c r="F75" s="181">
        <f t="shared" si="74"/>
        <v>94406</v>
      </c>
      <c r="G75" s="179">
        <f>SUM(G76,G83,G130,G164,G165,G172)</f>
        <v>14134</v>
      </c>
      <c r="H75" s="180">
        <f t="shared" ref="H75:I75" si="75">SUM(H76,H83,H130,H164,H165,H172)</f>
        <v>0</v>
      </c>
      <c r="I75" s="181">
        <f t="shared" si="75"/>
        <v>14134</v>
      </c>
      <c r="J75" s="179">
        <f>SUM(J76,J83,J130,J164,J165,J172)</f>
        <v>41249</v>
      </c>
      <c r="K75" s="180">
        <f t="shared" ref="K75:L75" si="76">SUM(K76,K83,K130,K164,K165,K172)</f>
        <v>0</v>
      </c>
      <c r="L75" s="181">
        <f t="shared" si="76"/>
        <v>41249</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208">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30.75"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91952</v>
      </c>
      <c r="D83" s="184">
        <f>SUM(D84,D89,D95,D103,D112,D116,D122,D128)</f>
        <v>44415</v>
      </c>
      <c r="E83" s="185">
        <f t="shared" ref="E83:F83" si="98">SUM(E84,E89,E95,E103,E112,E116,E122,E128)</f>
        <v>0</v>
      </c>
      <c r="F83" s="73">
        <f t="shared" si="98"/>
        <v>44415</v>
      </c>
      <c r="G83" s="184">
        <f>SUM(G84,G89,G95,G103,G112,G116,G122,G128)</f>
        <v>7366</v>
      </c>
      <c r="H83" s="185">
        <f t="shared" ref="H83:I83" si="99">SUM(H84,H89,H95,H103,H112,H116,H122,H128)</f>
        <v>0</v>
      </c>
      <c r="I83" s="73">
        <f t="shared" si="99"/>
        <v>7366</v>
      </c>
      <c r="J83" s="184">
        <f>SUM(J84,J89,J95,J103,J112,J116,J122,J128)</f>
        <v>40171</v>
      </c>
      <c r="K83" s="185">
        <f t="shared" ref="K83:L83" si="100">SUM(K84,K89,K95,K103,K112,K116,K122,K128)</f>
        <v>0</v>
      </c>
      <c r="L83" s="73">
        <f t="shared" si="100"/>
        <v>40171</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437</v>
      </c>
      <c r="D84" s="187">
        <f>SUM(D85:D88)</f>
        <v>437</v>
      </c>
      <c r="E84" s="188">
        <f t="shared" ref="E84:F84" si="103">SUM(E85:E88)</f>
        <v>0</v>
      </c>
      <c r="F84" s="141">
        <f t="shared" si="103"/>
        <v>437</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75" customHeight="1" x14ac:dyDescent="0.25">
      <c r="A86" s="51">
        <v>2212</v>
      </c>
      <c r="B86" s="89" t="s">
        <v>102</v>
      </c>
      <c r="C86" s="90">
        <f t="shared" si="102"/>
        <v>371</v>
      </c>
      <c r="D86" s="196">
        <v>371</v>
      </c>
      <c r="E86" s="197"/>
      <c r="F86" s="55">
        <f t="shared" si="107"/>
        <v>371</v>
      </c>
      <c r="G86" s="53"/>
      <c r="H86" s="54"/>
      <c r="I86" s="55">
        <f t="shared" si="108"/>
        <v>0</v>
      </c>
      <c r="J86" s="53"/>
      <c r="K86" s="54"/>
      <c r="L86" s="55">
        <f t="shared" si="109"/>
        <v>0</v>
      </c>
      <c r="M86" s="53"/>
      <c r="N86" s="54"/>
      <c r="O86" s="55">
        <f t="shared" si="110"/>
        <v>0</v>
      </c>
      <c r="P86" s="57"/>
    </row>
    <row r="87" spans="1:16" ht="25.5"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20.25" customHeight="1" x14ac:dyDescent="0.25">
      <c r="A88" s="51">
        <v>2219</v>
      </c>
      <c r="B88" s="89" t="s">
        <v>104</v>
      </c>
      <c r="C88" s="90">
        <f t="shared" si="102"/>
        <v>15</v>
      </c>
      <c r="D88" s="196">
        <v>15</v>
      </c>
      <c r="E88" s="197"/>
      <c r="F88" s="55">
        <f t="shared" si="107"/>
        <v>15</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66467</v>
      </c>
      <c r="D89" s="190">
        <f>SUM(D90:D94)</f>
        <v>26296</v>
      </c>
      <c r="E89" s="191">
        <f t="shared" ref="E89:F89" si="111">SUM(E90:E94)</f>
        <v>0</v>
      </c>
      <c r="F89" s="55">
        <f t="shared" si="111"/>
        <v>26296</v>
      </c>
      <c r="G89" s="190">
        <f>SUM(G90:G94)</f>
        <v>0</v>
      </c>
      <c r="H89" s="191">
        <f t="shared" ref="H89:I89" si="112">SUM(H90:H94)</f>
        <v>0</v>
      </c>
      <c r="I89" s="55">
        <f t="shared" si="112"/>
        <v>0</v>
      </c>
      <c r="J89" s="190">
        <f>SUM(J90:J94)</f>
        <v>40171</v>
      </c>
      <c r="K89" s="191">
        <f t="shared" ref="K89:L89" si="113">SUM(K90:K94)</f>
        <v>0</v>
      </c>
      <c r="L89" s="55">
        <f t="shared" si="113"/>
        <v>40171</v>
      </c>
      <c r="M89" s="190">
        <f>SUM(M90:M94)</f>
        <v>0</v>
      </c>
      <c r="N89" s="191">
        <f t="shared" ref="N89:O89" si="114">SUM(N90:N94)</f>
        <v>0</v>
      </c>
      <c r="O89" s="55">
        <f t="shared" si="114"/>
        <v>0</v>
      </c>
      <c r="P89" s="57"/>
    </row>
    <row r="90" spans="1:16" ht="30" customHeight="1" x14ac:dyDescent="0.25">
      <c r="A90" s="51">
        <v>2221</v>
      </c>
      <c r="B90" s="89" t="s">
        <v>106</v>
      </c>
      <c r="C90" s="90">
        <f t="shared" si="102"/>
        <v>34686</v>
      </c>
      <c r="D90" s="196">
        <v>9766</v>
      </c>
      <c r="E90" s="197"/>
      <c r="F90" s="55">
        <f t="shared" ref="F90:F94" si="115">D90+E90</f>
        <v>9766</v>
      </c>
      <c r="G90" s="53"/>
      <c r="H90" s="54"/>
      <c r="I90" s="55">
        <f t="shared" ref="I90:I94" si="116">G90+H90</f>
        <v>0</v>
      </c>
      <c r="J90" s="53">
        <v>24920</v>
      </c>
      <c r="K90" s="54"/>
      <c r="L90" s="55">
        <f t="shared" ref="L90:L94" si="117">K90+J90</f>
        <v>24920</v>
      </c>
      <c r="M90" s="53"/>
      <c r="N90" s="54"/>
      <c r="O90" s="55">
        <f t="shared" ref="O90:O94" si="118">N90+M90</f>
        <v>0</v>
      </c>
      <c r="P90" s="57"/>
    </row>
    <row r="91" spans="1:16" ht="12" customHeight="1" x14ac:dyDescent="0.25">
      <c r="A91" s="51">
        <v>2222</v>
      </c>
      <c r="B91" s="89" t="s">
        <v>107</v>
      </c>
      <c r="C91" s="90">
        <f t="shared" si="102"/>
        <v>7126</v>
      </c>
      <c r="D91" s="196">
        <v>2114</v>
      </c>
      <c r="E91" s="197"/>
      <c r="F91" s="55">
        <f t="shared" si="115"/>
        <v>2114</v>
      </c>
      <c r="G91" s="53"/>
      <c r="H91" s="54"/>
      <c r="I91" s="55">
        <f t="shared" si="116"/>
        <v>0</v>
      </c>
      <c r="J91" s="53">
        <v>5012</v>
      </c>
      <c r="K91" s="54"/>
      <c r="L91" s="55">
        <f t="shared" si="117"/>
        <v>5012</v>
      </c>
      <c r="M91" s="53"/>
      <c r="N91" s="54"/>
      <c r="O91" s="55">
        <f t="shared" si="118"/>
        <v>0</v>
      </c>
      <c r="P91" s="57"/>
    </row>
    <row r="92" spans="1:16" ht="12" customHeight="1" x14ac:dyDescent="0.25">
      <c r="A92" s="51">
        <v>2223</v>
      </c>
      <c r="B92" s="89" t="s">
        <v>108</v>
      </c>
      <c r="C92" s="90">
        <f t="shared" si="102"/>
        <v>23582</v>
      </c>
      <c r="D92" s="196">
        <v>13343</v>
      </c>
      <c r="E92" s="1335"/>
      <c r="F92" s="55">
        <f t="shared" si="115"/>
        <v>13343</v>
      </c>
      <c r="G92" s="53"/>
      <c r="H92" s="54"/>
      <c r="I92" s="55">
        <f t="shared" si="116"/>
        <v>0</v>
      </c>
      <c r="J92" s="53">
        <v>10239</v>
      </c>
      <c r="K92" s="54"/>
      <c r="L92" s="55">
        <f t="shared" si="117"/>
        <v>10239</v>
      </c>
      <c r="M92" s="53"/>
      <c r="N92" s="54"/>
      <c r="O92" s="55">
        <f t="shared" si="118"/>
        <v>0</v>
      </c>
      <c r="P92" s="57"/>
    </row>
    <row r="93" spans="1:16" ht="55.5" customHeight="1" x14ac:dyDescent="0.25">
      <c r="A93" s="51">
        <v>2224</v>
      </c>
      <c r="B93" s="89" t="s">
        <v>109</v>
      </c>
      <c r="C93" s="90">
        <f t="shared" si="102"/>
        <v>1073</v>
      </c>
      <c r="D93" s="196">
        <v>1073</v>
      </c>
      <c r="E93" s="1335"/>
      <c r="F93" s="55">
        <f t="shared" si="115"/>
        <v>1073</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2081</v>
      </c>
      <c r="D95" s="190">
        <f>SUM(D96:D102)</f>
        <v>2081</v>
      </c>
      <c r="E95" s="191">
        <f t="shared" ref="E95:F95" si="119">SUM(E96:E102)</f>
        <v>0</v>
      </c>
      <c r="F95" s="55">
        <f t="shared" si="119"/>
        <v>2081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91</v>
      </c>
      <c r="D100" s="196">
        <v>91</v>
      </c>
      <c r="E100" s="1335"/>
      <c r="F100" s="55">
        <f t="shared" si="123"/>
        <v>91</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1990</v>
      </c>
      <c r="D102" s="196">
        <v>1990</v>
      </c>
      <c r="E102" s="1335"/>
      <c r="F102" s="55">
        <f t="shared" si="123"/>
        <v>1990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8607</v>
      </c>
      <c r="D103" s="190">
        <f>SUM(D104:D111)</f>
        <v>8607</v>
      </c>
      <c r="E103" s="191">
        <f t="shared" ref="E103:F103" si="127">SUM(E104:E111)</f>
        <v>0</v>
      </c>
      <c r="F103" s="55">
        <f t="shared" si="127"/>
        <v>8607</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963</v>
      </c>
      <c r="D106" s="196">
        <v>963</v>
      </c>
      <c r="E106" s="197"/>
      <c r="F106" s="55">
        <f t="shared" si="131"/>
        <v>963</v>
      </c>
      <c r="G106" s="53"/>
      <c r="H106" s="54"/>
      <c r="I106" s="55">
        <f t="shared" si="132"/>
        <v>0</v>
      </c>
      <c r="J106" s="53"/>
      <c r="K106" s="54"/>
      <c r="L106" s="55">
        <f t="shared" si="133"/>
        <v>0</v>
      </c>
      <c r="M106" s="53"/>
      <c r="N106" s="54"/>
      <c r="O106" s="55">
        <f t="shared" si="134"/>
        <v>0</v>
      </c>
      <c r="P106" s="57"/>
    </row>
    <row r="107" spans="1:16" ht="18" customHeight="1" x14ac:dyDescent="0.25">
      <c r="A107" s="51">
        <v>2244</v>
      </c>
      <c r="B107" s="89" t="s">
        <v>123</v>
      </c>
      <c r="C107" s="90">
        <f t="shared" si="102"/>
        <v>7160</v>
      </c>
      <c r="D107" s="196">
        <v>7160</v>
      </c>
      <c r="E107" s="197"/>
      <c r="F107" s="55">
        <f t="shared" si="131"/>
        <v>7160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484</v>
      </c>
      <c r="D111" s="196">
        <v>484</v>
      </c>
      <c r="E111" s="197"/>
      <c r="F111" s="55">
        <f t="shared" si="131"/>
        <v>484</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2552</v>
      </c>
      <c r="D112" s="190">
        <f>SUM(D113:D115)</f>
        <v>2552</v>
      </c>
      <c r="E112" s="191">
        <f t="shared" ref="E112:F112" si="135">SUM(E113:E115)</f>
        <v>0</v>
      </c>
      <c r="F112" s="55">
        <f t="shared" si="135"/>
        <v>2552</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85</v>
      </c>
      <c r="D113" s="196">
        <v>85</v>
      </c>
      <c r="E113" s="197"/>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2053</v>
      </c>
      <c r="D114" s="196">
        <v>2053</v>
      </c>
      <c r="E114" s="197"/>
      <c r="F114" s="55">
        <f t="shared" si="139"/>
        <v>2053</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414</v>
      </c>
      <c r="D115" s="196">
        <v>414</v>
      </c>
      <c r="E115" s="197"/>
      <c r="F115" s="55">
        <f t="shared" si="139"/>
        <v>414</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4794</v>
      </c>
      <c r="D116" s="190">
        <f>SUM(D117:D121)</f>
        <v>4442</v>
      </c>
      <c r="E116" s="191">
        <f t="shared" ref="E116:F116" si="143">SUM(E117:E121)</f>
        <v>0</v>
      </c>
      <c r="F116" s="55">
        <f t="shared" si="143"/>
        <v>4442</v>
      </c>
      <c r="G116" s="190">
        <f>SUM(G117:G121)</f>
        <v>352</v>
      </c>
      <c r="H116" s="191">
        <f t="shared" ref="H116:I116" si="144">SUM(H117:H121)</f>
        <v>0</v>
      </c>
      <c r="I116" s="55">
        <f t="shared" si="144"/>
        <v>352</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22.5" customHeight="1" x14ac:dyDescent="0.25">
      <c r="A117" s="51">
        <v>2261</v>
      </c>
      <c r="B117" s="89" t="s">
        <v>133</v>
      </c>
      <c r="C117" s="90">
        <f t="shared" si="102"/>
        <v>4390</v>
      </c>
      <c r="D117" s="196">
        <v>4390</v>
      </c>
      <c r="E117" s="197"/>
      <c r="F117" s="55">
        <f t="shared" ref="F117:F121" si="147">D117+E117</f>
        <v>4390</v>
      </c>
      <c r="G117" s="53"/>
      <c r="H117" s="54"/>
      <c r="I117" s="55">
        <f t="shared" ref="I117:I121" si="148">G117+H117</f>
        <v>0</v>
      </c>
      <c r="J117" s="53"/>
      <c r="K117" s="54"/>
      <c r="L117" s="55">
        <f t="shared" ref="L117:L121" si="149">K117+J117</f>
        <v>0</v>
      </c>
      <c r="M117" s="53"/>
      <c r="N117" s="54"/>
      <c r="O117" s="55">
        <f t="shared" ref="O117:O121" si="150">N117+M117</f>
        <v>0</v>
      </c>
      <c r="P117" s="57"/>
    </row>
    <row r="118" spans="1:16" ht="23.25" customHeight="1" x14ac:dyDescent="0.25">
      <c r="A118" s="51">
        <v>2262</v>
      </c>
      <c r="B118" s="89" t="s">
        <v>134</v>
      </c>
      <c r="C118" s="90">
        <f t="shared" si="102"/>
        <v>352</v>
      </c>
      <c r="D118" s="196"/>
      <c r="E118" s="197"/>
      <c r="F118" s="55">
        <f t="shared" si="147"/>
        <v>0</v>
      </c>
      <c r="G118" s="53">
        <v>352</v>
      </c>
      <c r="H118" s="54"/>
      <c r="I118" s="55">
        <f t="shared" si="148"/>
        <v>352</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1.25"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7014</v>
      </c>
      <c r="D122" s="190">
        <f>SUM(D123:D127)</f>
        <v>0</v>
      </c>
      <c r="E122" s="191">
        <f t="shared" ref="E122:F122" si="151">SUM(E123:E127)</f>
        <v>0</v>
      </c>
      <c r="F122" s="55">
        <f t="shared" si="151"/>
        <v>0</v>
      </c>
      <c r="G122" s="190">
        <f>SUM(G123:G127)</f>
        <v>7014</v>
      </c>
      <c r="H122" s="191">
        <f t="shared" ref="H122:I122" si="152">SUM(H123:H127)</f>
        <v>0</v>
      </c>
      <c r="I122" s="55">
        <f t="shared" si="152"/>
        <v>7014</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30.75" hidden="1" customHeight="1" x14ac:dyDescent="0.25">
      <c r="A125" s="51">
        <v>2275</v>
      </c>
      <c r="B125" s="89" t="s">
        <v>141</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4.5"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3.75" customHeight="1" x14ac:dyDescent="0.25">
      <c r="A127" s="51">
        <v>2279</v>
      </c>
      <c r="B127" s="89" t="s">
        <v>143</v>
      </c>
      <c r="C127" s="90">
        <f t="shared" si="102"/>
        <v>7014</v>
      </c>
      <c r="D127" s="196">
        <v>0</v>
      </c>
      <c r="E127" s="197"/>
      <c r="F127" s="55">
        <f t="shared" si="155"/>
        <v>0</v>
      </c>
      <c r="G127" s="53">
        <v>7014</v>
      </c>
      <c r="H127" s="54"/>
      <c r="I127" s="55">
        <f t="shared" si="156"/>
        <v>7014</v>
      </c>
      <c r="J127" s="53"/>
      <c r="K127" s="54"/>
      <c r="L127" s="55">
        <f t="shared" si="157"/>
        <v>0</v>
      </c>
      <c r="M127" s="53"/>
      <c r="N127" s="54"/>
      <c r="O127" s="55">
        <f t="shared" si="158"/>
        <v>0</v>
      </c>
      <c r="P127" s="57"/>
    </row>
    <row r="128" spans="1:16" ht="48" hidden="1" x14ac:dyDescent="0.25">
      <c r="A128" s="1208">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57809</v>
      </c>
      <c r="D130" s="184">
        <f>SUM(D131,D136,D140,D141,D144,D151,D159,D160,D163)</f>
        <v>49963</v>
      </c>
      <c r="E130" s="185">
        <f t="shared" ref="E130:F130" si="160">SUM(E131,E136,E140,E141,E144,E151,E159,E160,E163)</f>
        <v>0</v>
      </c>
      <c r="F130" s="73">
        <f t="shared" si="160"/>
        <v>49963</v>
      </c>
      <c r="G130" s="184">
        <f>SUM(G131,G136,G140,G141,G144,G151,G159,G160,G163)</f>
        <v>6768</v>
      </c>
      <c r="H130" s="185">
        <f t="shared" ref="H130:I130" si="161">SUM(H131,H136,H140,H141,H144,H151,H159,H160,H163)</f>
        <v>0</v>
      </c>
      <c r="I130" s="73">
        <f t="shared" si="161"/>
        <v>6768</v>
      </c>
      <c r="J130" s="184">
        <f>SUM(J131,J136,J140,J141,J144,J151,J159,J160,J163)</f>
        <v>1078</v>
      </c>
      <c r="K130" s="185">
        <f t="shared" ref="K130:L130" si="162">SUM(K131,K136,K140,K141,K144,K151,K159,K160,K163)</f>
        <v>0</v>
      </c>
      <c r="L130" s="73">
        <f t="shared" si="162"/>
        <v>1078</v>
      </c>
      <c r="M130" s="184">
        <f>SUM(M131,M136,M140,M141,M144,M151,M159,M160,M163)</f>
        <v>0</v>
      </c>
      <c r="N130" s="185">
        <f t="shared" ref="N130:O130" si="163">SUM(N131,N136,N140,N141,N144,N151,N159,N160,N163)</f>
        <v>0</v>
      </c>
      <c r="O130" s="73">
        <f t="shared" si="163"/>
        <v>0</v>
      </c>
      <c r="P130" s="77"/>
    </row>
    <row r="131" spans="1:16" ht="24" x14ac:dyDescent="0.25">
      <c r="A131" s="1208">
        <v>2310</v>
      </c>
      <c r="B131" s="82" t="s">
        <v>147</v>
      </c>
      <c r="C131" s="83">
        <f t="shared" si="102"/>
        <v>26177</v>
      </c>
      <c r="D131" s="194">
        <f t="shared" ref="D131:O131" si="164">SUM(D132:D135)</f>
        <v>26177</v>
      </c>
      <c r="E131" s="195">
        <f t="shared" si="164"/>
        <v>0</v>
      </c>
      <c r="F131" s="134">
        <f t="shared" si="164"/>
        <v>26177</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1670</v>
      </c>
      <c r="D132" s="196">
        <v>1670</v>
      </c>
      <c r="E132" s="197"/>
      <c r="F132" s="55">
        <f t="shared" ref="F132:F135" si="165">D132+E132</f>
        <v>1670</v>
      </c>
      <c r="G132" s="53"/>
      <c r="H132" s="54"/>
      <c r="I132" s="55">
        <f t="shared" ref="I132:I135" si="166">G132+H132</f>
        <v>0</v>
      </c>
      <c r="J132" s="53"/>
      <c r="K132" s="54"/>
      <c r="L132" s="55">
        <f t="shared" ref="L132:L135" si="167">K132+J132</f>
        <v>0</v>
      </c>
      <c r="M132" s="53"/>
      <c r="N132" s="54"/>
      <c r="O132" s="55">
        <f t="shared" ref="O132:O135" si="168">N132+M132</f>
        <v>0</v>
      </c>
      <c r="P132" s="57"/>
    </row>
    <row r="133" spans="1:16" ht="18" customHeight="1" x14ac:dyDescent="0.25">
      <c r="A133" s="51">
        <v>2312</v>
      </c>
      <c r="B133" s="89" t="s">
        <v>149</v>
      </c>
      <c r="C133" s="90">
        <f t="shared" si="102"/>
        <v>24465</v>
      </c>
      <c r="D133" s="196">
        <v>24465</v>
      </c>
      <c r="E133" s="197"/>
      <c r="F133" s="55">
        <f t="shared" si="165"/>
        <v>24465</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42</v>
      </c>
      <c r="D135" s="196">
        <v>42</v>
      </c>
      <c r="E135" s="197"/>
      <c r="F135" s="55">
        <f t="shared" si="165"/>
        <v>42</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411</v>
      </c>
      <c r="D136" s="190">
        <f>SUM(D137:D139)</f>
        <v>253</v>
      </c>
      <c r="E136" s="191">
        <f t="shared" ref="E136:F136" si="169">SUM(E137:E139)</f>
        <v>0</v>
      </c>
      <c r="F136" s="55">
        <f t="shared" si="169"/>
        <v>253</v>
      </c>
      <c r="G136" s="190">
        <f>SUM(G137:G139)</f>
        <v>0</v>
      </c>
      <c r="H136" s="191">
        <f t="shared" ref="H136:I136" si="170">SUM(H137:H139)</f>
        <v>0</v>
      </c>
      <c r="I136" s="55">
        <f t="shared" si="170"/>
        <v>0</v>
      </c>
      <c r="J136" s="190">
        <f>SUM(J137:J139)</f>
        <v>158</v>
      </c>
      <c r="K136" s="191">
        <f t="shared" ref="K136:L136" si="171">SUM(K137:K139)</f>
        <v>0</v>
      </c>
      <c r="L136" s="55">
        <f t="shared" si="171"/>
        <v>158</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411</v>
      </c>
      <c r="D138" s="196">
        <v>253</v>
      </c>
      <c r="E138" s="197"/>
      <c r="F138" s="55">
        <f t="shared" si="173"/>
        <v>253</v>
      </c>
      <c r="G138" s="53"/>
      <c r="H138" s="54"/>
      <c r="I138" s="55">
        <f t="shared" si="174"/>
        <v>0</v>
      </c>
      <c r="J138" s="53">
        <v>158</v>
      </c>
      <c r="K138" s="54"/>
      <c r="L138" s="55">
        <f t="shared" si="175"/>
        <v>158</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260</v>
      </c>
      <c r="D141" s="190">
        <f>SUM(D142:D143)</f>
        <v>260</v>
      </c>
      <c r="E141" s="191">
        <f t="shared" ref="E141:F141" si="177">SUM(E142:E143)</f>
        <v>0</v>
      </c>
      <c r="F141" s="55">
        <f t="shared" si="177"/>
        <v>260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260</v>
      </c>
      <c r="D142" s="196">
        <v>260</v>
      </c>
      <c r="E142" s="197"/>
      <c r="F142" s="55">
        <f t="shared" ref="F142:F143" si="181">D142+E142</f>
        <v>260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5943</v>
      </c>
      <c r="D144" s="187">
        <f>SUM(D145:D150)</f>
        <v>5023</v>
      </c>
      <c r="E144" s="188">
        <f t="shared" ref="E144:F144" si="185">SUM(E145:E150)</f>
        <v>0</v>
      </c>
      <c r="F144" s="141">
        <f t="shared" si="185"/>
        <v>5023</v>
      </c>
      <c r="G144" s="187">
        <f>SUM(G145:G150)</f>
        <v>0</v>
      </c>
      <c r="H144" s="188">
        <f t="shared" ref="H144:I144" si="186">SUM(H145:H150)</f>
        <v>0</v>
      </c>
      <c r="I144" s="141">
        <f t="shared" si="186"/>
        <v>0</v>
      </c>
      <c r="J144" s="187">
        <f>SUM(J145:J150)</f>
        <v>920</v>
      </c>
      <c r="K144" s="188">
        <f t="shared" ref="K144:L144" si="187">SUM(K145:K150)</f>
        <v>0</v>
      </c>
      <c r="L144" s="141">
        <f t="shared" si="187"/>
        <v>920</v>
      </c>
      <c r="M144" s="187">
        <f>SUM(M145:M150)</f>
        <v>0</v>
      </c>
      <c r="N144" s="188">
        <f t="shared" ref="N144:O144" si="188">SUM(N145:N150)</f>
        <v>0</v>
      </c>
      <c r="O144" s="141">
        <f t="shared" si="188"/>
        <v>0</v>
      </c>
      <c r="P144" s="129"/>
    </row>
    <row r="145" spans="1:16" ht="12" customHeight="1" x14ac:dyDescent="0.25">
      <c r="A145" s="44">
        <v>2351</v>
      </c>
      <c r="B145" s="82" t="s">
        <v>161</v>
      </c>
      <c r="C145" s="83">
        <f t="shared" si="102"/>
        <v>894</v>
      </c>
      <c r="D145" s="199">
        <v>894</v>
      </c>
      <c r="E145" s="200"/>
      <c r="F145" s="134">
        <f t="shared" ref="F145:F150" si="189">D145+E145</f>
        <v>894</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8.75" customHeight="1" x14ac:dyDescent="0.25">
      <c r="A146" s="51">
        <v>2352</v>
      </c>
      <c r="B146" s="89" t="s">
        <v>162</v>
      </c>
      <c r="C146" s="90">
        <f t="shared" si="102"/>
        <v>3940</v>
      </c>
      <c r="D146" s="196">
        <v>3020</v>
      </c>
      <c r="E146" s="1335"/>
      <c r="F146" s="55">
        <f t="shared" si="189"/>
        <v>3020</v>
      </c>
      <c r="G146" s="53"/>
      <c r="H146" s="54"/>
      <c r="I146" s="55">
        <f t="shared" si="190"/>
        <v>0</v>
      </c>
      <c r="J146" s="53">
        <v>920</v>
      </c>
      <c r="K146" s="54"/>
      <c r="L146" s="55">
        <f t="shared" si="191"/>
        <v>920</v>
      </c>
      <c r="M146" s="53"/>
      <c r="N146" s="54"/>
      <c r="O146" s="55">
        <f t="shared" si="192"/>
        <v>0</v>
      </c>
      <c r="P146" s="57"/>
    </row>
    <row r="147" spans="1:16" ht="24" customHeight="1" x14ac:dyDescent="0.25">
      <c r="A147" s="51">
        <v>2353</v>
      </c>
      <c r="B147" s="89" t="s">
        <v>163</v>
      </c>
      <c r="C147" s="90">
        <f t="shared" si="102"/>
        <v>449</v>
      </c>
      <c r="D147" s="196">
        <v>449</v>
      </c>
      <c r="E147" s="197"/>
      <c r="F147" s="55">
        <f t="shared" si="189"/>
        <v>449</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660</v>
      </c>
      <c r="D149" s="196">
        <v>660</v>
      </c>
      <c r="E149" s="1335"/>
      <c r="F149" s="55">
        <f t="shared" si="189"/>
        <v>660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2080</v>
      </c>
      <c r="D151" s="190">
        <f>SUM(D152:D158)</f>
        <v>2080</v>
      </c>
      <c r="E151" s="191">
        <f t="shared" ref="E151:F151" si="194">SUM(E152:E158)</f>
        <v>0</v>
      </c>
      <c r="F151" s="55">
        <f t="shared" si="194"/>
        <v>2080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680</v>
      </c>
      <c r="D152" s="196">
        <v>680</v>
      </c>
      <c r="E152" s="197"/>
      <c r="F152" s="55">
        <f t="shared" ref="F152:F159" si="198">D152+E152</f>
        <v>680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5" customHeight="1" x14ac:dyDescent="0.25">
      <c r="A154" s="50">
        <v>2363</v>
      </c>
      <c r="B154" s="89" t="s">
        <v>170</v>
      </c>
      <c r="C154" s="90">
        <f t="shared" si="193"/>
        <v>1400</v>
      </c>
      <c r="D154" s="196">
        <v>1400</v>
      </c>
      <c r="E154" s="197"/>
      <c r="F154" s="55">
        <f t="shared" si="198"/>
        <v>1400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75" customHeight="1" x14ac:dyDescent="0.25">
      <c r="A159" s="186">
        <v>2370</v>
      </c>
      <c r="B159" s="138" t="s">
        <v>175</v>
      </c>
      <c r="C159" s="143">
        <f t="shared" si="193"/>
        <v>22938</v>
      </c>
      <c r="D159" s="203">
        <v>16170</v>
      </c>
      <c r="E159" s="204"/>
      <c r="F159" s="141">
        <f t="shared" si="198"/>
        <v>16170</v>
      </c>
      <c r="G159" s="144">
        <v>6768</v>
      </c>
      <c r="H159" s="145"/>
      <c r="I159" s="141">
        <f t="shared" si="199"/>
        <v>6768</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customHeight="1" x14ac:dyDescent="0.25">
      <c r="A164" s="69">
        <v>2400</v>
      </c>
      <c r="B164" s="183" t="s">
        <v>180</v>
      </c>
      <c r="C164" s="70">
        <f t="shared" si="193"/>
        <v>28</v>
      </c>
      <c r="D164" s="205">
        <v>28</v>
      </c>
      <c r="E164" s="206"/>
      <c r="F164" s="73">
        <f t="shared" si="206"/>
        <v>28</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208">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208">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08">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208">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208">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12243</v>
      </c>
      <c r="D194" s="173">
        <f t="shared" ref="D194:O194" si="259">SUM(D195,D230,D269,D283)</f>
        <v>7431</v>
      </c>
      <c r="E194" s="174">
        <f t="shared" si="259"/>
        <v>0</v>
      </c>
      <c r="F194" s="175">
        <f t="shared" si="259"/>
        <v>7431</v>
      </c>
      <c r="G194" s="173">
        <f t="shared" si="259"/>
        <v>4812</v>
      </c>
      <c r="H194" s="174">
        <f t="shared" si="259"/>
        <v>0</v>
      </c>
      <c r="I194" s="175">
        <f t="shared" si="259"/>
        <v>4812</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12243</v>
      </c>
      <c r="D195" s="179">
        <f>D196+D204</f>
        <v>7431</v>
      </c>
      <c r="E195" s="180">
        <f t="shared" ref="E195:F195" si="260">E196+E204</f>
        <v>0</v>
      </c>
      <c r="F195" s="181">
        <f t="shared" si="260"/>
        <v>7431</v>
      </c>
      <c r="G195" s="179">
        <f>G196+G204</f>
        <v>4812</v>
      </c>
      <c r="H195" s="180">
        <f t="shared" ref="H195:I195" si="261">H196+H204</f>
        <v>0</v>
      </c>
      <c r="I195" s="181">
        <f t="shared" si="261"/>
        <v>4812</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208">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12243</v>
      </c>
      <c r="D204" s="184">
        <f>D205+D215+D216+D225+D226+D227+D229</f>
        <v>7431</v>
      </c>
      <c r="E204" s="185">
        <f t="shared" ref="E204:F204" si="276">E205+E215+E216+E225+E226+E227+E229</f>
        <v>0</v>
      </c>
      <c r="F204" s="73">
        <f t="shared" si="276"/>
        <v>7431</v>
      </c>
      <c r="G204" s="184">
        <f>G205+G215+G216+G225+G226+G227+G229</f>
        <v>4812</v>
      </c>
      <c r="H204" s="185">
        <f t="shared" ref="H204:I204" si="277">H205+H215+H216+H225+H226+H227+H229</f>
        <v>0</v>
      </c>
      <c r="I204" s="73">
        <f t="shared" si="277"/>
        <v>4812</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12243</v>
      </c>
      <c r="D216" s="190">
        <f>SUM(D217:D224)</f>
        <v>7431</v>
      </c>
      <c r="E216" s="191">
        <f t="shared" ref="E216:F216" si="289">SUM(E217:E224)</f>
        <v>0</v>
      </c>
      <c r="F216" s="55">
        <f t="shared" si="289"/>
        <v>7431</v>
      </c>
      <c r="G216" s="190">
        <f>SUM(G217:G224)</f>
        <v>4812</v>
      </c>
      <c r="H216" s="191">
        <f t="shared" ref="H216:I216" si="290">SUM(H217:H224)</f>
        <v>0</v>
      </c>
      <c r="I216" s="55">
        <f t="shared" si="290"/>
        <v>4812</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10712</v>
      </c>
      <c r="D219" s="196">
        <v>5900</v>
      </c>
      <c r="E219" s="197"/>
      <c r="F219" s="55">
        <f t="shared" si="293"/>
        <v>5900</v>
      </c>
      <c r="G219" s="53">
        <v>4812</v>
      </c>
      <c r="H219" s="54"/>
      <c r="I219" s="55">
        <f t="shared" si="294"/>
        <v>4812</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1531</v>
      </c>
      <c r="D224" s="196">
        <v>1531</v>
      </c>
      <c r="E224" s="197"/>
      <c r="F224" s="55">
        <f t="shared" si="293"/>
        <v>1531</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208">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8">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208">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208">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208">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8">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895</v>
      </c>
      <c r="D286" s="190">
        <f>SUM(D287:D288)</f>
        <v>0</v>
      </c>
      <c r="E286" s="191">
        <f t="shared" ref="E286:F286" si="381">SUM(E287:E288)</f>
        <v>0</v>
      </c>
      <c r="F286" s="55">
        <f t="shared" si="381"/>
        <v>0</v>
      </c>
      <c r="G286" s="190">
        <f>SUM(G287:G288)</f>
        <v>895</v>
      </c>
      <c r="H286" s="191">
        <f t="shared" ref="H286:I286" si="382">SUM(H287:H288)</f>
        <v>0</v>
      </c>
      <c r="I286" s="55">
        <f t="shared" si="382"/>
        <v>895</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895</v>
      </c>
      <c r="D288" s="199"/>
      <c r="E288" s="200"/>
      <c r="F288" s="134">
        <f t="shared" si="385"/>
        <v>0</v>
      </c>
      <c r="G288" s="46">
        <v>895</v>
      </c>
      <c r="H288" s="47">
        <v>0</v>
      </c>
      <c r="I288" s="134">
        <f t="shared" si="386"/>
        <v>895</v>
      </c>
      <c r="J288" s="46"/>
      <c r="K288" s="47"/>
      <c r="L288" s="134">
        <f t="shared" si="387"/>
        <v>0</v>
      </c>
      <c r="M288" s="46"/>
      <c r="N288" s="47"/>
      <c r="O288" s="134">
        <f t="shared" si="388"/>
        <v>0</v>
      </c>
      <c r="P288" s="49"/>
    </row>
    <row r="289" spans="1:16" ht="12.75" thickBot="1" x14ac:dyDescent="0.3">
      <c r="A289" s="250"/>
      <c r="B289" s="250" t="s">
        <v>307</v>
      </c>
      <c r="C289" s="251">
        <f t="shared" si="371"/>
        <v>1566534</v>
      </c>
      <c r="D289" s="252">
        <f t="shared" ref="D289:O289" si="389">SUM(D286,D269,D230,D195,D187,D173,D75,D53,D283)</f>
        <v>508856</v>
      </c>
      <c r="E289" s="253">
        <f t="shared" si="389"/>
        <v>0</v>
      </c>
      <c r="F289" s="254">
        <f t="shared" si="389"/>
        <v>508856</v>
      </c>
      <c r="G289" s="252">
        <f t="shared" si="389"/>
        <v>982059</v>
      </c>
      <c r="H289" s="253">
        <f t="shared" si="389"/>
        <v>34370</v>
      </c>
      <c r="I289" s="254">
        <f t="shared" si="389"/>
        <v>1016429</v>
      </c>
      <c r="J289" s="252">
        <f t="shared" si="389"/>
        <v>41249</v>
      </c>
      <c r="K289" s="253">
        <f t="shared" si="389"/>
        <v>0</v>
      </c>
      <c r="L289" s="254">
        <f t="shared" si="389"/>
        <v>41249</v>
      </c>
      <c r="M289" s="252">
        <f t="shared" si="389"/>
        <v>0</v>
      </c>
      <c r="N289" s="253">
        <f t="shared" si="389"/>
        <v>0</v>
      </c>
      <c r="O289" s="254">
        <f t="shared" si="389"/>
        <v>0</v>
      </c>
      <c r="P289" s="255"/>
    </row>
    <row r="290" spans="1:16" s="28" customFormat="1" ht="13.5" thickTop="1" thickBot="1" x14ac:dyDescent="0.3">
      <c r="A290" s="1544" t="s">
        <v>308</v>
      </c>
      <c r="B290" s="1545"/>
      <c r="C290" s="256">
        <f t="shared" si="371"/>
        <v>-7534</v>
      </c>
      <c r="D290" s="257">
        <f>SUM(D24,D25,D41)-D51</f>
        <v>0</v>
      </c>
      <c r="E290" s="258">
        <f t="shared" ref="E290:F290" si="390">SUM(E24,E25,E41)-E51</f>
        <v>0</v>
      </c>
      <c r="F290" s="259">
        <f t="shared" si="390"/>
        <v>0</v>
      </c>
      <c r="G290" s="257">
        <f>SUM(G24,G25,G41)-G51</f>
        <v>895</v>
      </c>
      <c r="H290" s="258">
        <f t="shared" ref="H290:I290" si="391">SUM(H24,H25,H41)-H51</f>
        <v>0</v>
      </c>
      <c r="I290" s="259">
        <f t="shared" si="391"/>
        <v>895</v>
      </c>
      <c r="J290" s="257">
        <f>(J26+J43)-J51</f>
        <v>-8429</v>
      </c>
      <c r="K290" s="258">
        <f t="shared" ref="K290:L290" si="392">(K26+K43)-K51</f>
        <v>0</v>
      </c>
      <c r="L290" s="259">
        <f t="shared" si="392"/>
        <v>-8429</v>
      </c>
      <c r="M290" s="257">
        <f>M45-M51</f>
        <v>0</v>
      </c>
      <c r="N290" s="258">
        <f t="shared" ref="N290:O290" si="393">N45-N51</f>
        <v>0</v>
      </c>
      <c r="O290" s="259">
        <f t="shared" si="393"/>
        <v>0</v>
      </c>
      <c r="P290" s="260"/>
    </row>
    <row r="291" spans="1:16" s="28" customFormat="1" ht="12.75" thickTop="1" x14ac:dyDescent="0.25">
      <c r="A291" s="1546" t="s">
        <v>309</v>
      </c>
      <c r="B291" s="1547"/>
      <c r="C291" s="261">
        <f t="shared" si="371"/>
        <v>7534</v>
      </c>
      <c r="D291" s="262">
        <f t="shared" ref="D291:O291" si="394">SUM(D292,D293)-D300+D301</f>
        <v>0</v>
      </c>
      <c r="E291" s="263">
        <f t="shared" si="394"/>
        <v>0</v>
      </c>
      <c r="F291" s="264">
        <f t="shared" si="394"/>
        <v>0</v>
      </c>
      <c r="G291" s="262">
        <f t="shared" si="394"/>
        <v>-895</v>
      </c>
      <c r="H291" s="263">
        <f t="shared" si="394"/>
        <v>0</v>
      </c>
      <c r="I291" s="264">
        <f t="shared" si="394"/>
        <v>-895</v>
      </c>
      <c r="J291" s="262">
        <f t="shared" si="394"/>
        <v>8429</v>
      </c>
      <c r="K291" s="263">
        <f t="shared" si="394"/>
        <v>0</v>
      </c>
      <c r="L291" s="264">
        <f t="shared" si="394"/>
        <v>8429</v>
      </c>
      <c r="M291" s="262">
        <f t="shared" si="394"/>
        <v>0</v>
      </c>
      <c r="N291" s="263">
        <f t="shared" si="394"/>
        <v>0</v>
      </c>
      <c r="O291" s="264">
        <f t="shared" si="394"/>
        <v>0</v>
      </c>
      <c r="P291" s="265"/>
    </row>
    <row r="292" spans="1:16" s="28" customFormat="1" ht="12.75" thickBot="1" x14ac:dyDescent="0.3">
      <c r="A292" s="157" t="s">
        <v>310</v>
      </c>
      <c r="B292" s="157" t="s">
        <v>311</v>
      </c>
      <c r="C292" s="158">
        <f t="shared" si="371"/>
        <v>7534</v>
      </c>
      <c r="D292" s="159">
        <f t="shared" ref="D292:O292" si="395">D21-D286</f>
        <v>0</v>
      </c>
      <c r="E292" s="160">
        <f t="shared" si="395"/>
        <v>0</v>
      </c>
      <c r="F292" s="161">
        <f t="shared" si="395"/>
        <v>0</v>
      </c>
      <c r="G292" s="159">
        <f t="shared" si="395"/>
        <v>-895</v>
      </c>
      <c r="H292" s="160">
        <f t="shared" si="395"/>
        <v>0</v>
      </c>
      <c r="I292" s="161">
        <f t="shared" si="395"/>
        <v>-895</v>
      </c>
      <c r="J292" s="159">
        <f t="shared" si="395"/>
        <v>8429</v>
      </c>
      <c r="K292" s="160">
        <f t="shared" si="395"/>
        <v>0</v>
      </c>
      <c r="L292" s="161">
        <f t="shared" si="395"/>
        <v>8429</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jOFcW39NWngcHCjwk353lXwMEJTj7LTk7l+4CDJploSynpV3Xcyq9hox3XdPqCfCnNRmpC1BFWic1vnqioWckQ==" saltValue="MlR/Q7u/8B90ozxyiNAlAQ==" spinCount="100000" sheet="1" objects="1" scenarios="1" formatCells="0" formatColumns="0" formatRows="0" deleteColumns="0"/>
  <autoFilter ref="A18:P301">
    <filterColumn colId="2">
      <filters>
        <filter val="1 000"/>
        <filter val="1 000 248"/>
        <filter val="1 029"/>
        <filter val="1 073"/>
        <filter val="1 077 778"/>
        <filter val="1 400"/>
        <filter val="1 415 395"/>
        <filter val="1 531"/>
        <filter val="1 537 073"/>
        <filter val="1 565 184"/>
        <filter val="1 577 427"/>
        <filter val="1 578 322"/>
        <filter val="1 670"/>
        <filter val="1 990"/>
        <filter val="10 712"/>
        <filter val="12 243"/>
        <filter val="12 995"/>
        <filter val="14 941"/>
        <filter val="149 789"/>
        <filter val="15"/>
        <filter val="2 053"/>
        <filter val="2 080"/>
        <filter val="2 081"/>
        <filter val="2 552"/>
        <filter val="2 788"/>
        <filter val="22 938"/>
        <filter val="23 582"/>
        <filter val="23 965"/>
        <filter val="24 465"/>
        <filter val="26 177"/>
        <filter val="260"/>
        <filter val="271 971"/>
        <filter val="28"/>
        <filter val="28 908"/>
        <filter val="3 912"/>
        <filter val="3 940"/>
        <filter val="32 581"/>
        <filter val="32 820"/>
        <filter val="337 617"/>
        <filter val="34 686"/>
        <filter val="352"/>
        <filter val="371"/>
        <filter val="4 172"/>
        <filter val="4 390"/>
        <filter val="4 794"/>
        <filter val="411"/>
        <filter val="414"/>
        <filter val="42"/>
        <filter val="437"/>
        <filter val="449"/>
        <filter val="484"/>
        <filter val="49 705"/>
        <filter val="5 943"/>
        <filter val="51"/>
        <filter val="52"/>
        <filter val="57 809"/>
        <filter val="65 646"/>
        <filter val="66 467"/>
        <filter val="660"/>
        <filter val="680"/>
        <filter val="7 014"/>
        <filter val="7 126"/>
        <filter val="7 160"/>
        <filter val="7 534"/>
        <filter val="-7 534"/>
        <filter val="74 742"/>
        <filter val="8 429"/>
        <filter val="8 607"/>
        <filter val="85"/>
        <filter val="894"/>
        <filter val="895"/>
        <filter val="91"/>
        <filter val="91 952"/>
        <filter val="96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45.pielikums Jūrmalas pilsētas domes
2019.gada 31.oktobra saistošajiem noteikumiem Nr.46
(protokols Nr.14, 28.punkts)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5" sqref="T5"/>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1441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1442</v>
      </c>
      <c r="D3" s="1517"/>
      <c r="E3" s="1517"/>
      <c r="F3" s="1517"/>
      <c r="G3" s="1517"/>
      <c r="H3" s="1517"/>
      <c r="I3" s="1517"/>
      <c r="J3" s="1517"/>
      <c r="K3" s="1517"/>
      <c r="L3" s="1517"/>
      <c r="M3" s="1517"/>
      <c r="N3" s="1517"/>
      <c r="O3" s="1517"/>
      <c r="P3" s="1518"/>
      <c r="Q3" s="853"/>
    </row>
    <row r="4" spans="1:17" ht="12.75" customHeight="1" x14ac:dyDescent="0.25">
      <c r="A4" s="5" t="s">
        <v>4</v>
      </c>
      <c r="B4" s="6"/>
      <c r="C4" s="1517" t="s">
        <v>1443</v>
      </c>
      <c r="D4" s="1517"/>
      <c r="E4" s="1517"/>
      <c r="F4" s="1517"/>
      <c r="G4" s="1517"/>
      <c r="H4" s="1517"/>
      <c r="I4" s="1517"/>
      <c r="J4" s="1517"/>
      <c r="K4" s="1517"/>
      <c r="L4" s="1517"/>
      <c r="M4" s="1517"/>
      <c r="N4" s="1517"/>
      <c r="O4" s="1517"/>
      <c r="P4" s="1518"/>
      <c r="Q4" s="853"/>
    </row>
    <row r="5" spans="1:17" ht="12.75" customHeight="1" x14ac:dyDescent="0.25">
      <c r="A5" s="7" t="s">
        <v>6</v>
      </c>
      <c r="B5" s="8"/>
      <c r="C5" s="1512" t="s">
        <v>1444</v>
      </c>
      <c r="D5" s="1512"/>
      <c r="E5" s="1512"/>
      <c r="F5" s="1512"/>
      <c r="G5" s="1512"/>
      <c r="H5" s="1512"/>
      <c r="I5" s="1512"/>
      <c r="J5" s="1512"/>
      <c r="K5" s="1512"/>
      <c r="L5" s="1512"/>
      <c r="M5" s="1512"/>
      <c r="N5" s="1512"/>
      <c r="O5" s="1512"/>
      <c r="P5" s="1513"/>
      <c r="Q5" s="853"/>
    </row>
    <row r="6" spans="1:17" ht="12.75" customHeight="1" x14ac:dyDescent="0.25">
      <c r="A6" s="7" t="s">
        <v>8</v>
      </c>
      <c r="B6" s="8"/>
      <c r="C6" s="1512" t="s">
        <v>924</v>
      </c>
      <c r="D6" s="1512"/>
      <c r="E6" s="1512"/>
      <c r="F6" s="1512"/>
      <c r="G6" s="1512"/>
      <c r="H6" s="1512"/>
      <c r="I6" s="1512"/>
      <c r="J6" s="1512"/>
      <c r="K6" s="1512"/>
      <c r="L6" s="1512"/>
      <c r="M6" s="1512"/>
      <c r="N6" s="1512"/>
      <c r="O6" s="1512"/>
      <c r="P6" s="1513"/>
      <c r="Q6" s="853"/>
    </row>
    <row r="7" spans="1:17" x14ac:dyDescent="0.25">
      <c r="A7" s="7" t="s">
        <v>10</v>
      </c>
      <c r="B7" s="8"/>
      <c r="C7" s="1517" t="s">
        <v>925</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1445</v>
      </c>
      <c r="D9" s="1512"/>
      <c r="E9" s="1512"/>
      <c r="F9" s="1512"/>
      <c r="G9" s="1512"/>
      <c r="H9" s="1512"/>
      <c r="I9" s="1512"/>
      <c r="J9" s="1512"/>
      <c r="K9" s="1512"/>
      <c r="L9" s="1512"/>
      <c r="M9" s="1512"/>
      <c r="N9" s="1512"/>
      <c r="O9" s="1512"/>
      <c r="P9" s="1513"/>
      <c r="Q9" s="853"/>
    </row>
    <row r="10" spans="1:17" ht="12.75" customHeight="1" x14ac:dyDescent="0.25">
      <c r="A10" s="7"/>
      <c r="B10" s="8" t="s">
        <v>15</v>
      </c>
      <c r="C10" s="1512" t="s">
        <v>1446</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t="s">
        <v>1447</v>
      </c>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192620</v>
      </c>
      <c r="D20" s="32">
        <f>SUM(D21,D24,D25,D41,D43)</f>
        <v>123908</v>
      </c>
      <c r="E20" s="33">
        <f t="shared" ref="E20:F20" si="1">SUM(E21,E24,E25,E41,E43)</f>
        <v>19153</v>
      </c>
      <c r="F20" s="34">
        <f t="shared" si="1"/>
        <v>143061</v>
      </c>
      <c r="G20" s="32">
        <f>SUM(G21,G24,G43)</f>
        <v>48019</v>
      </c>
      <c r="H20" s="33">
        <f t="shared" ref="H20:I20" si="2">SUM(H21,H24,H43)</f>
        <v>1540</v>
      </c>
      <c r="I20" s="34">
        <f t="shared" si="2"/>
        <v>49559</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192620</v>
      </c>
      <c r="D24" s="60">
        <v>123908</v>
      </c>
      <c r="E24" s="63">
        <v>19153</v>
      </c>
      <c r="F24" s="62">
        <f t="shared" si="9"/>
        <v>143061</v>
      </c>
      <c r="G24" s="60">
        <v>48019</v>
      </c>
      <c r="H24" s="63">
        <v>1540</v>
      </c>
      <c r="I24" s="62">
        <f t="shared" si="10"/>
        <v>49559</v>
      </c>
      <c r="J24" s="64" t="s">
        <v>43</v>
      </c>
      <c r="K24" s="65" t="s">
        <v>43</v>
      </c>
      <c r="L24" s="66" t="s">
        <v>43</v>
      </c>
      <c r="M24" s="64" t="s">
        <v>43</v>
      </c>
      <c r="N24" s="65" t="s">
        <v>43</v>
      </c>
      <c r="O24" s="66" t="s">
        <v>43</v>
      </c>
      <c r="P24" s="67" t="s">
        <v>1546</v>
      </c>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192620</v>
      </c>
      <c r="D50" s="159">
        <f>SUM(D51,D286)</f>
        <v>123908</v>
      </c>
      <c r="E50" s="160">
        <f t="shared" ref="E50:F50" si="26">SUM(E51,E286)</f>
        <v>19153</v>
      </c>
      <c r="F50" s="161">
        <f t="shared" si="26"/>
        <v>143061</v>
      </c>
      <c r="G50" s="159">
        <f>SUM(G51,G286)</f>
        <v>48019</v>
      </c>
      <c r="H50" s="160">
        <f>SUM(H51,H286)</f>
        <v>1540</v>
      </c>
      <c r="I50" s="161">
        <f t="shared" ref="I50" si="27">SUM(I51,I286)</f>
        <v>49559</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192620</v>
      </c>
      <c r="D51" s="165">
        <f>SUM(D52,D194)</f>
        <v>123908</v>
      </c>
      <c r="E51" s="166">
        <f t="shared" ref="E51:F51" si="30">SUM(E52,E194)</f>
        <v>19153</v>
      </c>
      <c r="F51" s="167">
        <f t="shared" si="30"/>
        <v>143061</v>
      </c>
      <c r="G51" s="165">
        <f>SUM(G52,G194)</f>
        <v>48019</v>
      </c>
      <c r="H51" s="166">
        <f t="shared" ref="H51:I51" si="31">SUM(H52,H194)</f>
        <v>1540</v>
      </c>
      <c r="I51" s="167">
        <f t="shared" si="31"/>
        <v>49559</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192620</v>
      </c>
      <c r="D52" s="173">
        <f>SUM(D53,D75,D173,D187)</f>
        <v>123908</v>
      </c>
      <c r="E52" s="174">
        <f t="shared" ref="E52:F52" si="34">SUM(E53,E75,E173,E187)</f>
        <v>19153</v>
      </c>
      <c r="F52" s="175">
        <f t="shared" si="34"/>
        <v>143061</v>
      </c>
      <c r="G52" s="173">
        <f>SUM(G53,G75,G173,G187)</f>
        <v>48019</v>
      </c>
      <c r="H52" s="174">
        <f t="shared" ref="H52:I52" si="35">SUM(H53,H75,H173,H187)</f>
        <v>1540</v>
      </c>
      <c r="I52" s="175">
        <f t="shared" si="35"/>
        <v>49559</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t="12"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86">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192620</v>
      </c>
      <c r="D75" s="179">
        <f>SUM(D76,D83,D130,D164,D165,D172)</f>
        <v>123908</v>
      </c>
      <c r="E75" s="180">
        <f t="shared" ref="E75:F75" si="74">SUM(E76,E83,E130,E164,E165,E172)</f>
        <v>19153</v>
      </c>
      <c r="F75" s="181">
        <f t="shared" si="74"/>
        <v>143061</v>
      </c>
      <c r="G75" s="179">
        <f>SUM(G76,G83,G130,G164,G165,G172)</f>
        <v>48019</v>
      </c>
      <c r="H75" s="180">
        <f t="shared" ref="H75:I75" si="75">SUM(H76,H83,H130,H164,H165,H172)</f>
        <v>1540</v>
      </c>
      <c r="I75" s="181">
        <f t="shared" si="75"/>
        <v>49559</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8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8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192620</v>
      </c>
      <c r="D130" s="184">
        <f>SUM(D131,D136,D140,D141,D144,D151,D159,D160,D163)</f>
        <v>123908</v>
      </c>
      <c r="E130" s="185">
        <f t="shared" ref="E130:F130" si="160">SUM(E131,E136,E140,E141,E144,E151,E159,E160,E163)</f>
        <v>19153</v>
      </c>
      <c r="F130" s="73">
        <f t="shared" si="160"/>
        <v>143061</v>
      </c>
      <c r="G130" s="184">
        <f>SUM(G131,G136,G140,G141,G144,G151,G159,G160,G163)</f>
        <v>48019</v>
      </c>
      <c r="H130" s="185">
        <f t="shared" ref="H130:I130" si="161">SUM(H131,H136,H140,H141,H144,H151,H159,H160,H163)</f>
        <v>1540</v>
      </c>
      <c r="I130" s="73">
        <f t="shared" si="161"/>
        <v>49559</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986">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192620</v>
      </c>
      <c r="D151" s="190">
        <f>SUM(D152:D158)</f>
        <v>123908</v>
      </c>
      <c r="E151" s="191">
        <f t="shared" ref="E151:F151" si="194">SUM(E152:E158)</f>
        <v>19153</v>
      </c>
      <c r="F151" s="55">
        <f t="shared" si="194"/>
        <v>143061</v>
      </c>
      <c r="G151" s="190">
        <f>SUM(G152:G158)</f>
        <v>48019</v>
      </c>
      <c r="H151" s="191">
        <f t="shared" ref="H151:I151" si="195">SUM(H152:H158)</f>
        <v>1540</v>
      </c>
      <c r="I151" s="55">
        <f t="shared" si="195"/>
        <v>49559</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192620</v>
      </c>
      <c r="D154" s="196">
        <v>123908</v>
      </c>
      <c r="E154" s="197">
        <v>19153</v>
      </c>
      <c r="F154" s="55">
        <f t="shared" si="198"/>
        <v>143061</v>
      </c>
      <c r="G154" s="53">
        <v>48019</v>
      </c>
      <c r="H154" s="54">
        <v>1540</v>
      </c>
      <c r="I154" s="55">
        <f t="shared" si="199"/>
        <v>49559</v>
      </c>
      <c r="J154" s="53"/>
      <c r="K154" s="54"/>
      <c r="L154" s="55">
        <f t="shared" si="200"/>
        <v>0</v>
      </c>
      <c r="M154" s="53"/>
      <c r="N154" s="54"/>
      <c r="O154" s="55">
        <f t="shared" si="201"/>
        <v>0</v>
      </c>
      <c r="P154" s="57" t="s">
        <v>1545</v>
      </c>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8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8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8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8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8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98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8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8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8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192620</v>
      </c>
      <c r="D289" s="252">
        <f t="shared" ref="D289:O289" si="389">SUM(D286,D269,D230,D195,D187,D173,D75,D53,D283)</f>
        <v>123908</v>
      </c>
      <c r="E289" s="253">
        <f t="shared" si="389"/>
        <v>19153</v>
      </c>
      <c r="F289" s="254">
        <f t="shared" si="389"/>
        <v>143061</v>
      </c>
      <c r="G289" s="252">
        <f t="shared" si="389"/>
        <v>48019</v>
      </c>
      <c r="H289" s="253">
        <f t="shared" si="389"/>
        <v>1540</v>
      </c>
      <c r="I289" s="254">
        <f t="shared" si="389"/>
        <v>49559</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yk2HFypf21jzx4/v5KjfpnKXITwI116DV5WdjsIggwVokNNcgtvSv528Ln1vIeWOLpyCn93dT7aAVooTUGmexg==" saltValue="ArVzYNxE/lXPAPVAluaKJQ==" spinCount="100000" sheet="1" objects="1" scenarios="1" formatCells="0" formatColumns="0" formatRows="0" deleteColumns="0"/>
  <autoFilter ref="A18:P301">
    <filterColumn colId="2">
      <filters>
        <filter val="173 46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2019.gada 31.oktobra saistošajiem noteikumiem Nr.46
(protokols Nr.14, 28.punkts)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4" sqref="T3:T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1560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1561</v>
      </c>
      <c r="D3" s="1517"/>
      <c r="E3" s="1517"/>
      <c r="F3" s="1517"/>
      <c r="G3" s="1517"/>
      <c r="H3" s="1517"/>
      <c r="I3" s="1517"/>
      <c r="J3" s="1517"/>
      <c r="K3" s="1517"/>
      <c r="L3" s="1517"/>
      <c r="M3" s="1517"/>
      <c r="N3" s="1517"/>
      <c r="O3" s="1517"/>
      <c r="P3" s="1518"/>
      <c r="Q3" s="277"/>
    </row>
    <row r="4" spans="1:17" ht="12.75" customHeight="1" x14ac:dyDescent="0.25">
      <c r="A4" s="5" t="s">
        <v>4</v>
      </c>
      <c r="B4" s="6"/>
      <c r="C4" s="1517" t="s">
        <v>1562</v>
      </c>
      <c r="D4" s="1517"/>
      <c r="E4" s="1517"/>
      <c r="F4" s="1517"/>
      <c r="G4" s="1517"/>
      <c r="H4" s="1517"/>
      <c r="I4" s="1517"/>
      <c r="J4" s="1517"/>
      <c r="K4" s="1517"/>
      <c r="L4" s="1517"/>
      <c r="M4" s="1517"/>
      <c r="N4" s="1517"/>
      <c r="O4" s="1517"/>
      <c r="P4" s="1518"/>
      <c r="Q4" s="277"/>
    </row>
    <row r="5" spans="1:17" ht="12.75" customHeight="1" x14ac:dyDescent="0.25">
      <c r="A5" s="7" t="s">
        <v>6</v>
      </c>
      <c r="B5" s="8"/>
      <c r="C5" s="1512" t="s">
        <v>1563</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6.2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750" t="s">
        <v>580</v>
      </c>
      <c r="D8" s="1750"/>
      <c r="E8" s="1750"/>
      <c r="F8" s="1750"/>
      <c r="G8" s="1750"/>
      <c r="H8" s="1750"/>
      <c r="I8" s="1750"/>
      <c r="J8" s="1750"/>
      <c r="K8" s="1750"/>
      <c r="L8" s="1750"/>
      <c r="M8" s="1750"/>
      <c r="N8" s="1750"/>
      <c r="O8" s="1750"/>
      <c r="P8" s="1751"/>
      <c r="Q8" s="277"/>
    </row>
    <row r="9" spans="1:17" ht="12.75" customHeight="1" x14ac:dyDescent="0.25">
      <c r="A9" s="7"/>
      <c r="B9" s="8" t="s">
        <v>13</v>
      </c>
      <c r="C9" s="1512" t="s">
        <v>1564</v>
      </c>
      <c r="D9" s="1512"/>
      <c r="E9" s="1512"/>
      <c r="F9" s="1512"/>
      <c r="G9" s="1512"/>
      <c r="H9" s="1512"/>
      <c r="I9" s="1512"/>
      <c r="J9" s="1512"/>
      <c r="K9" s="1512"/>
      <c r="L9" s="1512"/>
      <c r="M9" s="1512"/>
      <c r="N9" s="1512"/>
      <c r="O9" s="1512"/>
      <c r="P9" s="1513"/>
      <c r="Q9" s="277"/>
    </row>
    <row r="10" spans="1:17" ht="12.75" customHeight="1" x14ac:dyDescent="0.25">
      <c r="A10" s="7"/>
      <c r="B10" s="8" t="s">
        <v>15</v>
      </c>
      <c r="C10" s="1512" t="s">
        <v>1565</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2" t="s">
        <v>1566</v>
      </c>
      <c r="D11" s="1512"/>
      <c r="E11" s="1512"/>
      <c r="F11" s="1512"/>
      <c r="G11" s="1512"/>
      <c r="H11" s="1512"/>
      <c r="I11" s="1512"/>
      <c r="J11" s="1512"/>
      <c r="K11" s="1512"/>
      <c r="L11" s="1512"/>
      <c r="M11" s="1512"/>
      <c r="N11" s="1512"/>
      <c r="O11" s="1512"/>
      <c r="P11" s="1513"/>
      <c r="Q11" s="277"/>
    </row>
    <row r="12" spans="1:17" ht="12.75" customHeight="1" x14ac:dyDescent="0.25">
      <c r="A12" s="7"/>
      <c r="B12" s="8" t="s">
        <v>17</v>
      </c>
      <c r="C12" s="1512" t="s">
        <v>1567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891024</v>
      </c>
      <c r="D20" s="32">
        <f>SUM(D21,D24,D25,D41,D43)</f>
        <v>53302</v>
      </c>
      <c r="E20" s="33">
        <f t="shared" ref="E20:F20" si="1">SUM(E21,E24,E25,E41,E43)</f>
        <v>0</v>
      </c>
      <c r="F20" s="34">
        <f t="shared" si="1"/>
        <v>53302</v>
      </c>
      <c r="G20" s="32">
        <f>SUM(G21,G24,G43)</f>
        <v>830385</v>
      </c>
      <c r="H20" s="33">
        <f t="shared" ref="H20:I20" si="2">SUM(H21,H24,H43)</f>
        <v>2664</v>
      </c>
      <c r="I20" s="34">
        <f t="shared" si="2"/>
        <v>833049</v>
      </c>
      <c r="J20" s="32">
        <f>SUM(J21,J26,J43)</f>
        <v>4573</v>
      </c>
      <c r="K20" s="33">
        <f t="shared" ref="K20:L20" si="3">SUM(K21,K26,K43)</f>
        <v>100</v>
      </c>
      <c r="L20" s="34">
        <f t="shared" si="3"/>
        <v>4673</v>
      </c>
      <c r="M20" s="32">
        <f>SUM(M21,M45)</f>
        <v>0</v>
      </c>
      <c r="N20" s="33">
        <f t="shared" ref="N20:O20" si="4">SUM(N21,N45)</f>
        <v>0</v>
      </c>
      <c r="O20" s="34">
        <f t="shared" si="4"/>
        <v>0</v>
      </c>
      <c r="P20" s="35" t="s">
        <v>580</v>
      </c>
    </row>
    <row r="21" spans="1:16" ht="12.75" thickTop="1" x14ac:dyDescent="0.25">
      <c r="A21" s="36"/>
      <c r="B21" s="37" t="s">
        <v>39</v>
      </c>
      <c r="C21" s="38">
        <f t="shared" si="0"/>
        <v>2400</v>
      </c>
      <c r="D21" s="39">
        <f>SUM(D22:D23)</f>
        <v>0</v>
      </c>
      <c r="E21" s="40">
        <f t="shared" ref="E21:F21" si="5">SUM(E22:E23)</f>
        <v>0</v>
      </c>
      <c r="F21" s="41">
        <f t="shared" si="5"/>
        <v>0</v>
      </c>
      <c r="G21" s="39">
        <f>SUM(G22:G23)</f>
        <v>0</v>
      </c>
      <c r="H21" s="40">
        <f t="shared" ref="H21:I21" si="6">SUM(H22:H23)</f>
        <v>0</v>
      </c>
      <c r="I21" s="41">
        <f t="shared" si="6"/>
        <v>0</v>
      </c>
      <c r="J21" s="39">
        <f>SUM(J22:J23)</f>
        <v>2400</v>
      </c>
      <c r="K21" s="40">
        <f t="shared" ref="K21:L21" si="7">SUM(K22:K23)</f>
        <v>0</v>
      </c>
      <c r="L21" s="41">
        <f t="shared" si="7"/>
        <v>2400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2400</v>
      </c>
      <c r="D23" s="53"/>
      <c r="E23" s="54"/>
      <c r="F23" s="55">
        <f t="shared" ref="F23:F25" si="9">D23+E23</f>
        <v>0</v>
      </c>
      <c r="G23" s="53"/>
      <c r="H23" s="54"/>
      <c r="I23" s="55">
        <f t="shared" ref="I23:I24" si="10">G23+H23</f>
        <v>0</v>
      </c>
      <c r="J23" s="53">
        <v>2400</v>
      </c>
      <c r="K23" s="54"/>
      <c r="L23" s="56">
        <f>K23+J23</f>
        <v>2400</v>
      </c>
      <c r="M23" s="53"/>
      <c r="N23" s="54"/>
      <c r="O23" s="55">
        <f>N23+M23</f>
        <v>0</v>
      </c>
      <c r="P23" s="57"/>
    </row>
    <row r="24" spans="1:16" s="28" customFormat="1" ht="36.75" customHeight="1" thickBot="1" x14ac:dyDescent="0.3">
      <c r="A24" s="58">
        <v>19300</v>
      </c>
      <c r="B24" s="58" t="s">
        <v>42</v>
      </c>
      <c r="C24" s="59">
        <f>F24+I24</f>
        <v>886351</v>
      </c>
      <c r="D24" s="60">
        <v>53302</v>
      </c>
      <c r="E24" s="63"/>
      <c r="F24" s="62">
        <f t="shared" si="9"/>
        <v>53302</v>
      </c>
      <c r="G24" s="60">
        <v>830385</v>
      </c>
      <c r="H24" s="63">
        <f>2178+486</f>
        <v>2664</v>
      </c>
      <c r="I24" s="62">
        <f t="shared" si="10"/>
        <v>833049</v>
      </c>
      <c r="J24" s="64" t="s">
        <v>43</v>
      </c>
      <c r="K24" s="65" t="s">
        <v>43</v>
      </c>
      <c r="L24" s="66" t="s">
        <v>43</v>
      </c>
      <c r="M24" s="64" t="s">
        <v>43</v>
      </c>
      <c r="N24" s="65" t="s">
        <v>43</v>
      </c>
      <c r="O24" s="66" t="s">
        <v>43</v>
      </c>
      <c r="P24" s="1014" t="s">
        <v>1568</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2107</v>
      </c>
      <c r="D26" s="74" t="s">
        <v>43</v>
      </c>
      <c r="E26" s="75" t="s">
        <v>43</v>
      </c>
      <c r="F26" s="76" t="s">
        <v>43</v>
      </c>
      <c r="G26" s="74" t="s">
        <v>43</v>
      </c>
      <c r="H26" s="75" t="s">
        <v>43</v>
      </c>
      <c r="I26" s="76" t="s">
        <v>43</v>
      </c>
      <c r="J26" s="78">
        <f>SUM(J27,J31,J33,J36)</f>
        <v>2107</v>
      </c>
      <c r="K26" s="79">
        <f t="shared" ref="K26:L26" si="11">SUM(K27,K31,K33,K36)</f>
        <v>0</v>
      </c>
      <c r="L26" s="80">
        <f t="shared" si="11"/>
        <v>2107</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497</v>
      </c>
      <c r="D33" s="74" t="s">
        <v>43</v>
      </c>
      <c r="E33" s="75" t="s">
        <v>43</v>
      </c>
      <c r="F33" s="76" t="s">
        <v>43</v>
      </c>
      <c r="G33" s="74" t="s">
        <v>43</v>
      </c>
      <c r="H33" s="75" t="s">
        <v>43</v>
      </c>
      <c r="I33" s="76" t="s">
        <v>43</v>
      </c>
      <c r="J33" s="78">
        <f>SUM(J34:J35)</f>
        <v>497</v>
      </c>
      <c r="K33" s="79">
        <f t="shared" ref="K33:L33" si="17">SUM(K34:K35)</f>
        <v>0</v>
      </c>
      <c r="L33" s="80">
        <f t="shared" si="17"/>
        <v>497</v>
      </c>
      <c r="M33" s="78" t="s">
        <v>43</v>
      </c>
      <c r="N33" s="79" t="s">
        <v>43</v>
      </c>
      <c r="O33" s="80" t="s">
        <v>43</v>
      </c>
      <c r="P33" s="77"/>
    </row>
    <row r="34" spans="1:16" ht="12" customHeight="1" x14ac:dyDescent="0.25">
      <c r="A34" s="44">
        <v>21381</v>
      </c>
      <c r="B34" s="82" t="s">
        <v>53</v>
      </c>
      <c r="C34" s="83">
        <f t="shared" si="16"/>
        <v>497</v>
      </c>
      <c r="D34" s="84" t="s">
        <v>43</v>
      </c>
      <c r="E34" s="85" t="s">
        <v>43</v>
      </c>
      <c r="F34" s="86" t="s">
        <v>43</v>
      </c>
      <c r="G34" s="84" t="s">
        <v>43</v>
      </c>
      <c r="H34" s="85" t="s">
        <v>43</v>
      </c>
      <c r="I34" s="86" t="s">
        <v>43</v>
      </c>
      <c r="J34" s="46">
        <v>497</v>
      </c>
      <c r="K34" s="47"/>
      <c r="L34" s="48">
        <f t="shared" ref="L34:L35" si="18">K34+J34</f>
        <v>497</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1610</v>
      </c>
      <c r="D36" s="74" t="s">
        <v>43</v>
      </c>
      <c r="E36" s="75" t="s">
        <v>43</v>
      </c>
      <c r="F36" s="76" t="s">
        <v>43</v>
      </c>
      <c r="G36" s="74" t="s">
        <v>43</v>
      </c>
      <c r="H36" s="75" t="s">
        <v>43</v>
      </c>
      <c r="I36" s="76" t="s">
        <v>43</v>
      </c>
      <c r="J36" s="78">
        <f>SUM(J37:J40)</f>
        <v>1610</v>
      </c>
      <c r="K36" s="79">
        <f t="shared" ref="K36:L36" si="19">SUM(K37:K40)</f>
        <v>0</v>
      </c>
      <c r="L36" s="80">
        <f t="shared" si="19"/>
        <v>1610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1610</v>
      </c>
      <c r="D40" s="111" t="s">
        <v>43</v>
      </c>
      <c r="E40" s="112" t="s">
        <v>43</v>
      </c>
      <c r="F40" s="113" t="s">
        <v>43</v>
      </c>
      <c r="G40" s="111" t="s">
        <v>43</v>
      </c>
      <c r="H40" s="112" t="s">
        <v>43</v>
      </c>
      <c r="I40" s="113" t="s">
        <v>43</v>
      </c>
      <c r="J40" s="114">
        <v>1610</v>
      </c>
      <c r="K40" s="115"/>
      <c r="L40" s="116">
        <f t="shared" si="20"/>
        <v>1610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166</v>
      </c>
      <c r="D43" s="78">
        <f>D44</f>
        <v>0</v>
      </c>
      <c r="E43" s="79">
        <f t="shared" ref="E43:L43" si="22">E44</f>
        <v>0</v>
      </c>
      <c r="F43" s="80">
        <f t="shared" si="22"/>
        <v>0</v>
      </c>
      <c r="G43" s="78">
        <f t="shared" si="22"/>
        <v>0</v>
      </c>
      <c r="H43" s="79">
        <f t="shared" si="22"/>
        <v>0</v>
      </c>
      <c r="I43" s="80">
        <f t="shared" si="22"/>
        <v>0</v>
      </c>
      <c r="J43" s="78">
        <f t="shared" si="22"/>
        <v>66</v>
      </c>
      <c r="K43" s="79">
        <f t="shared" si="22"/>
        <v>100</v>
      </c>
      <c r="L43" s="80">
        <f t="shared" si="22"/>
        <v>166</v>
      </c>
      <c r="M43" s="78" t="s">
        <v>43</v>
      </c>
      <c r="N43" s="79" t="s">
        <v>43</v>
      </c>
      <c r="O43" s="80" t="s">
        <v>43</v>
      </c>
      <c r="P43" s="1359"/>
    </row>
    <row r="44" spans="1:16" s="28" customFormat="1" ht="24" customHeight="1" x14ac:dyDescent="0.25">
      <c r="A44" s="51">
        <v>21499</v>
      </c>
      <c r="B44" s="89" t="s">
        <v>63</v>
      </c>
      <c r="C44" s="133">
        <f>F44+I44+L44</f>
        <v>166</v>
      </c>
      <c r="D44" s="46"/>
      <c r="E44" s="47"/>
      <c r="F44" s="134">
        <f>D44+E44</f>
        <v>0</v>
      </c>
      <c r="G44" s="46"/>
      <c r="H44" s="47"/>
      <c r="I44" s="134">
        <f>G44+H44</f>
        <v>0</v>
      </c>
      <c r="J44" s="46">
        <v>66</v>
      </c>
      <c r="K44" s="47">
        <v>100</v>
      </c>
      <c r="L44" s="48">
        <f>K44+J44</f>
        <v>166</v>
      </c>
      <c r="M44" s="87" t="s">
        <v>43</v>
      </c>
      <c r="N44" s="88" t="s">
        <v>43</v>
      </c>
      <c r="O44" s="104" t="s">
        <v>43</v>
      </c>
      <c r="P44" s="1360" t="s">
        <v>1569</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361">
        <f t="shared" si="23"/>
        <v>0</v>
      </c>
      <c r="P45" s="1362"/>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891024.49</v>
      </c>
      <c r="D50" s="159">
        <f>SUM(D51,D286)</f>
        <v>53302</v>
      </c>
      <c r="E50" s="160">
        <f t="shared" ref="E50:F50" si="26">SUM(E51,E286)</f>
        <v>0</v>
      </c>
      <c r="F50" s="161">
        <f t="shared" si="26"/>
        <v>53302</v>
      </c>
      <c r="G50" s="159">
        <f>SUM(G51,G286)</f>
        <v>830385</v>
      </c>
      <c r="H50" s="160">
        <f>SUM(H51,H286)</f>
        <v>2664.49</v>
      </c>
      <c r="I50" s="161">
        <f t="shared" ref="I50" si="27">SUM(I51,I286)</f>
        <v>833049.49</v>
      </c>
      <c r="J50" s="32">
        <f>SUM(J51,J286)</f>
        <v>4573</v>
      </c>
      <c r="K50" s="33">
        <f t="shared" ref="K50:L50" si="28">SUM(K51,K286)</f>
        <v>100</v>
      </c>
      <c r="L50" s="34">
        <f t="shared" si="28"/>
        <v>4673</v>
      </c>
      <c r="M50" s="32">
        <f>SUM(M51,M286)</f>
        <v>0</v>
      </c>
      <c r="N50" s="33">
        <f t="shared" ref="N50:O50" si="29">SUM(N51,N286)</f>
        <v>0</v>
      </c>
      <c r="O50" s="34">
        <f t="shared" si="29"/>
        <v>0</v>
      </c>
      <c r="P50" s="35"/>
    </row>
    <row r="51" spans="1:16" s="28" customFormat="1" ht="36.75" thickTop="1" x14ac:dyDescent="0.25">
      <c r="A51" s="162"/>
      <c r="B51" s="163" t="s">
        <v>69</v>
      </c>
      <c r="C51" s="164">
        <f t="shared" si="0"/>
        <v>890438.49</v>
      </c>
      <c r="D51" s="165">
        <f>SUM(D52,D194)</f>
        <v>53302</v>
      </c>
      <c r="E51" s="166">
        <f t="shared" ref="E51:F51" si="30">SUM(E52,E194)</f>
        <v>0</v>
      </c>
      <c r="F51" s="167">
        <f t="shared" si="30"/>
        <v>53302</v>
      </c>
      <c r="G51" s="165">
        <f>SUM(G52,G194)</f>
        <v>829899</v>
      </c>
      <c r="H51" s="166">
        <f t="shared" ref="H51:I51" si="31">SUM(H52,H194)</f>
        <v>2664.49</v>
      </c>
      <c r="I51" s="167">
        <f t="shared" si="31"/>
        <v>832563.49</v>
      </c>
      <c r="J51" s="168">
        <f>SUM(J52,J194)</f>
        <v>4573</v>
      </c>
      <c r="K51" s="169">
        <f t="shared" ref="K51:L51" si="32">SUM(K52,K194)</f>
        <v>0</v>
      </c>
      <c r="L51" s="170">
        <f t="shared" si="32"/>
        <v>4573</v>
      </c>
      <c r="M51" s="168">
        <f>SUM(M52,M194)</f>
        <v>0</v>
      </c>
      <c r="N51" s="169">
        <f t="shared" ref="N51:O51" si="33">SUM(N52,N194)</f>
        <v>0</v>
      </c>
      <c r="O51" s="170">
        <f t="shared" si="33"/>
        <v>0</v>
      </c>
      <c r="P51" s="171"/>
    </row>
    <row r="52" spans="1:16" s="28" customFormat="1" ht="24" x14ac:dyDescent="0.25">
      <c r="A52" s="24"/>
      <c r="B52" s="22" t="s">
        <v>70</v>
      </c>
      <c r="C52" s="172">
        <f t="shared" si="0"/>
        <v>878838.49</v>
      </c>
      <c r="D52" s="173">
        <f>SUM(D53,D75,D173,D187)</f>
        <v>53302</v>
      </c>
      <c r="E52" s="174">
        <f t="shared" ref="E52:F52" si="34">SUM(E53,E75,E173,E187)</f>
        <v>0</v>
      </c>
      <c r="F52" s="175">
        <f t="shared" si="34"/>
        <v>53302</v>
      </c>
      <c r="G52" s="173">
        <f>SUM(G53,G75,G173,G187)</f>
        <v>818299</v>
      </c>
      <c r="H52" s="174">
        <f t="shared" ref="H52:I52" si="35">SUM(H53,H75,H173,H187)</f>
        <v>2664.49</v>
      </c>
      <c r="I52" s="175">
        <f t="shared" si="35"/>
        <v>820963.49</v>
      </c>
      <c r="J52" s="173">
        <f>SUM(J53,J75,J173,J187)</f>
        <v>4573</v>
      </c>
      <c r="K52" s="174">
        <f t="shared" ref="K52:L52" si="36">SUM(K53,K75,K173,K187)</f>
        <v>0</v>
      </c>
      <c r="L52" s="175">
        <f t="shared" si="36"/>
        <v>4573</v>
      </c>
      <c r="M52" s="173">
        <f>SUM(M53,M75,M173,M187)</f>
        <v>0</v>
      </c>
      <c r="N52" s="174">
        <f t="shared" ref="N52:O52" si="37">SUM(N53,N75,N173,N187)</f>
        <v>0</v>
      </c>
      <c r="O52" s="175">
        <f t="shared" si="37"/>
        <v>0</v>
      </c>
      <c r="P52" s="176"/>
    </row>
    <row r="53" spans="1:16" s="28" customFormat="1" x14ac:dyDescent="0.25">
      <c r="A53" s="177">
        <v>1000</v>
      </c>
      <c r="B53" s="177" t="s">
        <v>71</v>
      </c>
      <c r="C53" s="178">
        <f t="shared" si="0"/>
        <v>743974.49</v>
      </c>
      <c r="D53" s="179">
        <f>SUM(D54,D67)</f>
        <v>53302</v>
      </c>
      <c r="E53" s="180">
        <f t="shared" ref="E53:F53" si="38">SUM(E54,E67)</f>
        <v>0</v>
      </c>
      <c r="F53" s="181">
        <f t="shared" si="38"/>
        <v>53302</v>
      </c>
      <c r="G53" s="179">
        <f>SUM(G54,G67)</f>
        <v>687081</v>
      </c>
      <c r="H53" s="180">
        <f t="shared" ref="H53:I53" si="39">SUM(H54,H67)</f>
        <v>3591.49</v>
      </c>
      <c r="I53" s="181">
        <f t="shared" si="39"/>
        <v>690672.49</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574853.49</v>
      </c>
      <c r="D54" s="184">
        <f>SUM(D55,D58,D66)</f>
        <v>17610</v>
      </c>
      <c r="E54" s="185">
        <f t="shared" ref="E54:F54" si="42">SUM(E55,E58,E66)</f>
        <v>0</v>
      </c>
      <c r="F54" s="73">
        <f t="shared" si="42"/>
        <v>17610</v>
      </c>
      <c r="G54" s="184">
        <f>SUM(G55,G58,G66)</f>
        <v>545736</v>
      </c>
      <c r="H54" s="185">
        <f t="shared" ref="H54:I54" si="43">SUM(H55,H58,H66)</f>
        <v>11507.49</v>
      </c>
      <c r="I54" s="73">
        <f t="shared" si="43"/>
        <v>557243.49</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497894</v>
      </c>
      <c r="D55" s="187">
        <f>SUM(D56:D57)</f>
        <v>0</v>
      </c>
      <c r="E55" s="188">
        <f t="shared" ref="E55:F55" si="46">SUM(E56:E57)</f>
        <v>0</v>
      </c>
      <c r="F55" s="141">
        <f t="shared" si="46"/>
        <v>0</v>
      </c>
      <c r="G55" s="187">
        <f>SUM(G56:G57)</f>
        <v>484720</v>
      </c>
      <c r="H55" s="188">
        <f t="shared" ref="H55:I55" si="47">SUM(H56:H57)</f>
        <v>13174</v>
      </c>
      <c r="I55" s="141">
        <f t="shared" si="47"/>
        <v>497894</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6" x14ac:dyDescent="0.25">
      <c r="A57" s="51">
        <v>1119</v>
      </c>
      <c r="B57" s="89" t="s">
        <v>75</v>
      </c>
      <c r="C57" s="90">
        <f t="shared" si="0"/>
        <v>497894</v>
      </c>
      <c r="D57" s="53"/>
      <c r="E57" s="54"/>
      <c r="F57" s="55">
        <f t="shared" si="50"/>
        <v>0</v>
      </c>
      <c r="G57" s="53">
        <v>484720</v>
      </c>
      <c r="H57" s="54">
        <v>13174</v>
      </c>
      <c r="I57" s="55">
        <f t="shared" si="51"/>
        <v>497894</v>
      </c>
      <c r="J57" s="53"/>
      <c r="K57" s="54"/>
      <c r="L57" s="55">
        <f t="shared" si="52"/>
        <v>0</v>
      </c>
      <c r="M57" s="53"/>
      <c r="N57" s="54"/>
      <c r="O57" s="55">
        <f t="shared" si="53"/>
        <v>0</v>
      </c>
      <c r="P57" s="57" t="s">
        <v>1570</v>
      </c>
    </row>
    <row r="58" spans="1:16" x14ac:dyDescent="0.25">
      <c r="A58" s="189">
        <v>1140</v>
      </c>
      <c r="B58" s="89" t="s">
        <v>76</v>
      </c>
      <c r="C58" s="90">
        <f t="shared" si="0"/>
        <v>76609.489999999991</v>
      </c>
      <c r="D58" s="190">
        <f>SUM(D59:D65)</f>
        <v>17610</v>
      </c>
      <c r="E58" s="191">
        <f>SUM(E59:E65)</f>
        <v>0</v>
      </c>
      <c r="F58" s="55">
        <f t="shared" ref="F58" si="54">SUM(F59:F65)</f>
        <v>17610</v>
      </c>
      <c r="G58" s="190">
        <f>SUM(G59:G65)</f>
        <v>60666</v>
      </c>
      <c r="H58" s="191">
        <f t="shared" ref="H58:I58" si="55">SUM(H59:H65)</f>
        <v>-1666.5100000000002</v>
      </c>
      <c r="I58" s="55">
        <f t="shared" si="55"/>
        <v>58999.49</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4290</v>
      </c>
      <c r="D59" s="53"/>
      <c r="E59" s="54"/>
      <c r="F59" s="55">
        <f t="shared" ref="F59:F66" si="58">D59+E59</f>
        <v>0</v>
      </c>
      <c r="G59" s="53">
        <v>4290</v>
      </c>
      <c r="H59" s="54"/>
      <c r="I59" s="55">
        <f t="shared" ref="I59:I66" si="59">G59+H59</f>
        <v>4290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1444</v>
      </c>
      <c r="D60" s="53"/>
      <c r="E60" s="54"/>
      <c r="F60" s="55">
        <f t="shared" si="58"/>
        <v>0</v>
      </c>
      <c r="G60" s="53">
        <v>1444</v>
      </c>
      <c r="H60" s="54"/>
      <c r="I60" s="55">
        <f t="shared" si="59"/>
        <v>1444</v>
      </c>
      <c r="J60" s="53"/>
      <c r="K60" s="54"/>
      <c r="L60" s="55">
        <f t="shared" si="60"/>
        <v>0</v>
      </c>
      <c r="M60" s="53"/>
      <c r="N60" s="54"/>
      <c r="O60" s="55">
        <f t="shared" si="61"/>
        <v>0</v>
      </c>
      <c r="P60" s="57"/>
    </row>
    <row r="61" spans="1:16" ht="24" customHeight="1" x14ac:dyDescent="0.25">
      <c r="A61" s="51">
        <v>1145</v>
      </c>
      <c r="B61" s="89" t="s">
        <v>79</v>
      </c>
      <c r="C61" s="90">
        <f t="shared" si="0"/>
        <v>47219</v>
      </c>
      <c r="D61" s="53"/>
      <c r="E61" s="54"/>
      <c r="F61" s="55">
        <f t="shared" si="58"/>
        <v>0</v>
      </c>
      <c r="G61" s="53">
        <v>46148</v>
      </c>
      <c r="H61" s="54">
        <v>1071</v>
      </c>
      <c r="I61" s="55">
        <f t="shared" si="59"/>
        <v>47219</v>
      </c>
      <c r="J61" s="53"/>
      <c r="K61" s="54"/>
      <c r="L61" s="55">
        <f t="shared" si="60"/>
        <v>0</v>
      </c>
      <c r="M61" s="53"/>
      <c r="N61" s="54"/>
      <c r="O61" s="55">
        <f t="shared" si="61"/>
        <v>0</v>
      </c>
      <c r="P61" s="57" t="s">
        <v>1571</v>
      </c>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x14ac:dyDescent="0.25">
      <c r="A63" s="51">
        <v>1147</v>
      </c>
      <c r="B63" s="89" t="s">
        <v>81</v>
      </c>
      <c r="C63" s="90">
        <f t="shared" si="0"/>
        <v>2148</v>
      </c>
      <c r="D63" s="53"/>
      <c r="E63" s="54"/>
      <c r="F63" s="55">
        <f t="shared" si="58"/>
        <v>0</v>
      </c>
      <c r="G63" s="53">
        <v>2148</v>
      </c>
      <c r="H63" s="54">
        <v>0</v>
      </c>
      <c r="I63" s="55">
        <f t="shared" si="59"/>
        <v>2148</v>
      </c>
      <c r="J63" s="53"/>
      <c r="K63" s="54"/>
      <c r="L63" s="55">
        <f t="shared" si="60"/>
        <v>0</v>
      </c>
      <c r="M63" s="53"/>
      <c r="N63" s="54"/>
      <c r="O63" s="55">
        <f t="shared" si="61"/>
        <v>0</v>
      </c>
      <c r="P63" s="57" t="s">
        <v>580</v>
      </c>
    </row>
    <row r="64" spans="1:16" x14ac:dyDescent="0.25">
      <c r="A64" s="51">
        <v>1148</v>
      </c>
      <c r="B64" s="89" t="s">
        <v>82</v>
      </c>
      <c r="C64" s="90">
        <f t="shared" si="0"/>
        <v>17610</v>
      </c>
      <c r="D64" s="53">
        <v>17610</v>
      </c>
      <c r="E64" s="54"/>
      <c r="F64" s="55">
        <f t="shared" si="58"/>
        <v>17610</v>
      </c>
      <c r="G64" s="53"/>
      <c r="H64" s="54">
        <v>0</v>
      </c>
      <c r="I64" s="55">
        <f t="shared" si="59"/>
        <v>0</v>
      </c>
      <c r="J64" s="53"/>
      <c r="K64" s="54"/>
      <c r="L64" s="55">
        <f t="shared" si="60"/>
        <v>0</v>
      </c>
      <c r="M64" s="53"/>
      <c r="N64" s="54"/>
      <c r="O64" s="55">
        <f t="shared" si="61"/>
        <v>0</v>
      </c>
      <c r="P64" s="57" t="s">
        <v>580</v>
      </c>
    </row>
    <row r="65" spans="1:16" ht="36" x14ac:dyDescent="0.25">
      <c r="A65" s="51">
        <v>1149</v>
      </c>
      <c r="B65" s="89" t="s">
        <v>83</v>
      </c>
      <c r="C65" s="90">
        <f t="shared" si="0"/>
        <v>3898.49</v>
      </c>
      <c r="D65" s="53"/>
      <c r="E65" s="54"/>
      <c r="F65" s="55">
        <f t="shared" si="58"/>
        <v>0</v>
      </c>
      <c r="G65" s="53">
        <v>6636</v>
      </c>
      <c r="H65" s="54">
        <v>-2737.51</v>
      </c>
      <c r="I65" s="55">
        <f t="shared" si="59"/>
        <v>3898.49</v>
      </c>
      <c r="J65" s="53"/>
      <c r="K65" s="54"/>
      <c r="L65" s="55">
        <f t="shared" si="60"/>
        <v>0</v>
      </c>
      <c r="M65" s="53"/>
      <c r="N65" s="54"/>
      <c r="O65" s="55">
        <f t="shared" si="61"/>
        <v>0</v>
      </c>
      <c r="P65" s="57" t="s">
        <v>1572</v>
      </c>
    </row>
    <row r="66" spans="1:16" ht="36" x14ac:dyDescent="0.25">
      <c r="A66" s="186">
        <v>1150</v>
      </c>
      <c r="B66" s="138" t="s">
        <v>84</v>
      </c>
      <c r="C66" s="143">
        <f t="shared" si="0"/>
        <v>350</v>
      </c>
      <c r="D66" s="144"/>
      <c r="E66" s="145"/>
      <c r="F66" s="141">
        <f t="shared" si="58"/>
        <v>0</v>
      </c>
      <c r="G66" s="144">
        <v>350</v>
      </c>
      <c r="H66" s="145">
        <v>0</v>
      </c>
      <c r="I66" s="141">
        <f t="shared" si="59"/>
        <v>350</v>
      </c>
      <c r="J66" s="144"/>
      <c r="K66" s="145"/>
      <c r="L66" s="141">
        <f t="shared" si="60"/>
        <v>0</v>
      </c>
      <c r="M66" s="144"/>
      <c r="N66" s="145"/>
      <c r="O66" s="141">
        <f t="shared" si="61"/>
        <v>0</v>
      </c>
      <c r="P66" s="129" t="s">
        <v>580</v>
      </c>
    </row>
    <row r="67" spans="1:16" ht="24" x14ac:dyDescent="0.25">
      <c r="A67" s="69">
        <v>1200</v>
      </c>
      <c r="B67" s="183" t="s">
        <v>85</v>
      </c>
      <c r="C67" s="70">
        <f t="shared" si="0"/>
        <v>169121</v>
      </c>
      <c r="D67" s="184">
        <f>SUM(D68:D69)</f>
        <v>35692</v>
      </c>
      <c r="E67" s="185">
        <f t="shared" ref="E67:F67" si="62">SUM(E68:E69)</f>
        <v>0</v>
      </c>
      <c r="F67" s="73">
        <f t="shared" si="62"/>
        <v>35692</v>
      </c>
      <c r="G67" s="184">
        <f>SUM(G68:G69)</f>
        <v>141345</v>
      </c>
      <c r="H67" s="185">
        <f t="shared" ref="H67:I67" si="63">SUM(H68:H69)</f>
        <v>-7916</v>
      </c>
      <c r="I67" s="73">
        <f t="shared" si="63"/>
        <v>133429</v>
      </c>
      <c r="J67" s="184">
        <f>SUM(J68:J69)</f>
        <v>0</v>
      </c>
      <c r="K67" s="185">
        <f t="shared" ref="K67:L67" si="64">SUM(K68:K69)</f>
        <v>0</v>
      </c>
      <c r="L67" s="73">
        <f t="shared" si="64"/>
        <v>0</v>
      </c>
      <c r="M67" s="184">
        <f>SUM(M68:M69)</f>
        <v>0</v>
      </c>
      <c r="N67" s="185">
        <f t="shared" ref="N67:O67" si="65">SUM(N68:N69)</f>
        <v>0</v>
      </c>
      <c r="O67" s="73">
        <f t="shared" si="65"/>
        <v>0</v>
      </c>
      <c r="P67" s="77"/>
    </row>
    <row r="68" spans="1:16" ht="36" x14ac:dyDescent="0.25">
      <c r="A68" s="1208">
        <v>1210</v>
      </c>
      <c r="B68" s="82" t="s">
        <v>86</v>
      </c>
      <c r="C68" s="83">
        <f t="shared" si="0"/>
        <v>133265</v>
      </c>
      <c r="D68" s="46">
        <v>8958</v>
      </c>
      <c r="E68" s="47"/>
      <c r="F68" s="134">
        <f>D68+E68</f>
        <v>8958</v>
      </c>
      <c r="G68" s="46">
        <v>132059</v>
      </c>
      <c r="H68" s="47">
        <v>-7752</v>
      </c>
      <c r="I68" s="134">
        <f>G68+H68</f>
        <v>124307</v>
      </c>
      <c r="J68" s="46"/>
      <c r="K68" s="47"/>
      <c r="L68" s="134">
        <f>K68+J68</f>
        <v>0</v>
      </c>
      <c r="M68" s="46"/>
      <c r="N68" s="47"/>
      <c r="O68" s="134">
        <f>N68+M68</f>
        <v>0</v>
      </c>
      <c r="P68" s="49" t="s">
        <v>1573</v>
      </c>
    </row>
    <row r="69" spans="1:16" ht="24" x14ac:dyDescent="0.25">
      <c r="A69" s="189">
        <v>1220</v>
      </c>
      <c r="B69" s="89" t="s">
        <v>87</v>
      </c>
      <c r="C69" s="90">
        <f t="shared" si="0"/>
        <v>35856</v>
      </c>
      <c r="D69" s="190">
        <f>SUM(D70:D74)</f>
        <v>26734</v>
      </c>
      <c r="E69" s="191">
        <f t="shared" ref="E69:F69" si="66">SUM(E70:E74)</f>
        <v>0</v>
      </c>
      <c r="F69" s="55">
        <f t="shared" si="66"/>
        <v>26734</v>
      </c>
      <c r="G69" s="190">
        <f>SUM(G70:G74)</f>
        <v>9286</v>
      </c>
      <c r="H69" s="191">
        <f t="shared" ref="H69:I69" si="67">SUM(H70:H74)</f>
        <v>-164</v>
      </c>
      <c r="I69" s="55">
        <f t="shared" si="67"/>
        <v>9122</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24202</v>
      </c>
      <c r="D70" s="53">
        <v>19574</v>
      </c>
      <c r="E70" s="54"/>
      <c r="F70" s="55">
        <f t="shared" ref="F70:F74" si="70">D70+E70</f>
        <v>19574</v>
      </c>
      <c r="G70" s="53">
        <v>4000</v>
      </c>
      <c r="H70" s="54">
        <v>628</v>
      </c>
      <c r="I70" s="55">
        <f t="shared" ref="I70:I74" si="71">G70+H70</f>
        <v>4628</v>
      </c>
      <c r="J70" s="53"/>
      <c r="K70" s="54"/>
      <c r="L70" s="55">
        <f t="shared" ref="L70:L74" si="72">K70+J70</f>
        <v>0</v>
      </c>
      <c r="M70" s="53"/>
      <c r="N70" s="54"/>
      <c r="O70" s="55">
        <f t="shared" ref="O70:O74" si="73">N70+M70</f>
        <v>0</v>
      </c>
      <c r="P70" s="57" t="s">
        <v>1574</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52.5" customHeight="1" x14ac:dyDescent="0.25">
      <c r="A73" s="51">
        <v>1227</v>
      </c>
      <c r="B73" s="89" t="s">
        <v>91</v>
      </c>
      <c r="C73" s="90">
        <f t="shared" si="0"/>
        <v>11154</v>
      </c>
      <c r="D73" s="53">
        <v>7160</v>
      </c>
      <c r="E73" s="54"/>
      <c r="F73" s="55">
        <f t="shared" si="70"/>
        <v>7160</v>
      </c>
      <c r="G73" s="53">
        <v>4786</v>
      </c>
      <c r="H73" s="54">
        <v>-792</v>
      </c>
      <c r="I73" s="55">
        <f t="shared" si="71"/>
        <v>3994</v>
      </c>
      <c r="J73" s="53"/>
      <c r="K73" s="54"/>
      <c r="L73" s="55">
        <f t="shared" si="72"/>
        <v>0</v>
      </c>
      <c r="M73" s="53"/>
      <c r="N73" s="54"/>
      <c r="O73" s="55">
        <f t="shared" si="73"/>
        <v>0</v>
      </c>
      <c r="P73" s="57" t="s">
        <v>1575</v>
      </c>
    </row>
    <row r="74" spans="1:16" ht="48" customHeight="1" x14ac:dyDescent="0.25">
      <c r="A74" s="51">
        <v>1228</v>
      </c>
      <c r="B74" s="89" t="s">
        <v>92</v>
      </c>
      <c r="C74" s="90">
        <f t="shared" si="0"/>
        <v>500</v>
      </c>
      <c r="D74" s="53"/>
      <c r="E74" s="54"/>
      <c r="F74" s="55">
        <f t="shared" si="70"/>
        <v>0</v>
      </c>
      <c r="G74" s="53">
        <v>500</v>
      </c>
      <c r="H74" s="54"/>
      <c r="I74" s="55">
        <f t="shared" si="71"/>
        <v>500</v>
      </c>
      <c r="J74" s="53"/>
      <c r="K74" s="54"/>
      <c r="L74" s="55">
        <f t="shared" si="72"/>
        <v>0</v>
      </c>
      <c r="M74" s="53"/>
      <c r="N74" s="54"/>
      <c r="O74" s="55">
        <f t="shared" si="73"/>
        <v>0</v>
      </c>
      <c r="P74" s="57"/>
    </row>
    <row r="75" spans="1:16" x14ac:dyDescent="0.25">
      <c r="A75" s="177">
        <v>2000</v>
      </c>
      <c r="B75" s="177" t="s">
        <v>93</v>
      </c>
      <c r="C75" s="178">
        <f t="shared" si="0"/>
        <v>134864</v>
      </c>
      <c r="D75" s="179">
        <f>SUM(D76,D83,D130,D164,D165,D172)</f>
        <v>0</v>
      </c>
      <c r="E75" s="180">
        <f t="shared" ref="E75:F75" si="74">SUM(E76,E83,E130,E164,E165,E172)</f>
        <v>0</v>
      </c>
      <c r="F75" s="181">
        <f t="shared" si="74"/>
        <v>0</v>
      </c>
      <c r="G75" s="179">
        <f>SUM(G76,G83,G130,G164,G165,G172)</f>
        <v>131218</v>
      </c>
      <c r="H75" s="180">
        <f t="shared" ref="H75:I75" si="75">SUM(H76,H83,H130,H164,H165,H172)</f>
        <v>-927</v>
      </c>
      <c r="I75" s="181">
        <f t="shared" si="75"/>
        <v>130291</v>
      </c>
      <c r="J75" s="179">
        <f>SUM(J76,J83,J130,J164,J165,J172)</f>
        <v>4573</v>
      </c>
      <c r="K75" s="180">
        <f t="shared" ref="K75:L75" si="76">SUM(K76,K83,K130,K164,K165,K172)</f>
        <v>0</v>
      </c>
      <c r="L75" s="181">
        <f t="shared" si="76"/>
        <v>4573</v>
      </c>
      <c r="M75" s="179">
        <f>SUM(M76,M83,M130,M164,M165,M172)</f>
        <v>0</v>
      </c>
      <c r="N75" s="180">
        <f t="shared" ref="N75:O75" si="77">SUM(N76,N83,N130,N164,N165,N172)</f>
        <v>0</v>
      </c>
      <c r="O75" s="181">
        <f t="shared" si="77"/>
        <v>0</v>
      </c>
      <c r="P75" s="182"/>
    </row>
    <row r="76" spans="1:16" ht="24" x14ac:dyDescent="0.25">
      <c r="A76" s="69">
        <v>2100</v>
      </c>
      <c r="B76" s="183" t="s">
        <v>94</v>
      </c>
      <c r="C76" s="70">
        <f t="shared" si="0"/>
        <v>800</v>
      </c>
      <c r="D76" s="184">
        <f>SUM(D77,D80)</f>
        <v>0</v>
      </c>
      <c r="E76" s="185">
        <f t="shared" ref="E76:F76" si="78">SUM(E77,E80)</f>
        <v>0</v>
      </c>
      <c r="F76" s="73">
        <f t="shared" si="78"/>
        <v>0</v>
      </c>
      <c r="G76" s="184">
        <f>SUM(G77,G80)</f>
        <v>800</v>
      </c>
      <c r="H76" s="185">
        <f t="shared" ref="H76:I76" si="79">SUM(H77,H80)</f>
        <v>0</v>
      </c>
      <c r="I76" s="73">
        <f t="shared" si="79"/>
        <v>800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208">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800</v>
      </c>
      <c r="D80" s="190">
        <f>SUM(D81:D82)</f>
        <v>0</v>
      </c>
      <c r="E80" s="191">
        <f t="shared" ref="E80:F80" si="90">SUM(E81:E82)</f>
        <v>0</v>
      </c>
      <c r="F80" s="55">
        <f t="shared" si="90"/>
        <v>0</v>
      </c>
      <c r="G80" s="190">
        <f>SUM(G81:G82)</f>
        <v>800</v>
      </c>
      <c r="H80" s="191">
        <f t="shared" ref="H80:I80" si="91">SUM(H81:H82)</f>
        <v>0</v>
      </c>
      <c r="I80" s="55">
        <f t="shared" si="91"/>
        <v>800</v>
      </c>
      <c r="J80" s="190">
        <f>SUM(J81:J82)</f>
        <v>0</v>
      </c>
      <c r="K80" s="191">
        <f t="shared" ref="K80:L80" si="92">SUM(K81:K82)</f>
        <v>0</v>
      </c>
      <c r="L80" s="55">
        <f t="shared" si="92"/>
        <v>0</v>
      </c>
      <c r="M80" s="190">
        <f>SUM(M81:M82)</f>
        <v>0</v>
      </c>
      <c r="N80" s="191">
        <f t="shared" ref="N80:O80" si="93">SUM(N81:N82)</f>
        <v>0</v>
      </c>
      <c r="O80" s="55">
        <f t="shared" si="93"/>
        <v>0</v>
      </c>
      <c r="P80" s="57"/>
    </row>
    <row r="81" spans="1:16" x14ac:dyDescent="0.25">
      <c r="A81" s="51">
        <v>2121</v>
      </c>
      <c r="B81" s="89" t="s">
        <v>96</v>
      </c>
      <c r="C81" s="90">
        <f t="shared" si="0"/>
        <v>725</v>
      </c>
      <c r="D81" s="196"/>
      <c r="E81" s="197"/>
      <c r="F81" s="55">
        <f t="shared" ref="F81:F82" si="94">D81+E81</f>
        <v>0</v>
      </c>
      <c r="G81" s="53">
        <v>725</v>
      </c>
      <c r="H81" s="54">
        <v>0</v>
      </c>
      <c r="I81" s="55">
        <f t="shared" ref="I81:I82" si="95">G81+H81</f>
        <v>725</v>
      </c>
      <c r="J81" s="53"/>
      <c r="K81" s="54"/>
      <c r="L81" s="55">
        <f t="shared" ref="L81:L82" si="96">K81+J81</f>
        <v>0</v>
      </c>
      <c r="M81" s="53"/>
      <c r="N81" s="54"/>
      <c r="O81" s="55">
        <f t="shared" ref="O81:O82" si="97">N81+M81</f>
        <v>0</v>
      </c>
      <c r="P81" s="57" t="s">
        <v>580</v>
      </c>
    </row>
    <row r="82" spans="1:16" ht="24" x14ac:dyDescent="0.25">
      <c r="A82" s="51">
        <v>2122</v>
      </c>
      <c r="B82" s="89" t="s">
        <v>97</v>
      </c>
      <c r="C82" s="90">
        <f t="shared" si="0"/>
        <v>75</v>
      </c>
      <c r="D82" s="196"/>
      <c r="E82" s="197"/>
      <c r="F82" s="55">
        <f t="shared" si="94"/>
        <v>0</v>
      </c>
      <c r="G82" s="53">
        <v>75</v>
      </c>
      <c r="H82" s="54">
        <v>0</v>
      </c>
      <c r="I82" s="55">
        <f t="shared" si="95"/>
        <v>75</v>
      </c>
      <c r="J82" s="53"/>
      <c r="K82" s="54"/>
      <c r="L82" s="55">
        <f t="shared" si="96"/>
        <v>0</v>
      </c>
      <c r="M82" s="53"/>
      <c r="N82" s="54"/>
      <c r="O82" s="55">
        <f t="shared" si="97"/>
        <v>0</v>
      </c>
      <c r="P82" s="57" t="s">
        <v>580</v>
      </c>
    </row>
    <row r="83" spans="1:16" x14ac:dyDescent="0.25">
      <c r="A83" s="69">
        <v>2200</v>
      </c>
      <c r="B83" s="183" t="s">
        <v>99</v>
      </c>
      <c r="C83" s="70">
        <f t="shared" si="0"/>
        <v>39510</v>
      </c>
      <c r="D83" s="184">
        <f>SUM(D84,D89,D95,D103,D112,D116,D122,D128)</f>
        <v>0</v>
      </c>
      <c r="E83" s="185">
        <f t="shared" ref="E83:F83" si="98">SUM(E84,E89,E95,E103,E112,E116,E122,E128)</f>
        <v>0</v>
      </c>
      <c r="F83" s="73">
        <f t="shared" si="98"/>
        <v>0</v>
      </c>
      <c r="G83" s="184">
        <f>SUM(G84,G89,G95,G103,G112,G116,G122,G128)</f>
        <v>41808</v>
      </c>
      <c r="H83" s="185">
        <f t="shared" ref="H83:I83" si="99">SUM(H84,H89,H95,H103,H112,H116,H122,H128)</f>
        <v>-3061</v>
      </c>
      <c r="I83" s="73">
        <f t="shared" si="99"/>
        <v>38747</v>
      </c>
      <c r="J83" s="184">
        <f>SUM(J84,J89,J95,J103,J112,J116,J122,J128)</f>
        <v>763</v>
      </c>
      <c r="K83" s="185">
        <f t="shared" ref="K83:L83" si="100">SUM(K84,K89,K95,K103,K112,K116,K122,K128)</f>
        <v>0</v>
      </c>
      <c r="L83" s="73">
        <f t="shared" si="100"/>
        <v>763</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1775</v>
      </c>
      <c r="D84" s="187">
        <f>SUM(D85:D88)</f>
        <v>0</v>
      </c>
      <c r="E84" s="188">
        <f t="shared" ref="E84:F84" si="103">SUM(E85:E88)</f>
        <v>0</v>
      </c>
      <c r="F84" s="141">
        <f t="shared" si="103"/>
        <v>0</v>
      </c>
      <c r="G84" s="187">
        <f>SUM(G85:G88)</f>
        <v>1709</v>
      </c>
      <c r="H84" s="188">
        <f t="shared" ref="H84:I84" si="104">SUM(H85:H88)</f>
        <v>0</v>
      </c>
      <c r="I84" s="141">
        <f t="shared" si="104"/>
        <v>1709</v>
      </c>
      <c r="J84" s="187">
        <f>SUM(J85:J88)</f>
        <v>66</v>
      </c>
      <c r="K84" s="188">
        <f t="shared" ref="K84:L84" si="105">SUM(K85:K88)</f>
        <v>0</v>
      </c>
      <c r="L84" s="141">
        <f t="shared" si="105"/>
        <v>66</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1420</v>
      </c>
      <c r="D86" s="196"/>
      <c r="E86" s="197"/>
      <c r="F86" s="55">
        <f t="shared" si="107"/>
        <v>0</v>
      </c>
      <c r="G86" s="53">
        <v>1405</v>
      </c>
      <c r="H86" s="54"/>
      <c r="I86" s="55">
        <f t="shared" si="108"/>
        <v>1405</v>
      </c>
      <c r="J86" s="53">
        <v>15</v>
      </c>
      <c r="K86" s="54"/>
      <c r="L86" s="55">
        <f t="shared" si="109"/>
        <v>15</v>
      </c>
      <c r="M86" s="53"/>
      <c r="N86" s="54"/>
      <c r="O86" s="55">
        <f t="shared" si="110"/>
        <v>0</v>
      </c>
      <c r="P86" s="57"/>
    </row>
    <row r="87" spans="1:16" ht="24" customHeight="1" x14ac:dyDescent="0.25">
      <c r="A87" s="51">
        <v>2214</v>
      </c>
      <c r="B87" s="89" t="s">
        <v>103</v>
      </c>
      <c r="C87" s="90">
        <f t="shared" si="102"/>
        <v>255</v>
      </c>
      <c r="D87" s="196"/>
      <c r="E87" s="197"/>
      <c r="F87" s="55">
        <f t="shared" si="107"/>
        <v>0</v>
      </c>
      <c r="G87" s="53">
        <v>204</v>
      </c>
      <c r="H87" s="54"/>
      <c r="I87" s="55">
        <f t="shared" si="108"/>
        <v>204</v>
      </c>
      <c r="J87" s="53">
        <v>51</v>
      </c>
      <c r="K87" s="54"/>
      <c r="L87" s="55">
        <f t="shared" si="109"/>
        <v>51</v>
      </c>
      <c r="M87" s="53"/>
      <c r="N87" s="54"/>
      <c r="O87" s="55">
        <f t="shared" si="110"/>
        <v>0</v>
      </c>
      <c r="P87" s="57"/>
    </row>
    <row r="88" spans="1:16" ht="12" customHeight="1" x14ac:dyDescent="0.25">
      <c r="A88" s="51">
        <v>2219</v>
      </c>
      <c r="B88" s="89" t="s">
        <v>104</v>
      </c>
      <c r="C88" s="90">
        <f t="shared" si="102"/>
        <v>100</v>
      </c>
      <c r="D88" s="196"/>
      <c r="E88" s="197"/>
      <c r="F88" s="55">
        <f t="shared" si="107"/>
        <v>0</v>
      </c>
      <c r="G88" s="53">
        <v>100</v>
      </c>
      <c r="H88" s="54"/>
      <c r="I88" s="55">
        <f t="shared" si="108"/>
        <v>100</v>
      </c>
      <c r="J88" s="53"/>
      <c r="K88" s="54"/>
      <c r="L88" s="55">
        <f t="shared" si="109"/>
        <v>0</v>
      </c>
      <c r="M88" s="53"/>
      <c r="N88" s="54"/>
      <c r="O88" s="55">
        <f t="shared" si="110"/>
        <v>0</v>
      </c>
      <c r="P88" s="57"/>
    </row>
    <row r="89" spans="1:16" ht="24" x14ac:dyDescent="0.25">
      <c r="A89" s="189">
        <v>2220</v>
      </c>
      <c r="B89" s="89" t="s">
        <v>105</v>
      </c>
      <c r="C89" s="90">
        <f t="shared" si="102"/>
        <v>17293</v>
      </c>
      <c r="D89" s="190">
        <f>SUM(D90:D94)</f>
        <v>0</v>
      </c>
      <c r="E89" s="191">
        <f t="shared" ref="E89:F89" si="111">SUM(E90:E94)</f>
        <v>0</v>
      </c>
      <c r="F89" s="55">
        <f t="shared" si="111"/>
        <v>0</v>
      </c>
      <c r="G89" s="190">
        <f>SUM(G90:G94)</f>
        <v>15903</v>
      </c>
      <c r="H89" s="191">
        <f t="shared" ref="H89:I89" si="112">SUM(H90:H94)</f>
        <v>830</v>
      </c>
      <c r="I89" s="55">
        <f t="shared" si="112"/>
        <v>16733</v>
      </c>
      <c r="J89" s="190">
        <f>SUM(J90:J94)</f>
        <v>560</v>
      </c>
      <c r="K89" s="191">
        <f t="shared" ref="K89:L89" si="113">SUM(K90:K94)</f>
        <v>0</v>
      </c>
      <c r="L89" s="55">
        <f t="shared" si="113"/>
        <v>560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36" x14ac:dyDescent="0.25">
      <c r="A91" s="51">
        <v>2222</v>
      </c>
      <c r="B91" s="89" t="s">
        <v>107</v>
      </c>
      <c r="C91" s="90">
        <f t="shared" si="102"/>
        <v>2700</v>
      </c>
      <c r="D91" s="196"/>
      <c r="E91" s="197"/>
      <c r="F91" s="55">
        <f t="shared" si="115"/>
        <v>0</v>
      </c>
      <c r="G91" s="53">
        <v>2000</v>
      </c>
      <c r="H91" s="54">
        <v>500</v>
      </c>
      <c r="I91" s="55">
        <f t="shared" si="116"/>
        <v>2500</v>
      </c>
      <c r="J91" s="53">
        <v>200</v>
      </c>
      <c r="K91" s="54"/>
      <c r="L91" s="55">
        <f t="shared" si="117"/>
        <v>200</v>
      </c>
      <c r="M91" s="53"/>
      <c r="N91" s="54"/>
      <c r="O91" s="55">
        <f t="shared" si="118"/>
        <v>0</v>
      </c>
      <c r="P91" s="57" t="s">
        <v>1576</v>
      </c>
    </row>
    <row r="92" spans="1:16" ht="12" customHeight="1" x14ac:dyDescent="0.25">
      <c r="A92" s="51">
        <v>2223</v>
      </c>
      <c r="B92" s="89" t="s">
        <v>108</v>
      </c>
      <c r="C92" s="90">
        <f t="shared" si="102"/>
        <v>13421</v>
      </c>
      <c r="D92" s="196"/>
      <c r="E92" s="197"/>
      <c r="F92" s="55">
        <f t="shared" si="115"/>
        <v>0</v>
      </c>
      <c r="G92" s="53">
        <v>13221</v>
      </c>
      <c r="H92" s="54"/>
      <c r="I92" s="55">
        <f t="shared" si="116"/>
        <v>13221</v>
      </c>
      <c r="J92" s="53">
        <v>200</v>
      </c>
      <c r="K92" s="54"/>
      <c r="L92" s="55">
        <f t="shared" si="117"/>
        <v>200</v>
      </c>
      <c r="M92" s="53"/>
      <c r="N92" s="54"/>
      <c r="O92" s="55">
        <f t="shared" si="118"/>
        <v>0</v>
      </c>
      <c r="P92" s="57"/>
    </row>
    <row r="93" spans="1:16" ht="48" customHeight="1" x14ac:dyDescent="0.25">
      <c r="A93" s="51">
        <v>2224</v>
      </c>
      <c r="B93" s="89" t="s">
        <v>109</v>
      </c>
      <c r="C93" s="90">
        <f t="shared" si="102"/>
        <v>1172</v>
      </c>
      <c r="D93" s="196"/>
      <c r="E93" s="197"/>
      <c r="F93" s="55">
        <f t="shared" si="115"/>
        <v>0</v>
      </c>
      <c r="G93" s="53">
        <v>682</v>
      </c>
      <c r="H93" s="54">
        <v>330</v>
      </c>
      <c r="I93" s="55">
        <f t="shared" si="116"/>
        <v>1012</v>
      </c>
      <c r="J93" s="53">
        <v>160</v>
      </c>
      <c r="K93" s="54"/>
      <c r="L93" s="55">
        <f t="shared" si="117"/>
        <v>160</v>
      </c>
      <c r="M93" s="53"/>
      <c r="N93" s="54"/>
      <c r="O93" s="55">
        <f t="shared" si="118"/>
        <v>0</v>
      </c>
      <c r="P93" s="57" t="s">
        <v>1577</v>
      </c>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3965</v>
      </c>
      <c r="D95" s="190">
        <f>SUM(D96:D102)</f>
        <v>0</v>
      </c>
      <c r="E95" s="191">
        <f t="shared" ref="E95:F95" si="119">SUM(E96:E102)</f>
        <v>0</v>
      </c>
      <c r="F95" s="55">
        <f t="shared" si="119"/>
        <v>0</v>
      </c>
      <c r="G95" s="190">
        <f>SUM(G96:G102)</f>
        <v>3955</v>
      </c>
      <c r="H95" s="191">
        <f t="shared" ref="H95:I95" si="120">SUM(H96:H102)</f>
        <v>0</v>
      </c>
      <c r="I95" s="55">
        <f t="shared" si="120"/>
        <v>3955</v>
      </c>
      <c r="J95" s="190">
        <f>SUM(J96:J102)</f>
        <v>10</v>
      </c>
      <c r="K95" s="191">
        <f t="shared" ref="K95:L95" si="121">SUM(K96:K102)</f>
        <v>0</v>
      </c>
      <c r="L95" s="55">
        <f t="shared" si="121"/>
        <v>10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customHeight="1" x14ac:dyDescent="0.25">
      <c r="A99" s="51">
        <v>2234</v>
      </c>
      <c r="B99" s="89" t="s">
        <v>115</v>
      </c>
      <c r="C99" s="90">
        <f t="shared" si="102"/>
        <v>38</v>
      </c>
      <c r="D99" s="196"/>
      <c r="E99" s="197"/>
      <c r="F99" s="55">
        <f t="shared" si="123"/>
        <v>0</v>
      </c>
      <c r="G99" s="53">
        <v>38</v>
      </c>
      <c r="H99" s="54"/>
      <c r="I99" s="55">
        <f t="shared" si="124"/>
        <v>38</v>
      </c>
      <c r="J99" s="53"/>
      <c r="K99" s="54"/>
      <c r="L99" s="55">
        <f t="shared" si="125"/>
        <v>0</v>
      </c>
      <c r="M99" s="53"/>
      <c r="N99" s="54"/>
      <c r="O99" s="55">
        <f t="shared" si="126"/>
        <v>0</v>
      </c>
      <c r="P99" s="57"/>
    </row>
    <row r="100" spans="1:16" ht="24" customHeight="1" x14ac:dyDescent="0.25">
      <c r="A100" s="51">
        <v>2235</v>
      </c>
      <c r="B100" s="89" t="s">
        <v>116</v>
      </c>
      <c r="C100" s="90">
        <f t="shared" si="102"/>
        <v>300</v>
      </c>
      <c r="D100" s="196"/>
      <c r="E100" s="197"/>
      <c r="F100" s="55">
        <f t="shared" si="123"/>
        <v>0</v>
      </c>
      <c r="G100" s="53">
        <v>300</v>
      </c>
      <c r="H100" s="54"/>
      <c r="I100" s="55">
        <f t="shared" si="124"/>
        <v>300</v>
      </c>
      <c r="J100" s="53"/>
      <c r="K100" s="54"/>
      <c r="L100" s="55">
        <f t="shared" si="125"/>
        <v>0</v>
      </c>
      <c r="M100" s="53"/>
      <c r="N100" s="54"/>
      <c r="O100" s="55">
        <f t="shared" si="126"/>
        <v>0</v>
      </c>
      <c r="P100" s="57"/>
    </row>
    <row r="101" spans="1:16" x14ac:dyDescent="0.25">
      <c r="A101" s="51">
        <v>2236</v>
      </c>
      <c r="B101" s="89" t="s">
        <v>117</v>
      </c>
      <c r="C101" s="90">
        <f t="shared" si="102"/>
        <v>10</v>
      </c>
      <c r="D101" s="196"/>
      <c r="E101" s="197"/>
      <c r="F101" s="55">
        <f t="shared" si="123"/>
        <v>0</v>
      </c>
      <c r="G101" s="53">
        <v>0</v>
      </c>
      <c r="H101" s="54">
        <v>0</v>
      </c>
      <c r="I101" s="55">
        <f t="shared" si="124"/>
        <v>0</v>
      </c>
      <c r="J101" s="53">
        <v>10</v>
      </c>
      <c r="K101" s="54"/>
      <c r="L101" s="55">
        <f t="shared" si="125"/>
        <v>10</v>
      </c>
      <c r="M101" s="53"/>
      <c r="N101" s="54"/>
      <c r="O101" s="55">
        <f t="shared" si="126"/>
        <v>0</v>
      </c>
      <c r="P101" s="57" t="s">
        <v>580</v>
      </c>
    </row>
    <row r="102" spans="1:16" ht="24" customHeight="1" x14ac:dyDescent="0.25">
      <c r="A102" s="51">
        <v>2239</v>
      </c>
      <c r="B102" s="89" t="s">
        <v>118</v>
      </c>
      <c r="C102" s="90">
        <f t="shared" si="102"/>
        <v>3617</v>
      </c>
      <c r="D102" s="196"/>
      <c r="E102" s="197"/>
      <c r="F102" s="55">
        <f t="shared" si="123"/>
        <v>0</v>
      </c>
      <c r="G102" s="53">
        <v>3617</v>
      </c>
      <c r="H102" s="54"/>
      <c r="I102" s="55">
        <f t="shared" si="124"/>
        <v>3617</v>
      </c>
      <c r="J102" s="53"/>
      <c r="K102" s="54"/>
      <c r="L102" s="55">
        <f t="shared" si="125"/>
        <v>0</v>
      </c>
      <c r="M102" s="53"/>
      <c r="N102" s="54"/>
      <c r="O102" s="55">
        <f t="shared" si="126"/>
        <v>0</v>
      </c>
      <c r="P102" s="57"/>
    </row>
    <row r="103" spans="1:16" ht="36" x14ac:dyDescent="0.25">
      <c r="A103" s="189">
        <v>2240</v>
      </c>
      <c r="B103" s="89" t="s">
        <v>119</v>
      </c>
      <c r="C103" s="90">
        <f t="shared" si="102"/>
        <v>13341</v>
      </c>
      <c r="D103" s="190">
        <f>SUM(D104:D111)</f>
        <v>0</v>
      </c>
      <c r="E103" s="191">
        <f t="shared" ref="E103:F103" si="127">SUM(E104:E111)</f>
        <v>0</v>
      </c>
      <c r="F103" s="55">
        <f t="shared" si="127"/>
        <v>0</v>
      </c>
      <c r="G103" s="190">
        <f>SUM(G104:G111)</f>
        <v>13214</v>
      </c>
      <c r="H103" s="191">
        <f t="shared" ref="H103:I103" si="128">SUM(H104:H111)</f>
        <v>0</v>
      </c>
      <c r="I103" s="55">
        <f t="shared" si="128"/>
        <v>13214</v>
      </c>
      <c r="J103" s="190">
        <f>SUM(J104:J111)</f>
        <v>127</v>
      </c>
      <c r="K103" s="191">
        <f t="shared" ref="K103:L103" si="129">SUM(K104:K111)</f>
        <v>0</v>
      </c>
      <c r="L103" s="55">
        <f t="shared" si="129"/>
        <v>127</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3950</v>
      </c>
      <c r="D105" s="196"/>
      <c r="E105" s="197"/>
      <c r="F105" s="55">
        <f t="shared" si="131"/>
        <v>0</v>
      </c>
      <c r="G105" s="53">
        <v>3823</v>
      </c>
      <c r="H105" s="54"/>
      <c r="I105" s="55">
        <f t="shared" si="132"/>
        <v>3823</v>
      </c>
      <c r="J105" s="53">
        <v>127</v>
      </c>
      <c r="K105" s="54"/>
      <c r="L105" s="55">
        <f t="shared" si="133"/>
        <v>127</v>
      </c>
      <c r="M105" s="53"/>
      <c r="N105" s="54"/>
      <c r="O105" s="55">
        <f t="shared" si="134"/>
        <v>0</v>
      </c>
      <c r="P105" s="57"/>
    </row>
    <row r="106" spans="1:16" ht="24" customHeight="1" x14ac:dyDescent="0.25">
      <c r="A106" s="51">
        <v>2243</v>
      </c>
      <c r="B106" s="89" t="s">
        <v>122</v>
      </c>
      <c r="C106" s="90">
        <f t="shared" si="102"/>
        <v>1104</v>
      </c>
      <c r="D106" s="196"/>
      <c r="E106" s="197"/>
      <c r="F106" s="55">
        <f t="shared" si="131"/>
        <v>0</v>
      </c>
      <c r="G106" s="53">
        <v>1104</v>
      </c>
      <c r="H106" s="54"/>
      <c r="I106" s="55">
        <f t="shared" si="132"/>
        <v>1104</v>
      </c>
      <c r="J106" s="53"/>
      <c r="K106" s="54"/>
      <c r="L106" s="55">
        <f t="shared" si="133"/>
        <v>0</v>
      </c>
      <c r="M106" s="53"/>
      <c r="N106" s="54"/>
      <c r="O106" s="55">
        <f t="shared" si="134"/>
        <v>0</v>
      </c>
      <c r="P106" s="57"/>
    </row>
    <row r="107" spans="1:16" ht="12" customHeight="1" x14ac:dyDescent="0.25">
      <c r="A107" s="51">
        <v>2244</v>
      </c>
      <c r="B107" s="89" t="s">
        <v>123</v>
      </c>
      <c r="C107" s="90">
        <f t="shared" si="102"/>
        <v>7857</v>
      </c>
      <c r="D107" s="196"/>
      <c r="E107" s="197"/>
      <c r="F107" s="55">
        <f t="shared" si="131"/>
        <v>0</v>
      </c>
      <c r="G107" s="53">
        <v>7857</v>
      </c>
      <c r="H107" s="54"/>
      <c r="I107" s="55">
        <f t="shared" si="132"/>
        <v>7857</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v>0</v>
      </c>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430</v>
      </c>
      <c r="D111" s="196"/>
      <c r="E111" s="197"/>
      <c r="F111" s="55">
        <f t="shared" si="131"/>
        <v>0</v>
      </c>
      <c r="G111" s="53">
        <v>430</v>
      </c>
      <c r="H111" s="54"/>
      <c r="I111" s="55">
        <f t="shared" si="132"/>
        <v>430</v>
      </c>
      <c r="J111" s="53"/>
      <c r="K111" s="54"/>
      <c r="L111" s="55">
        <f t="shared" si="133"/>
        <v>0</v>
      </c>
      <c r="M111" s="53"/>
      <c r="N111" s="54"/>
      <c r="O111" s="55">
        <f t="shared" si="134"/>
        <v>0</v>
      </c>
      <c r="P111" s="57"/>
    </row>
    <row r="112" spans="1:16" x14ac:dyDescent="0.25">
      <c r="A112" s="189">
        <v>2250</v>
      </c>
      <c r="B112" s="89" t="s">
        <v>128</v>
      </c>
      <c r="C112" s="90">
        <f t="shared" si="102"/>
        <v>1139</v>
      </c>
      <c r="D112" s="190">
        <f>SUM(D113:D115)</f>
        <v>0</v>
      </c>
      <c r="E112" s="191">
        <f t="shared" ref="E112:F112" si="135">SUM(E113:E115)</f>
        <v>0</v>
      </c>
      <c r="F112" s="55">
        <f t="shared" si="135"/>
        <v>0</v>
      </c>
      <c r="G112" s="190">
        <f>SUM(G113:G115)</f>
        <v>1139</v>
      </c>
      <c r="H112" s="191">
        <f t="shared" ref="H112:I112" si="136">SUM(H113:H115)</f>
        <v>0</v>
      </c>
      <c r="I112" s="55">
        <f t="shared" si="136"/>
        <v>1139</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452</v>
      </c>
      <c r="D114" s="196"/>
      <c r="E114" s="197"/>
      <c r="F114" s="55">
        <f t="shared" si="139"/>
        <v>0</v>
      </c>
      <c r="G114" s="53">
        <v>452</v>
      </c>
      <c r="H114" s="54"/>
      <c r="I114" s="55">
        <f t="shared" si="140"/>
        <v>452</v>
      </c>
      <c r="J114" s="53"/>
      <c r="K114" s="54"/>
      <c r="L114" s="55">
        <f t="shared" si="141"/>
        <v>0</v>
      </c>
      <c r="M114" s="53"/>
      <c r="N114" s="54"/>
      <c r="O114" s="55">
        <f t="shared" si="142"/>
        <v>0</v>
      </c>
      <c r="P114" s="57"/>
    </row>
    <row r="115" spans="1:16" ht="24" customHeight="1" x14ac:dyDescent="0.25">
      <c r="A115" s="51">
        <v>2259</v>
      </c>
      <c r="B115" s="89" t="s">
        <v>131</v>
      </c>
      <c r="C115" s="90">
        <f t="shared" si="102"/>
        <v>687</v>
      </c>
      <c r="D115" s="196"/>
      <c r="E115" s="197"/>
      <c r="F115" s="55">
        <f t="shared" si="139"/>
        <v>0</v>
      </c>
      <c r="G115" s="53">
        <v>687</v>
      </c>
      <c r="H115" s="54"/>
      <c r="I115" s="55">
        <f t="shared" si="140"/>
        <v>687</v>
      </c>
      <c r="J115" s="53"/>
      <c r="K115" s="54"/>
      <c r="L115" s="55">
        <f t="shared" si="141"/>
        <v>0</v>
      </c>
      <c r="M115" s="53"/>
      <c r="N115" s="54"/>
      <c r="O115" s="55">
        <f t="shared" si="142"/>
        <v>0</v>
      </c>
      <c r="P115" s="57"/>
    </row>
    <row r="116" spans="1:16" x14ac:dyDescent="0.25">
      <c r="A116" s="189">
        <v>2260</v>
      </c>
      <c r="B116" s="89" t="s">
        <v>132</v>
      </c>
      <c r="C116" s="90">
        <f t="shared" si="102"/>
        <v>100</v>
      </c>
      <c r="D116" s="190">
        <f>SUM(D117:D121)</f>
        <v>0</v>
      </c>
      <c r="E116" s="191">
        <f t="shared" ref="E116:F116" si="143">SUM(E117:E121)</f>
        <v>0</v>
      </c>
      <c r="F116" s="55">
        <f t="shared" si="143"/>
        <v>0</v>
      </c>
      <c r="G116" s="190">
        <f>SUM(G117:G121)</f>
        <v>100</v>
      </c>
      <c r="H116" s="191">
        <f t="shared" ref="H116:I116" si="144">SUM(H117:H121)</f>
        <v>0</v>
      </c>
      <c r="I116" s="55">
        <f t="shared" si="144"/>
        <v>100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100</v>
      </c>
      <c r="D121" s="196"/>
      <c r="E121" s="197"/>
      <c r="F121" s="55">
        <f t="shared" si="147"/>
        <v>0</v>
      </c>
      <c r="G121" s="53">
        <v>100</v>
      </c>
      <c r="H121" s="54"/>
      <c r="I121" s="55">
        <f t="shared" si="148"/>
        <v>100</v>
      </c>
      <c r="J121" s="53"/>
      <c r="K121" s="54"/>
      <c r="L121" s="55">
        <f t="shared" si="149"/>
        <v>0</v>
      </c>
      <c r="M121" s="53"/>
      <c r="N121" s="54"/>
      <c r="O121" s="55">
        <f t="shared" si="150"/>
        <v>0</v>
      </c>
      <c r="P121" s="57"/>
    </row>
    <row r="122" spans="1:16" x14ac:dyDescent="0.25">
      <c r="A122" s="189">
        <v>2270</v>
      </c>
      <c r="B122" s="89" t="s">
        <v>138</v>
      </c>
      <c r="C122" s="90">
        <f t="shared" si="102"/>
        <v>1897</v>
      </c>
      <c r="D122" s="190">
        <f>SUM(D123:D127)</f>
        <v>0</v>
      </c>
      <c r="E122" s="191">
        <f t="shared" ref="E122:F122" si="151">SUM(E123:E127)</f>
        <v>0</v>
      </c>
      <c r="F122" s="55">
        <f t="shared" si="151"/>
        <v>0</v>
      </c>
      <c r="G122" s="190">
        <f>SUM(G123:G127)</f>
        <v>5788</v>
      </c>
      <c r="H122" s="191">
        <f t="shared" ref="H122:I122" si="152">SUM(H123:H127)</f>
        <v>-3891</v>
      </c>
      <c r="I122" s="55">
        <f t="shared" si="152"/>
        <v>1897</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48" hidden="1" x14ac:dyDescent="0.25">
      <c r="A125" s="51">
        <v>2275</v>
      </c>
      <c r="B125" s="89" t="s">
        <v>141</v>
      </c>
      <c r="C125" s="90">
        <f t="shared" si="102"/>
        <v>0</v>
      </c>
      <c r="D125" s="196"/>
      <c r="E125" s="197"/>
      <c r="F125" s="55">
        <f t="shared" si="155"/>
        <v>0</v>
      </c>
      <c r="G125" s="53">
        <v>3891</v>
      </c>
      <c r="H125" s="54">
        <v>-3891</v>
      </c>
      <c r="I125" s="55">
        <f t="shared" si="156"/>
        <v>0</v>
      </c>
      <c r="J125" s="53"/>
      <c r="K125" s="54"/>
      <c r="L125" s="55">
        <f t="shared" si="157"/>
        <v>0</v>
      </c>
      <c r="M125" s="53"/>
      <c r="N125" s="54"/>
      <c r="O125" s="55">
        <f t="shared" si="158"/>
        <v>0</v>
      </c>
      <c r="P125" s="57" t="s">
        <v>1578</v>
      </c>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s="234" customFormat="1" ht="24" x14ac:dyDescent="0.25">
      <c r="A127" s="1363">
        <v>2279</v>
      </c>
      <c r="B127" s="1364" t="s">
        <v>143</v>
      </c>
      <c r="C127" s="1365">
        <f t="shared" si="102"/>
        <v>1897</v>
      </c>
      <c r="D127" s="1366"/>
      <c r="E127" s="1367"/>
      <c r="F127" s="1368">
        <f t="shared" si="155"/>
        <v>0</v>
      </c>
      <c r="G127" s="1369">
        <v>1897</v>
      </c>
      <c r="H127" s="1370">
        <v>0</v>
      </c>
      <c r="I127" s="1368">
        <f t="shared" si="156"/>
        <v>1897</v>
      </c>
      <c r="J127" s="1369"/>
      <c r="K127" s="1370"/>
      <c r="L127" s="1368">
        <f t="shared" si="157"/>
        <v>0</v>
      </c>
      <c r="M127" s="1369"/>
      <c r="N127" s="1370"/>
      <c r="O127" s="1368">
        <f t="shared" si="158"/>
        <v>0</v>
      </c>
      <c r="P127" s="1371" t="s">
        <v>580</v>
      </c>
    </row>
    <row r="128" spans="1:16" ht="48" hidden="1" x14ac:dyDescent="0.25">
      <c r="A128" s="1208">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57"/>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94170</v>
      </c>
      <c r="D130" s="184">
        <f>SUM(D131,D136,D140,D141,D144,D151,D159,D160,D163)</f>
        <v>0</v>
      </c>
      <c r="E130" s="185">
        <f t="shared" ref="E130:F130" si="160">SUM(E131,E136,E140,E141,E144,E151,E159,E160,E163)</f>
        <v>0</v>
      </c>
      <c r="F130" s="73">
        <f t="shared" si="160"/>
        <v>0</v>
      </c>
      <c r="G130" s="184">
        <f>SUM(G131,G136,G140,G141,G144,G151,G159,G160,G163)</f>
        <v>88226</v>
      </c>
      <c r="H130" s="185">
        <f t="shared" ref="H130:I130" si="161">SUM(H131,H136,H140,H141,H144,H151,H159,H160,H163)</f>
        <v>2134</v>
      </c>
      <c r="I130" s="73">
        <f t="shared" si="161"/>
        <v>90360</v>
      </c>
      <c r="J130" s="184">
        <f>SUM(J131,J136,J140,J141,J144,J151,J159,J160,J163)</f>
        <v>3810</v>
      </c>
      <c r="K130" s="185">
        <f t="shared" ref="K130:L130" si="162">SUM(K131,K136,K140,K141,K144,K151,K159,K160,K163)</f>
        <v>0</v>
      </c>
      <c r="L130" s="73">
        <f t="shared" si="162"/>
        <v>3810</v>
      </c>
      <c r="M130" s="184">
        <f>SUM(M131,M136,M140,M141,M144,M151,M159,M160,M163)</f>
        <v>0</v>
      </c>
      <c r="N130" s="185">
        <f t="shared" ref="N130:O130" si="163">SUM(N131,N136,N140,N141,N144,N151,N159,N160,N163)</f>
        <v>0</v>
      </c>
      <c r="O130" s="73">
        <f t="shared" si="163"/>
        <v>0</v>
      </c>
      <c r="P130" s="77"/>
    </row>
    <row r="131" spans="1:16" ht="24" x14ac:dyDescent="0.25">
      <c r="A131" s="1208">
        <v>2310</v>
      </c>
      <c r="B131" s="82" t="s">
        <v>147</v>
      </c>
      <c r="C131" s="83">
        <f t="shared" si="102"/>
        <v>6583</v>
      </c>
      <c r="D131" s="194">
        <f t="shared" ref="D131:O131" si="164">SUM(D132:D135)</f>
        <v>0</v>
      </c>
      <c r="E131" s="195">
        <f t="shared" si="164"/>
        <v>0</v>
      </c>
      <c r="F131" s="134">
        <f t="shared" si="164"/>
        <v>0</v>
      </c>
      <c r="G131" s="194">
        <f t="shared" si="164"/>
        <v>4905</v>
      </c>
      <c r="H131" s="195">
        <f t="shared" si="164"/>
        <v>1678</v>
      </c>
      <c r="I131" s="134">
        <f t="shared" si="164"/>
        <v>6583</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1505</v>
      </c>
      <c r="D132" s="196"/>
      <c r="E132" s="197"/>
      <c r="F132" s="55">
        <f t="shared" ref="F132:F135" si="165">D132+E132</f>
        <v>0</v>
      </c>
      <c r="G132" s="53">
        <v>1505</v>
      </c>
      <c r="H132" s="54"/>
      <c r="I132" s="55">
        <f t="shared" ref="I132:I135" si="166">G132+H132</f>
        <v>1505</v>
      </c>
      <c r="J132" s="53"/>
      <c r="K132" s="54"/>
      <c r="L132" s="55">
        <f t="shared" ref="L132:L135" si="167">K132+J132</f>
        <v>0</v>
      </c>
      <c r="M132" s="53"/>
      <c r="N132" s="54"/>
      <c r="O132" s="55">
        <f t="shared" ref="O132:O135" si="168">N132+M132</f>
        <v>0</v>
      </c>
      <c r="P132" s="57"/>
    </row>
    <row r="133" spans="1:16" ht="22.5" customHeight="1" x14ac:dyDescent="0.25">
      <c r="A133" s="51">
        <v>2312</v>
      </c>
      <c r="B133" s="89" t="s">
        <v>149</v>
      </c>
      <c r="C133" s="90">
        <f t="shared" si="102"/>
        <v>4678</v>
      </c>
      <c r="D133" s="196"/>
      <c r="E133" s="197"/>
      <c r="F133" s="55">
        <f t="shared" si="165"/>
        <v>0</v>
      </c>
      <c r="G133" s="53">
        <v>3000</v>
      </c>
      <c r="H133" s="54">
        <v>1678</v>
      </c>
      <c r="I133" s="55">
        <f t="shared" si="166"/>
        <v>4678</v>
      </c>
      <c r="J133" s="53"/>
      <c r="K133" s="54"/>
      <c r="L133" s="55">
        <f t="shared" si="167"/>
        <v>0</v>
      </c>
      <c r="M133" s="53"/>
      <c r="N133" s="54"/>
      <c r="O133" s="55">
        <f t="shared" si="168"/>
        <v>0</v>
      </c>
      <c r="P133" s="57" t="s">
        <v>1579</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400</v>
      </c>
      <c r="D135" s="196"/>
      <c r="E135" s="197"/>
      <c r="F135" s="55">
        <f t="shared" si="165"/>
        <v>0</v>
      </c>
      <c r="G135" s="53">
        <v>400</v>
      </c>
      <c r="H135" s="54"/>
      <c r="I135" s="55">
        <f t="shared" si="166"/>
        <v>400</v>
      </c>
      <c r="J135" s="53"/>
      <c r="K135" s="54"/>
      <c r="L135" s="55">
        <f t="shared" si="167"/>
        <v>0</v>
      </c>
      <c r="M135" s="53"/>
      <c r="N135" s="54"/>
      <c r="O135" s="55">
        <f t="shared" si="168"/>
        <v>0</v>
      </c>
      <c r="P135" s="57"/>
    </row>
    <row r="136" spans="1:16" x14ac:dyDescent="0.25">
      <c r="A136" s="189">
        <v>2320</v>
      </c>
      <c r="B136" s="89" t="s">
        <v>152</v>
      </c>
      <c r="C136" s="90">
        <f t="shared" si="102"/>
        <v>20410</v>
      </c>
      <c r="D136" s="190">
        <f>SUM(D137:D139)</f>
        <v>0</v>
      </c>
      <c r="E136" s="191">
        <f t="shared" ref="E136:F136" si="169">SUM(E137:E139)</f>
        <v>0</v>
      </c>
      <c r="F136" s="55">
        <f t="shared" si="169"/>
        <v>0</v>
      </c>
      <c r="G136" s="190">
        <f>SUM(G137:G139)</f>
        <v>18364</v>
      </c>
      <c r="H136" s="191">
        <f t="shared" ref="H136:I136" si="170">SUM(H137:H139)</f>
        <v>0</v>
      </c>
      <c r="I136" s="55">
        <f t="shared" si="170"/>
        <v>18364</v>
      </c>
      <c r="J136" s="190">
        <f>SUM(J137:J139)</f>
        <v>2046</v>
      </c>
      <c r="K136" s="191">
        <f t="shared" ref="K136:L136" si="171">SUM(K137:K139)</f>
        <v>0</v>
      </c>
      <c r="L136" s="55">
        <f t="shared" si="171"/>
        <v>2046</v>
      </c>
      <c r="M136" s="190">
        <f>SUM(M137:M139)</f>
        <v>0</v>
      </c>
      <c r="N136" s="191">
        <f t="shared" ref="N136:O136" si="172">SUM(N137:N139)</f>
        <v>0</v>
      </c>
      <c r="O136" s="55">
        <f t="shared" si="172"/>
        <v>0</v>
      </c>
      <c r="P136" s="57"/>
    </row>
    <row r="137" spans="1:16" ht="12" customHeight="1" x14ac:dyDescent="0.25">
      <c r="A137" s="51">
        <v>2321</v>
      </c>
      <c r="B137" s="89" t="s">
        <v>153</v>
      </c>
      <c r="C137" s="90">
        <f t="shared" si="102"/>
        <v>15216</v>
      </c>
      <c r="D137" s="196"/>
      <c r="E137" s="197"/>
      <c r="F137" s="55">
        <f t="shared" ref="F137:F140" si="173">D137+E137</f>
        <v>0</v>
      </c>
      <c r="G137" s="53">
        <v>13637</v>
      </c>
      <c r="H137" s="54"/>
      <c r="I137" s="55">
        <f t="shared" ref="I137:I140" si="174">G137+H137</f>
        <v>13637</v>
      </c>
      <c r="J137" s="53">
        <v>1579</v>
      </c>
      <c r="K137" s="54"/>
      <c r="L137" s="55">
        <f t="shared" ref="L137:L140" si="175">K137+J137</f>
        <v>1579</v>
      </c>
      <c r="M137" s="53"/>
      <c r="N137" s="54"/>
      <c r="O137" s="55">
        <f t="shared" ref="O137:O140" si="176">N137+M137</f>
        <v>0</v>
      </c>
      <c r="P137" s="57"/>
    </row>
    <row r="138" spans="1:16" ht="12" customHeight="1" x14ac:dyDescent="0.25">
      <c r="A138" s="51">
        <v>2322</v>
      </c>
      <c r="B138" s="89" t="s">
        <v>154</v>
      </c>
      <c r="C138" s="90">
        <f t="shared" si="102"/>
        <v>5194</v>
      </c>
      <c r="D138" s="196"/>
      <c r="E138" s="197"/>
      <c r="F138" s="55">
        <f t="shared" si="173"/>
        <v>0</v>
      </c>
      <c r="G138" s="53">
        <v>4727</v>
      </c>
      <c r="H138" s="54"/>
      <c r="I138" s="55">
        <f t="shared" si="174"/>
        <v>4727</v>
      </c>
      <c r="J138" s="53">
        <v>467</v>
      </c>
      <c r="K138" s="54"/>
      <c r="L138" s="55">
        <f t="shared" si="175"/>
        <v>467</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1290</v>
      </c>
      <c r="D141" s="190">
        <f>SUM(D142:D143)</f>
        <v>0</v>
      </c>
      <c r="E141" s="191">
        <f t="shared" ref="E141:F141" si="177">SUM(E142:E143)</f>
        <v>0</v>
      </c>
      <c r="F141" s="55">
        <f t="shared" si="177"/>
        <v>0</v>
      </c>
      <c r="G141" s="190">
        <f>SUM(G142:G143)</f>
        <v>990</v>
      </c>
      <c r="H141" s="191">
        <f t="shared" ref="H141:I141" si="178">SUM(H142:H143)</f>
        <v>300</v>
      </c>
      <c r="I141" s="55">
        <f t="shared" si="178"/>
        <v>1290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24" x14ac:dyDescent="0.25">
      <c r="A142" s="51">
        <v>2341</v>
      </c>
      <c r="B142" s="89" t="s">
        <v>158</v>
      </c>
      <c r="C142" s="90">
        <f t="shared" si="102"/>
        <v>1290</v>
      </c>
      <c r="D142" s="196"/>
      <c r="E142" s="197"/>
      <c r="F142" s="55">
        <f t="shared" ref="F142:F143" si="181">D142+E142</f>
        <v>0</v>
      </c>
      <c r="G142" s="53">
        <v>990</v>
      </c>
      <c r="H142" s="54">
        <v>300</v>
      </c>
      <c r="I142" s="55">
        <f t="shared" ref="I142:I143" si="182">G142+H142</f>
        <v>1290</v>
      </c>
      <c r="J142" s="53"/>
      <c r="K142" s="54"/>
      <c r="L142" s="55">
        <f t="shared" ref="L142:L143" si="183">K142+J142</f>
        <v>0</v>
      </c>
      <c r="M142" s="53"/>
      <c r="N142" s="54"/>
      <c r="O142" s="55">
        <f t="shared" ref="O142:O143" si="184">N142+M142</f>
        <v>0</v>
      </c>
      <c r="P142" s="57" t="s">
        <v>1580</v>
      </c>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11349</v>
      </c>
      <c r="D144" s="187">
        <f>SUM(D145:D150)</f>
        <v>0</v>
      </c>
      <c r="E144" s="188">
        <f t="shared" ref="E144:F144" si="185">SUM(E145:E150)</f>
        <v>0</v>
      </c>
      <c r="F144" s="141">
        <f t="shared" si="185"/>
        <v>0</v>
      </c>
      <c r="G144" s="187">
        <f>SUM(G145:G150)</f>
        <v>11039</v>
      </c>
      <c r="H144" s="188">
        <f t="shared" ref="H144:I144" si="186">SUM(H145:H150)</f>
        <v>156</v>
      </c>
      <c r="I144" s="141">
        <f t="shared" si="186"/>
        <v>11195</v>
      </c>
      <c r="J144" s="187">
        <f>SUM(J145:J150)</f>
        <v>154</v>
      </c>
      <c r="K144" s="188">
        <f t="shared" ref="K144:L144" si="187">SUM(K145:K150)</f>
        <v>0</v>
      </c>
      <c r="L144" s="141">
        <f t="shared" si="187"/>
        <v>154</v>
      </c>
      <c r="M144" s="187">
        <f>SUM(M145:M150)</f>
        <v>0</v>
      </c>
      <c r="N144" s="188">
        <f t="shared" ref="N144:O144" si="188">SUM(N145:N150)</f>
        <v>0</v>
      </c>
      <c r="O144" s="141">
        <f t="shared" si="188"/>
        <v>0</v>
      </c>
      <c r="P144" s="129"/>
    </row>
    <row r="145" spans="1:16" ht="12" customHeight="1" x14ac:dyDescent="0.25">
      <c r="A145" s="44">
        <v>2351</v>
      </c>
      <c r="B145" s="82" t="s">
        <v>161</v>
      </c>
      <c r="C145" s="83">
        <f t="shared" si="102"/>
        <v>6750</v>
      </c>
      <c r="D145" s="199"/>
      <c r="E145" s="200"/>
      <c r="F145" s="134">
        <f t="shared" ref="F145:F150" si="189">D145+E145</f>
        <v>0</v>
      </c>
      <c r="G145" s="46">
        <v>6750</v>
      </c>
      <c r="H145" s="47"/>
      <c r="I145" s="134">
        <f t="shared" ref="I145:I150" si="190">G145+H145</f>
        <v>6750</v>
      </c>
      <c r="J145" s="46"/>
      <c r="K145" s="47"/>
      <c r="L145" s="134">
        <f t="shared" ref="L145:L150" si="191">K145+J145</f>
        <v>0</v>
      </c>
      <c r="M145" s="46"/>
      <c r="N145" s="47"/>
      <c r="O145" s="134">
        <f t="shared" ref="O145:O150" si="192">N145+M145</f>
        <v>0</v>
      </c>
      <c r="P145" s="49"/>
    </row>
    <row r="146" spans="1:16" ht="21" customHeight="1" x14ac:dyDescent="0.25">
      <c r="A146" s="51">
        <v>2352</v>
      </c>
      <c r="B146" s="89" t="s">
        <v>162</v>
      </c>
      <c r="C146" s="90">
        <f t="shared" si="102"/>
        <v>3696</v>
      </c>
      <c r="D146" s="196"/>
      <c r="E146" s="197"/>
      <c r="F146" s="55">
        <f t="shared" si="189"/>
        <v>0</v>
      </c>
      <c r="G146" s="53">
        <v>3386</v>
      </c>
      <c r="H146" s="54">
        <v>156</v>
      </c>
      <c r="I146" s="55">
        <f t="shared" si="190"/>
        <v>3542</v>
      </c>
      <c r="J146" s="53">
        <v>154</v>
      </c>
      <c r="K146" s="54"/>
      <c r="L146" s="55">
        <f t="shared" si="191"/>
        <v>154</v>
      </c>
      <c r="M146" s="53"/>
      <c r="N146" s="54"/>
      <c r="O146" s="55">
        <f t="shared" si="192"/>
        <v>0</v>
      </c>
      <c r="P146" s="57" t="s">
        <v>1581</v>
      </c>
    </row>
    <row r="147" spans="1:16" ht="24" customHeight="1" x14ac:dyDescent="0.25">
      <c r="A147" s="51">
        <v>2353</v>
      </c>
      <c r="B147" s="89" t="s">
        <v>163</v>
      </c>
      <c r="C147" s="90">
        <f t="shared" si="102"/>
        <v>120</v>
      </c>
      <c r="D147" s="196"/>
      <c r="E147" s="197"/>
      <c r="F147" s="55">
        <f t="shared" si="189"/>
        <v>0</v>
      </c>
      <c r="G147" s="53">
        <v>120</v>
      </c>
      <c r="H147" s="54"/>
      <c r="I147" s="55">
        <f t="shared" si="190"/>
        <v>120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583</v>
      </c>
      <c r="D148" s="196"/>
      <c r="E148" s="197"/>
      <c r="F148" s="55">
        <f t="shared" si="189"/>
        <v>0</v>
      </c>
      <c r="G148" s="53">
        <v>583</v>
      </c>
      <c r="H148" s="54"/>
      <c r="I148" s="55">
        <f t="shared" si="190"/>
        <v>583</v>
      </c>
      <c r="J148" s="53"/>
      <c r="K148" s="54"/>
      <c r="L148" s="55">
        <f t="shared" si="191"/>
        <v>0</v>
      </c>
      <c r="M148" s="53"/>
      <c r="N148" s="54"/>
      <c r="O148" s="55">
        <f t="shared" si="192"/>
        <v>0</v>
      </c>
      <c r="P148" s="57"/>
    </row>
    <row r="149" spans="1:16" ht="24" customHeight="1" x14ac:dyDescent="0.25">
      <c r="A149" s="51">
        <v>2355</v>
      </c>
      <c r="B149" s="89" t="s">
        <v>165</v>
      </c>
      <c r="C149" s="90">
        <f t="shared" si="193"/>
        <v>200</v>
      </c>
      <c r="D149" s="196"/>
      <c r="E149" s="197"/>
      <c r="F149" s="55">
        <f t="shared" si="189"/>
        <v>0</v>
      </c>
      <c r="G149" s="53">
        <v>200</v>
      </c>
      <c r="H149" s="54"/>
      <c r="I149" s="55">
        <f t="shared" si="190"/>
        <v>200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49528</v>
      </c>
      <c r="D151" s="190">
        <f>SUM(D152:D158)</f>
        <v>0</v>
      </c>
      <c r="E151" s="191">
        <f t="shared" ref="E151:F151" si="194">SUM(E152:E158)</f>
        <v>0</v>
      </c>
      <c r="F151" s="55">
        <f t="shared" si="194"/>
        <v>0</v>
      </c>
      <c r="G151" s="190">
        <f>SUM(G152:G158)</f>
        <v>47918</v>
      </c>
      <c r="H151" s="191">
        <f t="shared" ref="H151:I151" si="195">SUM(H152:H158)</f>
        <v>0</v>
      </c>
      <c r="I151" s="55">
        <f t="shared" si="195"/>
        <v>47918</v>
      </c>
      <c r="J151" s="190">
        <f>SUM(J152:J158)</f>
        <v>1610</v>
      </c>
      <c r="K151" s="191">
        <f t="shared" ref="K151:L151" si="196">SUM(K152:K158)</f>
        <v>0</v>
      </c>
      <c r="L151" s="55">
        <f t="shared" si="196"/>
        <v>1610</v>
      </c>
      <c r="M151" s="190">
        <f>SUM(M152:M158)</f>
        <v>0</v>
      </c>
      <c r="N151" s="191">
        <f t="shared" ref="N151:O151" si="197">SUM(N152:N158)</f>
        <v>0</v>
      </c>
      <c r="O151" s="55">
        <f t="shared" si="197"/>
        <v>0</v>
      </c>
      <c r="P151" s="57"/>
    </row>
    <row r="152" spans="1:16" ht="12" customHeight="1" x14ac:dyDescent="0.25">
      <c r="A152" s="50">
        <v>2361</v>
      </c>
      <c r="B152" s="89" t="s">
        <v>168</v>
      </c>
      <c r="C152" s="90">
        <f t="shared" si="193"/>
        <v>3500</v>
      </c>
      <c r="D152" s="196"/>
      <c r="E152" s="197"/>
      <c r="F152" s="55">
        <f t="shared" ref="F152:F159" si="198">D152+E152</f>
        <v>0</v>
      </c>
      <c r="G152" s="53">
        <v>3500</v>
      </c>
      <c r="H152" s="54"/>
      <c r="I152" s="55">
        <f t="shared" ref="I152:I159" si="199">G152+H152</f>
        <v>3500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792</v>
      </c>
      <c r="D153" s="196"/>
      <c r="E153" s="197"/>
      <c r="F153" s="55">
        <f t="shared" si="198"/>
        <v>0</v>
      </c>
      <c r="G153" s="53">
        <v>792</v>
      </c>
      <c r="H153" s="54"/>
      <c r="I153" s="55">
        <f t="shared" si="199"/>
        <v>792</v>
      </c>
      <c r="J153" s="53"/>
      <c r="K153" s="54"/>
      <c r="L153" s="55">
        <f t="shared" si="200"/>
        <v>0</v>
      </c>
      <c r="M153" s="53"/>
      <c r="N153" s="54"/>
      <c r="O153" s="55">
        <f t="shared" si="201"/>
        <v>0</v>
      </c>
      <c r="P153" s="57"/>
    </row>
    <row r="154" spans="1:16" ht="12" customHeight="1" x14ac:dyDescent="0.25">
      <c r="A154" s="50">
        <v>2363</v>
      </c>
      <c r="B154" s="89" t="s">
        <v>170</v>
      </c>
      <c r="C154" s="90">
        <f t="shared" si="193"/>
        <v>44511</v>
      </c>
      <c r="D154" s="196"/>
      <c r="E154" s="197"/>
      <c r="F154" s="55">
        <f t="shared" si="198"/>
        <v>0</v>
      </c>
      <c r="G154" s="53">
        <v>42901</v>
      </c>
      <c r="H154" s="54"/>
      <c r="I154" s="55">
        <f t="shared" si="199"/>
        <v>42901</v>
      </c>
      <c r="J154" s="53">
        <v>1610</v>
      </c>
      <c r="K154" s="54"/>
      <c r="L154" s="55">
        <f t="shared" si="200"/>
        <v>1610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customHeight="1" x14ac:dyDescent="0.25">
      <c r="A157" s="50">
        <v>2366</v>
      </c>
      <c r="B157" s="89" t="s">
        <v>173</v>
      </c>
      <c r="C157" s="90">
        <f t="shared" si="193"/>
        <v>143</v>
      </c>
      <c r="D157" s="196"/>
      <c r="E157" s="197"/>
      <c r="F157" s="55">
        <f t="shared" si="198"/>
        <v>0</v>
      </c>
      <c r="G157" s="53">
        <v>143</v>
      </c>
      <c r="H157" s="54"/>
      <c r="I157" s="55">
        <f t="shared" si="199"/>
        <v>143</v>
      </c>
      <c r="J157" s="53"/>
      <c r="K157" s="54"/>
      <c r="L157" s="55">
        <f t="shared" si="200"/>
        <v>0</v>
      </c>
      <c r="M157" s="53"/>
      <c r="N157" s="54"/>
      <c r="O157" s="55">
        <f t="shared" si="201"/>
        <v>0</v>
      </c>
      <c r="P157" s="57"/>
    </row>
    <row r="158" spans="1:16" ht="48" customHeight="1" x14ac:dyDescent="0.25">
      <c r="A158" s="50">
        <v>2369</v>
      </c>
      <c r="B158" s="89" t="s">
        <v>174</v>
      </c>
      <c r="C158" s="90">
        <f t="shared" si="193"/>
        <v>582</v>
      </c>
      <c r="D158" s="196"/>
      <c r="E158" s="197"/>
      <c r="F158" s="55">
        <f t="shared" si="198"/>
        <v>0</v>
      </c>
      <c r="G158" s="53">
        <v>582</v>
      </c>
      <c r="H158" s="54"/>
      <c r="I158" s="55">
        <f t="shared" si="199"/>
        <v>582</v>
      </c>
      <c r="J158" s="53"/>
      <c r="K158" s="54"/>
      <c r="L158" s="55">
        <f t="shared" si="200"/>
        <v>0</v>
      </c>
      <c r="M158" s="53"/>
      <c r="N158" s="54"/>
      <c r="O158" s="55">
        <f t="shared" si="201"/>
        <v>0</v>
      </c>
      <c r="P158" s="57"/>
    </row>
    <row r="159" spans="1:16" ht="12" customHeight="1" x14ac:dyDescent="0.25">
      <c r="A159" s="186">
        <v>2370</v>
      </c>
      <c r="B159" s="138" t="s">
        <v>175</v>
      </c>
      <c r="C159" s="143">
        <f t="shared" si="193"/>
        <v>5010</v>
      </c>
      <c r="D159" s="203"/>
      <c r="E159" s="204"/>
      <c r="F159" s="141">
        <f t="shared" si="198"/>
        <v>0</v>
      </c>
      <c r="G159" s="144">
        <v>5010</v>
      </c>
      <c r="H159" s="145"/>
      <c r="I159" s="141">
        <f t="shared" si="199"/>
        <v>5010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384</v>
      </c>
      <c r="D165" s="184">
        <f>SUM(D166,D171)</f>
        <v>0</v>
      </c>
      <c r="E165" s="185">
        <f t="shared" ref="E165:O165" si="210">SUM(E166,E171)</f>
        <v>0</v>
      </c>
      <c r="F165" s="73">
        <f t="shared" si="210"/>
        <v>0</v>
      </c>
      <c r="G165" s="184">
        <f t="shared" si="210"/>
        <v>384</v>
      </c>
      <c r="H165" s="185">
        <f t="shared" si="210"/>
        <v>0</v>
      </c>
      <c r="I165" s="73">
        <f t="shared" si="210"/>
        <v>384</v>
      </c>
      <c r="J165" s="184">
        <f t="shared" si="210"/>
        <v>0</v>
      </c>
      <c r="K165" s="185">
        <f t="shared" si="210"/>
        <v>0</v>
      </c>
      <c r="L165" s="73">
        <f t="shared" si="210"/>
        <v>0</v>
      </c>
      <c r="M165" s="184">
        <f t="shared" si="210"/>
        <v>0</v>
      </c>
      <c r="N165" s="185">
        <f t="shared" si="210"/>
        <v>0</v>
      </c>
      <c r="O165" s="73">
        <f t="shared" si="210"/>
        <v>0</v>
      </c>
      <c r="P165" s="77"/>
    </row>
    <row r="166" spans="1:16" ht="16.5" customHeight="1" x14ac:dyDescent="0.25">
      <c r="A166" s="1208">
        <v>2510</v>
      </c>
      <c r="B166" s="82" t="s">
        <v>182</v>
      </c>
      <c r="C166" s="83">
        <f t="shared" si="193"/>
        <v>384</v>
      </c>
      <c r="D166" s="194">
        <f>SUM(D167:D170)</f>
        <v>0</v>
      </c>
      <c r="E166" s="195">
        <f t="shared" ref="E166:O166" si="211">SUM(E167:E170)</f>
        <v>0</v>
      </c>
      <c r="F166" s="134">
        <f t="shared" si="211"/>
        <v>0</v>
      </c>
      <c r="G166" s="194">
        <f t="shared" si="211"/>
        <v>384</v>
      </c>
      <c r="H166" s="195">
        <f t="shared" si="211"/>
        <v>0</v>
      </c>
      <c r="I166" s="134">
        <f t="shared" si="211"/>
        <v>384</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customHeight="1" x14ac:dyDescent="0.25">
      <c r="A169" s="51">
        <v>2515</v>
      </c>
      <c r="B169" s="89" t="s">
        <v>185</v>
      </c>
      <c r="C169" s="90">
        <f t="shared" si="193"/>
        <v>210</v>
      </c>
      <c r="D169" s="196"/>
      <c r="E169" s="197"/>
      <c r="F169" s="55">
        <f t="shared" si="212"/>
        <v>0</v>
      </c>
      <c r="G169" s="53">
        <v>210</v>
      </c>
      <c r="H169" s="54"/>
      <c r="I169" s="55">
        <f t="shared" si="213"/>
        <v>210</v>
      </c>
      <c r="J169" s="53"/>
      <c r="K169" s="54"/>
      <c r="L169" s="55">
        <f t="shared" si="214"/>
        <v>0</v>
      </c>
      <c r="M169" s="53"/>
      <c r="N169" s="54"/>
      <c r="O169" s="55">
        <f t="shared" si="215"/>
        <v>0</v>
      </c>
      <c r="P169" s="57"/>
    </row>
    <row r="170" spans="1:16" ht="24" customHeight="1" x14ac:dyDescent="0.25">
      <c r="A170" s="51">
        <v>2519</v>
      </c>
      <c r="B170" s="89" t="s">
        <v>186</v>
      </c>
      <c r="C170" s="90">
        <f t="shared" si="193"/>
        <v>174</v>
      </c>
      <c r="D170" s="196"/>
      <c r="E170" s="197"/>
      <c r="F170" s="55">
        <f t="shared" si="212"/>
        <v>0</v>
      </c>
      <c r="G170" s="53">
        <v>174</v>
      </c>
      <c r="H170" s="54"/>
      <c r="I170" s="55">
        <f t="shared" si="213"/>
        <v>174</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208">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08">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208">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208">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11600</v>
      </c>
      <c r="D194" s="173">
        <f t="shared" ref="D194:O194" si="259">SUM(D195,D230,D269,D283)</f>
        <v>0</v>
      </c>
      <c r="E194" s="174">
        <f t="shared" si="259"/>
        <v>0</v>
      </c>
      <c r="F194" s="175">
        <f t="shared" si="259"/>
        <v>0</v>
      </c>
      <c r="G194" s="173">
        <f t="shared" si="259"/>
        <v>11600</v>
      </c>
      <c r="H194" s="174">
        <f t="shared" si="259"/>
        <v>0</v>
      </c>
      <c r="I194" s="175">
        <f t="shared" si="259"/>
        <v>11600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11600</v>
      </c>
      <c r="D195" s="179">
        <f>D196+D204</f>
        <v>0</v>
      </c>
      <c r="E195" s="180">
        <f t="shared" ref="E195:F195" si="260">E196+E204</f>
        <v>0</v>
      </c>
      <c r="F195" s="181">
        <f t="shared" si="260"/>
        <v>0</v>
      </c>
      <c r="G195" s="179">
        <f>G196+G204</f>
        <v>11600</v>
      </c>
      <c r="H195" s="180">
        <f t="shared" ref="H195:I195" si="261">H196+H204</f>
        <v>0</v>
      </c>
      <c r="I195" s="181">
        <f t="shared" si="261"/>
        <v>11600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208">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11600</v>
      </c>
      <c r="D204" s="184">
        <f>D205+D215+D216+D225+D226+D227+D229</f>
        <v>0</v>
      </c>
      <c r="E204" s="185">
        <f t="shared" ref="E204:F204" si="276">E205+E215+E216+E225+E226+E227+E229</f>
        <v>0</v>
      </c>
      <c r="F204" s="73">
        <f t="shared" si="276"/>
        <v>0</v>
      </c>
      <c r="G204" s="184">
        <f>G205+G215+G216+G225+G226+G227+G229</f>
        <v>11600</v>
      </c>
      <c r="H204" s="185">
        <f t="shared" ref="H204:I204" si="277">H205+H215+H216+H225+H226+H227+H229</f>
        <v>0</v>
      </c>
      <c r="I204" s="73">
        <f t="shared" si="277"/>
        <v>11600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700</v>
      </c>
      <c r="D216" s="190">
        <f>SUM(D217:D224)</f>
        <v>0</v>
      </c>
      <c r="E216" s="191">
        <f t="shared" ref="E216:F216" si="289">SUM(E217:E224)</f>
        <v>0</v>
      </c>
      <c r="F216" s="55">
        <f t="shared" si="289"/>
        <v>0</v>
      </c>
      <c r="G216" s="190">
        <f>SUM(G217:G224)</f>
        <v>700</v>
      </c>
      <c r="H216" s="191">
        <f t="shared" ref="H216:I216" si="290">SUM(H217:H224)</f>
        <v>0</v>
      </c>
      <c r="I216" s="55">
        <f t="shared" si="290"/>
        <v>700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700</v>
      </c>
      <c r="D219" s="196"/>
      <c r="E219" s="197"/>
      <c r="F219" s="55">
        <f t="shared" si="293"/>
        <v>0</v>
      </c>
      <c r="G219" s="53">
        <v>700</v>
      </c>
      <c r="H219" s="54"/>
      <c r="I219" s="55">
        <f t="shared" si="294"/>
        <v>700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242</v>
      </c>
      <c r="C226" s="90">
        <f t="shared" si="288"/>
        <v>10900</v>
      </c>
      <c r="D226" s="196"/>
      <c r="E226" s="197"/>
      <c r="F226" s="55">
        <f t="shared" si="293"/>
        <v>0</v>
      </c>
      <c r="G226" s="53">
        <v>10900</v>
      </c>
      <c r="H226" s="54"/>
      <c r="I226" s="55">
        <f t="shared" si="294"/>
        <v>10900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208">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8">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208">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208">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208">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8">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586</v>
      </c>
      <c r="D286" s="190">
        <f>SUM(D287:D288)</f>
        <v>0</v>
      </c>
      <c r="E286" s="191">
        <f t="shared" ref="E286:F286" si="381">SUM(E287:E288)</f>
        <v>0</v>
      </c>
      <c r="F286" s="55">
        <f t="shared" si="381"/>
        <v>0</v>
      </c>
      <c r="G286" s="190">
        <f>SUM(G287:G288)</f>
        <v>486</v>
      </c>
      <c r="H286" s="191">
        <f t="shared" ref="H286:I286" si="382">SUM(H287:H288)</f>
        <v>0</v>
      </c>
      <c r="I286" s="55">
        <f t="shared" si="382"/>
        <v>486</v>
      </c>
      <c r="J286" s="190">
        <f>SUM(J287:J288)</f>
        <v>0</v>
      </c>
      <c r="K286" s="191">
        <f t="shared" ref="K286:L286" si="383">SUM(K287:K288)</f>
        <v>100</v>
      </c>
      <c r="L286" s="55">
        <f t="shared" si="383"/>
        <v>100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586</v>
      </c>
      <c r="D288" s="199"/>
      <c r="E288" s="200"/>
      <c r="F288" s="134">
        <f t="shared" si="385"/>
        <v>0</v>
      </c>
      <c r="G288" s="46">
        <v>486</v>
      </c>
      <c r="H288" s="47"/>
      <c r="I288" s="134">
        <f t="shared" si="386"/>
        <v>486</v>
      </c>
      <c r="J288" s="46"/>
      <c r="K288" s="47">
        <v>100</v>
      </c>
      <c r="L288" s="134">
        <f t="shared" si="387"/>
        <v>100</v>
      </c>
      <c r="M288" s="46"/>
      <c r="N288" s="47"/>
      <c r="O288" s="134">
        <f t="shared" si="388"/>
        <v>0</v>
      </c>
      <c r="P288" s="49"/>
    </row>
    <row r="289" spans="1:16" ht="12.75" customHeight="1" thickBot="1" x14ac:dyDescent="0.3">
      <c r="A289" s="250"/>
      <c r="B289" s="250" t="s">
        <v>307</v>
      </c>
      <c r="C289" s="251">
        <f t="shared" si="371"/>
        <v>891024.49</v>
      </c>
      <c r="D289" s="252">
        <f t="shared" ref="D289:O289" si="389">SUM(D286,D269,D230,D195,D187,D173,D75,D53,D283)</f>
        <v>53302</v>
      </c>
      <c r="E289" s="253">
        <f t="shared" si="389"/>
        <v>0</v>
      </c>
      <c r="F289" s="254">
        <f t="shared" si="389"/>
        <v>53302</v>
      </c>
      <c r="G289" s="252">
        <f t="shared" si="389"/>
        <v>830385</v>
      </c>
      <c r="H289" s="253">
        <f t="shared" si="389"/>
        <v>2664.49</v>
      </c>
      <c r="I289" s="254">
        <f t="shared" si="389"/>
        <v>833049.49</v>
      </c>
      <c r="J289" s="252">
        <f t="shared" si="389"/>
        <v>4573</v>
      </c>
      <c r="K289" s="253">
        <f t="shared" si="389"/>
        <v>100</v>
      </c>
      <c r="L289" s="254">
        <f t="shared" si="389"/>
        <v>4673</v>
      </c>
      <c r="M289" s="252">
        <f t="shared" si="389"/>
        <v>0</v>
      </c>
      <c r="N289" s="253">
        <f t="shared" si="389"/>
        <v>0</v>
      </c>
      <c r="O289" s="254">
        <f t="shared" si="389"/>
        <v>0</v>
      </c>
      <c r="P289" s="255" t="s">
        <v>1569</v>
      </c>
    </row>
    <row r="290" spans="1:16" s="28" customFormat="1" ht="13.5" thickTop="1" thickBot="1" x14ac:dyDescent="0.3">
      <c r="A290" s="1544" t="s">
        <v>308</v>
      </c>
      <c r="B290" s="1545"/>
      <c r="C290" s="256">
        <f t="shared" si="371"/>
        <v>-1814.4899999999907</v>
      </c>
      <c r="D290" s="257">
        <f>SUM(D24,D25,D41)-D51</f>
        <v>0</v>
      </c>
      <c r="E290" s="258">
        <f t="shared" ref="E290:F290" si="390">SUM(E24,E25,E41)-E51</f>
        <v>0</v>
      </c>
      <c r="F290" s="259">
        <f t="shared" si="390"/>
        <v>0</v>
      </c>
      <c r="G290" s="257">
        <f>SUM(G24,G25,G41)-G51</f>
        <v>486</v>
      </c>
      <c r="H290" s="258">
        <f t="shared" ref="H290:I290" si="391">SUM(H24,H25,H41)-H51</f>
        <v>-0.48999999999978172</v>
      </c>
      <c r="I290" s="259">
        <f t="shared" si="391"/>
        <v>485.51000000000931</v>
      </c>
      <c r="J290" s="257">
        <f>(J26+J43)-J51</f>
        <v>-2400</v>
      </c>
      <c r="K290" s="258">
        <f t="shared" ref="K290:L290" si="392">(K26+K43)-K51</f>
        <v>100</v>
      </c>
      <c r="L290" s="259">
        <f t="shared" si="392"/>
        <v>-2300</v>
      </c>
      <c r="M290" s="257">
        <f>M45-M51</f>
        <v>0</v>
      </c>
      <c r="N290" s="258">
        <f t="shared" ref="N290:O290" si="393">N45-N51</f>
        <v>0</v>
      </c>
      <c r="O290" s="259">
        <f t="shared" si="393"/>
        <v>0</v>
      </c>
      <c r="P290" s="260"/>
    </row>
    <row r="291" spans="1:16" s="28" customFormat="1" ht="12.75" thickTop="1" x14ac:dyDescent="0.25">
      <c r="A291" s="1546" t="s">
        <v>309</v>
      </c>
      <c r="B291" s="1547"/>
      <c r="C291" s="261">
        <f t="shared" si="371"/>
        <v>1814</v>
      </c>
      <c r="D291" s="262">
        <f t="shared" ref="D291:O291" si="394">SUM(D292,D293)-D300+D301</f>
        <v>0</v>
      </c>
      <c r="E291" s="263">
        <f t="shared" si="394"/>
        <v>0</v>
      </c>
      <c r="F291" s="264">
        <f t="shared" si="394"/>
        <v>0</v>
      </c>
      <c r="G291" s="262">
        <f t="shared" si="394"/>
        <v>-486</v>
      </c>
      <c r="H291" s="263">
        <f t="shared" si="394"/>
        <v>0</v>
      </c>
      <c r="I291" s="264">
        <f t="shared" si="394"/>
        <v>-486</v>
      </c>
      <c r="J291" s="262">
        <f t="shared" si="394"/>
        <v>2400</v>
      </c>
      <c r="K291" s="263">
        <f t="shared" si="394"/>
        <v>-100</v>
      </c>
      <c r="L291" s="264">
        <f t="shared" si="394"/>
        <v>2300</v>
      </c>
      <c r="M291" s="262">
        <f t="shared" si="394"/>
        <v>0</v>
      </c>
      <c r="N291" s="263">
        <f t="shared" si="394"/>
        <v>0</v>
      </c>
      <c r="O291" s="264">
        <f t="shared" si="394"/>
        <v>0</v>
      </c>
      <c r="P291" s="265"/>
    </row>
    <row r="292" spans="1:16" s="28" customFormat="1" ht="12.75" thickBot="1" x14ac:dyDescent="0.3">
      <c r="A292" s="157" t="s">
        <v>310</v>
      </c>
      <c r="B292" s="157" t="s">
        <v>311</v>
      </c>
      <c r="C292" s="158">
        <f t="shared" si="371"/>
        <v>1814</v>
      </c>
      <c r="D292" s="159">
        <f t="shared" ref="D292:O292" si="395">D21-D286</f>
        <v>0</v>
      </c>
      <c r="E292" s="160">
        <f t="shared" si="395"/>
        <v>0</v>
      </c>
      <c r="F292" s="161">
        <f t="shared" si="395"/>
        <v>0</v>
      </c>
      <c r="G292" s="159">
        <f t="shared" si="395"/>
        <v>-486</v>
      </c>
      <c r="H292" s="160">
        <f t="shared" si="395"/>
        <v>0</v>
      </c>
      <c r="I292" s="161">
        <f t="shared" si="395"/>
        <v>-486</v>
      </c>
      <c r="J292" s="159">
        <f t="shared" si="395"/>
        <v>2400</v>
      </c>
      <c r="K292" s="160">
        <f t="shared" si="395"/>
        <v>-100</v>
      </c>
      <c r="L292" s="161">
        <f t="shared" si="395"/>
        <v>2300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g2WxJ2GdUnPEkffmgnlWa9aN4Sw5TmGcJr0D45kms6LGoxhFlggAfmFEwhelGZyN+thUqFOO8frkgh7IRM9XEw==" saltValue="g31N/G+b1D+3orFip6cHWg==" spinCount="100000" sheet="1" objects="1" scenarios="1" formatCells="0" formatColumns="0" formatRows="0" deleteColumns="0"/>
  <autoFilter ref="A18:P301">
    <filterColumn colId="2">
      <filters>
        <filter val="1 104"/>
        <filter val="1 139"/>
        <filter val="1 172"/>
        <filter val="1 290"/>
        <filter val="1 420"/>
        <filter val="1 444"/>
        <filter val="1 505"/>
        <filter val="1 610"/>
        <filter val="1 775"/>
        <filter val="1 814"/>
        <filter val="-1 814"/>
        <filter val="1 897"/>
        <filter val="10"/>
        <filter val="10 900"/>
        <filter val="100"/>
        <filter val="11 154"/>
        <filter val="11 349"/>
        <filter val="11 600"/>
        <filter val="120"/>
        <filter val="13 341"/>
        <filter val="13 421"/>
        <filter val="133 265"/>
        <filter val="134 864"/>
        <filter val="143"/>
        <filter val="15 216"/>
        <filter val="166"/>
        <filter val="169 121"/>
        <filter val="17 293"/>
        <filter val="17 610"/>
        <filter val="174"/>
        <filter val="2 107"/>
        <filter val="2 148"/>
        <filter val="2 400"/>
        <filter val="2 700"/>
        <filter val="20 410"/>
        <filter val="200"/>
        <filter val="210"/>
        <filter val="24 202"/>
        <filter val="255"/>
        <filter val="3 500"/>
        <filter val="3 617"/>
        <filter val="3 696"/>
        <filter val="3 898"/>
        <filter val="3 950"/>
        <filter val="3 965"/>
        <filter val="300"/>
        <filter val="35 856"/>
        <filter val="350"/>
        <filter val="38"/>
        <filter val="384"/>
        <filter val="39 510"/>
        <filter val="4 290"/>
        <filter val="4 678"/>
        <filter val="400"/>
        <filter val="430"/>
        <filter val="44 511"/>
        <filter val="452"/>
        <filter val="47 219"/>
        <filter val="49 528"/>
        <filter val="497"/>
        <filter val="497 894"/>
        <filter val="5 010"/>
        <filter val="5 194"/>
        <filter val="500"/>
        <filter val="574 853"/>
        <filter val="582"/>
        <filter val="583"/>
        <filter val="586"/>
        <filter val="6 583"/>
        <filter val="6 750"/>
        <filter val="687"/>
        <filter val="7 857"/>
        <filter val="700"/>
        <filter val="725"/>
        <filter val="743 974"/>
        <filter val="75"/>
        <filter val="76 609"/>
        <filter val="792"/>
        <filter val="800"/>
        <filter val="878 838"/>
        <filter val="886 351"/>
        <filter val="890 438"/>
        <filter val="891 024"/>
        <filter val="94 17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47.pielikums Jūrmalas pilsētas domes
2019.gada 31.oktobra saistošajiem noteikumiem Nr.46
(protokols Nr.14, 28.punkts)</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2" sqref="U2"/>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1448</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1449</v>
      </c>
      <c r="D3" s="1517"/>
      <c r="E3" s="1517"/>
      <c r="F3" s="1517"/>
      <c r="G3" s="1517"/>
      <c r="H3" s="1517"/>
      <c r="I3" s="1517"/>
      <c r="J3" s="1517"/>
      <c r="K3" s="1517"/>
      <c r="L3" s="1517"/>
      <c r="M3" s="1517"/>
      <c r="N3" s="1517"/>
      <c r="O3" s="1517"/>
      <c r="P3" s="1518"/>
      <c r="Q3" s="853"/>
    </row>
    <row r="4" spans="1:17" ht="12.75" customHeight="1" x14ac:dyDescent="0.25">
      <c r="A4" s="5" t="s">
        <v>4</v>
      </c>
      <c r="B4" s="6"/>
      <c r="C4" s="1517" t="s">
        <v>1450</v>
      </c>
      <c r="D4" s="1517"/>
      <c r="E4" s="1517"/>
      <c r="F4" s="1517"/>
      <c r="G4" s="1517"/>
      <c r="H4" s="1517"/>
      <c r="I4" s="1517"/>
      <c r="J4" s="1517"/>
      <c r="K4" s="1517"/>
      <c r="L4" s="1517"/>
      <c r="M4" s="1517"/>
      <c r="N4" s="1517"/>
      <c r="O4" s="1517"/>
      <c r="P4" s="1518"/>
      <c r="Q4" s="853"/>
    </row>
    <row r="5" spans="1:17" ht="12.75" customHeight="1" x14ac:dyDescent="0.25">
      <c r="A5" s="7" t="s">
        <v>6</v>
      </c>
      <c r="B5" s="8"/>
      <c r="C5" s="1512" t="s">
        <v>1451</v>
      </c>
      <c r="D5" s="1512"/>
      <c r="E5" s="1512"/>
      <c r="F5" s="1512"/>
      <c r="G5" s="1512"/>
      <c r="H5" s="1512"/>
      <c r="I5" s="1512"/>
      <c r="J5" s="1512"/>
      <c r="K5" s="1512"/>
      <c r="L5" s="1512"/>
      <c r="M5" s="1512"/>
      <c r="N5" s="1512"/>
      <c r="O5" s="1512"/>
      <c r="P5" s="1513"/>
      <c r="Q5" s="853"/>
    </row>
    <row r="6" spans="1:17" ht="12.75" customHeight="1" x14ac:dyDescent="0.25">
      <c r="A6" s="7" t="s">
        <v>8</v>
      </c>
      <c r="B6" s="8"/>
      <c r="C6" s="1512" t="s">
        <v>924</v>
      </c>
      <c r="D6" s="1512"/>
      <c r="E6" s="1512"/>
      <c r="F6" s="1512"/>
      <c r="G6" s="1512"/>
      <c r="H6" s="1512"/>
      <c r="I6" s="1512"/>
      <c r="J6" s="1512"/>
      <c r="K6" s="1512"/>
      <c r="L6" s="1512"/>
      <c r="M6" s="1512"/>
      <c r="N6" s="1512"/>
      <c r="O6" s="1512"/>
      <c r="P6" s="1513"/>
      <c r="Q6" s="853"/>
    </row>
    <row r="7" spans="1:17" x14ac:dyDescent="0.25">
      <c r="A7" s="7" t="s">
        <v>10</v>
      </c>
      <c r="B7" s="8"/>
      <c r="C7" s="1517" t="s">
        <v>925</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1452</v>
      </c>
      <c r="D9" s="1512"/>
      <c r="E9" s="1512"/>
      <c r="F9" s="1512"/>
      <c r="G9" s="1512"/>
      <c r="H9" s="1512"/>
      <c r="I9" s="1512"/>
      <c r="J9" s="1512"/>
      <c r="K9" s="1512"/>
      <c r="L9" s="1512"/>
      <c r="M9" s="1512"/>
      <c r="N9" s="1512"/>
      <c r="O9" s="1512"/>
      <c r="P9" s="1513"/>
      <c r="Q9" s="853"/>
    </row>
    <row r="10" spans="1:17" ht="12.75" customHeight="1" x14ac:dyDescent="0.25">
      <c r="A10" s="7"/>
      <c r="B10" s="8" t="s">
        <v>15</v>
      </c>
      <c r="C10" s="1512" t="s">
        <v>1453</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52899</v>
      </c>
      <c r="D20" s="32">
        <f>SUM(D21,D24,D25,D41,D43)</f>
        <v>38971</v>
      </c>
      <c r="E20" s="33">
        <f t="shared" ref="E20:F20" si="1">SUM(E21,E24,E25,E41,E43)</f>
        <v>0</v>
      </c>
      <c r="F20" s="34">
        <f t="shared" si="1"/>
        <v>38971</v>
      </c>
      <c r="G20" s="32">
        <f>SUM(G21,G24,G43)</f>
        <v>13348</v>
      </c>
      <c r="H20" s="33">
        <f t="shared" ref="H20:I20" si="2">SUM(H21,H24,H43)</f>
        <v>580</v>
      </c>
      <c r="I20" s="34">
        <f t="shared" si="2"/>
        <v>13928</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52899</v>
      </c>
      <c r="D24" s="60">
        <v>38971</v>
      </c>
      <c r="E24" s="63"/>
      <c r="F24" s="62">
        <f t="shared" si="9"/>
        <v>38971</v>
      </c>
      <c r="G24" s="60">
        <v>13348</v>
      </c>
      <c r="H24" s="63">
        <v>580</v>
      </c>
      <c r="I24" s="62">
        <f t="shared" si="10"/>
        <v>13928</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52899</v>
      </c>
      <c r="D50" s="159">
        <f>SUM(D51,D286)</f>
        <v>38971</v>
      </c>
      <c r="E50" s="160">
        <f t="shared" ref="E50:F50" si="26">SUM(E51,E286)</f>
        <v>0</v>
      </c>
      <c r="F50" s="161">
        <f t="shared" si="26"/>
        <v>38971</v>
      </c>
      <c r="G50" s="159">
        <f>SUM(G51,G286)</f>
        <v>13348</v>
      </c>
      <c r="H50" s="160">
        <f>SUM(H51,H286)</f>
        <v>580</v>
      </c>
      <c r="I50" s="161">
        <f t="shared" ref="I50" si="27">SUM(I51,I286)</f>
        <v>13928</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52899</v>
      </c>
      <c r="D51" s="165">
        <f>SUM(D52,D194)</f>
        <v>38971</v>
      </c>
      <c r="E51" s="166">
        <f t="shared" ref="E51:F51" si="30">SUM(E52,E194)</f>
        <v>0</v>
      </c>
      <c r="F51" s="167">
        <f t="shared" si="30"/>
        <v>38971</v>
      </c>
      <c r="G51" s="165">
        <f>SUM(G52,G194)</f>
        <v>13348</v>
      </c>
      <c r="H51" s="166">
        <f t="shared" ref="H51:I51" si="31">SUM(H52,H194)</f>
        <v>580</v>
      </c>
      <c r="I51" s="167">
        <f t="shared" si="31"/>
        <v>13928</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52899</v>
      </c>
      <c r="D52" s="173">
        <f>SUM(D53,D75,D173,D187)</f>
        <v>38971</v>
      </c>
      <c r="E52" s="174">
        <f t="shared" ref="E52:F52" si="34">SUM(E53,E75,E173,E187)</f>
        <v>0</v>
      </c>
      <c r="F52" s="175">
        <f t="shared" si="34"/>
        <v>38971</v>
      </c>
      <c r="G52" s="173">
        <f>SUM(G53,G75,G173,G187)</f>
        <v>13348</v>
      </c>
      <c r="H52" s="174">
        <f t="shared" ref="H52:I52" si="35">SUM(H53,H75,H173,H187)</f>
        <v>580</v>
      </c>
      <c r="I52" s="175">
        <f t="shared" si="35"/>
        <v>13928</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t="12"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86">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52899</v>
      </c>
      <c r="D75" s="179">
        <f>SUM(D76,D83,D130,D164,D165,D172)</f>
        <v>38971</v>
      </c>
      <c r="E75" s="180">
        <f t="shared" ref="E75:F75" si="74">SUM(E76,E83,E130,E164,E165,E172)</f>
        <v>0</v>
      </c>
      <c r="F75" s="181">
        <f t="shared" si="74"/>
        <v>38971</v>
      </c>
      <c r="G75" s="179">
        <f>SUM(G76,G83,G130,G164,G165,G172)</f>
        <v>13348</v>
      </c>
      <c r="H75" s="180">
        <f t="shared" ref="H75:I75" si="75">SUM(H76,H83,H130,H164,H165,H172)</f>
        <v>580</v>
      </c>
      <c r="I75" s="181">
        <f t="shared" si="75"/>
        <v>13928</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8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8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52899</v>
      </c>
      <c r="D130" s="184">
        <f>SUM(D131,D136,D140,D141,D144,D151,D159,D160,D163)</f>
        <v>38971</v>
      </c>
      <c r="E130" s="185">
        <f t="shared" ref="E130:F130" si="160">SUM(E131,E136,E140,E141,E144,E151,E159,E160,E163)</f>
        <v>0</v>
      </c>
      <c r="F130" s="73">
        <f t="shared" si="160"/>
        <v>38971</v>
      </c>
      <c r="G130" s="184">
        <f>SUM(G131,G136,G140,G141,G144,G151,G159,G160,G163)</f>
        <v>13348</v>
      </c>
      <c r="H130" s="185">
        <f t="shared" ref="H130:I130" si="161">SUM(H131,H136,H140,H141,H144,H151,H159,H160,H163)</f>
        <v>580</v>
      </c>
      <c r="I130" s="73">
        <f t="shared" si="161"/>
        <v>13928</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986">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52899</v>
      </c>
      <c r="D151" s="190">
        <f>SUM(D152:D158)</f>
        <v>38971</v>
      </c>
      <c r="E151" s="191">
        <f t="shared" ref="E151:F151" si="194">SUM(E152:E158)</f>
        <v>0</v>
      </c>
      <c r="F151" s="55">
        <f t="shared" si="194"/>
        <v>38971</v>
      </c>
      <c r="G151" s="190">
        <f>SUM(G152:G158)</f>
        <v>13348</v>
      </c>
      <c r="H151" s="191">
        <f t="shared" ref="H151:I151" si="195">SUM(H152:H158)</f>
        <v>580</v>
      </c>
      <c r="I151" s="55">
        <f t="shared" si="195"/>
        <v>13928</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52899</v>
      </c>
      <c r="D154" s="196">
        <v>38971</v>
      </c>
      <c r="E154" s="197"/>
      <c r="F154" s="55">
        <f t="shared" si="198"/>
        <v>38971</v>
      </c>
      <c r="G154" s="53">
        <v>13348</v>
      </c>
      <c r="H154" s="54">
        <v>580</v>
      </c>
      <c r="I154" s="55">
        <f t="shared" si="199"/>
        <v>13928</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8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8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8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8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8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98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8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8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8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52899</v>
      </c>
      <c r="D289" s="252">
        <f t="shared" ref="D289:O289" si="389">SUM(D286,D269,D230,D195,D187,D173,D75,D53,D283)</f>
        <v>38971</v>
      </c>
      <c r="E289" s="253">
        <f t="shared" si="389"/>
        <v>0</v>
      </c>
      <c r="F289" s="254">
        <f t="shared" si="389"/>
        <v>38971</v>
      </c>
      <c r="G289" s="252">
        <f t="shared" si="389"/>
        <v>13348</v>
      </c>
      <c r="H289" s="253">
        <f t="shared" si="389"/>
        <v>580</v>
      </c>
      <c r="I289" s="254">
        <f t="shared" si="389"/>
        <v>13928</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zgA3oOU4MU83EM1hjjvyJ8JdiucnMC6zeVg3uaD4d7/HQgId8yG3vRonE2XVP0zIotPRsdugw/gxpQttO+fF/g==" saltValue="1GuKe/BswqxnNUBWqq+K8g==" spinCount="100000" sheet="1" objects="1" scenarios="1" formatCells="0" formatColumns="0" formatRows="0" deleteColumns="0"/>
  <autoFilter ref="A18:P301">
    <filterColumn colId="2">
      <filters>
        <filter val="52 8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2019.gada 31.oktobra saistošajiem noteikumiem Nr.46
(protokols Nr.14, 28.punkts)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showGridLines="0" view="pageLayout" zoomScaleNormal="100" workbookViewId="0">
      <selection activeCell="S5" sqref="S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0" width="8.28515625" style="730" hidden="1" customWidth="1" outlineLevel="1"/>
    <col min="11"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K1" s="1"/>
      <c r="L1" s="1"/>
      <c r="M1" s="1"/>
      <c r="N1" s="2"/>
      <c r="O1" s="3" t="s">
        <v>1389</v>
      </c>
      <c r="P1" s="1"/>
    </row>
    <row r="2" spans="1:17" ht="35.25" customHeight="1" x14ac:dyDescent="0.25">
      <c r="A2" s="1514" t="s">
        <v>1</v>
      </c>
      <c r="B2" s="1515"/>
      <c r="C2" s="1515"/>
      <c r="D2" s="1515"/>
      <c r="E2" s="1515"/>
      <c r="F2" s="1515"/>
      <c r="G2" s="1515"/>
      <c r="H2" s="1515"/>
      <c r="I2" s="1515"/>
      <c r="J2" s="1515"/>
      <c r="K2" s="1515"/>
      <c r="L2" s="1515"/>
      <c r="M2" s="1515"/>
      <c r="N2" s="1515"/>
      <c r="O2" s="1515"/>
      <c r="P2" s="1515"/>
      <c r="Q2" s="277"/>
    </row>
    <row r="3" spans="1:17" ht="12.75" customHeight="1" x14ac:dyDescent="0.25">
      <c r="A3" s="5" t="s">
        <v>2</v>
      </c>
      <c r="B3" s="6"/>
      <c r="C3" s="1517" t="s">
        <v>546</v>
      </c>
      <c r="D3" s="1517"/>
      <c r="E3" s="1517"/>
      <c r="F3" s="1517"/>
      <c r="G3" s="1517"/>
      <c r="H3" s="1517"/>
      <c r="I3" s="1517"/>
      <c r="J3" s="1517"/>
      <c r="K3" s="1517"/>
      <c r="L3" s="1517"/>
      <c r="M3" s="1517"/>
      <c r="N3" s="1517"/>
      <c r="O3" s="1517"/>
      <c r="P3" s="1517"/>
      <c r="Q3" s="277"/>
    </row>
    <row r="4" spans="1:17" ht="12.75" customHeight="1" x14ac:dyDescent="0.25">
      <c r="A4" s="5" t="s">
        <v>4</v>
      </c>
      <c r="B4" s="6"/>
      <c r="C4" s="1517" t="s">
        <v>547</v>
      </c>
      <c r="D4" s="1517"/>
      <c r="E4" s="1517"/>
      <c r="F4" s="1517"/>
      <c r="G4" s="1517"/>
      <c r="H4" s="1517"/>
      <c r="I4" s="1517"/>
      <c r="J4" s="1517"/>
      <c r="K4" s="1517"/>
      <c r="L4" s="1517"/>
      <c r="M4" s="1517"/>
      <c r="N4" s="1517"/>
      <c r="O4" s="1517"/>
      <c r="P4" s="1517"/>
      <c r="Q4" s="277"/>
    </row>
    <row r="5" spans="1:17" ht="12.75" customHeight="1" x14ac:dyDescent="0.25">
      <c r="A5" s="7" t="s">
        <v>6</v>
      </c>
      <c r="B5" s="8"/>
      <c r="C5" s="1512" t="s">
        <v>548</v>
      </c>
      <c r="D5" s="1512"/>
      <c r="E5" s="1512"/>
      <c r="F5" s="1512"/>
      <c r="G5" s="1512"/>
      <c r="H5" s="1512"/>
      <c r="I5" s="1512"/>
      <c r="J5" s="1512"/>
      <c r="K5" s="1512"/>
      <c r="L5" s="1512"/>
      <c r="M5" s="1512"/>
      <c r="N5" s="1512"/>
      <c r="O5" s="1512"/>
      <c r="P5" s="1512"/>
      <c r="Q5" s="277"/>
    </row>
    <row r="6" spans="1:17" ht="12.75" customHeight="1" x14ac:dyDescent="0.25">
      <c r="A6" s="7" t="s">
        <v>8</v>
      </c>
      <c r="B6" s="8"/>
      <c r="C6" s="1512" t="s">
        <v>1384</v>
      </c>
      <c r="D6" s="1512"/>
      <c r="E6" s="1512"/>
      <c r="F6" s="1512"/>
      <c r="G6" s="1512"/>
      <c r="H6" s="1512"/>
      <c r="I6" s="1512"/>
      <c r="J6" s="1512"/>
      <c r="K6" s="1512"/>
      <c r="L6" s="1512"/>
      <c r="M6" s="1512"/>
      <c r="N6" s="1512"/>
      <c r="O6" s="1512"/>
      <c r="P6" s="1512"/>
      <c r="Q6" s="277"/>
    </row>
    <row r="7" spans="1:17" x14ac:dyDescent="0.25">
      <c r="A7" s="7" t="s">
        <v>10</v>
      </c>
      <c r="B7" s="8"/>
      <c r="C7" s="1517" t="s">
        <v>1385</v>
      </c>
      <c r="D7" s="1517"/>
      <c r="E7" s="1517"/>
      <c r="F7" s="1517"/>
      <c r="G7" s="1517"/>
      <c r="H7" s="1517"/>
      <c r="I7" s="1517"/>
      <c r="J7" s="1517"/>
      <c r="K7" s="1517"/>
      <c r="L7" s="1517"/>
      <c r="M7" s="1517"/>
      <c r="N7" s="1517"/>
      <c r="O7" s="1517"/>
      <c r="P7" s="1517"/>
      <c r="Q7" s="277"/>
    </row>
    <row r="8" spans="1:17" ht="12.75" customHeight="1" x14ac:dyDescent="0.25">
      <c r="A8" s="9" t="s">
        <v>12</v>
      </c>
      <c r="B8" s="8"/>
      <c r="C8" s="441"/>
      <c r="D8" s="441"/>
      <c r="E8" s="441"/>
      <c r="F8" s="441"/>
      <c r="G8" s="441"/>
      <c r="H8" s="441"/>
      <c r="I8" s="441"/>
      <c r="J8" s="1210"/>
      <c r="K8" s="441"/>
      <c r="L8" s="441"/>
      <c r="M8" s="441"/>
      <c r="N8" s="442"/>
      <c r="O8" s="442"/>
      <c r="P8" s="442"/>
      <c r="Q8" s="277"/>
    </row>
    <row r="9" spans="1:17" ht="12.75" customHeight="1" x14ac:dyDescent="0.25">
      <c r="A9" s="7"/>
      <c r="B9" s="8" t="s">
        <v>13</v>
      </c>
      <c r="C9" s="1519" t="s">
        <v>551</v>
      </c>
      <c r="D9" s="1519"/>
      <c r="E9" s="1519"/>
      <c r="F9" s="1519"/>
      <c r="G9" s="1519"/>
      <c r="H9" s="1519"/>
      <c r="I9" s="1519"/>
      <c r="J9" s="1519"/>
      <c r="K9" s="1519"/>
      <c r="L9" s="1519"/>
      <c r="M9" s="1519"/>
      <c r="N9" s="1519"/>
      <c r="O9" s="1519"/>
      <c r="P9" s="1519"/>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2"/>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19"/>
      <c r="Q11" s="277"/>
    </row>
    <row r="12" spans="1:17" ht="12.75" customHeight="1" x14ac:dyDescent="0.25">
      <c r="A12" s="7"/>
      <c r="B12" s="8" t="s">
        <v>17</v>
      </c>
      <c r="C12" s="1512" t="s">
        <v>1386</v>
      </c>
      <c r="D12" s="1512"/>
      <c r="E12" s="1512"/>
      <c r="F12" s="1512"/>
      <c r="G12" s="1512"/>
      <c r="H12" s="1512"/>
      <c r="I12" s="1512"/>
      <c r="J12" s="1512"/>
      <c r="K12" s="1512"/>
      <c r="L12" s="1512"/>
      <c r="M12" s="1512"/>
      <c r="N12" s="1512"/>
      <c r="O12" s="1512"/>
      <c r="P12" s="1512"/>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2"/>
      <c r="Q13" s="277"/>
    </row>
    <row r="14" spans="1:17" ht="12.75" customHeight="1" x14ac:dyDescent="0.25">
      <c r="A14" s="10"/>
      <c r="B14" s="11"/>
      <c r="C14" s="1521"/>
      <c r="D14" s="1521"/>
      <c r="E14" s="1521"/>
      <c r="F14" s="1521"/>
      <c r="G14" s="1521"/>
      <c r="H14" s="1521"/>
      <c r="I14" s="1521"/>
      <c r="J14" s="1521"/>
      <c r="K14" s="1521"/>
      <c r="L14" s="1521"/>
      <c r="M14" s="1521"/>
      <c r="N14" s="1521"/>
      <c r="O14" s="1521"/>
      <c r="P14" s="1521"/>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29"/>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52"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52"/>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734">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737"/>
      <c r="K19" s="26"/>
      <c r="L19" s="27"/>
      <c r="M19" s="25"/>
      <c r="N19" s="26"/>
      <c r="O19" s="27"/>
      <c r="P19" s="27"/>
    </row>
    <row r="20" spans="1:16" s="28" customFormat="1" ht="12.75" thickBot="1" x14ac:dyDescent="0.3">
      <c r="A20" s="29"/>
      <c r="B20" s="30" t="s">
        <v>38</v>
      </c>
      <c r="C20" s="31">
        <f t="shared" ref="C20:C83" si="0">F20+I20+L20+O20</f>
        <v>446624</v>
      </c>
      <c r="D20" s="32">
        <f>SUM(D21,D24,D25,D41,D43)</f>
        <v>444346</v>
      </c>
      <c r="E20" s="33">
        <f t="shared" ref="E20:F20" si="1">SUM(E21,E24,E25,E41,E43)</f>
        <v>0</v>
      </c>
      <c r="F20" s="34">
        <f t="shared" si="1"/>
        <v>444346</v>
      </c>
      <c r="G20" s="32">
        <f>SUM(G21,G24,G43)</f>
        <v>0</v>
      </c>
      <c r="H20" s="33">
        <f t="shared" ref="H20:I20" si="2">SUM(H21,H24,H43)</f>
        <v>0</v>
      </c>
      <c r="I20" s="34">
        <f t="shared" si="2"/>
        <v>0</v>
      </c>
      <c r="J20" s="740">
        <f>SUM(J21,J26,J43)</f>
        <v>2278</v>
      </c>
      <c r="K20" s="33">
        <f t="shared" ref="K20:L20" si="3">SUM(K21,K26,K43)</f>
        <v>0</v>
      </c>
      <c r="L20" s="34">
        <f t="shared" si="3"/>
        <v>2278</v>
      </c>
      <c r="M20" s="32">
        <f>SUM(M21,M45)</f>
        <v>0</v>
      </c>
      <c r="N20" s="33">
        <f t="shared" ref="N20:O20" si="4">SUM(N21,N45)</f>
        <v>0</v>
      </c>
      <c r="O20" s="34">
        <f t="shared" si="4"/>
        <v>0</v>
      </c>
      <c r="P20" s="35"/>
    </row>
    <row r="21" spans="1:16" ht="12.75" thickTop="1" x14ac:dyDescent="0.25">
      <c r="A21" s="36"/>
      <c r="B21" s="37" t="s">
        <v>39</v>
      </c>
      <c r="C21" s="38">
        <f t="shared" si="0"/>
        <v>142</v>
      </c>
      <c r="D21" s="39">
        <f>SUM(D22:D23)</f>
        <v>0</v>
      </c>
      <c r="E21" s="40">
        <f t="shared" ref="E21:F21" si="5">SUM(E22:E23)</f>
        <v>0</v>
      </c>
      <c r="F21" s="41">
        <f t="shared" si="5"/>
        <v>0</v>
      </c>
      <c r="G21" s="39">
        <f>SUM(G22:G23)</f>
        <v>0</v>
      </c>
      <c r="H21" s="40">
        <f t="shared" ref="H21:I21" si="6">SUM(H22:H23)</f>
        <v>0</v>
      </c>
      <c r="I21" s="41">
        <f t="shared" si="6"/>
        <v>0</v>
      </c>
      <c r="J21" s="743">
        <f>SUM(J22:J23)</f>
        <v>142</v>
      </c>
      <c r="K21" s="40">
        <f t="shared" ref="K21:L21" si="7">SUM(K22:K23)</f>
        <v>0</v>
      </c>
      <c r="L21" s="41">
        <f t="shared" si="7"/>
        <v>142</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0"/>
      <c r="K22" s="47"/>
      <c r="L22" s="48">
        <f>K22+J22</f>
        <v>0</v>
      </c>
      <c r="M22" s="46"/>
      <c r="N22" s="47"/>
      <c r="O22" s="48">
        <f>N22+M22</f>
        <v>0</v>
      </c>
      <c r="P22" s="49"/>
    </row>
    <row r="23" spans="1:16" x14ac:dyDescent="0.25">
      <c r="A23" s="50"/>
      <c r="B23" s="51" t="s">
        <v>41</v>
      </c>
      <c r="C23" s="52">
        <f t="shared" si="0"/>
        <v>142</v>
      </c>
      <c r="D23" s="53"/>
      <c r="E23" s="54"/>
      <c r="F23" s="55">
        <f t="shared" ref="F23:F25" si="9">D23+E23</f>
        <v>0</v>
      </c>
      <c r="G23" s="53"/>
      <c r="H23" s="54"/>
      <c r="I23" s="55">
        <f t="shared" ref="I23:I24" si="10">G23+H23</f>
        <v>0</v>
      </c>
      <c r="J23" s="348">
        <v>142</v>
      </c>
      <c r="K23" s="54"/>
      <c r="L23" s="56">
        <f>K23+J23</f>
        <v>142</v>
      </c>
      <c r="M23" s="53"/>
      <c r="N23" s="54"/>
      <c r="O23" s="55">
        <f>N23+M23</f>
        <v>0</v>
      </c>
      <c r="P23" s="57"/>
    </row>
    <row r="24" spans="1:16" s="28" customFormat="1" ht="24.75" customHeight="1" thickBot="1" x14ac:dyDescent="0.3">
      <c r="A24" s="58">
        <v>19300</v>
      </c>
      <c r="B24" s="58" t="s">
        <v>42</v>
      </c>
      <c r="C24" s="59">
        <f>F24+I24</f>
        <v>444346</v>
      </c>
      <c r="D24" s="60">
        <f>D50</f>
        <v>444346</v>
      </c>
      <c r="E24" s="60">
        <f>E50</f>
        <v>0</v>
      </c>
      <c r="F24" s="62">
        <f t="shared" si="9"/>
        <v>444346</v>
      </c>
      <c r="G24" s="60"/>
      <c r="H24" s="63"/>
      <c r="I24" s="62">
        <f t="shared" si="10"/>
        <v>0</v>
      </c>
      <c r="J24" s="751"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57" t="s">
        <v>43</v>
      </c>
      <c r="K25" s="75" t="s">
        <v>43</v>
      </c>
      <c r="L25" s="76" t="s">
        <v>43</v>
      </c>
      <c r="M25" s="74" t="s">
        <v>43</v>
      </c>
      <c r="N25" s="75" t="s">
        <v>43</v>
      </c>
      <c r="O25" s="76" t="s">
        <v>43</v>
      </c>
      <c r="P25" s="77"/>
    </row>
    <row r="26" spans="1:16" s="28" customFormat="1" ht="36" customHeight="1" thickTop="1" x14ac:dyDescent="0.25">
      <c r="A26" s="69">
        <v>21300</v>
      </c>
      <c r="B26" s="69" t="s">
        <v>45</v>
      </c>
      <c r="C26" s="70">
        <f>L26</f>
        <v>2136</v>
      </c>
      <c r="D26" s="74" t="s">
        <v>43</v>
      </c>
      <c r="E26" s="75" t="s">
        <v>43</v>
      </c>
      <c r="F26" s="76" t="s">
        <v>43</v>
      </c>
      <c r="G26" s="74" t="s">
        <v>43</v>
      </c>
      <c r="H26" s="75" t="s">
        <v>43</v>
      </c>
      <c r="I26" s="76" t="s">
        <v>43</v>
      </c>
      <c r="J26" s="760">
        <f>SUM(J27,J31,J33,J36)</f>
        <v>2136</v>
      </c>
      <c r="K26" s="79">
        <f t="shared" ref="K26:L26" si="11">SUM(K27,K31,K33,K36)</f>
        <v>0</v>
      </c>
      <c r="L26" s="80">
        <f t="shared" si="11"/>
        <v>2136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60">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0"/>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348"/>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348"/>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60">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769"/>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60">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0"/>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348"/>
      <c r="K35" s="54"/>
      <c r="L35" s="56">
        <f t="shared" si="18"/>
        <v>0</v>
      </c>
      <c r="M35" s="94" t="s">
        <v>43</v>
      </c>
      <c r="N35" s="95" t="s">
        <v>43</v>
      </c>
      <c r="O35" s="56" t="s">
        <v>43</v>
      </c>
      <c r="P35" s="57"/>
    </row>
    <row r="36" spans="1:16" s="28" customFormat="1" ht="25.5" customHeight="1" x14ac:dyDescent="0.25">
      <c r="A36" s="81">
        <v>21390</v>
      </c>
      <c r="B36" s="69" t="s">
        <v>55</v>
      </c>
      <c r="C36" s="70">
        <f t="shared" si="16"/>
        <v>2136</v>
      </c>
      <c r="D36" s="74" t="s">
        <v>43</v>
      </c>
      <c r="E36" s="75" t="s">
        <v>43</v>
      </c>
      <c r="F36" s="76" t="s">
        <v>43</v>
      </c>
      <c r="G36" s="74" t="s">
        <v>43</v>
      </c>
      <c r="H36" s="75" t="s">
        <v>43</v>
      </c>
      <c r="I36" s="76" t="s">
        <v>43</v>
      </c>
      <c r="J36" s="760">
        <f>SUM(J37:J40)</f>
        <v>2136</v>
      </c>
      <c r="K36" s="79">
        <f t="shared" ref="K36:L36" si="19">SUM(K37:K40)</f>
        <v>0</v>
      </c>
      <c r="L36" s="80">
        <f t="shared" si="19"/>
        <v>2136</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0"/>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348"/>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348"/>
      <c r="K39" s="54"/>
      <c r="L39" s="56">
        <f t="shared" si="20"/>
        <v>0</v>
      </c>
      <c r="M39" s="94" t="s">
        <v>43</v>
      </c>
      <c r="N39" s="95" t="s">
        <v>43</v>
      </c>
      <c r="O39" s="56" t="s">
        <v>43</v>
      </c>
      <c r="P39" s="57"/>
    </row>
    <row r="40" spans="1:16" ht="24" customHeight="1" x14ac:dyDescent="0.25">
      <c r="A40" s="108">
        <v>21399</v>
      </c>
      <c r="B40" s="109" t="s">
        <v>59</v>
      </c>
      <c r="C40" s="110">
        <f t="shared" si="16"/>
        <v>2136</v>
      </c>
      <c r="D40" s="111" t="s">
        <v>43</v>
      </c>
      <c r="E40" s="112" t="s">
        <v>43</v>
      </c>
      <c r="F40" s="113" t="s">
        <v>43</v>
      </c>
      <c r="G40" s="111" t="s">
        <v>43</v>
      </c>
      <c r="H40" s="112" t="s">
        <v>43</v>
      </c>
      <c r="I40" s="113" t="s">
        <v>43</v>
      </c>
      <c r="J40" s="482">
        <v>2136</v>
      </c>
      <c r="K40" s="115"/>
      <c r="L40" s="116">
        <f t="shared" si="20"/>
        <v>2136</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77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479"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60">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0"/>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485"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77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77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780"/>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460"/>
      <c r="K49" s="153"/>
      <c r="L49" s="155"/>
      <c r="M49" s="152"/>
      <c r="N49" s="153"/>
      <c r="O49" s="154"/>
      <c r="P49" s="156"/>
    </row>
    <row r="50" spans="1:16" s="28" customFormat="1" ht="12.75" thickBot="1" x14ac:dyDescent="0.3">
      <c r="A50" s="157"/>
      <c r="B50" s="29" t="s">
        <v>68</v>
      </c>
      <c r="C50" s="158">
        <f t="shared" si="0"/>
        <v>446624</v>
      </c>
      <c r="D50" s="159">
        <f>SUM(D51,D286)</f>
        <v>444346</v>
      </c>
      <c r="E50" s="160">
        <f t="shared" ref="E50:F50" si="26">SUM(E51,E286)</f>
        <v>0</v>
      </c>
      <c r="F50" s="161">
        <f t="shared" si="26"/>
        <v>444346</v>
      </c>
      <c r="G50" s="159">
        <f>SUM(G51,G286)</f>
        <v>0</v>
      </c>
      <c r="H50" s="160">
        <f>SUM(H51,H286)</f>
        <v>0</v>
      </c>
      <c r="I50" s="161">
        <f t="shared" ref="I50" si="27">SUM(I51,I286)</f>
        <v>0</v>
      </c>
      <c r="J50" s="740">
        <f>SUM(J51,J286)</f>
        <v>2278</v>
      </c>
      <c r="K50" s="33">
        <f t="shared" ref="K50:L50" si="28">SUM(K51,K286)</f>
        <v>0</v>
      </c>
      <c r="L50" s="34">
        <f t="shared" si="28"/>
        <v>2278</v>
      </c>
      <c r="M50" s="32">
        <f>SUM(M51,M286)</f>
        <v>0</v>
      </c>
      <c r="N50" s="33">
        <f t="shared" ref="N50:O50" si="29">SUM(N51,N286)</f>
        <v>0</v>
      </c>
      <c r="O50" s="34">
        <f t="shared" si="29"/>
        <v>0</v>
      </c>
      <c r="P50" s="35"/>
    </row>
    <row r="51" spans="1:16" s="28" customFormat="1" ht="36.75" thickTop="1" x14ac:dyDescent="0.25">
      <c r="A51" s="162"/>
      <c r="B51" s="163" t="s">
        <v>69</v>
      </c>
      <c r="C51" s="164">
        <f t="shared" si="0"/>
        <v>446624</v>
      </c>
      <c r="D51" s="165">
        <f>SUM(D52,D194)</f>
        <v>444346</v>
      </c>
      <c r="E51" s="166">
        <f t="shared" ref="E51:F51" si="30">SUM(E52,E194)</f>
        <v>0</v>
      </c>
      <c r="F51" s="167">
        <f t="shared" si="30"/>
        <v>444346</v>
      </c>
      <c r="G51" s="165">
        <f>SUM(G52,G194)</f>
        <v>0</v>
      </c>
      <c r="H51" s="166">
        <f t="shared" ref="H51:I51" si="31">SUM(H52,H194)</f>
        <v>0</v>
      </c>
      <c r="I51" s="167">
        <f t="shared" si="31"/>
        <v>0</v>
      </c>
      <c r="J51" s="791">
        <f>SUM(J52,J194)</f>
        <v>2278</v>
      </c>
      <c r="K51" s="169">
        <f t="shared" ref="K51:L51" si="32">SUM(K52,K194)</f>
        <v>0</v>
      </c>
      <c r="L51" s="170">
        <f t="shared" si="32"/>
        <v>2278</v>
      </c>
      <c r="M51" s="168">
        <f>SUM(M52,M194)</f>
        <v>0</v>
      </c>
      <c r="N51" s="169">
        <f t="shared" ref="N51:O51" si="33">SUM(N52,N194)</f>
        <v>0</v>
      </c>
      <c r="O51" s="170">
        <f t="shared" si="33"/>
        <v>0</v>
      </c>
      <c r="P51" s="171"/>
    </row>
    <row r="52" spans="1:16" s="28" customFormat="1" ht="24" x14ac:dyDescent="0.25">
      <c r="A52" s="24"/>
      <c r="B52" s="22" t="s">
        <v>70</v>
      </c>
      <c r="C52" s="172">
        <f t="shared" si="0"/>
        <v>4758</v>
      </c>
      <c r="D52" s="173">
        <f>SUM(D53,D75,D173,D187)</f>
        <v>2480</v>
      </c>
      <c r="E52" s="174">
        <f t="shared" ref="E52:F52" si="34">SUM(E53,E75,E173,E187)</f>
        <v>0</v>
      </c>
      <c r="F52" s="175">
        <f t="shared" si="34"/>
        <v>2480</v>
      </c>
      <c r="G52" s="173">
        <f>SUM(G53,G75,G173,G187)</f>
        <v>0</v>
      </c>
      <c r="H52" s="174">
        <f t="shared" ref="H52:I52" si="35">SUM(H53,H75,H173,H187)</f>
        <v>0</v>
      </c>
      <c r="I52" s="175">
        <f t="shared" si="35"/>
        <v>0</v>
      </c>
      <c r="J52" s="794">
        <f>SUM(J53,J75,J173,J187)</f>
        <v>2278</v>
      </c>
      <c r="K52" s="174">
        <f t="shared" ref="K52:L52" si="36">SUM(K53,K75,K173,K187)</f>
        <v>0</v>
      </c>
      <c r="L52" s="175">
        <f t="shared" si="36"/>
        <v>2278</v>
      </c>
      <c r="M52" s="173">
        <f>SUM(M53,M75,M173,M187)</f>
        <v>0</v>
      </c>
      <c r="N52" s="174">
        <f t="shared" ref="N52:O52" si="37">SUM(N53,N75,N173,N187)</f>
        <v>0</v>
      </c>
      <c r="O52" s="175">
        <f t="shared" si="37"/>
        <v>0</v>
      </c>
      <c r="P52" s="176"/>
    </row>
    <row r="53" spans="1:16" s="28" customFormat="1" x14ac:dyDescent="0.25">
      <c r="A53" s="177">
        <v>1000</v>
      </c>
      <c r="B53" s="177" t="s">
        <v>71</v>
      </c>
      <c r="C53" s="178">
        <f t="shared" si="0"/>
        <v>1993</v>
      </c>
      <c r="D53" s="179">
        <f>SUM(D54,D67)</f>
        <v>0</v>
      </c>
      <c r="E53" s="180">
        <f t="shared" ref="E53:F53" si="38">SUM(E54,E67)</f>
        <v>0</v>
      </c>
      <c r="F53" s="181">
        <f t="shared" si="38"/>
        <v>0</v>
      </c>
      <c r="G53" s="179">
        <f>SUM(G54,G67)</f>
        <v>0</v>
      </c>
      <c r="H53" s="180">
        <f t="shared" ref="H53:I53" si="39">SUM(H54,H67)</f>
        <v>0</v>
      </c>
      <c r="I53" s="181">
        <f t="shared" si="39"/>
        <v>0</v>
      </c>
      <c r="J53" s="610">
        <f>SUM(J54,J67)</f>
        <v>1993</v>
      </c>
      <c r="K53" s="180">
        <f t="shared" ref="K53:L53" si="40">SUM(K54,K67)</f>
        <v>0</v>
      </c>
      <c r="L53" s="181">
        <f t="shared" si="40"/>
        <v>1993</v>
      </c>
      <c r="M53" s="179">
        <f>SUM(M54,M67)</f>
        <v>0</v>
      </c>
      <c r="N53" s="180">
        <f t="shared" ref="N53:O53" si="41">SUM(N54,N67)</f>
        <v>0</v>
      </c>
      <c r="O53" s="181">
        <f t="shared" si="41"/>
        <v>0</v>
      </c>
      <c r="P53" s="182"/>
    </row>
    <row r="54" spans="1:16" x14ac:dyDescent="0.25">
      <c r="A54" s="69">
        <v>1100</v>
      </c>
      <c r="B54" s="183" t="s">
        <v>72</v>
      </c>
      <c r="C54" s="70">
        <f t="shared" si="0"/>
        <v>1605</v>
      </c>
      <c r="D54" s="184">
        <f>SUM(D55,D58,D66)</f>
        <v>0</v>
      </c>
      <c r="E54" s="185">
        <f t="shared" ref="E54:F54" si="42">SUM(E55,E58,E66)</f>
        <v>0</v>
      </c>
      <c r="F54" s="73">
        <f t="shared" si="42"/>
        <v>0</v>
      </c>
      <c r="G54" s="184">
        <f>SUM(G55,G58,G66)</f>
        <v>0</v>
      </c>
      <c r="H54" s="185">
        <f t="shared" ref="H54:I54" si="43">SUM(H55,H58,H66)</f>
        <v>0</v>
      </c>
      <c r="I54" s="73">
        <f t="shared" si="43"/>
        <v>0</v>
      </c>
      <c r="J54" s="802">
        <f>SUM(J55,J58,J66)</f>
        <v>1605</v>
      </c>
      <c r="K54" s="185">
        <f t="shared" ref="K54:L54" si="44">SUM(K55,K58,K66)</f>
        <v>0</v>
      </c>
      <c r="L54" s="73">
        <f t="shared" si="44"/>
        <v>1605</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804">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0"/>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348"/>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806">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348"/>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348"/>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348"/>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348"/>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348"/>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348"/>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348"/>
      <c r="K65" s="54"/>
      <c r="L65" s="55">
        <f t="shared" si="60"/>
        <v>0</v>
      </c>
      <c r="M65" s="53"/>
      <c r="N65" s="54"/>
      <c r="O65" s="55">
        <f t="shared" si="61"/>
        <v>0</v>
      </c>
      <c r="P65" s="57"/>
    </row>
    <row r="66" spans="1:16" ht="36" customHeight="1" x14ac:dyDescent="0.25">
      <c r="A66" s="186">
        <v>1150</v>
      </c>
      <c r="B66" s="138" t="s">
        <v>84</v>
      </c>
      <c r="C66" s="143">
        <f t="shared" si="0"/>
        <v>1605</v>
      </c>
      <c r="D66" s="144"/>
      <c r="E66" s="145"/>
      <c r="F66" s="141">
        <f t="shared" si="58"/>
        <v>0</v>
      </c>
      <c r="G66" s="144"/>
      <c r="H66" s="145"/>
      <c r="I66" s="141">
        <f t="shared" si="59"/>
        <v>0</v>
      </c>
      <c r="J66" s="780">
        <v>1605</v>
      </c>
      <c r="K66" s="145"/>
      <c r="L66" s="141">
        <f t="shared" si="60"/>
        <v>1605</v>
      </c>
      <c r="M66" s="144"/>
      <c r="N66" s="145"/>
      <c r="O66" s="141">
        <f t="shared" si="61"/>
        <v>0</v>
      </c>
      <c r="P66" s="129"/>
    </row>
    <row r="67" spans="1:16" ht="24" x14ac:dyDescent="0.25">
      <c r="A67" s="69">
        <v>1200</v>
      </c>
      <c r="B67" s="183" t="s">
        <v>85</v>
      </c>
      <c r="C67" s="70">
        <f t="shared" si="0"/>
        <v>388</v>
      </c>
      <c r="D67" s="184">
        <f>SUM(D68:D69)</f>
        <v>0</v>
      </c>
      <c r="E67" s="185">
        <f t="shared" ref="E67:F67" si="62">SUM(E68:E69)</f>
        <v>0</v>
      </c>
      <c r="F67" s="73">
        <f t="shared" si="62"/>
        <v>0</v>
      </c>
      <c r="G67" s="184">
        <f>SUM(G68:G69)</f>
        <v>0</v>
      </c>
      <c r="H67" s="185">
        <f t="shared" ref="H67:I67" si="63">SUM(H68:H69)</f>
        <v>0</v>
      </c>
      <c r="I67" s="73">
        <f t="shared" si="63"/>
        <v>0</v>
      </c>
      <c r="J67" s="802">
        <f>SUM(J68:J69)</f>
        <v>388</v>
      </c>
      <c r="K67" s="185">
        <f t="shared" ref="K67:L67" si="64">SUM(K68:K69)</f>
        <v>0</v>
      </c>
      <c r="L67" s="73">
        <f t="shared" si="64"/>
        <v>388</v>
      </c>
      <c r="M67" s="184">
        <f>SUM(M68:M69)</f>
        <v>0</v>
      </c>
      <c r="N67" s="185">
        <f t="shared" ref="N67:O67" si="65">SUM(N68:N69)</f>
        <v>0</v>
      </c>
      <c r="O67" s="73">
        <f t="shared" si="65"/>
        <v>0</v>
      </c>
      <c r="P67" s="77"/>
    </row>
    <row r="68" spans="1:16" ht="24" customHeight="1" x14ac:dyDescent="0.25">
      <c r="A68" s="986">
        <v>1210</v>
      </c>
      <c r="B68" s="82" t="s">
        <v>86</v>
      </c>
      <c r="C68" s="83">
        <f t="shared" si="0"/>
        <v>388</v>
      </c>
      <c r="D68" s="46"/>
      <c r="E68" s="47"/>
      <c r="F68" s="134">
        <f>D68+E68</f>
        <v>0</v>
      </c>
      <c r="G68" s="46"/>
      <c r="H68" s="47"/>
      <c r="I68" s="134">
        <f>G68+H68</f>
        <v>0</v>
      </c>
      <c r="J68" s="460">
        <v>388</v>
      </c>
      <c r="K68" s="47"/>
      <c r="L68" s="134">
        <f>K68+J68</f>
        <v>388</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806">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348"/>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348"/>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348"/>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348"/>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348"/>
      <c r="K74" s="54"/>
      <c r="L74" s="55">
        <f t="shared" si="72"/>
        <v>0</v>
      </c>
      <c r="M74" s="53"/>
      <c r="N74" s="54"/>
      <c r="O74" s="55">
        <f t="shared" si="73"/>
        <v>0</v>
      </c>
      <c r="P74" s="57"/>
    </row>
    <row r="75" spans="1:16" x14ac:dyDescent="0.25">
      <c r="A75" s="177">
        <v>2000</v>
      </c>
      <c r="B75" s="177" t="s">
        <v>93</v>
      </c>
      <c r="C75" s="178">
        <f t="shared" si="0"/>
        <v>2765</v>
      </c>
      <c r="D75" s="179">
        <f>SUM(D76,D83,D130,D164,D165,D172)</f>
        <v>2480</v>
      </c>
      <c r="E75" s="180">
        <f t="shared" ref="E75:F75" si="74">SUM(E76,E83,E130,E164,E165,E172)</f>
        <v>0</v>
      </c>
      <c r="F75" s="181">
        <f t="shared" si="74"/>
        <v>2480</v>
      </c>
      <c r="G75" s="179">
        <f>SUM(G76,G83,G130,G164,G165,G172)</f>
        <v>0</v>
      </c>
      <c r="H75" s="180">
        <f t="shared" ref="H75:I75" si="75">SUM(H76,H83,H130,H164,H165,H172)</f>
        <v>0</v>
      </c>
      <c r="I75" s="181">
        <f t="shared" si="75"/>
        <v>0</v>
      </c>
      <c r="J75" s="610">
        <f>SUM(J76,J83,J130,J164,J165,J172)</f>
        <v>285</v>
      </c>
      <c r="K75" s="180">
        <f t="shared" ref="K75:L75" si="76">SUM(K76,K83,K130,K164,K165,K172)</f>
        <v>0</v>
      </c>
      <c r="L75" s="181">
        <f t="shared" si="76"/>
        <v>285</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802">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8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807">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348"/>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348"/>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806">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348"/>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348"/>
      <c r="K82" s="54"/>
      <c r="L82" s="55">
        <f t="shared" si="96"/>
        <v>0</v>
      </c>
      <c r="M82" s="53"/>
      <c r="N82" s="54"/>
      <c r="O82" s="55">
        <f t="shared" si="97"/>
        <v>0</v>
      </c>
      <c r="P82" s="57"/>
    </row>
    <row r="83" spans="1:16" x14ac:dyDescent="0.25">
      <c r="A83" s="69">
        <v>2200</v>
      </c>
      <c r="B83" s="183" t="s">
        <v>99</v>
      </c>
      <c r="C83" s="70">
        <f t="shared" si="0"/>
        <v>585</v>
      </c>
      <c r="D83" s="184">
        <f>SUM(D84,D89,D95,D103,D112,D116,D122,D128)</f>
        <v>300</v>
      </c>
      <c r="E83" s="185">
        <f t="shared" ref="E83:F83" si="98">SUM(E84,E89,E95,E103,E112,E116,E122,E128)</f>
        <v>0</v>
      </c>
      <c r="F83" s="73">
        <f t="shared" si="98"/>
        <v>300</v>
      </c>
      <c r="G83" s="184">
        <f>SUM(G84,G89,G95,G103,G112,G116,G122,G128)</f>
        <v>0</v>
      </c>
      <c r="H83" s="185">
        <f t="shared" ref="H83:I83" si="99">SUM(H84,H89,H95,H103,H112,H116,H122,H128)</f>
        <v>0</v>
      </c>
      <c r="I83" s="73">
        <f t="shared" si="99"/>
        <v>0</v>
      </c>
      <c r="J83" s="802">
        <f>SUM(J84,J89,J95,J103,J112,J116,J122,J128)</f>
        <v>285</v>
      </c>
      <c r="K83" s="185">
        <f t="shared" ref="K83:L83" si="100">SUM(K84,K89,K95,K103,K112,K116,K122,K128)</f>
        <v>0</v>
      </c>
      <c r="L83" s="73">
        <f t="shared" si="100"/>
        <v>285</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804">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0"/>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348"/>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348"/>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348"/>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806">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348"/>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348"/>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348"/>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348"/>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348"/>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806">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348"/>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348"/>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0"/>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348"/>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348"/>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348"/>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348"/>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806">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348"/>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348"/>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348"/>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348"/>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348"/>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348"/>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348"/>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348"/>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806">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348"/>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348"/>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348"/>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806">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348"/>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348"/>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348"/>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348"/>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348"/>
      <c r="K121" s="54"/>
      <c r="L121" s="55">
        <f t="shared" si="149"/>
        <v>0</v>
      </c>
      <c r="M121" s="53"/>
      <c r="N121" s="54"/>
      <c r="O121" s="55">
        <f t="shared" si="150"/>
        <v>0</v>
      </c>
      <c r="P121" s="57"/>
    </row>
    <row r="122" spans="1:16" x14ac:dyDescent="0.25">
      <c r="A122" s="189">
        <v>2270</v>
      </c>
      <c r="B122" s="89" t="s">
        <v>138</v>
      </c>
      <c r="C122" s="90">
        <f t="shared" si="102"/>
        <v>585</v>
      </c>
      <c r="D122" s="190">
        <f>SUM(D123:D127)</f>
        <v>300</v>
      </c>
      <c r="E122" s="191">
        <f t="shared" ref="E122:F122" si="151">SUM(E123:E127)</f>
        <v>0</v>
      </c>
      <c r="F122" s="55">
        <f t="shared" si="151"/>
        <v>300</v>
      </c>
      <c r="G122" s="190">
        <f>SUM(G123:G127)</f>
        <v>0</v>
      </c>
      <c r="H122" s="191">
        <f t="shared" ref="H122:I122" si="152">SUM(H123:H127)</f>
        <v>0</v>
      </c>
      <c r="I122" s="55">
        <f t="shared" si="152"/>
        <v>0</v>
      </c>
      <c r="J122" s="806">
        <f>SUM(J123:J127)</f>
        <v>285</v>
      </c>
      <c r="K122" s="191">
        <f t="shared" ref="K122:L122" si="153">SUM(K123:K127)</f>
        <v>0</v>
      </c>
      <c r="L122" s="55">
        <f t="shared" si="153"/>
        <v>285</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348"/>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348"/>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348"/>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348"/>
      <c r="K126" s="54"/>
      <c r="L126" s="55">
        <f t="shared" si="157"/>
        <v>0</v>
      </c>
      <c r="M126" s="53"/>
      <c r="N126" s="54"/>
      <c r="O126" s="55">
        <f t="shared" si="158"/>
        <v>0</v>
      </c>
      <c r="P126" s="57"/>
    </row>
    <row r="127" spans="1:16" ht="24" customHeight="1" x14ac:dyDescent="0.25">
      <c r="A127" s="51">
        <v>2279</v>
      </c>
      <c r="B127" s="89" t="s">
        <v>143</v>
      </c>
      <c r="C127" s="90">
        <f t="shared" si="102"/>
        <v>585</v>
      </c>
      <c r="D127" s="196">
        <v>300</v>
      </c>
      <c r="E127" s="197"/>
      <c r="F127" s="55">
        <f t="shared" si="155"/>
        <v>300</v>
      </c>
      <c r="G127" s="53"/>
      <c r="H127" s="54"/>
      <c r="I127" s="55">
        <f t="shared" si="156"/>
        <v>0</v>
      </c>
      <c r="J127" s="348">
        <v>285</v>
      </c>
      <c r="K127" s="54"/>
      <c r="L127" s="55">
        <f t="shared" si="157"/>
        <v>285</v>
      </c>
      <c r="M127" s="53"/>
      <c r="N127" s="54"/>
      <c r="O127" s="55">
        <f t="shared" si="158"/>
        <v>0</v>
      </c>
      <c r="P127" s="57"/>
    </row>
    <row r="128" spans="1:16" ht="48" hidden="1" x14ac:dyDescent="0.25">
      <c r="A128" s="98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807">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348"/>
      <c r="K129" s="54"/>
      <c r="L129" s="55">
        <f>K129+J129</f>
        <v>0</v>
      </c>
      <c r="M129" s="53"/>
      <c r="N129" s="54"/>
      <c r="O129" s="55">
        <f>N129+M129</f>
        <v>0</v>
      </c>
      <c r="P129" s="57"/>
    </row>
    <row r="130" spans="1:16" ht="38.25" customHeight="1" x14ac:dyDescent="0.25">
      <c r="A130" s="69">
        <v>2300</v>
      </c>
      <c r="B130" s="183" t="s">
        <v>146</v>
      </c>
      <c r="C130" s="70">
        <f t="shared" si="102"/>
        <v>2180</v>
      </c>
      <c r="D130" s="184">
        <f>SUM(D131,D136,D140,D141,D144,D151,D159,D160,D163)</f>
        <v>2180</v>
      </c>
      <c r="E130" s="185">
        <f t="shared" ref="E130:F130" si="160">SUM(E131,E136,E140,E141,E144,E151,E159,E160,E163)</f>
        <v>0</v>
      </c>
      <c r="F130" s="73">
        <f t="shared" si="160"/>
        <v>2180</v>
      </c>
      <c r="G130" s="184">
        <f>SUM(G131,G136,G140,G141,G144,G151,G159,G160,G163)</f>
        <v>0</v>
      </c>
      <c r="H130" s="185">
        <f t="shared" ref="H130:I130" si="161">SUM(H131,H136,H140,H141,H144,H151,H159,H160,H163)</f>
        <v>0</v>
      </c>
      <c r="I130" s="73">
        <f t="shared" si="161"/>
        <v>0</v>
      </c>
      <c r="J130" s="802">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7.75" customHeight="1" x14ac:dyDescent="0.25">
      <c r="A131" s="986">
        <v>2310</v>
      </c>
      <c r="B131" s="82" t="s">
        <v>147</v>
      </c>
      <c r="C131" s="83">
        <f t="shared" si="102"/>
        <v>2180</v>
      </c>
      <c r="D131" s="194">
        <f t="shared" ref="D131:O131" si="164">SUM(D132:D135)</f>
        <v>2180</v>
      </c>
      <c r="E131" s="195">
        <f t="shared" si="164"/>
        <v>0</v>
      </c>
      <c r="F131" s="134">
        <f t="shared" si="164"/>
        <v>2180</v>
      </c>
      <c r="G131" s="194">
        <f t="shared" si="164"/>
        <v>0</v>
      </c>
      <c r="H131" s="195">
        <f t="shared" si="164"/>
        <v>0</v>
      </c>
      <c r="I131" s="134">
        <f t="shared" si="164"/>
        <v>0</v>
      </c>
      <c r="J131" s="807">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348"/>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348"/>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348"/>
      <c r="K134" s="54"/>
      <c r="L134" s="55">
        <f t="shared" si="167"/>
        <v>0</v>
      </c>
      <c r="M134" s="53"/>
      <c r="N134" s="54"/>
      <c r="O134" s="55">
        <f t="shared" si="168"/>
        <v>0</v>
      </c>
      <c r="P134" s="57"/>
    </row>
    <row r="135" spans="1:16" ht="41.25" customHeight="1" x14ac:dyDescent="0.25">
      <c r="A135" s="51">
        <v>2314</v>
      </c>
      <c r="B135" s="89" t="s">
        <v>151</v>
      </c>
      <c r="C135" s="90">
        <f t="shared" si="102"/>
        <v>2180</v>
      </c>
      <c r="D135" s="196">
        <v>2180</v>
      </c>
      <c r="E135" s="197"/>
      <c r="F135" s="55">
        <f t="shared" si="165"/>
        <v>2180</v>
      </c>
      <c r="G135" s="53"/>
      <c r="H135" s="54"/>
      <c r="I135" s="55">
        <f t="shared" si="166"/>
        <v>0</v>
      </c>
      <c r="J135" s="348"/>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806">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348"/>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348"/>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348"/>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348"/>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806">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348"/>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348"/>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804">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0"/>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348"/>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348"/>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348"/>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348"/>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348"/>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806">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348"/>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348"/>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348"/>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348"/>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348"/>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348"/>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348"/>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780"/>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804">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0"/>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348"/>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780"/>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54"/>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802">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8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807">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348"/>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348"/>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348"/>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348"/>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348"/>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0"/>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211">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802">
        <f t="shared" si="220"/>
        <v>0</v>
      </c>
      <c r="K174" s="185">
        <f t="shared" si="220"/>
        <v>0</v>
      </c>
      <c r="L174" s="73">
        <f t="shared" si="220"/>
        <v>0</v>
      </c>
      <c r="M174" s="184">
        <f t="shared" si="220"/>
        <v>0</v>
      </c>
      <c r="N174" s="185">
        <f t="shared" si="220"/>
        <v>0</v>
      </c>
      <c r="O174" s="73">
        <f t="shared" si="220"/>
        <v>0</v>
      </c>
      <c r="P174" s="77"/>
    </row>
    <row r="175" spans="1:16" ht="36" hidden="1" x14ac:dyDescent="0.25">
      <c r="A175" s="98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807">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348"/>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348"/>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348"/>
      <c r="K178" s="54"/>
      <c r="L178" s="55">
        <f t="shared" si="227"/>
        <v>0</v>
      </c>
      <c r="M178" s="53"/>
      <c r="N178" s="54"/>
      <c r="O178" s="55">
        <f t="shared" si="228"/>
        <v>0</v>
      </c>
      <c r="P178" s="57"/>
    </row>
    <row r="179" spans="1:16" ht="84" hidden="1" x14ac:dyDescent="0.25">
      <c r="A179" s="98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807">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348"/>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348"/>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348"/>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817"/>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8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780"/>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0"/>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211">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802">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86">
        <v>4240</v>
      </c>
      <c r="B189" s="82" t="s">
        <v>205</v>
      </c>
      <c r="C189" s="83">
        <f t="shared" si="193"/>
        <v>0</v>
      </c>
      <c r="D189" s="199"/>
      <c r="E189" s="200"/>
      <c r="F189" s="134">
        <f t="shared" ref="F189:F190" si="247">D189+E189</f>
        <v>0</v>
      </c>
      <c r="G189" s="46"/>
      <c r="H189" s="47"/>
      <c r="I189" s="134">
        <f t="shared" ref="I189:I190" si="248">G189+H189</f>
        <v>0</v>
      </c>
      <c r="J189" s="460"/>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348"/>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802">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8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807">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348"/>
      <c r="K193" s="54"/>
      <c r="L193" s="55">
        <f>K193+J193</f>
        <v>0</v>
      </c>
      <c r="M193" s="53"/>
      <c r="N193" s="54"/>
      <c r="O193" s="55">
        <f>N193+M193</f>
        <v>0</v>
      </c>
      <c r="P193" s="57"/>
    </row>
    <row r="194" spans="1:16" s="28" customFormat="1" ht="27" customHeight="1" x14ac:dyDescent="0.25">
      <c r="A194" s="225"/>
      <c r="B194" s="23" t="s">
        <v>210</v>
      </c>
      <c r="C194" s="172">
        <f t="shared" si="193"/>
        <v>441866</v>
      </c>
      <c r="D194" s="173">
        <f t="shared" ref="D194:O194" si="259">SUM(D195,D230,D269,D283)</f>
        <v>441866</v>
      </c>
      <c r="E194" s="174">
        <f t="shared" si="259"/>
        <v>0</v>
      </c>
      <c r="F194" s="175">
        <f t="shared" si="259"/>
        <v>441866</v>
      </c>
      <c r="G194" s="173">
        <f t="shared" si="259"/>
        <v>0</v>
      </c>
      <c r="H194" s="174">
        <f t="shared" si="259"/>
        <v>0</v>
      </c>
      <c r="I194" s="175">
        <f t="shared" si="259"/>
        <v>0</v>
      </c>
      <c r="J194" s="794">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211">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802">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86">
        <v>5110</v>
      </c>
      <c r="B197" s="82" t="s">
        <v>213</v>
      </c>
      <c r="C197" s="83">
        <f t="shared" si="193"/>
        <v>0</v>
      </c>
      <c r="D197" s="199"/>
      <c r="E197" s="200"/>
      <c r="F197" s="134">
        <f>D197+E197</f>
        <v>0</v>
      </c>
      <c r="G197" s="46"/>
      <c r="H197" s="47"/>
      <c r="I197" s="134">
        <f>G197+H197</f>
        <v>0</v>
      </c>
      <c r="J197" s="460"/>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806">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348"/>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348"/>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348"/>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348"/>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348"/>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802">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804">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0"/>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348"/>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348"/>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348"/>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348"/>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348"/>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348"/>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348"/>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348"/>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348"/>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806">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348"/>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348"/>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348"/>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348"/>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348"/>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348"/>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348"/>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348"/>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348"/>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348"/>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806">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348"/>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780"/>
      <c r="K229" s="145"/>
      <c r="L229" s="141">
        <f t="shared" si="303"/>
        <v>0</v>
      </c>
      <c r="M229" s="144"/>
      <c r="N229" s="145"/>
      <c r="O229" s="141">
        <f t="shared" si="304"/>
        <v>0</v>
      </c>
      <c r="P229" s="129"/>
    </row>
    <row r="230" spans="1:16" ht="15.75" customHeight="1" x14ac:dyDescent="0.25">
      <c r="A230" s="177">
        <v>6000</v>
      </c>
      <c r="B230" s="177" t="s">
        <v>246</v>
      </c>
      <c r="C230" s="178">
        <f t="shared" si="288"/>
        <v>428507</v>
      </c>
      <c r="D230" s="179">
        <f>D231+D251+D259</f>
        <v>428915</v>
      </c>
      <c r="E230" s="180">
        <f t="shared" ref="E230:F230" si="305">E231+E251+E259</f>
        <v>-408</v>
      </c>
      <c r="F230" s="181">
        <f t="shared" si="305"/>
        <v>428507</v>
      </c>
      <c r="G230" s="179">
        <f>G231+G251+G259</f>
        <v>0</v>
      </c>
      <c r="H230" s="180">
        <f t="shared" ref="H230:I230" si="306">H231+H251+H259</f>
        <v>0</v>
      </c>
      <c r="I230" s="181">
        <f t="shared" si="306"/>
        <v>0</v>
      </c>
      <c r="J230" s="610">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customHeight="1" x14ac:dyDescent="0.25">
      <c r="A231" s="217">
        <v>6200</v>
      </c>
      <c r="B231" s="208" t="s">
        <v>247</v>
      </c>
      <c r="C231" s="218">
        <f t="shared" si="288"/>
        <v>67020</v>
      </c>
      <c r="D231" s="219">
        <f>SUM(D232,D233,D235,D238,D244,D245,D246)</f>
        <v>67020</v>
      </c>
      <c r="E231" s="220">
        <f t="shared" ref="E231:F231" si="309">SUM(E232,E233,E235,E238,E244,E245,E246)</f>
        <v>0</v>
      </c>
      <c r="F231" s="221">
        <f t="shared" si="309"/>
        <v>67020</v>
      </c>
      <c r="G231" s="219">
        <f>SUM(G232,G233,G235,G238,G244,G245,G246)</f>
        <v>0</v>
      </c>
      <c r="H231" s="220">
        <f t="shared" ref="H231:I231" si="310">SUM(H232,H233,H235,H238,H244,H245,H246)</f>
        <v>0</v>
      </c>
      <c r="I231" s="221">
        <f t="shared" si="310"/>
        <v>0</v>
      </c>
      <c r="J231" s="8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986">
        <v>6220</v>
      </c>
      <c r="B232" s="82" t="s">
        <v>248</v>
      </c>
      <c r="C232" s="83">
        <f t="shared" si="288"/>
        <v>0</v>
      </c>
      <c r="D232" s="199"/>
      <c r="E232" s="200"/>
      <c r="F232" s="134">
        <f>D232+E232</f>
        <v>0</v>
      </c>
      <c r="G232" s="46"/>
      <c r="H232" s="47"/>
      <c r="I232" s="134">
        <f>G232+H232</f>
        <v>0</v>
      </c>
      <c r="J232" s="460"/>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806">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0"/>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806">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348"/>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348"/>
      <c r="K237" s="54"/>
      <c r="L237" s="55">
        <f t="shared" si="320"/>
        <v>0</v>
      </c>
      <c r="M237" s="53"/>
      <c r="N237" s="54"/>
      <c r="O237" s="55">
        <f t="shared" si="321"/>
        <v>0</v>
      </c>
      <c r="P237" s="57"/>
    </row>
    <row r="238" spans="1:16" ht="25.5" customHeight="1" x14ac:dyDescent="0.25">
      <c r="A238" s="189">
        <v>6250</v>
      </c>
      <c r="B238" s="89" t="s">
        <v>254</v>
      </c>
      <c r="C238" s="90">
        <f t="shared" si="288"/>
        <v>40020</v>
      </c>
      <c r="D238" s="190">
        <f>SUM(D239:D243)</f>
        <v>40020</v>
      </c>
      <c r="E238" s="191">
        <f t="shared" ref="E238:F238" si="322">SUM(E239:E243)</f>
        <v>0</v>
      </c>
      <c r="F238" s="55">
        <f t="shared" si="322"/>
        <v>40020</v>
      </c>
      <c r="G238" s="190">
        <f>SUM(G239:G243)</f>
        <v>0</v>
      </c>
      <c r="H238" s="191">
        <f t="shared" ref="H238:I238" si="323">SUM(H239:H243)</f>
        <v>0</v>
      </c>
      <c r="I238" s="55">
        <f t="shared" si="323"/>
        <v>0</v>
      </c>
      <c r="J238" s="806">
        <f>SUM(J239:J243)</f>
        <v>0</v>
      </c>
      <c r="K238" s="191">
        <f t="shared" ref="K238:L238" si="324">SUM(K239:K243)</f>
        <v>0</v>
      </c>
      <c r="L238" s="55">
        <f t="shared" si="324"/>
        <v>0</v>
      </c>
      <c r="M238" s="190">
        <f>SUM(M239:M243)</f>
        <v>0</v>
      </c>
      <c r="N238" s="191">
        <f t="shared" ref="N238:O238" si="325">SUM(N239:N243)</f>
        <v>0</v>
      </c>
      <c r="O238" s="55">
        <f t="shared" si="325"/>
        <v>0</v>
      </c>
      <c r="P238" s="57"/>
    </row>
    <row r="239" spans="1:16" ht="20.25" customHeight="1" x14ac:dyDescent="0.25">
      <c r="A239" s="51">
        <v>6252</v>
      </c>
      <c r="B239" s="89" t="s">
        <v>255</v>
      </c>
      <c r="C239" s="90">
        <f t="shared" si="288"/>
        <v>10500</v>
      </c>
      <c r="D239" s="196">
        <v>10500</v>
      </c>
      <c r="E239" s="197"/>
      <c r="F239" s="55">
        <f t="shared" ref="F239:F245" si="326">D239+E239</f>
        <v>10500</v>
      </c>
      <c r="G239" s="53"/>
      <c r="H239" s="54"/>
      <c r="I239" s="55">
        <f t="shared" ref="I239:I245" si="327">G239+H239</f>
        <v>0</v>
      </c>
      <c r="J239" s="348"/>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348"/>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348"/>
      <c r="K241" s="54"/>
      <c r="L241" s="55">
        <f t="shared" si="328"/>
        <v>0</v>
      </c>
      <c r="M241" s="53"/>
      <c r="N241" s="54"/>
      <c r="O241" s="55">
        <f t="shared" si="329"/>
        <v>0</v>
      </c>
      <c r="P241" s="57"/>
    </row>
    <row r="242" spans="1:16" ht="26.25" customHeight="1" x14ac:dyDescent="0.25">
      <c r="A242" s="51">
        <v>6255</v>
      </c>
      <c r="B242" s="89" t="s">
        <v>258</v>
      </c>
      <c r="C242" s="90">
        <f t="shared" si="288"/>
        <v>25020</v>
      </c>
      <c r="D242" s="196">
        <v>25020</v>
      </c>
      <c r="E242" s="197"/>
      <c r="F242" s="55">
        <f t="shared" si="326"/>
        <v>25020</v>
      </c>
      <c r="G242" s="53"/>
      <c r="H242" s="54"/>
      <c r="I242" s="55">
        <f t="shared" si="327"/>
        <v>0</v>
      </c>
      <c r="J242" s="348"/>
      <c r="K242" s="54"/>
      <c r="L242" s="55">
        <f t="shared" si="328"/>
        <v>0</v>
      </c>
      <c r="M242" s="53"/>
      <c r="N242" s="54"/>
      <c r="O242" s="55">
        <f t="shared" si="329"/>
        <v>0</v>
      </c>
      <c r="P242" s="57"/>
    </row>
    <row r="243" spans="1:16" ht="18.75" customHeight="1" x14ac:dyDescent="0.25">
      <c r="A243" s="51">
        <v>6259</v>
      </c>
      <c r="B243" s="89" t="s">
        <v>259</v>
      </c>
      <c r="C243" s="90">
        <f t="shared" si="288"/>
        <v>4500</v>
      </c>
      <c r="D243" s="196">
        <v>4500</v>
      </c>
      <c r="E243" s="197"/>
      <c r="F243" s="55">
        <f t="shared" si="326"/>
        <v>4500</v>
      </c>
      <c r="G243" s="53"/>
      <c r="H243" s="54"/>
      <c r="I243" s="55">
        <f t="shared" si="327"/>
        <v>0</v>
      </c>
      <c r="J243" s="348"/>
      <c r="K243" s="54"/>
      <c r="L243" s="55">
        <f t="shared" si="328"/>
        <v>0</v>
      </c>
      <c r="M243" s="53"/>
      <c r="N243" s="54"/>
      <c r="O243" s="55">
        <f t="shared" si="329"/>
        <v>0</v>
      </c>
      <c r="P243" s="57"/>
    </row>
    <row r="244" spans="1:16" ht="29.25" customHeight="1" x14ac:dyDescent="0.25">
      <c r="A244" s="189">
        <v>6260</v>
      </c>
      <c r="B244" s="89" t="s">
        <v>260</v>
      </c>
      <c r="C244" s="90">
        <f t="shared" si="288"/>
        <v>27000</v>
      </c>
      <c r="D244" s="196">
        <v>27000</v>
      </c>
      <c r="E244" s="197"/>
      <c r="F244" s="55">
        <f t="shared" si="326"/>
        <v>27000</v>
      </c>
      <c r="G244" s="53"/>
      <c r="H244" s="54"/>
      <c r="I244" s="55">
        <f t="shared" si="327"/>
        <v>0</v>
      </c>
      <c r="J244" s="348"/>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348"/>
      <c r="K245" s="54"/>
      <c r="L245" s="55">
        <f t="shared" si="328"/>
        <v>0</v>
      </c>
      <c r="M245" s="53"/>
      <c r="N245" s="54"/>
      <c r="O245" s="55">
        <f t="shared" si="329"/>
        <v>0</v>
      </c>
      <c r="P245" s="57"/>
    </row>
    <row r="246" spans="1:16" ht="24" hidden="1" x14ac:dyDescent="0.25">
      <c r="A246" s="98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807">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348"/>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348"/>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348"/>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348"/>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802">
        <f t="shared" si="335"/>
        <v>0</v>
      </c>
      <c r="K251" s="185">
        <f t="shared" si="335"/>
        <v>0</v>
      </c>
      <c r="L251" s="73">
        <f t="shared" si="335"/>
        <v>0</v>
      </c>
      <c r="M251" s="184">
        <f t="shared" si="335"/>
        <v>0</v>
      </c>
      <c r="N251" s="185">
        <f t="shared" si="335"/>
        <v>0</v>
      </c>
      <c r="O251" s="73">
        <f t="shared" si="335"/>
        <v>0</v>
      </c>
      <c r="P251" s="77"/>
    </row>
    <row r="252" spans="1:16" ht="24" hidden="1" x14ac:dyDescent="0.25">
      <c r="A252" s="98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807">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348"/>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348"/>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348"/>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0"/>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817"/>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348"/>
      <c r="K258" s="54"/>
      <c r="L258" s="55">
        <f t="shared" si="339"/>
        <v>0</v>
      </c>
      <c r="M258" s="53"/>
      <c r="N258" s="54"/>
      <c r="O258" s="55">
        <f t="shared" si="340"/>
        <v>0</v>
      </c>
      <c r="P258" s="57"/>
    </row>
    <row r="259" spans="1:16" ht="42" customHeight="1" x14ac:dyDescent="0.25">
      <c r="A259" s="69">
        <v>6400</v>
      </c>
      <c r="B259" s="183" t="s">
        <v>275</v>
      </c>
      <c r="C259" s="70">
        <f t="shared" si="288"/>
        <v>361487</v>
      </c>
      <c r="D259" s="184">
        <f>SUM(D260,D264)</f>
        <v>361895</v>
      </c>
      <c r="E259" s="185">
        <f t="shared" ref="E259:O259" si="341">SUM(E260,E264)</f>
        <v>-408</v>
      </c>
      <c r="F259" s="73">
        <f t="shared" si="341"/>
        <v>361487</v>
      </c>
      <c r="G259" s="184">
        <f t="shared" si="341"/>
        <v>0</v>
      </c>
      <c r="H259" s="185">
        <f t="shared" si="341"/>
        <v>0</v>
      </c>
      <c r="I259" s="73">
        <f t="shared" si="341"/>
        <v>0</v>
      </c>
      <c r="J259" s="802">
        <f t="shared" si="341"/>
        <v>0</v>
      </c>
      <c r="K259" s="185">
        <f t="shared" si="341"/>
        <v>0</v>
      </c>
      <c r="L259" s="73">
        <f t="shared" si="341"/>
        <v>0</v>
      </c>
      <c r="M259" s="184">
        <f t="shared" si="341"/>
        <v>0</v>
      </c>
      <c r="N259" s="185">
        <f t="shared" si="341"/>
        <v>0</v>
      </c>
      <c r="O259" s="73">
        <f t="shared" si="341"/>
        <v>0</v>
      </c>
      <c r="P259" s="77"/>
    </row>
    <row r="260" spans="1:16" ht="24" hidden="1" x14ac:dyDescent="0.25">
      <c r="A260" s="98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807">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348"/>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348"/>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348"/>
      <c r="K263" s="54"/>
      <c r="L263" s="55">
        <f t="shared" si="345"/>
        <v>0</v>
      </c>
      <c r="M263" s="53"/>
      <c r="N263" s="54"/>
      <c r="O263" s="55">
        <f t="shared" si="346"/>
        <v>0</v>
      </c>
      <c r="P263" s="57"/>
    </row>
    <row r="264" spans="1:16" ht="54" customHeight="1" x14ac:dyDescent="0.25">
      <c r="A264" s="189">
        <v>6420</v>
      </c>
      <c r="B264" s="89" t="s">
        <v>280</v>
      </c>
      <c r="C264" s="90">
        <f t="shared" si="288"/>
        <v>361487</v>
      </c>
      <c r="D264" s="190">
        <f>SUM(D265:D268)</f>
        <v>361895</v>
      </c>
      <c r="E264" s="191">
        <f t="shared" ref="E264:F264" si="347">SUM(E265:E268)</f>
        <v>-408</v>
      </c>
      <c r="F264" s="55">
        <f t="shared" si="347"/>
        <v>361487</v>
      </c>
      <c r="G264" s="190">
        <f>SUM(G265:G268)</f>
        <v>0</v>
      </c>
      <c r="H264" s="191">
        <f t="shared" ref="H264:I264" si="348">SUM(H265:H268)</f>
        <v>0</v>
      </c>
      <c r="I264" s="55">
        <f t="shared" si="348"/>
        <v>0</v>
      </c>
      <c r="J264" s="806">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348"/>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348"/>
      <c r="K266" s="54"/>
      <c r="L266" s="55">
        <f t="shared" si="353"/>
        <v>0</v>
      </c>
      <c r="M266" s="53"/>
      <c r="N266" s="54"/>
      <c r="O266" s="55">
        <f t="shared" si="354"/>
        <v>0</v>
      </c>
      <c r="P266" s="57"/>
    </row>
    <row r="267" spans="1:16" ht="25.5" customHeight="1" x14ac:dyDescent="0.25">
      <c r="A267" s="51">
        <v>6423</v>
      </c>
      <c r="B267" s="89" t="s">
        <v>283</v>
      </c>
      <c r="C267" s="90">
        <f t="shared" si="288"/>
        <v>361487</v>
      </c>
      <c r="D267" s="196">
        <v>361895</v>
      </c>
      <c r="E267" s="197">
        <v>-408</v>
      </c>
      <c r="F267" s="55">
        <f t="shared" si="351"/>
        <v>361487</v>
      </c>
      <c r="G267" s="53"/>
      <c r="H267" s="54"/>
      <c r="I267" s="55">
        <f t="shared" si="352"/>
        <v>0</v>
      </c>
      <c r="J267" s="348"/>
      <c r="K267" s="54"/>
      <c r="L267" s="55">
        <f t="shared" si="353"/>
        <v>0</v>
      </c>
      <c r="M267" s="53"/>
      <c r="N267" s="54"/>
      <c r="O267" s="55">
        <f t="shared" si="354"/>
        <v>0</v>
      </c>
      <c r="P267" s="57" t="s">
        <v>1387</v>
      </c>
    </row>
    <row r="268" spans="1:16" ht="36" hidden="1" customHeight="1" x14ac:dyDescent="0.25">
      <c r="A268" s="51">
        <v>6424</v>
      </c>
      <c r="B268" s="89" t="s">
        <v>284</v>
      </c>
      <c r="C268" s="90">
        <f t="shared" si="288"/>
        <v>0</v>
      </c>
      <c r="D268" s="196"/>
      <c r="E268" s="197"/>
      <c r="F268" s="55">
        <f t="shared" si="351"/>
        <v>0</v>
      </c>
      <c r="G268" s="53"/>
      <c r="H268" s="54"/>
      <c r="I268" s="55">
        <f t="shared" si="352"/>
        <v>0</v>
      </c>
      <c r="J268" s="348"/>
      <c r="K268" s="54"/>
      <c r="L268" s="55">
        <f t="shared" si="353"/>
        <v>0</v>
      </c>
      <c r="M268" s="53"/>
      <c r="N268" s="54"/>
      <c r="O268" s="55">
        <f t="shared" si="354"/>
        <v>0</v>
      </c>
      <c r="P268" s="57"/>
    </row>
    <row r="269" spans="1:16" ht="48" x14ac:dyDescent="0.25">
      <c r="A269" s="228">
        <v>7000</v>
      </c>
      <c r="B269" s="228" t="s">
        <v>285</v>
      </c>
      <c r="C269" s="229">
        <f t="shared" si="288"/>
        <v>13359</v>
      </c>
      <c r="D269" s="230">
        <f>SUM(D270,D281)</f>
        <v>12951</v>
      </c>
      <c r="E269" s="231">
        <f t="shared" ref="E269:F269" si="355">SUM(E270,E281)</f>
        <v>408</v>
      </c>
      <c r="F269" s="232">
        <f t="shared" si="355"/>
        <v>13359</v>
      </c>
      <c r="G269" s="230">
        <f>SUM(G270,G281)</f>
        <v>0</v>
      </c>
      <c r="H269" s="231">
        <f t="shared" ref="H269:I269" si="356">SUM(H270,H281)</f>
        <v>0</v>
      </c>
      <c r="I269" s="232">
        <f t="shared" si="356"/>
        <v>0</v>
      </c>
      <c r="J269" s="699">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x14ac:dyDescent="0.25">
      <c r="A270" s="69">
        <v>7200</v>
      </c>
      <c r="B270" s="183" t="s">
        <v>286</v>
      </c>
      <c r="C270" s="70">
        <f t="shared" si="288"/>
        <v>13359</v>
      </c>
      <c r="D270" s="184">
        <f>SUM(D271,D272,D275,D276,D280)</f>
        <v>12951</v>
      </c>
      <c r="E270" s="185">
        <f t="shared" ref="E270:F270" si="359">SUM(E271,E272,E275,E276,E280)</f>
        <v>408</v>
      </c>
      <c r="F270" s="73">
        <f t="shared" si="359"/>
        <v>13359</v>
      </c>
      <c r="G270" s="184">
        <f>SUM(G271,G272,G275,G276,G280)</f>
        <v>0</v>
      </c>
      <c r="H270" s="185">
        <f t="shared" ref="H270:I270" si="360">SUM(H271,H272,H275,H276,H280)</f>
        <v>0</v>
      </c>
      <c r="I270" s="73">
        <f t="shared" si="360"/>
        <v>0</v>
      </c>
      <c r="J270" s="802">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86">
        <v>7210</v>
      </c>
      <c r="B271" s="82" t="s">
        <v>287</v>
      </c>
      <c r="C271" s="83">
        <f t="shared" si="288"/>
        <v>0</v>
      </c>
      <c r="D271" s="199"/>
      <c r="E271" s="200"/>
      <c r="F271" s="134">
        <f>D271+E271</f>
        <v>0</v>
      </c>
      <c r="G271" s="46"/>
      <c r="H271" s="47"/>
      <c r="I271" s="134">
        <f>G271+H271</f>
        <v>0</v>
      </c>
      <c r="J271" s="460"/>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806">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348"/>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348"/>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348"/>
      <c r="K275" s="54"/>
      <c r="L275" s="55">
        <f t="shared" si="369"/>
        <v>0</v>
      </c>
      <c r="M275" s="53"/>
      <c r="N275" s="54"/>
      <c r="O275" s="55">
        <f t="shared" si="370"/>
        <v>0</v>
      </c>
      <c r="P275" s="57"/>
    </row>
    <row r="276" spans="1:16" ht="24" x14ac:dyDescent="0.25">
      <c r="A276" s="189">
        <v>7240</v>
      </c>
      <c r="B276" s="89" t="s">
        <v>292</v>
      </c>
      <c r="C276" s="90">
        <f t="shared" ref="C276:C301" si="371">F276+I276+L276+O276</f>
        <v>13359</v>
      </c>
      <c r="D276" s="190">
        <f t="shared" ref="D276:O276" si="372">SUM(D277:D279)</f>
        <v>12951</v>
      </c>
      <c r="E276" s="191">
        <f t="shared" si="372"/>
        <v>408</v>
      </c>
      <c r="F276" s="55">
        <f t="shared" si="372"/>
        <v>13359</v>
      </c>
      <c r="G276" s="190">
        <f t="shared" si="372"/>
        <v>0</v>
      </c>
      <c r="H276" s="191">
        <f t="shared" si="372"/>
        <v>0</v>
      </c>
      <c r="I276" s="55">
        <f t="shared" si="372"/>
        <v>0</v>
      </c>
      <c r="J276" s="806">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348"/>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348"/>
      <c r="K278" s="54"/>
      <c r="L278" s="55">
        <f t="shared" si="376"/>
        <v>0</v>
      </c>
      <c r="M278" s="53"/>
      <c r="N278" s="54"/>
      <c r="O278" s="55">
        <f t="shared" si="377"/>
        <v>0</v>
      </c>
      <c r="P278" s="57"/>
    </row>
    <row r="279" spans="1:16" ht="46.5" customHeight="1" x14ac:dyDescent="0.25">
      <c r="A279" s="51">
        <v>7247</v>
      </c>
      <c r="B279" s="89" t="s">
        <v>295</v>
      </c>
      <c r="C279" s="90">
        <f t="shared" si="371"/>
        <v>13359</v>
      </c>
      <c r="D279" s="196">
        <v>12951</v>
      </c>
      <c r="E279" s="197">
        <v>408</v>
      </c>
      <c r="F279" s="55">
        <f t="shared" si="374"/>
        <v>13359</v>
      </c>
      <c r="G279" s="53"/>
      <c r="H279" s="54"/>
      <c r="I279" s="55">
        <f t="shared" si="375"/>
        <v>0</v>
      </c>
      <c r="J279" s="348"/>
      <c r="K279" s="54"/>
      <c r="L279" s="55">
        <f t="shared" si="376"/>
        <v>0</v>
      </c>
      <c r="M279" s="53"/>
      <c r="N279" s="54"/>
      <c r="O279" s="55">
        <f t="shared" si="377"/>
        <v>0</v>
      </c>
      <c r="P279" s="57" t="s">
        <v>1388</v>
      </c>
    </row>
    <row r="280" spans="1:16" ht="24" hidden="1" customHeight="1" x14ac:dyDescent="0.25">
      <c r="A280" s="986">
        <v>7260</v>
      </c>
      <c r="B280" s="82" t="s">
        <v>296</v>
      </c>
      <c r="C280" s="83">
        <f t="shared" si="371"/>
        <v>0</v>
      </c>
      <c r="D280" s="199"/>
      <c r="E280" s="200"/>
      <c r="F280" s="134">
        <f t="shared" si="374"/>
        <v>0</v>
      </c>
      <c r="G280" s="46"/>
      <c r="H280" s="47"/>
      <c r="I280" s="134">
        <f t="shared" si="375"/>
        <v>0</v>
      </c>
      <c r="J280" s="460"/>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829">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769"/>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1212">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804">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780"/>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806">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348"/>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0"/>
      <c r="K288" s="47"/>
      <c r="L288" s="134">
        <f t="shared" si="387"/>
        <v>0</v>
      </c>
      <c r="M288" s="46"/>
      <c r="N288" s="47"/>
      <c r="O288" s="134">
        <f t="shared" si="388"/>
        <v>0</v>
      </c>
      <c r="P288" s="49"/>
    </row>
    <row r="289" spans="1:16" ht="12.75" thickBot="1" x14ac:dyDescent="0.3">
      <c r="A289" s="250"/>
      <c r="B289" s="250" t="s">
        <v>307</v>
      </c>
      <c r="C289" s="251">
        <f t="shared" si="371"/>
        <v>446624</v>
      </c>
      <c r="D289" s="252">
        <f t="shared" ref="D289:O289" si="389">SUM(D286,D269,D230,D195,D187,D173,D75,D53,D283)</f>
        <v>444346</v>
      </c>
      <c r="E289" s="253">
        <f t="shared" si="389"/>
        <v>0</v>
      </c>
      <c r="F289" s="254">
        <f t="shared" si="389"/>
        <v>444346</v>
      </c>
      <c r="G289" s="252">
        <f t="shared" si="389"/>
        <v>0</v>
      </c>
      <c r="H289" s="253">
        <f t="shared" si="389"/>
        <v>0</v>
      </c>
      <c r="I289" s="254">
        <f t="shared" si="389"/>
        <v>0</v>
      </c>
      <c r="J289" s="841">
        <f t="shared" si="389"/>
        <v>2278</v>
      </c>
      <c r="K289" s="253">
        <f t="shared" si="389"/>
        <v>0</v>
      </c>
      <c r="L289" s="254">
        <f t="shared" si="389"/>
        <v>2278</v>
      </c>
      <c r="M289" s="252">
        <f t="shared" si="389"/>
        <v>0</v>
      </c>
      <c r="N289" s="253">
        <f t="shared" si="389"/>
        <v>0</v>
      </c>
      <c r="O289" s="254">
        <f t="shared" si="389"/>
        <v>0</v>
      </c>
      <c r="P289" s="255"/>
    </row>
    <row r="290" spans="1:16" s="28" customFormat="1" ht="13.5" thickTop="1" thickBot="1" x14ac:dyDescent="0.3">
      <c r="A290" s="1544" t="s">
        <v>308</v>
      </c>
      <c r="B290" s="1545"/>
      <c r="C290" s="256">
        <f t="shared" si="371"/>
        <v>-142</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844">
        <f>(J26+J43)-J51</f>
        <v>-142</v>
      </c>
      <c r="K290" s="258">
        <f t="shared" ref="K290:L290" si="392">(K26+K43)-K51</f>
        <v>0</v>
      </c>
      <c r="L290" s="259">
        <f t="shared" si="392"/>
        <v>-142</v>
      </c>
      <c r="M290" s="257">
        <f>M45-M51</f>
        <v>0</v>
      </c>
      <c r="N290" s="258">
        <f t="shared" ref="N290:O290" si="393">N45-N51</f>
        <v>0</v>
      </c>
      <c r="O290" s="259">
        <f t="shared" si="393"/>
        <v>0</v>
      </c>
      <c r="P290" s="260"/>
    </row>
    <row r="291" spans="1:16" s="28" customFormat="1" ht="12.75" thickTop="1" x14ac:dyDescent="0.25">
      <c r="A291" s="1546" t="s">
        <v>309</v>
      </c>
      <c r="B291" s="1547"/>
      <c r="C291" s="261">
        <f t="shared" si="371"/>
        <v>142</v>
      </c>
      <c r="D291" s="262">
        <f t="shared" ref="D291:O291" si="394">SUM(D292,D293)-D300+D301</f>
        <v>0</v>
      </c>
      <c r="E291" s="263">
        <f t="shared" si="394"/>
        <v>0</v>
      </c>
      <c r="F291" s="264">
        <f t="shared" si="394"/>
        <v>0</v>
      </c>
      <c r="G291" s="262">
        <f t="shared" si="394"/>
        <v>0</v>
      </c>
      <c r="H291" s="263">
        <f t="shared" si="394"/>
        <v>0</v>
      </c>
      <c r="I291" s="264">
        <f t="shared" si="394"/>
        <v>0</v>
      </c>
      <c r="J291" s="847">
        <f t="shared" si="394"/>
        <v>142</v>
      </c>
      <c r="K291" s="263">
        <f t="shared" si="394"/>
        <v>0</v>
      </c>
      <c r="L291" s="264">
        <f t="shared" si="394"/>
        <v>142</v>
      </c>
      <c r="M291" s="262">
        <f t="shared" si="394"/>
        <v>0</v>
      </c>
      <c r="N291" s="263">
        <f t="shared" si="394"/>
        <v>0</v>
      </c>
      <c r="O291" s="264">
        <f t="shared" si="394"/>
        <v>0</v>
      </c>
      <c r="P291" s="265"/>
    </row>
    <row r="292" spans="1:16" s="28" customFormat="1" ht="12.75" thickBot="1" x14ac:dyDescent="0.3">
      <c r="A292" s="157" t="s">
        <v>310</v>
      </c>
      <c r="B292" s="157" t="s">
        <v>311</v>
      </c>
      <c r="C292" s="158">
        <f t="shared" si="371"/>
        <v>142</v>
      </c>
      <c r="D292" s="159">
        <f t="shared" ref="D292:O292" si="395">D21-D286</f>
        <v>0</v>
      </c>
      <c r="E292" s="160">
        <f t="shared" si="395"/>
        <v>0</v>
      </c>
      <c r="F292" s="161">
        <f t="shared" si="395"/>
        <v>0</v>
      </c>
      <c r="G292" s="159">
        <f t="shared" si="395"/>
        <v>0</v>
      </c>
      <c r="H292" s="160">
        <f t="shared" si="395"/>
        <v>0</v>
      </c>
      <c r="I292" s="161">
        <f t="shared" si="395"/>
        <v>0</v>
      </c>
      <c r="J292" s="785">
        <f t="shared" si="395"/>
        <v>142</v>
      </c>
      <c r="K292" s="160">
        <f t="shared" si="395"/>
        <v>0</v>
      </c>
      <c r="L292" s="161">
        <f t="shared" si="395"/>
        <v>142</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847">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769"/>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348"/>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348"/>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348"/>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348"/>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817"/>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850"/>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812"/>
      <c r="K301" s="206"/>
      <c r="L301" s="73">
        <f t="shared" si="399"/>
        <v>0</v>
      </c>
      <c r="M301" s="205"/>
      <c r="N301" s="206"/>
      <c r="O301" s="73">
        <f t="shared" si="400"/>
        <v>0</v>
      </c>
      <c r="P301" s="77"/>
    </row>
    <row r="302" spans="1:16" ht="12.75" thickTop="1" x14ac:dyDescent="0.25">
      <c r="A302" s="4"/>
      <c r="B302" s="4"/>
      <c r="C302" s="4"/>
      <c r="D302" s="4"/>
      <c r="E302" s="4"/>
      <c r="F302" s="4"/>
      <c r="G302" s="4"/>
      <c r="H302" s="4"/>
      <c r="I302" s="4"/>
      <c r="K302" s="4"/>
      <c r="L302" s="4"/>
      <c r="M302" s="4"/>
    </row>
    <row r="303" spans="1:16" x14ac:dyDescent="0.25">
      <c r="A303" s="4"/>
      <c r="B303" s="4"/>
      <c r="C303" s="4"/>
      <c r="D303" s="4"/>
      <c r="E303" s="4"/>
      <c r="F303" s="4"/>
      <c r="G303" s="4"/>
      <c r="H303" s="4"/>
      <c r="I303" s="4"/>
      <c r="K303" s="4"/>
      <c r="L303" s="4"/>
      <c r="M303" s="4"/>
    </row>
    <row r="304" spans="1:16" x14ac:dyDescent="0.25">
      <c r="A304" s="4"/>
      <c r="B304" s="4"/>
      <c r="C304" s="4"/>
      <c r="D304" s="4"/>
      <c r="E304" s="4"/>
      <c r="F304" s="4"/>
      <c r="G304" s="4"/>
      <c r="H304" s="4"/>
      <c r="I304" s="4"/>
      <c r="K304" s="4"/>
      <c r="L304" s="4"/>
      <c r="M304" s="4"/>
    </row>
    <row r="305" spans="1:13" x14ac:dyDescent="0.25">
      <c r="A305" s="4"/>
      <c r="B305" s="4"/>
      <c r="C305" s="4"/>
      <c r="D305" s="4"/>
      <c r="E305" s="4"/>
      <c r="F305" s="4"/>
      <c r="G305" s="4"/>
      <c r="H305" s="4"/>
      <c r="I305" s="4"/>
      <c r="K305" s="4"/>
      <c r="L305" s="4"/>
      <c r="M305" s="4"/>
    </row>
    <row r="306" spans="1:13" x14ac:dyDescent="0.25">
      <c r="A306" s="4"/>
      <c r="B306" s="4"/>
      <c r="C306" s="4"/>
      <c r="D306" s="4"/>
      <c r="E306" s="4"/>
      <c r="F306" s="4"/>
      <c r="G306" s="4"/>
      <c r="H306" s="4"/>
      <c r="I306" s="4"/>
      <c r="K306" s="4"/>
      <c r="L306" s="4"/>
      <c r="M306" s="4"/>
    </row>
  </sheetData>
  <sheetProtection algorithmName="SHA-512" hashValue="OEFYAovxvPzCsLIA4xnNpPgZD/+mKSvUT9YqtKEp3/SVc3iJn+GM9IYFgmVMYyfSEG8X2VyKrPAwXHOBWwa/1g==" saltValue="cfVXBn6USOCX8VMuBxfI1g==" spinCount="100000" sheet="1" objects="1" scenarios="1" formatCells="0" formatColumns="0" formatRows="0" deleteColumns="0"/>
  <autoFilter ref="A18:P301">
    <filterColumn colId="2">
      <filters>
        <filter val="1 605"/>
        <filter val="1 993"/>
        <filter val="10 500"/>
        <filter val="13 359"/>
        <filter val="142"/>
        <filter val="-142"/>
        <filter val="2 136"/>
        <filter val="2 180"/>
        <filter val="2 765"/>
        <filter val="25 020"/>
        <filter val="27 000"/>
        <filter val="361 487"/>
        <filter val="388"/>
        <filter val="4 500"/>
        <filter val="4 758"/>
        <filter val="40 020"/>
        <filter val="428 507"/>
        <filter val="441 866"/>
        <filter val="444 346"/>
        <filter val="446 624"/>
        <filter val="585"/>
        <filter val="67 02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horizontalDpi="200" verticalDpi="200" r:id="rId1"/>
  <headerFooter differentFirst="1">
    <oddFooter>&amp;L&amp;"Times New Roman,Regular"&amp;9&amp;D; &amp;T&amp;R&amp;"Times New Roman,Regular"&amp;9&amp;P (&amp;N)</oddFooter>
    <firstHeader xml:space="preserve">&amp;R&amp;"Times New Roman,Regular"&amp;9 49.pielikums Jūrmalas pilsētas domes
2019.gada 31.oktobra saistošajiem noteikumiem Nr.46
(protokols Nr.14, 28.punkts)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69"/>
  <sheetViews>
    <sheetView view="pageLayout" zoomScaleNormal="100" workbookViewId="0">
      <selection activeCell="L7" sqref="L7"/>
    </sheetView>
  </sheetViews>
  <sheetFormatPr defaultColWidth="9.140625" defaultRowHeight="12" outlineLevelCol="1" x14ac:dyDescent="0.2"/>
  <cols>
    <col min="1" max="1" width="6.140625" style="299" customWidth="1"/>
    <col min="2" max="2" width="26.85546875" style="299" customWidth="1"/>
    <col min="3" max="3" width="10.5703125" style="299" customWidth="1"/>
    <col min="4" max="4" width="12.28515625" style="299" hidden="1" customWidth="1" outlineLevel="1"/>
    <col min="5" max="5" width="11.140625" style="299" hidden="1" customWidth="1" outlineLevel="1"/>
    <col min="6" max="6" width="13.5703125" style="299" customWidth="1" collapsed="1"/>
    <col min="7" max="7" width="36.28515625" style="299" hidden="1" customWidth="1" outlineLevel="1"/>
    <col min="8" max="8" width="20.5703125" style="299" customWidth="1" collapsed="1"/>
    <col min="9" max="16384" width="9.140625" style="299"/>
  </cols>
  <sheetData>
    <row r="1" spans="1:9" x14ac:dyDescent="0.2">
      <c r="H1" s="495" t="s">
        <v>1454</v>
      </c>
    </row>
    <row r="2" spans="1:9" x14ac:dyDescent="0.2">
      <c r="H2" s="495" t="s">
        <v>434</v>
      </c>
    </row>
    <row r="3" spans="1:9" x14ac:dyDescent="0.2">
      <c r="A3" s="1755" t="s">
        <v>412</v>
      </c>
      <c r="B3" s="1755"/>
      <c r="C3" s="1282" t="s">
        <v>3</v>
      </c>
      <c r="D3" s="1282"/>
      <c r="E3" s="1282"/>
      <c r="F3" s="1282"/>
      <c r="G3" s="1282"/>
      <c r="H3" s="1282"/>
    </row>
    <row r="4" spans="1:9" x14ac:dyDescent="0.2">
      <c r="A4" s="1755" t="s">
        <v>413</v>
      </c>
      <c r="B4" s="1755"/>
      <c r="C4" s="1283">
        <v>90000056357</v>
      </c>
      <c r="D4" s="1283"/>
      <c r="E4" s="1283"/>
      <c r="F4" s="1283"/>
      <c r="G4" s="1283"/>
      <c r="H4" s="1283"/>
    </row>
    <row r="5" spans="1:9" ht="15.75" x14ac:dyDescent="0.25">
      <c r="A5" s="1756" t="s">
        <v>414</v>
      </c>
      <c r="B5" s="1756"/>
      <c r="C5" s="1756"/>
      <c r="D5" s="1756"/>
      <c r="E5" s="1756"/>
      <c r="F5" s="1756"/>
      <c r="G5" s="1756"/>
      <c r="H5" s="1756"/>
    </row>
    <row r="6" spans="1:9" ht="15.75" x14ac:dyDescent="0.25">
      <c r="A6" s="1284"/>
      <c r="B6" s="1284"/>
      <c r="C6" s="1284"/>
      <c r="D6" s="1284"/>
      <c r="E6" s="1284"/>
      <c r="F6" s="1284"/>
      <c r="G6" s="1284"/>
      <c r="H6" s="1284"/>
    </row>
    <row r="7" spans="1:9" ht="15.75" x14ac:dyDescent="0.25">
      <c r="A7" s="1285" t="s">
        <v>331</v>
      </c>
      <c r="B7" s="1285"/>
      <c r="C7" s="326" t="s">
        <v>1455</v>
      </c>
      <c r="D7" s="326"/>
      <c r="E7" s="326"/>
      <c r="F7" s="326"/>
      <c r="G7" s="326"/>
      <c r="H7" s="326"/>
      <c r="I7" s="326"/>
    </row>
    <row r="8" spans="1:9" x14ac:dyDescent="0.2">
      <c r="A8" s="1285" t="s">
        <v>333</v>
      </c>
      <c r="B8" s="1285"/>
      <c r="C8" s="322" t="s">
        <v>1456</v>
      </c>
      <c r="D8" s="322"/>
      <c r="E8" s="322"/>
      <c r="F8" s="322"/>
      <c r="G8" s="322"/>
      <c r="H8" s="322"/>
      <c r="I8" s="322"/>
    </row>
    <row r="9" spans="1:9" x14ac:dyDescent="0.2">
      <c r="A9" s="1285" t="s">
        <v>334</v>
      </c>
      <c r="B9" s="1285"/>
      <c r="C9" s="1286" t="s">
        <v>595</v>
      </c>
      <c r="D9" s="1286"/>
      <c r="E9" s="1286"/>
      <c r="F9" s="1286"/>
      <c r="G9" s="1286"/>
      <c r="H9" s="1286"/>
      <c r="I9" s="322"/>
    </row>
    <row r="10" spans="1:9" ht="12" customHeight="1" x14ac:dyDescent="0.2">
      <c r="A10" s="1679" t="s">
        <v>335</v>
      </c>
      <c r="B10" s="1679" t="s">
        <v>336</v>
      </c>
      <c r="C10" s="1757" t="s">
        <v>337</v>
      </c>
      <c r="D10" s="1598" t="s">
        <v>338</v>
      </c>
      <c r="E10" s="1598" t="s">
        <v>339</v>
      </c>
      <c r="F10" s="1598" t="s">
        <v>340</v>
      </c>
      <c r="G10" s="1598" t="s">
        <v>35</v>
      </c>
      <c r="H10" s="1598" t="s">
        <v>341</v>
      </c>
      <c r="I10" s="322"/>
    </row>
    <row r="11" spans="1:9" ht="38.25" customHeight="1" x14ac:dyDescent="0.2">
      <c r="A11" s="1680"/>
      <c r="B11" s="1680"/>
      <c r="C11" s="1758"/>
      <c r="D11" s="1599"/>
      <c r="E11" s="1599"/>
      <c r="F11" s="1599"/>
      <c r="G11" s="1599"/>
      <c r="H11" s="1599"/>
    </row>
    <row r="12" spans="1:9" s="323" customFormat="1" x14ac:dyDescent="0.2">
      <c r="A12" s="1752" t="s">
        <v>342</v>
      </c>
      <c r="B12" s="1753"/>
      <c r="C12" s="520"/>
      <c r="D12" s="520">
        <f>D13+D39</f>
        <v>70567</v>
      </c>
      <c r="E12" s="520">
        <f>E13+E39</f>
        <v>0</v>
      </c>
      <c r="F12" s="520">
        <f>F13+F39</f>
        <v>70567</v>
      </c>
      <c r="G12" s="517"/>
      <c r="H12" s="541"/>
      <c r="I12" s="299"/>
    </row>
    <row r="13" spans="1:9" s="323" customFormat="1" ht="12.75" customHeight="1" x14ac:dyDescent="0.2">
      <c r="A13" s="994" t="s">
        <v>1457</v>
      </c>
      <c r="B13" s="1287" t="s">
        <v>1458</v>
      </c>
      <c r="C13" s="525"/>
      <c r="D13" s="525">
        <f>SUM(D14:D38)</f>
        <v>53148</v>
      </c>
      <c r="E13" s="525">
        <f>SUM(E14:E38)</f>
        <v>0</v>
      </c>
      <c r="F13" s="525">
        <f>SUM(F14:F38)</f>
        <v>53148</v>
      </c>
      <c r="G13" s="542"/>
      <c r="H13" s="529"/>
      <c r="I13" s="299"/>
    </row>
    <row r="14" spans="1:9" s="927" customFormat="1" ht="12.6" customHeight="1" x14ac:dyDescent="0.2">
      <c r="A14" s="1754" t="s">
        <v>1459</v>
      </c>
      <c r="B14" s="1759" t="s">
        <v>1460</v>
      </c>
      <c r="C14" s="912">
        <v>2262</v>
      </c>
      <c r="D14" s="954">
        <v>160</v>
      </c>
      <c r="E14" s="862"/>
      <c r="F14" s="862">
        <f>SUM(D14:E14)</f>
        <v>160</v>
      </c>
      <c r="G14" s="862"/>
      <c r="H14" s="1727" t="s">
        <v>1461</v>
      </c>
      <c r="I14" s="299"/>
    </row>
    <row r="15" spans="1:9" ht="12.6" customHeight="1" x14ac:dyDescent="0.2">
      <c r="A15" s="1754"/>
      <c r="B15" s="1760"/>
      <c r="C15" s="912">
        <v>2314</v>
      </c>
      <c r="D15" s="954">
        <f>2094+204</f>
        <v>2298</v>
      </c>
      <c r="E15" s="862"/>
      <c r="F15" s="862">
        <f t="shared" ref="F15:F56" si="0">SUM(D15:E15)</f>
        <v>2298</v>
      </c>
      <c r="G15" s="290"/>
      <c r="H15" s="1728"/>
    </row>
    <row r="16" spans="1:9" ht="12.6" customHeight="1" x14ac:dyDescent="0.2">
      <c r="A16" s="1754"/>
      <c r="B16" s="1760"/>
      <c r="C16" s="912">
        <v>2363</v>
      </c>
      <c r="D16" s="954">
        <f>1215-120</f>
        <v>1095</v>
      </c>
      <c r="E16" s="862"/>
      <c r="F16" s="862">
        <f t="shared" si="0"/>
        <v>1095</v>
      </c>
      <c r="G16" s="862"/>
      <c r="H16" s="1728"/>
    </row>
    <row r="17" spans="1:8" ht="12.6" customHeight="1" x14ac:dyDescent="0.2">
      <c r="A17" s="1754"/>
      <c r="B17" s="1760"/>
      <c r="C17" s="912">
        <v>2264</v>
      </c>
      <c r="D17" s="954">
        <f>2700-434</f>
        <v>2266</v>
      </c>
      <c r="E17" s="862"/>
      <c r="F17" s="862">
        <f t="shared" si="0"/>
        <v>2266</v>
      </c>
      <c r="G17" s="862"/>
      <c r="H17" s="1728"/>
    </row>
    <row r="18" spans="1:8" ht="12.6" customHeight="1" x14ac:dyDescent="0.2">
      <c r="A18" s="1754"/>
      <c r="B18" s="1760"/>
      <c r="C18" s="912">
        <v>1150</v>
      </c>
      <c r="D18" s="954">
        <f>3136-375</f>
        <v>2761</v>
      </c>
      <c r="E18" s="862"/>
      <c r="F18" s="862">
        <f t="shared" si="0"/>
        <v>2761</v>
      </c>
      <c r="G18" s="862"/>
      <c r="H18" s="1728"/>
    </row>
    <row r="19" spans="1:8" ht="12.6" customHeight="1" x14ac:dyDescent="0.2">
      <c r="A19" s="1754"/>
      <c r="B19" s="1760"/>
      <c r="C19" s="912">
        <v>1210</v>
      </c>
      <c r="D19" s="954">
        <f>278-18</f>
        <v>260</v>
      </c>
      <c r="E19" s="862"/>
      <c r="F19" s="862">
        <f t="shared" si="0"/>
        <v>260</v>
      </c>
      <c r="G19" s="290"/>
      <c r="H19" s="1728"/>
    </row>
    <row r="20" spans="1:8" ht="12.6" customHeight="1" x14ac:dyDescent="0.2">
      <c r="A20" s="1754"/>
      <c r="B20" s="1760"/>
      <c r="C20" s="912">
        <v>2279</v>
      </c>
      <c r="D20" s="954">
        <f>730+267</f>
        <v>997</v>
      </c>
      <c r="E20" s="862"/>
      <c r="F20" s="862">
        <f t="shared" si="0"/>
        <v>997</v>
      </c>
      <c r="G20" s="290"/>
      <c r="H20" s="1728"/>
    </row>
    <row r="21" spans="1:8" ht="12.6" customHeight="1" x14ac:dyDescent="0.2">
      <c r="A21" s="1754"/>
      <c r="B21" s="1760"/>
      <c r="C21" s="912">
        <v>2370</v>
      </c>
      <c r="D21" s="954">
        <f>1400+367</f>
        <v>1767</v>
      </c>
      <c r="E21" s="862"/>
      <c r="F21" s="862">
        <f t="shared" si="0"/>
        <v>1767</v>
      </c>
      <c r="G21" s="290"/>
      <c r="H21" s="1728"/>
    </row>
    <row r="22" spans="1:8" ht="12.6" customHeight="1" x14ac:dyDescent="0.2">
      <c r="A22" s="1754"/>
      <c r="B22" s="1760"/>
      <c r="C22" s="912">
        <v>2239</v>
      </c>
      <c r="D22" s="954">
        <f>80+108</f>
        <v>188</v>
      </c>
      <c r="E22" s="862"/>
      <c r="F22" s="862">
        <f t="shared" si="0"/>
        <v>188</v>
      </c>
      <c r="G22" s="290"/>
      <c r="H22" s="1728"/>
    </row>
    <row r="23" spans="1:8" ht="12.6" customHeight="1" x14ac:dyDescent="0.2">
      <c r="A23" s="1754"/>
      <c r="B23" s="1760"/>
      <c r="C23" s="912">
        <v>2361</v>
      </c>
      <c r="D23" s="954">
        <v>34216</v>
      </c>
      <c r="E23" s="862"/>
      <c r="F23" s="862">
        <f t="shared" si="0"/>
        <v>34216</v>
      </c>
      <c r="G23" s="290"/>
      <c r="H23" s="1728"/>
    </row>
    <row r="24" spans="1:8" ht="12.6" customHeight="1" x14ac:dyDescent="0.2">
      <c r="A24" s="1754"/>
      <c r="B24" s="1760"/>
      <c r="C24" s="912">
        <v>2248</v>
      </c>
      <c r="D24" s="954">
        <v>35</v>
      </c>
      <c r="E24" s="862"/>
      <c r="F24" s="862">
        <f t="shared" si="0"/>
        <v>35</v>
      </c>
      <c r="G24" s="290"/>
      <c r="H24" s="1728"/>
    </row>
    <row r="25" spans="1:8" ht="12.6" customHeight="1" x14ac:dyDescent="0.2">
      <c r="A25" s="1754"/>
      <c r="B25" s="1760"/>
      <c r="C25" s="912">
        <v>2311</v>
      </c>
      <c r="D25" s="954">
        <v>50</v>
      </c>
      <c r="E25" s="862"/>
      <c r="F25" s="862">
        <f t="shared" si="0"/>
        <v>50</v>
      </c>
      <c r="G25" s="290"/>
      <c r="H25" s="1728"/>
    </row>
    <row r="26" spans="1:8" ht="12.6" customHeight="1" x14ac:dyDescent="0.2">
      <c r="A26" s="1763" t="s">
        <v>1462</v>
      </c>
      <c r="B26" s="1654" t="s">
        <v>1463</v>
      </c>
      <c r="C26" s="912">
        <v>1150</v>
      </c>
      <c r="D26" s="954">
        <v>770</v>
      </c>
      <c r="E26" s="862"/>
      <c r="F26" s="862">
        <f t="shared" si="0"/>
        <v>770</v>
      </c>
      <c r="G26" s="1288"/>
      <c r="H26" s="1608" t="s">
        <v>1464</v>
      </c>
    </row>
    <row r="27" spans="1:8" ht="12.6" customHeight="1" x14ac:dyDescent="0.2">
      <c r="A27" s="1754"/>
      <c r="B27" s="1655"/>
      <c r="C27" s="912">
        <v>1210</v>
      </c>
      <c r="D27" s="954">
        <v>173</v>
      </c>
      <c r="E27" s="862"/>
      <c r="F27" s="862">
        <f t="shared" si="0"/>
        <v>173</v>
      </c>
      <c r="G27" s="1288"/>
      <c r="H27" s="1608"/>
    </row>
    <row r="28" spans="1:8" ht="12.6" customHeight="1" x14ac:dyDescent="0.2">
      <c r="A28" s="1754"/>
      <c r="B28" s="1655"/>
      <c r="C28" s="912">
        <v>2314</v>
      </c>
      <c r="D28" s="954">
        <f>2405-148</f>
        <v>2257</v>
      </c>
      <c r="E28" s="862"/>
      <c r="F28" s="862">
        <f t="shared" si="0"/>
        <v>2257</v>
      </c>
      <c r="G28" s="1288"/>
      <c r="H28" s="1608"/>
    </row>
    <row r="29" spans="1:8" ht="12.6" customHeight="1" x14ac:dyDescent="0.2">
      <c r="A29" s="1754"/>
      <c r="B29" s="1655"/>
      <c r="C29" s="912">
        <v>2264</v>
      </c>
      <c r="D29" s="954">
        <v>300</v>
      </c>
      <c r="E29" s="862"/>
      <c r="F29" s="862">
        <f t="shared" si="0"/>
        <v>300</v>
      </c>
      <c r="G29" s="1288"/>
      <c r="H29" s="1608"/>
    </row>
    <row r="30" spans="1:8" ht="12.6" customHeight="1" x14ac:dyDescent="0.2">
      <c r="A30" s="1754"/>
      <c r="B30" s="1655"/>
      <c r="C30" s="912">
        <v>2363</v>
      </c>
      <c r="D30" s="954">
        <v>180</v>
      </c>
      <c r="E30" s="862"/>
      <c r="F30" s="862">
        <f t="shared" si="0"/>
        <v>180</v>
      </c>
      <c r="G30" s="1288"/>
      <c r="H30" s="1608"/>
    </row>
    <row r="31" spans="1:8" ht="12.6" customHeight="1" x14ac:dyDescent="0.2">
      <c r="A31" s="1761"/>
      <c r="B31" s="1656"/>
      <c r="C31" s="912">
        <v>2262</v>
      </c>
      <c r="D31" s="954">
        <v>300</v>
      </c>
      <c r="E31" s="862"/>
      <c r="F31" s="862">
        <f t="shared" si="0"/>
        <v>300</v>
      </c>
      <c r="G31" s="290"/>
      <c r="H31" s="1608"/>
    </row>
    <row r="32" spans="1:8" ht="12.6" customHeight="1" x14ac:dyDescent="0.2">
      <c r="A32" s="1754" t="s">
        <v>651</v>
      </c>
      <c r="B32" s="1760" t="s">
        <v>1465</v>
      </c>
      <c r="C32" s="912">
        <v>1150</v>
      </c>
      <c r="D32" s="954">
        <f>1616-140</f>
        <v>1476</v>
      </c>
      <c r="E32" s="862"/>
      <c r="F32" s="862">
        <f t="shared" si="0"/>
        <v>1476</v>
      </c>
      <c r="G32" s="290"/>
      <c r="H32" s="1608" t="s">
        <v>1466</v>
      </c>
    </row>
    <row r="33" spans="1:8" ht="12.6" customHeight="1" x14ac:dyDescent="0.2">
      <c r="A33" s="1754"/>
      <c r="B33" s="1760"/>
      <c r="C33" s="912">
        <v>1210</v>
      </c>
      <c r="D33" s="954">
        <f>233-34</f>
        <v>199</v>
      </c>
      <c r="E33" s="862"/>
      <c r="F33" s="862">
        <f t="shared" si="0"/>
        <v>199</v>
      </c>
      <c r="G33" s="290"/>
      <c r="H33" s="1608"/>
    </row>
    <row r="34" spans="1:8" ht="12.6" customHeight="1" x14ac:dyDescent="0.2">
      <c r="A34" s="1754"/>
      <c r="B34" s="1760"/>
      <c r="C34" s="912">
        <v>2363</v>
      </c>
      <c r="D34" s="954">
        <v>80</v>
      </c>
      <c r="E34" s="862"/>
      <c r="F34" s="862">
        <f t="shared" si="0"/>
        <v>80</v>
      </c>
      <c r="G34" s="290"/>
      <c r="H34" s="1608"/>
    </row>
    <row r="35" spans="1:8" ht="12.6" customHeight="1" x14ac:dyDescent="0.2">
      <c r="A35" s="1754"/>
      <c r="B35" s="1760"/>
      <c r="C35" s="912">
        <v>2314</v>
      </c>
      <c r="D35" s="954">
        <v>830</v>
      </c>
      <c r="E35" s="862"/>
      <c r="F35" s="862">
        <f t="shared" si="0"/>
        <v>830</v>
      </c>
      <c r="G35" s="290"/>
      <c r="H35" s="1608"/>
    </row>
    <row r="36" spans="1:8" ht="12.6" customHeight="1" x14ac:dyDescent="0.2">
      <c r="A36" s="1754"/>
      <c r="B36" s="1760"/>
      <c r="C36" s="912">
        <v>2264</v>
      </c>
      <c r="D36" s="954">
        <v>150</v>
      </c>
      <c r="E36" s="290"/>
      <c r="F36" s="862">
        <f t="shared" si="0"/>
        <v>150</v>
      </c>
      <c r="G36" s="290"/>
      <c r="H36" s="1608"/>
    </row>
    <row r="37" spans="1:8" ht="12.6" customHeight="1" x14ac:dyDescent="0.2">
      <c r="A37" s="1754"/>
      <c r="B37" s="1760"/>
      <c r="C37" s="912">
        <v>2231</v>
      </c>
      <c r="D37" s="954">
        <v>300</v>
      </c>
      <c r="E37" s="290"/>
      <c r="F37" s="862">
        <f t="shared" si="0"/>
        <v>300</v>
      </c>
      <c r="G37" s="290"/>
      <c r="H37" s="1608"/>
    </row>
    <row r="38" spans="1:8" ht="12.6" customHeight="1" x14ac:dyDescent="0.2">
      <c r="A38" s="1761"/>
      <c r="B38" s="1762"/>
      <c r="C38" s="912">
        <v>2311</v>
      </c>
      <c r="D38" s="954">
        <v>40</v>
      </c>
      <c r="E38" s="290"/>
      <c r="F38" s="862">
        <f t="shared" si="0"/>
        <v>40</v>
      </c>
      <c r="G38" s="290"/>
      <c r="H38" s="1608"/>
    </row>
    <row r="39" spans="1:8" ht="30" customHeight="1" x14ac:dyDescent="0.2">
      <c r="A39" s="995" t="s">
        <v>1467</v>
      </c>
      <c r="B39" s="1287" t="s">
        <v>1468</v>
      </c>
      <c r="C39" s="1289"/>
      <c r="D39" s="1289">
        <f>SUM(D40:D56)</f>
        <v>17419</v>
      </c>
      <c r="E39" s="1289">
        <f>SUM(E40:E56)</f>
        <v>0</v>
      </c>
      <c r="F39" s="1289">
        <f t="shared" ref="F39" si="1">SUM(F40:F56)</f>
        <v>17419</v>
      </c>
      <c r="G39" s="524"/>
      <c r="H39" s="987"/>
    </row>
    <row r="40" spans="1:8" ht="12.6" customHeight="1" x14ac:dyDescent="0.2">
      <c r="A40" s="1764" t="s">
        <v>662</v>
      </c>
      <c r="B40" s="1765" t="s">
        <v>1469</v>
      </c>
      <c r="C40" s="562">
        <v>2363</v>
      </c>
      <c r="D40" s="1290">
        <v>160</v>
      </c>
      <c r="E40" s="862"/>
      <c r="F40" s="862">
        <f t="shared" si="0"/>
        <v>160</v>
      </c>
      <c r="G40" s="290"/>
      <c r="H40" s="1608" t="s">
        <v>1470</v>
      </c>
    </row>
    <row r="41" spans="1:8" ht="12.75" customHeight="1" x14ac:dyDescent="0.2">
      <c r="A41" s="1764"/>
      <c r="B41" s="1765"/>
      <c r="C41" s="562">
        <v>2314</v>
      </c>
      <c r="D41" s="1290">
        <f>4055+348</f>
        <v>4403</v>
      </c>
      <c r="E41" s="862"/>
      <c r="F41" s="862">
        <f t="shared" si="0"/>
        <v>4403</v>
      </c>
      <c r="G41" s="862"/>
      <c r="H41" s="1608"/>
    </row>
    <row r="42" spans="1:8" x14ac:dyDescent="0.2">
      <c r="A42" s="1764"/>
      <c r="B42" s="1765"/>
      <c r="C42" s="562">
        <v>2322</v>
      </c>
      <c r="D42" s="1290">
        <f>60-60</f>
        <v>0</v>
      </c>
      <c r="E42" s="872"/>
      <c r="F42" s="862">
        <f t="shared" si="0"/>
        <v>0</v>
      </c>
      <c r="G42" s="872"/>
      <c r="H42" s="1608"/>
    </row>
    <row r="43" spans="1:8" ht="12.75" customHeight="1" x14ac:dyDescent="0.2">
      <c r="A43" s="1764"/>
      <c r="B43" s="1765"/>
      <c r="C43" s="562">
        <v>2370</v>
      </c>
      <c r="D43" s="1290">
        <v>150</v>
      </c>
      <c r="E43" s="872"/>
      <c r="F43" s="862">
        <f t="shared" si="0"/>
        <v>150</v>
      </c>
      <c r="G43" s="872"/>
      <c r="H43" s="1608"/>
    </row>
    <row r="44" spans="1:8" ht="12.75" customHeight="1" x14ac:dyDescent="0.2">
      <c r="A44" s="1764"/>
      <c r="B44" s="1765"/>
      <c r="C44" s="562">
        <v>2279</v>
      </c>
      <c r="D44" s="1290">
        <f>360-64</f>
        <v>296</v>
      </c>
      <c r="E44" s="872"/>
      <c r="F44" s="862">
        <f t="shared" si="0"/>
        <v>296</v>
      </c>
      <c r="G44" s="872"/>
      <c r="H44" s="1608"/>
    </row>
    <row r="45" spans="1:8" x14ac:dyDescent="0.2">
      <c r="A45" s="1764"/>
      <c r="B45" s="1765"/>
      <c r="C45" s="562">
        <v>2262</v>
      </c>
      <c r="D45" s="1290">
        <f>2425-773</f>
        <v>1652</v>
      </c>
      <c r="E45" s="862"/>
      <c r="F45" s="862">
        <f t="shared" si="0"/>
        <v>1652</v>
      </c>
      <c r="G45" s="862"/>
      <c r="H45" s="1608"/>
    </row>
    <row r="46" spans="1:8" x14ac:dyDescent="0.2">
      <c r="A46" s="1764"/>
      <c r="B46" s="1765"/>
      <c r="C46" s="562">
        <v>1150</v>
      </c>
      <c r="D46" s="1290">
        <v>3942</v>
      </c>
      <c r="E46" s="862"/>
      <c r="F46" s="862">
        <f t="shared" si="0"/>
        <v>3942</v>
      </c>
      <c r="G46" s="862"/>
      <c r="H46" s="1608"/>
    </row>
    <row r="47" spans="1:8" x14ac:dyDescent="0.2">
      <c r="A47" s="1764"/>
      <c r="B47" s="1765"/>
      <c r="C47" s="562">
        <v>1210</v>
      </c>
      <c r="D47" s="1290">
        <f>236-22</f>
        <v>214</v>
      </c>
      <c r="E47" s="862"/>
      <c r="F47" s="862">
        <f t="shared" si="0"/>
        <v>214</v>
      </c>
      <c r="G47" s="862"/>
      <c r="H47" s="1608"/>
    </row>
    <row r="48" spans="1:8" x14ac:dyDescent="0.2">
      <c r="A48" s="1764"/>
      <c r="B48" s="1765"/>
      <c r="C48" s="562">
        <v>2219</v>
      </c>
      <c r="D48" s="1290">
        <v>250</v>
      </c>
      <c r="E48" s="862"/>
      <c r="F48" s="862">
        <f t="shared" si="0"/>
        <v>250</v>
      </c>
      <c r="G48" s="862"/>
      <c r="H48" s="1608"/>
    </row>
    <row r="49" spans="1:9" x14ac:dyDescent="0.2">
      <c r="A49" s="1764"/>
      <c r="B49" s="1765"/>
      <c r="C49" s="562">
        <v>2311</v>
      </c>
      <c r="D49" s="1290">
        <v>100</v>
      </c>
      <c r="E49" s="862"/>
      <c r="F49" s="862">
        <f t="shared" si="0"/>
        <v>100</v>
      </c>
      <c r="G49" s="862"/>
      <c r="H49" s="1608"/>
    </row>
    <row r="50" spans="1:9" x14ac:dyDescent="0.2">
      <c r="A50" s="1764"/>
      <c r="B50" s="1765"/>
      <c r="C50" s="562">
        <v>2231</v>
      </c>
      <c r="D50" s="1290">
        <f>925-348</f>
        <v>577</v>
      </c>
      <c r="E50" s="862"/>
      <c r="F50" s="862">
        <f t="shared" si="0"/>
        <v>577</v>
      </c>
      <c r="G50" s="862"/>
      <c r="H50" s="1608"/>
      <c r="I50" s="1291"/>
    </row>
    <row r="51" spans="1:9" x14ac:dyDescent="0.2">
      <c r="A51" s="1764"/>
      <c r="B51" s="1765"/>
      <c r="C51" s="562">
        <v>6422</v>
      </c>
      <c r="D51" s="1290">
        <v>2000</v>
      </c>
      <c r="E51" s="862"/>
      <c r="F51" s="862">
        <f t="shared" si="0"/>
        <v>2000</v>
      </c>
      <c r="G51" s="862"/>
      <c r="H51" s="1608"/>
      <c r="I51" s="1291"/>
    </row>
    <row r="52" spans="1:9" x14ac:dyDescent="0.2">
      <c r="A52" s="1764" t="s">
        <v>1471</v>
      </c>
      <c r="B52" s="1765" t="s">
        <v>1460</v>
      </c>
      <c r="C52" s="562">
        <v>2262</v>
      </c>
      <c r="D52" s="1290">
        <f>2600-330</f>
        <v>2270</v>
      </c>
      <c r="E52" s="862"/>
      <c r="F52" s="862">
        <f t="shared" si="0"/>
        <v>2270</v>
      </c>
      <c r="G52" s="290"/>
      <c r="H52" s="1608" t="s">
        <v>1472</v>
      </c>
      <c r="I52" s="1292"/>
    </row>
    <row r="53" spans="1:9" x14ac:dyDescent="0.2">
      <c r="A53" s="1764"/>
      <c r="B53" s="1765"/>
      <c r="C53" s="562">
        <v>2363</v>
      </c>
      <c r="D53" s="1290">
        <f>1260-455</f>
        <v>805</v>
      </c>
      <c r="E53" s="862"/>
      <c r="F53" s="862">
        <f t="shared" si="0"/>
        <v>805</v>
      </c>
      <c r="G53" s="290"/>
      <c r="H53" s="1608"/>
      <c r="I53" s="1293"/>
    </row>
    <row r="54" spans="1:9" x14ac:dyDescent="0.2">
      <c r="A54" s="1764"/>
      <c r="B54" s="1765"/>
      <c r="C54" s="562">
        <v>2279</v>
      </c>
      <c r="D54" s="1290">
        <f>490-190</f>
        <v>300</v>
      </c>
      <c r="E54" s="862"/>
      <c r="F54" s="862">
        <f t="shared" si="0"/>
        <v>300</v>
      </c>
      <c r="G54" s="290"/>
      <c r="H54" s="1608"/>
      <c r="I54" s="1293"/>
    </row>
    <row r="55" spans="1:9" x14ac:dyDescent="0.2">
      <c r="A55" s="1764"/>
      <c r="B55" s="1765"/>
      <c r="C55" s="562">
        <v>2314</v>
      </c>
      <c r="D55" s="1290">
        <v>300</v>
      </c>
      <c r="E55" s="862"/>
      <c r="F55" s="862">
        <f t="shared" si="0"/>
        <v>300</v>
      </c>
      <c r="G55" s="290"/>
      <c r="H55" s="1608"/>
      <c r="I55" s="1293"/>
    </row>
    <row r="56" spans="1:9" x14ac:dyDescent="0.2">
      <c r="A56" s="1764"/>
      <c r="B56" s="1765"/>
      <c r="C56" s="562">
        <v>2231</v>
      </c>
      <c r="D56" s="1290">
        <f>60-60</f>
        <v>0</v>
      </c>
      <c r="E56" s="862"/>
      <c r="F56" s="862">
        <f t="shared" si="0"/>
        <v>0</v>
      </c>
      <c r="G56" s="290"/>
      <c r="H56" s="1608"/>
      <c r="I56" s="1293"/>
    </row>
    <row r="57" spans="1:9" x14ac:dyDescent="0.2">
      <c r="A57" s="927"/>
      <c r="B57" s="927"/>
      <c r="C57" s="927"/>
      <c r="D57" s="927"/>
      <c r="E57" s="927"/>
      <c r="F57" s="927"/>
      <c r="G57" s="927"/>
      <c r="H57" s="927"/>
      <c r="I57" s="1293"/>
    </row>
    <row r="58" spans="1:9" x14ac:dyDescent="0.2">
      <c r="A58" s="1285" t="s">
        <v>333</v>
      </c>
      <c r="B58" s="1285"/>
      <c r="C58" s="375" t="s">
        <v>431</v>
      </c>
      <c r="D58" s="375"/>
      <c r="E58" s="375"/>
      <c r="F58" s="375"/>
      <c r="G58" s="375"/>
      <c r="H58" s="375"/>
      <c r="I58" s="375"/>
    </row>
    <row r="59" spans="1:9" x14ac:dyDescent="0.2">
      <c r="A59" s="1285" t="s">
        <v>334</v>
      </c>
      <c r="B59" s="1285"/>
      <c r="C59" s="1286" t="s">
        <v>595</v>
      </c>
      <c r="D59" s="1286"/>
      <c r="E59" s="1286"/>
      <c r="F59" s="1286"/>
      <c r="G59" s="1286"/>
      <c r="H59" s="1286"/>
      <c r="I59" s="375"/>
    </row>
    <row r="60" spans="1:9" ht="12" customHeight="1" x14ac:dyDescent="0.2">
      <c r="A60" s="1679" t="s">
        <v>335</v>
      </c>
      <c r="B60" s="1679" t="s">
        <v>336</v>
      </c>
      <c r="C60" s="1757" t="s">
        <v>337</v>
      </c>
      <c r="D60" s="1598" t="s">
        <v>338</v>
      </c>
      <c r="E60" s="1598" t="s">
        <v>339</v>
      </c>
      <c r="F60" s="1598" t="s">
        <v>340</v>
      </c>
      <c r="G60" s="1598" t="s">
        <v>35</v>
      </c>
      <c r="H60" s="1598" t="s">
        <v>341</v>
      </c>
      <c r="I60" s="375"/>
    </row>
    <row r="61" spans="1:9" ht="38.25" customHeight="1" x14ac:dyDescent="0.2">
      <c r="A61" s="1680"/>
      <c r="B61" s="1680"/>
      <c r="C61" s="1758"/>
      <c r="D61" s="1599"/>
      <c r="E61" s="1599"/>
      <c r="F61" s="1599"/>
      <c r="G61" s="1599"/>
      <c r="H61" s="1599"/>
      <c r="I61" s="375"/>
    </row>
    <row r="62" spans="1:9" s="323" customFormat="1" x14ac:dyDescent="0.2">
      <c r="A62" s="1752" t="s">
        <v>342</v>
      </c>
      <c r="B62" s="1753"/>
      <c r="C62" s="520"/>
      <c r="D62" s="520">
        <f>SUM(D63:D73)</f>
        <v>17264</v>
      </c>
      <c r="E62" s="520">
        <f>SUM(E63:E73)</f>
        <v>0</v>
      </c>
      <c r="F62" s="520">
        <f t="shared" ref="F62" si="2">SUM(F63:F73)</f>
        <v>17264</v>
      </c>
      <c r="G62" s="517"/>
      <c r="H62" s="541"/>
      <c r="I62" s="299"/>
    </row>
    <row r="63" spans="1:9" x14ac:dyDescent="0.2">
      <c r="A63" s="1766">
        <v>1</v>
      </c>
      <c r="B63" s="1767" t="s">
        <v>1473</v>
      </c>
      <c r="C63" s="1294">
        <v>2363</v>
      </c>
      <c r="D63" s="1295">
        <v>472</v>
      </c>
      <c r="E63" s="862"/>
      <c r="F63" s="862">
        <f t="shared" ref="F63:F73" si="3">SUM(D63:E63)</f>
        <v>472</v>
      </c>
      <c r="G63" s="517"/>
      <c r="H63" s="1608" t="s">
        <v>1474</v>
      </c>
      <c r="I63" s="279"/>
    </row>
    <row r="64" spans="1:9" x14ac:dyDescent="0.2">
      <c r="A64" s="1766"/>
      <c r="B64" s="1767"/>
      <c r="C64" s="1296">
        <v>2314</v>
      </c>
      <c r="D64" s="1295">
        <v>5165</v>
      </c>
      <c r="E64" s="290"/>
      <c r="F64" s="862">
        <f t="shared" si="3"/>
        <v>5165</v>
      </c>
      <c r="G64" s="517"/>
      <c r="H64" s="1608"/>
      <c r="I64" s="279"/>
    </row>
    <row r="65" spans="1:11" x14ac:dyDescent="0.2">
      <c r="A65" s="1766"/>
      <c r="B65" s="1767"/>
      <c r="C65" s="1296">
        <v>2279</v>
      </c>
      <c r="D65" s="1295">
        <v>140</v>
      </c>
      <c r="E65" s="862"/>
      <c r="F65" s="862">
        <f t="shared" si="3"/>
        <v>140</v>
      </c>
      <c r="G65" s="517"/>
      <c r="H65" s="1608"/>
      <c r="I65" s="279"/>
    </row>
    <row r="66" spans="1:11" x14ac:dyDescent="0.2">
      <c r="A66" s="1766"/>
      <c r="B66" s="1767"/>
      <c r="C66" s="1296">
        <v>2262</v>
      </c>
      <c r="D66" s="1295">
        <f>900-300</f>
        <v>600</v>
      </c>
      <c r="E66" s="862"/>
      <c r="F66" s="862">
        <f t="shared" si="3"/>
        <v>600</v>
      </c>
      <c r="G66" s="517"/>
      <c r="H66" s="1608"/>
      <c r="I66" s="279"/>
    </row>
    <row r="67" spans="1:11" x14ac:dyDescent="0.2">
      <c r="A67" s="1766"/>
      <c r="B67" s="1767"/>
      <c r="C67" s="1296">
        <v>1150</v>
      </c>
      <c r="D67" s="1295">
        <v>2382</v>
      </c>
      <c r="E67" s="862"/>
      <c r="F67" s="862">
        <f t="shared" si="3"/>
        <v>2382</v>
      </c>
      <c r="G67" s="517"/>
      <c r="H67" s="1608"/>
      <c r="I67" s="279"/>
    </row>
    <row r="68" spans="1:11" x14ac:dyDescent="0.2">
      <c r="A68" s="1766"/>
      <c r="B68" s="1767"/>
      <c r="C68" s="1296">
        <v>1210</v>
      </c>
      <c r="D68" s="1295">
        <v>578</v>
      </c>
      <c r="E68" s="862"/>
      <c r="F68" s="862">
        <f t="shared" si="3"/>
        <v>578</v>
      </c>
      <c r="G68" s="517"/>
      <c r="H68" s="1608"/>
      <c r="I68" s="279"/>
    </row>
    <row r="69" spans="1:11" x14ac:dyDescent="0.2">
      <c r="A69" s="1766">
        <v>2</v>
      </c>
      <c r="B69" s="1767" t="s">
        <v>1475</v>
      </c>
      <c r="C69" s="1296">
        <v>2314</v>
      </c>
      <c r="D69" s="1295">
        <v>4268</v>
      </c>
      <c r="E69" s="862"/>
      <c r="F69" s="862">
        <f t="shared" si="3"/>
        <v>4268</v>
      </c>
      <c r="G69" s="517"/>
      <c r="H69" s="1608" t="s">
        <v>1474</v>
      </c>
      <c r="I69" s="279"/>
    </row>
    <row r="70" spans="1:11" x14ac:dyDescent="0.2">
      <c r="A70" s="1766"/>
      <c r="B70" s="1767"/>
      <c r="C70" s="1296">
        <v>1150</v>
      </c>
      <c r="D70" s="1295">
        <f>1042+450+1200</f>
        <v>2692</v>
      </c>
      <c r="E70" s="862"/>
      <c r="F70" s="862">
        <f t="shared" si="3"/>
        <v>2692</v>
      </c>
      <c r="G70" s="1295"/>
      <c r="H70" s="1608"/>
      <c r="I70" s="279"/>
    </row>
    <row r="71" spans="1:11" x14ac:dyDescent="0.2">
      <c r="A71" s="1766"/>
      <c r="B71" s="1767"/>
      <c r="C71" s="1296">
        <v>1210</v>
      </c>
      <c r="D71" s="1295">
        <f>253+94+300</f>
        <v>647</v>
      </c>
      <c r="E71" s="862"/>
      <c r="F71" s="862">
        <f t="shared" si="3"/>
        <v>647</v>
      </c>
      <c r="G71" s="517"/>
      <c r="H71" s="1608"/>
      <c r="I71" s="279"/>
    </row>
    <row r="72" spans="1:11" x14ac:dyDescent="0.2">
      <c r="A72" s="1766"/>
      <c r="B72" s="1767"/>
      <c r="C72" s="1296">
        <v>2262</v>
      </c>
      <c r="D72" s="1295">
        <v>300</v>
      </c>
      <c r="E72" s="862"/>
      <c r="F72" s="862">
        <f t="shared" si="3"/>
        <v>300</v>
      </c>
      <c r="G72" s="517"/>
      <c r="H72" s="1608"/>
      <c r="I72" s="279"/>
    </row>
    <row r="73" spans="1:11" x14ac:dyDescent="0.2">
      <c r="A73" s="1766"/>
      <c r="B73" s="1767"/>
      <c r="C73" s="1296">
        <v>2279</v>
      </c>
      <c r="D73" s="1295">
        <v>20</v>
      </c>
      <c r="E73" s="290"/>
      <c r="F73" s="862">
        <f t="shared" si="3"/>
        <v>20</v>
      </c>
      <c r="G73" s="517"/>
      <c r="H73" s="1608"/>
      <c r="I73" s="279"/>
    </row>
    <row r="74" spans="1:11" x14ac:dyDescent="0.2">
      <c r="A74" s="927"/>
      <c r="B74" s="927"/>
      <c r="C74" s="927"/>
      <c r="D74" s="927"/>
      <c r="E74" s="927"/>
      <c r="F74" s="927"/>
      <c r="G74" s="927"/>
      <c r="H74" s="927"/>
      <c r="I74" s="279"/>
    </row>
    <row r="75" spans="1:11" x14ac:dyDescent="0.2">
      <c r="A75" s="1285" t="s">
        <v>333</v>
      </c>
      <c r="B75" s="1285"/>
      <c r="C75" s="375" t="s">
        <v>1476</v>
      </c>
      <c r="D75" s="375"/>
      <c r="E75" s="375"/>
      <c r="F75" s="375"/>
      <c r="G75" s="375"/>
      <c r="H75" s="375"/>
      <c r="I75" s="375"/>
      <c r="J75" s="375"/>
      <c r="K75" s="375"/>
    </row>
    <row r="76" spans="1:11" x14ac:dyDescent="0.2">
      <c r="A76" s="1285" t="s">
        <v>334</v>
      </c>
      <c r="B76" s="1285"/>
      <c r="C76" s="1286" t="s">
        <v>595</v>
      </c>
      <c r="D76" s="1286"/>
      <c r="E76" s="1286"/>
      <c r="F76" s="1286"/>
      <c r="G76" s="1286"/>
      <c r="H76" s="1286"/>
      <c r="I76" s="375"/>
    </row>
    <row r="77" spans="1:11" ht="12" customHeight="1" x14ac:dyDescent="0.2">
      <c r="A77" s="1768" t="s">
        <v>335</v>
      </c>
      <c r="B77" s="1679" t="s">
        <v>336</v>
      </c>
      <c r="C77" s="1757" t="s">
        <v>337</v>
      </c>
      <c r="D77" s="1598" t="s">
        <v>338</v>
      </c>
      <c r="E77" s="1598" t="s">
        <v>339</v>
      </c>
      <c r="F77" s="1598" t="s">
        <v>340</v>
      </c>
      <c r="G77" s="1598" t="s">
        <v>35</v>
      </c>
      <c r="H77" s="1598" t="s">
        <v>341</v>
      </c>
      <c r="I77" s="375"/>
    </row>
    <row r="78" spans="1:11" ht="38.25" customHeight="1" x14ac:dyDescent="0.2">
      <c r="A78" s="1769"/>
      <c r="B78" s="1680"/>
      <c r="C78" s="1758"/>
      <c r="D78" s="1599"/>
      <c r="E78" s="1599"/>
      <c r="F78" s="1599"/>
      <c r="G78" s="1599"/>
      <c r="H78" s="1599"/>
    </row>
    <row r="79" spans="1:11" s="323" customFormat="1" x14ac:dyDescent="0.2">
      <c r="A79" s="1752" t="s">
        <v>342</v>
      </c>
      <c r="B79" s="1753"/>
      <c r="C79" s="520"/>
      <c r="D79" s="520">
        <f>SUM(D80:D105)</f>
        <v>139887</v>
      </c>
      <c r="E79" s="520">
        <f>SUM(E80:E105)</f>
        <v>0</v>
      </c>
      <c r="F79" s="520">
        <f t="shared" ref="F79" si="4">SUM(F80:F105)</f>
        <v>139887</v>
      </c>
      <c r="G79" s="517"/>
      <c r="H79" s="541"/>
      <c r="I79" s="299"/>
    </row>
    <row r="80" spans="1:11" x14ac:dyDescent="0.2">
      <c r="A80" s="1606">
        <v>1</v>
      </c>
      <c r="B80" s="1609" t="s">
        <v>1477</v>
      </c>
      <c r="C80" s="912">
        <v>2314</v>
      </c>
      <c r="D80" s="1297">
        <f>4206-600</f>
        <v>3606</v>
      </c>
      <c r="E80" s="1298"/>
      <c r="F80" s="862">
        <f t="shared" ref="F80:F105" si="5">SUM(D80:E80)</f>
        <v>3606</v>
      </c>
      <c r="G80" s="954"/>
      <c r="H80" s="1608" t="s">
        <v>1478</v>
      </c>
      <c r="I80" s="279"/>
    </row>
    <row r="81" spans="1:9" x14ac:dyDescent="0.2">
      <c r="A81" s="1606"/>
      <c r="B81" s="1609"/>
      <c r="C81" s="912">
        <v>2363</v>
      </c>
      <c r="D81" s="1297">
        <v>100</v>
      </c>
      <c r="E81" s="1298"/>
      <c r="F81" s="862">
        <f t="shared" si="5"/>
        <v>100</v>
      </c>
      <c r="G81" s="954"/>
      <c r="H81" s="1608"/>
      <c r="I81" s="279"/>
    </row>
    <row r="82" spans="1:9" x14ac:dyDescent="0.2">
      <c r="A82" s="1606"/>
      <c r="B82" s="1609"/>
      <c r="C82" s="912">
        <v>2231</v>
      </c>
      <c r="D82" s="1297">
        <f>3374+1600</f>
        <v>4974</v>
      </c>
      <c r="E82" s="1298"/>
      <c r="F82" s="862">
        <f t="shared" si="5"/>
        <v>4974</v>
      </c>
      <c r="G82" s="954"/>
      <c r="H82" s="1608"/>
      <c r="I82" s="279"/>
    </row>
    <row r="83" spans="1:9" x14ac:dyDescent="0.2">
      <c r="A83" s="1606"/>
      <c r="B83" s="1609"/>
      <c r="C83" s="912">
        <v>1150</v>
      </c>
      <c r="D83" s="1297">
        <v>5197</v>
      </c>
      <c r="E83" s="1298"/>
      <c r="F83" s="862">
        <f t="shared" si="5"/>
        <v>5197</v>
      </c>
      <c r="G83" s="954"/>
      <c r="H83" s="1608"/>
      <c r="I83" s="279"/>
    </row>
    <row r="84" spans="1:9" x14ac:dyDescent="0.2">
      <c r="A84" s="1606"/>
      <c r="B84" s="1609"/>
      <c r="C84" s="912">
        <v>1210</v>
      </c>
      <c r="D84" s="1297">
        <v>768</v>
      </c>
      <c r="E84" s="1298"/>
      <c r="F84" s="862">
        <f t="shared" si="5"/>
        <v>768</v>
      </c>
      <c r="G84" s="954"/>
      <c r="H84" s="1608"/>
      <c r="I84" s="279"/>
    </row>
    <row r="85" spans="1:9" ht="36" x14ac:dyDescent="0.2">
      <c r="A85" s="1606"/>
      <c r="B85" s="1609"/>
      <c r="C85" s="912">
        <v>2279</v>
      </c>
      <c r="D85" s="1297">
        <f>6761-544-2500</f>
        <v>3717</v>
      </c>
      <c r="E85" s="1299">
        <v>908</v>
      </c>
      <c r="F85" s="862">
        <f t="shared" si="5"/>
        <v>4625</v>
      </c>
      <c r="G85" s="954" t="s">
        <v>1479</v>
      </c>
      <c r="H85" s="1608"/>
    </row>
    <row r="86" spans="1:9" x14ac:dyDescent="0.2">
      <c r="A86" s="1606"/>
      <c r="B86" s="1609"/>
      <c r="C86" s="912">
        <v>2262</v>
      </c>
      <c r="D86" s="1297">
        <f>1220+800</f>
        <v>2020</v>
      </c>
      <c r="E86" s="1298"/>
      <c r="F86" s="862">
        <f t="shared" si="5"/>
        <v>2020</v>
      </c>
      <c r="G86" s="954"/>
      <c r="H86" s="1608"/>
    </row>
    <row r="87" spans="1:9" x14ac:dyDescent="0.2">
      <c r="A87" s="1606"/>
      <c r="B87" s="1609"/>
      <c r="C87" s="912">
        <v>2235</v>
      </c>
      <c r="D87" s="1297">
        <v>3600</v>
      </c>
      <c r="E87" s="1298"/>
      <c r="F87" s="862">
        <f t="shared" si="5"/>
        <v>3600</v>
      </c>
      <c r="G87" s="954"/>
      <c r="H87" s="1608"/>
    </row>
    <row r="88" spans="1:9" x14ac:dyDescent="0.2">
      <c r="A88" s="1606"/>
      <c r="B88" s="1609"/>
      <c r="C88" s="912">
        <v>2121</v>
      </c>
      <c r="D88" s="1297">
        <v>1323</v>
      </c>
      <c r="E88" s="1298"/>
      <c r="F88" s="862">
        <f t="shared" si="5"/>
        <v>1323</v>
      </c>
      <c r="G88" s="954"/>
      <c r="H88" s="1608"/>
    </row>
    <row r="89" spans="1:9" x14ac:dyDescent="0.2">
      <c r="A89" s="1606"/>
      <c r="B89" s="1609"/>
      <c r="C89" s="912">
        <v>2122</v>
      </c>
      <c r="D89" s="1297">
        <v>18</v>
      </c>
      <c r="E89" s="1298"/>
      <c r="F89" s="862">
        <f t="shared" si="5"/>
        <v>18</v>
      </c>
      <c r="G89" s="954"/>
      <c r="H89" s="1608"/>
    </row>
    <row r="90" spans="1:9" x14ac:dyDescent="0.2">
      <c r="A90" s="1606">
        <v>2</v>
      </c>
      <c r="B90" s="1609" t="s">
        <v>1480</v>
      </c>
      <c r="C90" s="912">
        <v>1150</v>
      </c>
      <c r="D90" s="1297">
        <f>300-300</f>
        <v>0</v>
      </c>
      <c r="E90" s="1298"/>
      <c r="F90" s="862">
        <f t="shared" si="5"/>
        <v>0</v>
      </c>
      <c r="G90" s="954"/>
      <c r="H90" s="1608" t="s">
        <v>1481</v>
      </c>
    </row>
    <row r="91" spans="1:9" x14ac:dyDescent="0.2">
      <c r="A91" s="1606"/>
      <c r="B91" s="1609"/>
      <c r="C91" s="912">
        <v>2231</v>
      </c>
      <c r="D91" s="1297">
        <v>1150</v>
      </c>
      <c r="E91" s="1298"/>
      <c r="F91" s="862">
        <f t="shared" si="5"/>
        <v>1150</v>
      </c>
      <c r="G91" s="954"/>
      <c r="H91" s="1608"/>
    </row>
    <row r="92" spans="1:9" x14ac:dyDescent="0.2">
      <c r="A92" s="1606"/>
      <c r="B92" s="1609"/>
      <c r="C92" s="912">
        <v>2262</v>
      </c>
      <c r="D92" s="1297">
        <f>900-362</f>
        <v>538</v>
      </c>
      <c r="E92" s="1298"/>
      <c r="F92" s="862">
        <f t="shared" si="5"/>
        <v>538</v>
      </c>
      <c r="G92" s="954"/>
      <c r="H92" s="1608"/>
    </row>
    <row r="93" spans="1:9" x14ac:dyDescent="0.2">
      <c r="A93" s="1606"/>
      <c r="B93" s="1609"/>
      <c r="C93" s="912">
        <v>2279</v>
      </c>
      <c r="D93" s="1297">
        <v>450</v>
      </c>
      <c r="E93" s="1298"/>
      <c r="F93" s="862">
        <f t="shared" si="5"/>
        <v>450</v>
      </c>
      <c r="G93" s="954"/>
      <c r="H93" s="1608"/>
    </row>
    <row r="94" spans="1:9" x14ac:dyDescent="0.2">
      <c r="A94" s="1606"/>
      <c r="B94" s="1609"/>
      <c r="C94" s="912">
        <v>2314</v>
      </c>
      <c r="D94" s="1297">
        <f>4035-825</f>
        <v>3210</v>
      </c>
      <c r="E94" s="1298"/>
      <c r="F94" s="862">
        <f t="shared" si="5"/>
        <v>3210</v>
      </c>
      <c r="G94" s="954"/>
      <c r="H94" s="1608"/>
    </row>
    <row r="95" spans="1:9" x14ac:dyDescent="0.2">
      <c r="A95" s="1606"/>
      <c r="B95" s="1609"/>
      <c r="C95" s="912">
        <v>2363</v>
      </c>
      <c r="D95" s="1297">
        <v>850</v>
      </c>
      <c r="E95" s="1298"/>
      <c r="F95" s="862">
        <f t="shared" si="5"/>
        <v>850</v>
      </c>
      <c r="G95" s="954"/>
      <c r="H95" s="1608"/>
    </row>
    <row r="96" spans="1:9" ht="12.75" customHeight="1" x14ac:dyDescent="0.2">
      <c r="A96" s="1606"/>
      <c r="B96" s="1609"/>
      <c r="C96" s="912">
        <v>6422</v>
      </c>
      <c r="D96" s="1297">
        <f>24433+825</f>
        <v>25258</v>
      </c>
      <c r="E96" s="1298"/>
      <c r="F96" s="862">
        <f t="shared" si="5"/>
        <v>25258</v>
      </c>
      <c r="G96" s="1300"/>
      <c r="H96" s="1608"/>
    </row>
    <row r="97" spans="1:9" x14ac:dyDescent="0.2">
      <c r="A97" s="1606">
        <v>3</v>
      </c>
      <c r="B97" s="1609" t="s">
        <v>1482</v>
      </c>
      <c r="C97" s="912">
        <v>2314</v>
      </c>
      <c r="D97" s="1297">
        <v>530</v>
      </c>
      <c r="E97" s="1298"/>
      <c r="F97" s="862">
        <f t="shared" si="5"/>
        <v>530</v>
      </c>
      <c r="G97" s="954"/>
      <c r="H97" s="1608" t="s">
        <v>1483</v>
      </c>
    </row>
    <row r="98" spans="1:9" x14ac:dyDescent="0.2">
      <c r="A98" s="1606"/>
      <c r="B98" s="1609"/>
      <c r="C98" s="912">
        <v>2262</v>
      </c>
      <c r="D98" s="1297">
        <f>900+362</f>
        <v>1262</v>
      </c>
      <c r="E98" s="1298"/>
      <c r="F98" s="862">
        <f t="shared" si="5"/>
        <v>1262</v>
      </c>
      <c r="G98" s="954"/>
      <c r="H98" s="1608"/>
    </row>
    <row r="99" spans="1:9" ht="36" x14ac:dyDescent="0.2">
      <c r="A99" s="1606"/>
      <c r="B99" s="1609"/>
      <c r="C99" s="912">
        <v>2279</v>
      </c>
      <c r="D99" s="1297">
        <f>75300+619</f>
        <v>75919</v>
      </c>
      <c r="E99" s="1299">
        <v>-908</v>
      </c>
      <c r="F99" s="862">
        <f t="shared" si="5"/>
        <v>75011</v>
      </c>
      <c r="G99" s="903" t="s">
        <v>1484</v>
      </c>
      <c r="H99" s="1608"/>
    </row>
    <row r="100" spans="1:9" x14ac:dyDescent="0.2">
      <c r="A100" s="1606"/>
      <c r="B100" s="1609"/>
      <c r="C100" s="912">
        <v>2263</v>
      </c>
      <c r="D100" s="1297">
        <v>0</v>
      </c>
      <c r="E100" s="1298"/>
      <c r="F100" s="862">
        <f t="shared" si="5"/>
        <v>0</v>
      </c>
      <c r="G100" s="954"/>
      <c r="H100" s="1608"/>
    </row>
    <row r="101" spans="1:9" x14ac:dyDescent="0.2">
      <c r="A101" s="1606"/>
      <c r="B101" s="1609"/>
      <c r="C101" s="912">
        <v>2363</v>
      </c>
      <c r="D101" s="1297">
        <v>600</v>
      </c>
      <c r="E101" s="1298"/>
      <c r="F101" s="862">
        <f t="shared" si="5"/>
        <v>600</v>
      </c>
      <c r="G101" s="954"/>
      <c r="H101" s="1608"/>
    </row>
    <row r="102" spans="1:9" x14ac:dyDescent="0.2">
      <c r="A102" s="1606"/>
      <c r="B102" s="1609"/>
      <c r="C102" s="912">
        <v>1150</v>
      </c>
      <c r="D102" s="1297">
        <f>625-17-319</f>
        <v>289</v>
      </c>
      <c r="E102" s="1298"/>
      <c r="F102" s="862">
        <f t="shared" si="5"/>
        <v>289</v>
      </c>
      <c r="G102" s="954"/>
      <c r="H102" s="1608"/>
    </row>
    <row r="103" spans="1:9" x14ac:dyDescent="0.2">
      <c r="A103" s="1606"/>
      <c r="B103" s="1609"/>
      <c r="C103" s="912">
        <v>1210</v>
      </c>
      <c r="D103" s="1297">
        <f>53+17</f>
        <v>70</v>
      </c>
      <c r="E103" s="1298"/>
      <c r="F103" s="862">
        <f t="shared" si="5"/>
        <v>70</v>
      </c>
      <c r="G103" s="954"/>
      <c r="H103" s="1608"/>
    </row>
    <row r="104" spans="1:9" x14ac:dyDescent="0.2">
      <c r="A104" s="1606">
        <v>4</v>
      </c>
      <c r="B104" s="1607" t="s">
        <v>1485</v>
      </c>
      <c r="C104" s="912">
        <v>1150</v>
      </c>
      <c r="D104" s="954">
        <f>4140-500</f>
        <v>3640</v>
      </c>
      <c r="E104" s="1298"/>
      <c r="F104" s="862">
        <f t="shared" si="5"/>
        <v>3640</v>
      </c>
      <c r="G104" s="954"/>
      <c r="H104" s="1608" t="s">
        <v>1486</v>
      </c>
    </row>
    <row r="105" spans="1:9" x14ac:dyDescent="0.2">
      <c r="A105" s="1606"/>
      <c r="B105" s="1607"/>
      <c r="C105" s="912">
        <v>1210</v>
      </c>
      <c r="D105" s="954">
        <f>998-200</f>
        <v>798</v>
      </c>
      <c r="E105" s="1298"/>
      <c r="F105" s="862">
        <f t="shared" si="5"/>
        <v>798</v>
      </c>
      <c r="G105" s="954"/>
      <c r="H105" s="1608"/>
    </row>
    <row r="107" spans="1:9" x14ac:dyDescent="0.2">
      <c r="A107" s="1770" t="s">
        <v>10</v>
      </c>
      <c r="B107" s="1770"/>
      <c r="C107" s="1301" t="s">
        <v>1487</v>
      </c>
      <c r="D107" s="1301"/>
      <c r="E107" s="1301"/>
      <c r="F107" s="1301"/>
      <c r="G107" s="1301"/>
      <c r="H107" s="1301"/>
      <c r="I107" s="1301"/>
    </row>
    <row r="108" spans="1:9" x14ac:dyDescent="0.2">
      <c r="A108" s="989" t="s">
        <v>334</v>
      </c>
      <c r="B108" s="1302"/>
      <c r="C108" s="1303" t="s">
        <v>785</v>
      </c>
      <c r="D108" s="1303"/>
      <c r="E108" s="1303"/>
      <c r="F108" s="1303"/>
      <c r="G108" s="1304"/>
      <c r="H108" s="1304"/>
      <c r="I108" s="1301"/>
    </row>
    <row r="109" spans="1:9" ht="12" customHeight="1" x14ac:dyDescent="0.2">
      <c r="A109" s="1766" t="s">
        <v>335</v>
      </c>
      <c r="B109" s="1766" t="s">
        <v>336</v>
      </c>
      <c r="C109" s="1600" t="s">
        <v>337</v>
      </c>
      <c r="D109" s="1771" t="s">
        <v>338</v>
      </c>
      <c r="E109" s="1771" t="s">
        <v>339</v>
      </c>
      <c r="F109" s="1771" t="s">
        <v>340</v>
      </c>
      <c r="G109" s="1598" t="s">
        <v>35</v>
      </c>
      <c r="H109" s="1598" t="s">
        <v>341</v>
      </c>
      <c r="I109" s="375"/>
    </row>
    <row r="110" spans="1:9" ht="38.25" customHeight="1" x14ac:dyDescent="0.2">
      <c r="A110" s="1766"/>
      <c r="B110" s="1766"/>
      <c r="C110" s="1600"/>
      <c r="D110" s="1771"/>
      <c r="E110" s="1771"/>
      <c r="F110" s="1771"/>
      <c r="G110" s="1599"/>
      <c r="H110" s="1599"/>
    </row>
    <row r="111" spans="1:9" x14ac:dyDescent="0.2">
      <c r="A111" s="1773" t="s">
        <v>342</v>
      </c>
      <c r="B111" s="1773"/>
      <c r="C111" s="1289"/>
      <c r="D111" s="1289">
        <f>D112+D113</f>
        <v>8323</v>
      </c>
      <c r="E111" s="1289">
        <f t="shared" ref="E111:F111" si="6">E112+E113</f>
        <v>0</v>
      </c>
      <c r="F111" s="1289">
        <f t="shared" si="6"/>
        <v>8323</v>
      </c>
      <c r="G111" s="1298"/>
      <c r="H111" s="1298"/>
      <c r="I111" s="1301"/>
    </row>
    <row r="112" spans="1:9" x14ac:dyDescent="0.2">
      <c r="A112" s="990">
        <v>1</v>
      </c>
      <c r="B112" s="1305" t="s">
        <v>1488</v>
      </c>
      <c r="C112" s="384">
        <v>2370</v>
      </c>
      <c r="D112" s="1297">
        <v>350</v>
      </c>
      <c r="E112" s="1297"/>
      <c r="F112" s="862">
        <f t="shared" ref="F112:F113" si="7">SUM(D112:E112)</f>
        <v>350</v>
      </c>
      <c r="G112" s="384"/>
      <c r="H112" s="1774" t="s">
        <v>1489</v>
      </c>
    </row>
    <row r="113" spans="1:13" x14ac:dyDescent="0.2">
      <c r="A113" s="990">
        <v>2</v>
      </c>
      <c r="B113" s="991" t="s">
        <v>1490</v>
      </c>
      <c r="C113" s="384">
        <v>2239</v>
      </c>
      <c r="D113" s="1306">
        <v>7973</v>
      </c>
      <c r="E113" s="1306"/>
      <c r="F113" s="862">
        <f t="shared" si="7"/>
        <v>7973</v>
      </c>
      <c r="G113" s="384"/>
      <c r="H113" s="1775"/>
    </row>
    <row r="115" spans="1:13" x14ac:dyDescent="0.2">
      <c r="A115" s="1582" t="s">
        <v>333</v>
      </c>
      <c r="B115" s="1582"/>
      <c r="C115" s="375" t="s">
        <v>1491</v>
      </c>
      <c r="D115" s="375"/>
      <c r="E115" s="375"/>
      <c r="F115" s="375"/>
      <c r="G115" s="375"/>
      <c r="H115" s="375"/>
      <c r="I115" s="375"/>
    </row>
    <row r="116" spans="1:13" x14ac:dyDescent="0.2">
      <c r="A116" s="989" t="s">
        <v>334</v>
      </c>
      <c r="B116" s="375"/>
      <c r="C116" s="1307" t="s">
        <v>1492</v>
      </c>
      <c r="D116" s="1307"/>
      <c r="E116" s="1307"/>
      <c r="F116" s="1307"/>
      <c r="G116" s="1307"/>
      <c r="H116" s="1307"/>
      <c r="I116" s="375"/>
    </row>
    <row r="117" spans="1:13" ht="12" customHeight="1" x14ac:dyDescent="0.2">
      <c r="A117" s="1766" t="s">
        <v>335</v>
      </c>
      <c r="B117" s="1766" t="s">
        <v>336</v>
      </c>
      <c r="C117" s="1757" t="s">
        <v>337</v>
      </c>
      <c r="D117" s="1598" t="s">
        <v>338</v>
      </c>
      <c r="E117" s="1598" t="s">
        <v>339</v>
      </c>
      <c r="F117" s="1598" t="s">
        <v>340</v>
      </c>
      <c r="G117" s="1598" t="s">
        <v>35</v>
      </c>
      <c r="H117" s="1598" t="s">
        <v>341</v>
      </c>
      <c r="I117" s="375"/>
    </row>
    <row r="118" spans="1:13" ht="38.25" customHeight="1" x14ac:dyDescent="0.2">
      <c r="A118" s="1766"/>
      <c r="B118" s="1766"/>
      <c r="C118" s="1758"/>
      <c r="D118" s="1599"/>
      <c r="E118" s="1599"/>
      <c r="F118" s="1599"/>
      <c r="G118" s="1599"/>
      <c r="H118" s="1599"/>
    </row>
    <row r="119" spans="1:13" x14ac:dyDescent="0.2">
      <c r="A119" s="1773" t="s">
        <v>342</v>
      </c>
      <c r="B119" s="1773"/>
      <c r="C119" s="1289"/>
      <c r="D119" s="1289">
        <f>D120</f>
        <v>215134</v>
      </c>
      <c r="E119" s="1289">
        <f t="shared" ref="E119" si="8">E120</f>
        <v>14460</v>
      </c>
      <c r="F119" s="1289">
        <f>F120</f>
        <v>229594</v>
      </c>
      <c r="G119" s="1298"/>
      <c r="H119" s="1298"/>
      <c r="I119" s="1301"/>
    </row>
    <row r="120" spans="1:13" ht="36" x14ac:dyDescent="0.2">
      <c r="A120" s="1308">
        <v>1</v>
      </c>
      <c r="B120" s="991" t="s">
        <v>1493</v>
      </c>
      <c r="C120" s="384">
        <v>3262</v>
      </c>
      <c r="D120" s="530">
        <f>160000+55134</f>
        <v>215134</v>
      </c>
      <c r="E120" s="1309">
        <v>14460</v>
      </c>
      <c r="F120" s="862">
        <f t="shared" ref="F120" si="9">SUM(D120:E120)</f>
        <v>229594</v>
      </c>
      <c r="G120" s="385" t="s">
        <v>1494</v>
      </c>
      <c r="H120" s="1310" t="s">
        <v>1489</v>
      </c>
    </row>
    <row r="122" spans="1:13" x14ac:dyDescent="0.2">
      <c r="A122" s="375" t="s">
        <v>360</v>
      </c>
      <c r="B122" s="375"/>
      <c r="C122" s="1311"/>
      <c r="D122" s="1311"/>
      <c r="E122" s="1311"/>
      <c r="F122" s="1311"/>
      <c r="G122" s="323"/>
      <c r="H122" s="907"/>
      <c r="I122" s="1312"/>
      <c r="J122" s="323"/>
      <c r="K122" s="323"/>
      <c r="L122" s="323"/>
      <c r="M122" s="323"/>
    </row>
    <row r="123" spans="1:13" x14ac:dyDescent="0.2">
      <c r="A123" s="375" t="s">
        <v>361</v>
      </c>
      <c r="B123" s="375"/>
      <c r="C123" s="375"/>
      <c r="D123" s="1311"/>
      <c r="E123" s="1311"/>
      <c r="F123" s="1311"/>
      <c r="G123" s="1311"/>
      <c r="H123" s="323"/>
      <c r="I123" s="907"/>
      <c r="J123" s="323"/>
      <c r="K123" s="323"/>
      <c r="L123" s="323"/>
      <c r="M123" s="323"/>
    </row>
    <row r="124" spans="1:13" x14ac:dyDescent="0.2">
      <c r="A124" s="343" t="s">
        <v>1495</v>
      </c>
      <c r="B124" s="279"/>
      <c r="C124" s="1313"/>
      <c r="D124" s="1311"/>
      <c r="E124" s="1311"/>
      <c r="F124" s="1311"/>
      <c r="G124" s="1311"/>
      <c r="H124" s="323"/>
      <c r="I124" s="907"/>
      <c r="J124" s="323"/>
      <c r="K124" s="323"/>
      <c r="L124" s="323"/>
      <c r="M124" s="323"/>
    </row>
    <row r="125" spans="1:13" x14ac:dyDescent="0.2">
      <c r="A125" s="279" t="s">
        <v>1496</v>
      </c>
      <c r="B125" s="1313"/>
      <c r="C125" s="1311"/>
      <c r="D125" s="1311"/>
      <c r="E125" s="1311"/>
      <c r="F125" s="1311"/>
      <c r="G125" s="1311"/>
      <c r="H125" s="323"/>
      <c r="I125" s="907"/>
      <c r="J125" s="323"/>
      <c r="K125" s="323"/>
      <c r="L125" s="323"/>
      <c r="M125" s="323"/>
    </row>
    <row r="126" spans="1:13" x14ac:dyDescent="0.2">
      <c r="A126" s="279" t="s">
        <v>1497</v>
      </c>
      <c r="B126" s="1313"/>
      <c r="C126" s="1311"/>
      <c r="D126" s="1311"/>
      <c r="E126" s="1311"/>
      <c r="F126" s="1311"/>
      <c r="G126" s="1311"/>
      <c r="H126" s="323"/>
      <c r="I126" s="907"/>
      <c r="J126" s="323"/>
      <c r="K126" s="323"/>
      <c r="L126" s="323"/>
      <c r="M126" s="323"/>
    </row>
    <row r="127" spans="1:13" x14ac:dyDescent="0.2">
      <c r="A127" s="927"/>
      <c r="B127" s="1314" t="s">
        <v>1498</v>
      </c>
      <c r="C127" s="1315"/>
      <c r="D127" s="1315"/>
      <c r="E127" s="1315"/>
      <c r="F127" s="1315"/>
      <c r="G127" s="1315"/>
      <c r="H127" s="514"/>
      <c r="I127" s="1316"/>
      <c r="J127" s="514"/>
      <c r="K127" s="514"/>
      <c r="L127" s="514"/>
      <c r="M127" s="514"/>
    </row>
    <row r="128" spans="1:13" x14ac:dyDescent="0.2">
      <c r="A128" s="927" t="s">
        <v>1499</v>
      </c>
      <c r="B128" s="1314"/>
      <c r="C128" s="1315"/>
      <c r="D128" s="1315"/>
      <c r="E128" s="1315"/>
      <c r="F128" s="1315"/>
      <c r="G128" s="1315"/>
      <c r="H128" s="514"/>
      <c r="I128" s="1316"/>
      <c r="J128" s="514"/>
      <c r="K128" s="514"/>
      <c r="L128" s="514"/>
      <c r="M128" s="514"/>
    </row>
    <row r="129" spans="1:13" x14ac:dyDescent="0.2">
      <c r="A129" s="927" t="s">
        <v>1500</v>
      </c>
      <c r="B129" s="1314"/>
      <c r="C129" s="1315"/>
      <c r="D129" s="1315"/>
      <c r="E129" s="1315"/>
      <c r="F129" s="1315"/>
      <c r="G129" s="1315"/>
      <c r="H129" s="514"/>
      <c r="I129" s="1316"/>
      <c r="J129" s="514"/>
      <c r="K129" s="514"/>
      <c r="L129" s="514"/>
      <c r="M129" s="514"/>
    </row>
    <row r="130" spans="1:13" x14ac:dyDescent="0.2">
      <c r="A130" s="927"/>
      <c r="B130" s="1314" t="s">
        <v>1501</v>
      </c>
      <c r="C130" s="1315"/>
      <c r="D130" s="1315"/>
      <c r="E130" s="1315"/>
      <c r="F130" s="1315"/>
      <c r="G130" s="1315"/>
      <c r="H130" s="514"/>
      <c r="I130" s="1316"/>
      <c r="J130" s="514"/>
      <c r="K130" s="514"/>
      <c r="L130" s="514"/>
      <c r="M130" s="514"/>
    </row>
    <row r="131" spans="1:13" x14ac:dyDescent="0.2">
      <c r="A131" s="927"/>
      <c r="B131" s="1314" t="s">
        <v>1502</v>
      </c>
      <c r="C131" s="1315"/>
      <c r="D131" s="1315"/>
      <c r="E131" s="1315"/>
      <c r="F131" s="1315"/>
      <c r="G131" s="1315"/>
      <c r="H131" s="514"/>
      <c r="I131" s="1316"/>
      <c r="J131" s="514"/>
      <c r="K131" s="514"/>
      <c r="L131" s="514"/>
      <c r="M131" s="514"/>
    </row>
    <row r="132" spans="1:13" x14ac:dyDescent="0.2">
      <c r="A132" s="927" t="s">
        <v>1503</v>
      </c>
      <c r="B132" s="1314"/>
      <c r="C132" s="1315"/>
      <c r="D132" s="1315"/>
      <c r="E132" s="1315"/>
      <c r="F132" s="1315"/>
      <c r="G132" s="1315"/>
      <c r="H132" s="514"/>
      <c r="I132" s="1316"/>
      <c r="J132" s="514"/>
      <c r="K132" s="514"/>
      <c r="L132" s="514"/>
      <c r="M132" s="514"/>
    </row>
    <row r="133" spans="1:13" x14ac:dyDescent="0.2">
      <c r="A133" s="927"/>
      <c r="B133" s="1314" t="s">
        <v>1504</v>
      </c>
      <c r="C133" s="1315"/>
      <c r="D133" s="1315"/>
      <c r="E133" s="1315"/>
      <c r="F133" s="1315"/>
      <c r="G133" s="1315"/>
      <c r="H133" s="514"/>
      <c r="I133" s="1316"/>
      <c r="J133" s="514"/>
      <c r="K133" s="514"/>
      <c r="L133" s="514"/>
      <c r="M133" s="514"/>
    </row>
    <row r="134" spans="1:13" x14ac:dyDescent="0.2">
      <c r="A134" s="927"/>
      <c r="B134" s="1314" t="s">
        <v>1505</v>
      </c>
      <c r="C134" s="1315"/>
      <c r="D134" s="1315"/>
      <c r="E134" s="1315"/>
      <c r="F134" s="1315"/>
      <c r="G134" s="1315"/>
      <c r="H134" s="514"/>
      <c r="I134" s="1316"/>
      <c r="J134" s="514"/>
      <c r="K134" s="514"/>
      <c r="L134" s="514"/>
      <c r="M134" s="514"/>
    </row>
    <row r="135" spans="1:13" x14ac:dyDescent="0.2">
      <c r="A135" s="927" t="s">
        <v>1506</v>
      </c>
      <c r="B135" s="1313"/>
      <c r="C135" s="1315"/>
      <c r="D135" s="1315"/>
      <c r="E135" s="1315"/>
      <c r="F135" s="1315"/>
      <c r="G135" s="1315"/>
      <c r="H135" s="514"/>
      <c r="I135" s="1316"/>
      <c r="J135" s="514"/>
      <c r="K135" s="514"/>
      <c r="L135" s="514"/>
      <c r="M135" s="514"/>
    </row>
    <row r="136" spans="1:13" x14ac:dyDescent="0.2">
      <c r="A136" s="1317"/>
      <c r="B136" s="927" t="s">
        <v>1507</v>
      </c>
      <c r="C136" s="1315"/>
      <c r="D136" s="1315"/>
      <c r="E136" s="1315"/>
      <c r="F136" s="1315"/>
      <c r="G136" s="1315"/>
      <c r="H136" s="514"/>
      <c r="I136" s="1316"/>
      <c r="J136" s="514"/>
      <c r="K136" s="514"/>
      <c r="L136" s="514"/>
      <c r="M136" s="514"/>
    </row>
    <row r="137" spans="1:13" x14ac:dyDescent="0.2">
      <c r="A137" s="927"/>
      <c r="B137" s="927" t="s">
        <v>1508</v>
      </c>
      <c r="C137" s="1315"/>
      <c r="D137" s="1315"/>
      <c r="E137" s="1315"/>
      <c r="F137" s="1315"/>
      <c r="G137" s="1315"/>
      <c r="H137" s="514"/>
      <c r="I137" s="1316"/>
      <c r="J137" s="514"/>
      <c r="K137" s="514"/>
      <c r="L137" s="514"/>
      <c r="M137" s="514"/>
    </row>
    <row r="138" spans="1:13" x14ac:dyDescent="0.2">
      <c r="A138" s="1313"/>
      <c r="B138" s="927" t="s">
        <v>1509</v>
      </c>
      <c r="C138" s="1315"/>
      <c r="D138" s="1315"/>
      <c r="E138" s="1315"/>
      <c r="F138" s="1315"/>
      <c r="G138" s="1315"/>
      <c r="H138" s="514"/>
      <c r="I138" s="1316"/>
      <c r="J138" s="514"/>
      <c r="K138" s="514"/>
      <c r="L138" s="514"/>
      <c r="M138" s="514"/>
    </row>
    <row r="139" spans="1:13" x14ac:dyDescent="0.2">
      <c r="A139" s="1314" t="s">
        <v>1510</v>
      </c>
      <c r="B139" s="927"/>
      <c r="C139" s="1315"/>
      <c r="D139" s="1315"/>
      <c r="E139" s="1315"/>
      <c r="F139" s="1315"/>
      <c r="G139" s="1315"/>
      <c r="H139" s="514"/>
      <c r="I139" s="1316"/>
      <c r="J139" s="514"/>
      <c r="K139" s="514"/>
      <c r="L139" s="514"/>
      <c r="M139" s="514"/>
    </row>
    <row r="140" spans="1:13" x14ac:dyDescent="0.2">
      <c r="A140" s="1313"/>
      <c r="B140" s="927" t="s">
        <v>1511</v>
      </c>
      <c r="C140" s="1315"/>
      <c r="D140" s="1315"/>
      <c r="E140" s="1315"/>
      <c r="F140" s="1315"/>
      <c r="G140" s="1315"/>
      <c r="H140" s="514"/>
      <c r="I140" s="1316"/>
      <c r="J140" s="514"/>
      <c r="K140" s="514"/>
      <c r="L140" s="514"/>
      <c r="M140" s="514"/>
    </row>
    <row r="141" spans="1:13" x14ac:dyDescent="0.2">
      <c r="A141" s="1317"/>
      <c r="B141" s="1313"/>
      <c r="C141" s="927"/>
      <c r="D141" s="1315"/>
      <c r="E141" s="1315"/>
      <c r="F141" s="1315"/>
      <c r="G141" s="1315"/>
      <c r="H141" s="514"/>
      <c r="I141" s="1316"/>
      <c r="J141" s="514"/>
      <c r="K141" s="514"/>
      <c r="L141" s="514"/>
      <c r="M141" s="514"/>
    </row>
    <row r="142" spans="1:13" x14ac:dyDescent="0.2">
      <c r="A142" s="1318" t="s">
        <v>1512</v>
      </c>
      <c r="B142" s="1317"/>
      <c r="C142" s="1314"/>
      <c r="D142" s="1314"/>
      <c r="E142" s="1315"/>
      <c r="F142" s="1315"/>
      <c r="G142" s="1315"/>
      <c r="H142" s="514"/>
      <c r="I142" s="1316"/>
      <c r="J142" s="514"/>
      <c r="K142" s="514"/>
      <c r="L142" s="514"/>
      <c r="M142" s="514"/>
    </row>
    <row r="143" spans="1:13" ht="12.75" x14ac:dyDescent="0.2">
      <c r="A143" s="927" t="s">
        <v>1500</v>
      </c>
      <c r="B143" s="1317"/>
      <c r="C143" s="1314"/>
      <c r="D143" s="1315"/>
      <c r="E143" s="1319"/>
      <c r="F143" s="1319"/>
      <c r="G143" s="1315"/>
      <c r="H143" s="514"/>
      <c r="I143" s="1316"/>
      <c r="J143" s="514"/>
      <c r="K143" s="514"/>
      <c r="L143" s="514"/>
      <c r="M143" s="514"/>
    </row>
    <row r="144" spans="1:13" x14ac:dyDescent="0.2">
      <c r="A144" s="323"/>
      <c r="B144" s="1314" t="s">
        <v>1513</v>
      </c>
      <c r="C144" s="1313"/>
      <c r="D144" s="1313"/>
      <c r="E144" s="1313"/>
      <c r="F144" s="1313"/>
      <c r="G144" s="1313"/>
      <c r="H144" s="1313"/>
      <c r="I144" s="1313"/>
      <c r="J144" s="514"/>
      <c r="K144" s="514"/>
      <c r="L144" s="514"/>
      <c r="M144" s="514"/>
    </row>
    <row r="145" spans="1:13" x14ac:dyDescent="0.2">
      <c r="A145" s="927" t="s">
        <v>1503</v>
      </c>
      <c r="B145" s="1317"/>
      <c r="C145" s="1314"/>
      <c r="D145" s="1315"/>
      <c r="E145" s="1315"/>
      <c r="F145" s="1320"/>
      <c r="G145" s="1320"/>
      <c r="H145" s="1321"/>
      <c r="I145" s="1321"/>
      <c r="J145" s="514"/>
      <c r="K145" s="514"/>
      <c r="L145" s="514"/>
      <c r="M145" s="514"/>
    </row>
    <row r="146" spans="1:13" x14ac:dyDescent="0.2">
      <c r="A146" s="323"/>
      <c r="B146" s="1314" t="s">
        <v>1514</v>
      </c>
      <c r="C146" s="1313"/>
      <c r="D146" s="1313"/>
      <c r="E146" s="1313"/>
      <c r="F146" s="1315"/>
      <c r="G146" s="1315"/>
      <c r="H146" s="514"/>
      <c r="I146" s="1316"/>
      <c r="J146" s="514"/>
      <c r="K146" s="514"/>
      <c r="L146" s="514"/>
      <c r="M146" s="514"/>
    </row>
    <row r="147" spans="1:13" x14ac:dyDescent="0.2">
      <c r="A147" s="1317"/>
      <c r="B147" s="1321"/>
      <c r="C147" s="1321"/>
      <c r="D147" s="1320"/>
      <c r="E147" s="1320"/>
      <c r="F147" s="1315"/>
      <c r="G147" s="1315"/>
      <c r="H147" s="514"/>
      <c r="I147" s="1316"/>
      <c r="J147" s="514"/>
      <c r="K147" s="514"/>
      <c r="L147" s="514"/>
      <c r="M147" s="514"/>
    </row>
    <row r="148" spans="1:13" x14ac:dyDescent="0.2">
      <c r="A148" s="1318" t="s">
        <v>1515</v>
      </c>
      <c r="B148" s="1314"/>
      <c r="C148" s="1314"/>
      <c r="D148" s="1314"/>
      <c r="E148" s="1314"/>
      <c r="F148" s="1314"/>
      <c r="G148" s="1314"/>
      <c r="H148" s="1316"/>
      <c r="I148" s="1322"/>
      <c r="J148" s="514"/>
      <c r="K148" s="514"/>
      <c r="L148" s="514"/>
      <c r="M148" s="514"/>
    </row>
    <row r="149" spans="1:13" x14ac:dyDescent="0.2">
      <c r="A149" s="1314" t="s">
        <v>1516</v>
      </c>
      <c r="B149" s="1314"/>
      <c r="C149" s="1314"/>
      <c r="D149" s="1314"/>
      <c r="E149" s="1314"/>
      <c r="F149" s="1314"/>
      <c r="G149" s="1314"/>
      <c r="H149" s="1316"/>
      <c r="I149" s="1322"/>
      <c r="J149" s="514"/>
      <c r="K149" s="514"/>
      <c r="L149" s="514"/>
      <c r="M149" s="514"/>
    </row>
    <row r="150" spans="1:13" x14ac:dyDescent="0.2">
      <c r="A150" s="1314" t="s">
        <v>1517</v>
      </c>
      <c r="B150" s="1314"/>
      <c r="C150" s="1314"/>
      <c r="D150" s="1314"/>
      <c r="E150" s="1314"/>
      <c r="F150" s="1314"/>
      <c r="G150" s="1314"/>
      <c r="H150" s="992"/>
      <c r="I150" s="1322"/>
      <c r="J150" s="514"/>
      <c r="K150" s="514"/>
      <c r="L150" s="514"/>
      <c r="M150" s="514"/>
    </row>
    <row r="151" spans="1:13" x14ac:dyDescent="0.2">
      <c r="A151" s="1323"/>
      <c r="B151" s="1314" t="s">
        <v>1518</v>
      </c>
      <c r="C151" s="1314"/>
      <c r="D151" s="1314"/>
      <c r="E151" s="1314"/>
      <c r="F151" s="1314"/>
      <c r="G151" s="1314"/>
      <c r="H151" s="1314"/>
      <c r="I151" s="1322"/>
      <c r="J151" s="514"/>
      <c r="K151" s="514"/>
      <c r="L151" s="514"/>
      <c r="M151" s="514"/>
    </row>
    <row r="152" spans="1:13" x14ac:dyDescent="0.2">
      <c r="A152" s="1323"/>
      <c r="B152" s="1314" t="s">
        <v>1519</v>
      </c>
      <c r="C152" s="1314"/>
      <c r="D152" s="1314"/>
      <c r="E152" s="1314"/>
      <c r="F152" s="1314"/>
      <c r="G152" s="1314"/>
      <c r="H152" s="1314"/>
      <c r="I152" s="1322"/>
      <c r="J152" s="514"/>
      <c r="K152" s="514"/>
      <c r="L152" s="514"/>
      <c r="M152" s="514"/>
    </row>
    <row r="153" spans="1:13" x14ac:dyDescent="0.2">
      <c r="A153" s="1317"/>
      <c r="B153" s="1317"/>
      <c r="C153" s="1324"/>
      <c r="D153" s="1324"/>
      <c r="E153" s="1324"/>
      <c r="F153" s="1324"/>
      <c r="G153" s="1324"/>
      <c r="H153" s="1324"/>
      <c r="I153" s="1324"/>
      <c r="J153" s="514"/>
      <c r="K153" s="514"/>
      <c r="L153" s="514"/>
      <c r="M153" s="514"/>
    </row>
    <row r="154" spans="1:13" x14ac:dyDescent="0.2">
      <c r="A154" s="1325" t="s">
        <v>1520</v>
      </c>
      <c r="B154" s="1321"/>
      <c r="C154" s="1321"/>
      <c r="D154" s="1320"/>
      <c r="E154" s="1320"/>
      <c r="F154" s="1320"/>
      <c r="G154" s="1324"/>
      <c r="H154" s="1324"/>
      <c r="I154" s="1324"/>
      <c r="J154" s="514"/>
      <c r="K154" s="514"/>
      <c r="L154" s="514"/>
      <c r="M154" s="514"/>
    </row>
    <row r="155" spans="1:13" x14ac:dyDescent="0.2">
      <c r="A155" s="1323" t="s">
        <v>1521</v>
      </c>
      <c r="B155" s="323"/>
      <c r="C155" s="1321"/>
      <c r="D155" s="1321"/>
      <c r="E155" s="1321"/>
      <c r="F155" s="1321"/>
      <c r="G155" s="1324"/>
      <c r="H155" s="1324"/>
      <c r="I155" s="1324"/>
      <c r="J155" s="514"/>
      <c r="K155" s="514"/>
      <c r="L155" s="514"/>
      <c r="M155" s="514"/>
    </row>
    <row r="156" spans="1:13" x14ac:dyDescent="0.2">
      <c r="A156" s="1317"/>
      <c r="B156" s="927" t="s">
        <v>1522</v>
      </c>
      <c r="C156" s="1326"/>
      <c r="D156" s="1326"/>
      <c r="E156" s="1326"/>
      <c r="F156" s="1326"/>
      <c r="G156" s="1324"/>
      <c r="H156" s="1324"/>
      <c r="I156" s="1324"/>
      <c r="J156" s="514"/>
      <c r="K156" s="514"/>
      <c r="L156" s="514"/>
      <c r="M156" s="514"/>
    </row>
    <row r="157" spans="1:13" x14ac:dyDescent="0.2">
      <c r="A157" s="1317"/>
      <c r="B157" s="1323" t="s">
        <v>1523</v>
      </c>
      <c r="C157" s="1326"/>
      <c r="D157" s="1326"/>
      <c r="E157" s="1326"/>
      <c r="F157" s="1326"/>
      <c r="G157" s="1324"/>
      <c r="H157" s="1324"/>
      <c r="I157" s="1324"/>
      <c r="J157" s="514"/>
      <c r="K157" s="514"/>
      <c r="L157" s="514"/>
      <c r="M157" s="514"/>
    </row>
    <row r="158" spans="1:13" x14ac:dyDescent="0.2">
      <c r="A158" s="1317"/>
      <c r="B158" s="1313"/>
      <c r="C158" s="514"/>
      <c r="D158" s="1315"/>
      <c r="E158" s="1315"/>
      <c r="F158" s="1315"/>
      <c r="G158" s="1315"/>
      <c r="H158" s="514"/>
      <c r="I158" s="1316"/>
      <c r="J158" s="514"/>
      <c r="K158" s="514"/>
      <c r="L158" s="514"/>
      <c r="M158" s="514"/>
    </row>
    <row r="159" spans="1:13" x14ac:dyDescent="0.2">
      <c r="A159" s="1325" t="s">
        <v>1524</v>
      </c>
      <c r="B159" s="1317"/>
      <c r="C159" s="1317"/>
      <c r="D159" s="1315"/>
      <c r="E159" s="1315"/>
      <c r="F159" s="1315"/>
      <c r="G159" s="1315"/>
      <c r="H159" s="514"/>
      <c r="I159" s="1327"/>
      <c r="J159" s="514"/>
      <c r="K159" s="514"/>
      <c r="L159" s="514"/>
      <c r="M159" s="514"/>
    </row>
    <row r="160" spans="1:13" ht="15" x14ac:dyDescent="0.2">
      <c r="A160" s="1317" t="s">
        <v>1525</v>
      </c>
      <c r="B160" s="323"/>
      <c r="C160" s="1328"/>
      <c r="D160" s="1329"/>
      <c r="E160" s="1329"/>
      <c r="F160" s="1329"/>
      <c r="G160" s="1315"/>
      <c r="H160" s="974"/>
      <c r="I160" s="1327"/>
      <c r="J160" s="514"/>
      <c r="K160" s="514"/>
      <c r="L160" s="514"/>
      <c r="M160" s="514"/>
    </row>
    <row r="161" spans="1:13" x14ac:dyDescent="0.2">
      <c r="A161" s="1317"/>
      <c r="B161" s="1317" t="s">
        <v>1526</v>
      </c>
      <c r="C161" s="1328"/>
      <c r="D161" s="1330"/>
      <c r="E161" s="1330"/>
      <c r="F161" s="1330"/>
      <c r="G161" s="1330"/>
      <c r="H161" s="974"/>
      <c r="I161" s="1327"/>
      <c r="J161" s="514"/>
      <c r="K161" s="514"/>
      <c r="L161" s="514"/>
      <c r="M161" s="514"/>
    </row>
    <row r="162" spans="1:13" x14ac:dyDescent="0.2">
      <c r="A162" s="1317"/>
      <c r="B162" s="1317" t="s">
        <v>1527</v>
      </c>
      <c r="C162" s="1328"/>
      <c r="D162" s="1330"/>
      <c r="E162" s="1330"/>
      <c r="F162" s="1330"/>
      <c r="G162" s="1330"/>
      <c r="H162" s="974"/>
      <c r="I162" s="1316"/>
      <c r="J162" s="514"/>
      <c r="K162" s="514"/>
      <c r="L162" s="514"/>
      <c r="M162" s="514"/>
    </row>
    <row r="163" spans="1:13" x14ac:dyDescent="0.2">
      <c r="A163" s="1317"/>
      <c r="B163" s="1317"/>
      <c r="C163" s="1328"/>
      <c r="D163" s="1330"/>
      <c r="E163" s="1330"/>
      <c r="F163" s="1330"/>
      <c r="G163" s="1330"/>
      <c r="H163" s="974"/>
      <c r="I163" s="1316"/>
      <c r="J163" s="514"/>
      <c r="K163" s="514"/>
      <c r="L163" s="514"/>
      <c r="M163" s="514"/>
    </row>
    <row r="164" spans="1:13" x14ac:dyDescent="0.2">
      <c r="A164" s="1331" t="s">
        <v>1528</v>
      </c>
      <c r="B164" s="514"/>
      <c r="C164" s="1317"/>
      <c r="D164" s="1315"/>
      <c r="E164" s="1315"/>
      <c r="F164" s="1315"/>
      <c r="G164" s="1315"/>
      <c r="H164" s="514"/>
      <c r="I164" s="1316"/>
      <c r="J164" s="514"/>
      <c r="K164" s="514"/>
      <c r="L164" s="514"/>
      <c r="M164" s="514"/>
    </row>
    <row r="165" spans="1:13" x14ac:dyDescent="0.2">
      <c r="A165" s="1772" t="s">
        <v>1529</v>
      </c>
      <c r="B165" s="1772"/>
      <c r="C165" s="1772"/>
      <c r="D165" s="1772"/>
      <c r="E165" s="1772"/>
      <c r="F165" s="1772"/>
      <c r="G165" s="1772"/>
      <c r="H165" s="1772"/>
      <c r="I165" s="1317"/>
      <c r="J165" s="1317"/>
      <c r="K165" s="1317"/>
      <c r="L165" s="1317"/>
      <c r="M165" s="1317"/>
    </row>
    <row r="166" spans="1:13" ht="45.75" customHeight="1" x14ac:dyDescent="0.2">
      <c r="A166" s="1772" t="s">
        <v>1530</v>
      </c>
      <c r="B166" s="1772"/>
      <c r="C166" s="1772"/>
      <c r="D166" s="1772"/>
      <c r="E166" s="1772"/>
      <c r="F166" s="1772"/>
      <c r="G166" s="1772"/>
      <c r="H166" s="1772"/>
      <c r="I166" s="1332"/>
      <c r="J166" s="1332"/>
      <c r="K166" s="1332"/>
      <c r="L166" s="1332"/>
      <c r="M166" s="1332"/>
    </row>
    <row r="169" spans="1:13" ht="12.75" x14ac:dyDescent="0.2">
      <c r="A169" s="1333"/>
    </row>
  </sheetData>
  <sheetProtection algorithmName="SHA-512" hashValue="eeCIvhxTUjVpOZesyeupU1e3FQQMPEKhxbRNmIBrGShu4RWfXuEIXWyuZgRc4x1Aepd69ynP2NxpPJ3uFQkEwA==" saltValue="E7Vvb72KjVIJGPVmK/YW7g==" spinCount="100000" sheet="1" objects="1" scenarios="1"/>
  <mergeCells count="86">
    <mergeCell ref="A166:H166"/>
    <mergeCell ref="G109:G110"/>
    <mergeCell ref="H109:H110"/>
    <mergeCell ref="A111:B111"/>
    <mergeCell ref="H112:H113"/>
    <mergeCell ref="A115:B115"/>
    <mergeCell ref="A117:A118"/>
    <mergeCell ref="B117:B118"/>
    <mergeCell ref="C117:C118"/>
    <mergeCell ref="D117:D118"/>
    <mergeCell ref="E117:E118"/>
    <mergeCell ref="F117:F118"/>
    <mergeCell ref="G117:G118"/>
    <mergeCell ref="H117:H118"/>
    <mergeCell ref="A119:B119"/>
    <mergeCell ref="A165:H165"/>
    <mergeCell ref="A104:A105"/>
    <mergeCell ref="B104:B105"/>
    <mergeCell ref="H104:H105"/>
    <mergeCell ref="A107:B107"/>
    <mergeCell ref="A109:A110"/>
    <mergeCell ref="B109:B110"/>
    <mergeCell ref="C109:C110"/>
    <mergeCell ref="D109:D110"/>
    <mergeCell ref="E109:E110"/>
    <mergeCell ref="F109:F110"/>
    <mergeCell ref="A90:A96"/>
    <mergeCell ref="B90:B96"/>
    <mergeCell ref="H90:H96"/>
    <mergeCell ref="A97:A103"/>
    <mergeCell ref="B97:B103"/>
    <mergeCell ref="H97:H103"/>
    <mergeCell ref="G77:G78"/>
    <mergeCell ref="H77:H78"/>
    <mergeCell ref="A79:B79"/>
    <mergeCell ref="A80:A89"/>
    <mergeCell ref="B80:B89"/>
    <mergeCell ref="H80:H89"/>
    <mergeCell ref="A77:A78"/>
    <mergeCell ref="B77:B78"/>
    <mergeCell ref="C77:C78"/>
    <mergeCell ref="D77:D78"/>
    <mergeCell ref="E77:E78"/>
    <mergeCell ref="F77:F78"/>
    <mergeCell ref="H60:H61"/>
    <mergeCell ref="A62:B62"/>
    <mergeCell ref="A63:A68"/>
    <mergeCell ref="B63:B68"/>
    <mergeCell ref="H63:H68"/>
    <mergeCell ref="A40:A51"/>
    <mergeCell ref="B40:B51"/>
    <mergeCell ref="H40:H51"/>
    <mergeCell ref="A69:A73"/>
    <mergeCell ref="B69:B73"/>
    <mergeCell ref="H69:H73"/>
    <mergeCell ref="A52:A56"/>
    <mergeCell ref="B52:B56"/>
    <mergeCell ref="H52:H56"/>
    <mergeCell ref="A60:A61"/>
    <mergeCell ref="B60:B61"/>
    <mergeCell ref="C60:C61"/>
    <mergeCell ref="D60:D61"/>
    <mergeCell ref="E60:E61"/>
    <mergeCell ref="F60:F61"/>
    <mergeCell ref="G60:G61"/>
    <mergeCell ref="A32:A38"/>
    <mergeCell ref="B32:B38"/>
    <mergeCell ref="H32:H38"/>
    <mergeCell ref="A26:A31"/>
    <mergeCell ref="B26:B31"/>
    <mergeCell ref="H26:H31"/>
    <mergeCell ref="A12:B12"/>
    <mergeCell ref="A14:A25"/>
    <mergeCell ref="A3:B3"/>
    <mergeCell ref="A4:B4"/>
    <mergeCell ref="A5:H5"/>
    <mergeCell ref="A10:A11"/>
    <mergeCell ref="B10:B11"/>
    <mergeCell ref="C10:C11"/>
    <mergeCell ref="D10:D11"/>
    <mergeCell ref="E10:E11"/>
    <mergeCell ref="F10:F11"/>
    <mergeCell ref="G10:G11"/>
    <mergeCell ref="H10:H11"/>
    <mergeCell ref="B14:B25"/>
    <mergeCell ref="H14:H25"/>
  </mergeCells>
  <pageMargins left="0.98425196850393704" right="0.39370078740157483" top="0.59055118110236227" bottom="0.39370078740157483" header="0.23622047244094491" footer="0.23622047244094491"/>
  <pageSetup paperSize="9" scale="70" fitToHeight="0" orientation="portrait" horizontalDpi="200" verticalDpi="200" r:id="rId1"/>
  <headerFooter differentFirst="1">
    <oddFooter>&amp;L&amp;"Times New Roman,Regular"&amp;9&amp;D; &amp;T&amp;R&amp;"Times New Roman,Regular"&amp;9&amp;P (&amp;N)</oddFooter>
    <firstHeader xml:space="preserve">&amp;R&amp;"Times New Roman,Regular"&amp;9 50.pielikums Jūrmalas pilsētas domes
2019.gada 31.oktobra saistošajiem noteikumiem Nr.46
(protokols Nr.14, 28.punkts)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2"/>
  <sheetViews>
    <sheetView view="pageLayout" zoomScaleNormal="100" workbookViewId="0">
      <selection activeCell="L6" sqref="L6"/>
    </sheetView>
  </sheetViews>
  <sheetFormatPr defaultRowHeight="12.75" outlineLevelCol="1" x14ac:dyDescent="0.2"/>
  <cols>
    <col min="1" max="1" width="4.85546875" style="1213" customWidth="1"/>
    <col min="2" max="2" width="36.42578125" style="1213" customWidth="1"/>
    <col min="3" max="3" width="10.7109375" style="1213" customWidth="1"/>
    <col min="4" max="4" width="12.28515625" style="1214" hidden="1" customWidth="1" outlineLevel="1"/>
    <col min="5" max="5" width="10.85546875" style="1214" hidden="1" customWidth="1" outlineLevel="1"/>
    <col min="6" max="6" width="14.28515625" style="1213" customWidth="1" collapsed="1"/>
    <col min="7" max="7" width="28.28515625" style="1213" hidden="1" customWidth="1" outlineLevel="1"/>
    <col min="8" max="8" width="18.5703125" style="1221" customWidth="1" collapsed="1"/>
    <col min="9" max="10" width="9.85546875" style="1213" customWidth="1"/>
    <col min="11" max="12" width="10.140625" style="1213" bestFit="1" customWidth="1"/>
    <col min="13" max="240" width="9.140625" style="1213"/>
    <col min="241" max="241" width="4.85546875" style="1213" customWidth="1"/>
    <col min="242" max="242" width="48.28515625" style="1213" customWidth="1"/>
    <col min="243" max="243" width="12.85546875" style="1213" customWidth="1"/>
    <col min="244" max="244" width="11.7109375" style="1213" customWidth="1"/>
    <col min="245" max="245" width="11.140625" style="1213" customWidth="1"/>
    <col min="246" max="246" width="11.42578125" style="1213" customWidth="1"/>
    <col min="247" max="247" width="11.7109375" style="1213" customWidth="1"/>
    <col min="248" max="248" width="45.42578125" style="1213" customWidth="1"/>
    <col min="249" max="496" width="9.140625" style="1213"/>
    <col min="497" max="497" width="4.85546875" style="1213" customWidth="1"/>
    <col min="498" max="498" width="48.28515625" style="1213" customWidth="1"/>
    <col min="499" max="499" width="12.85546875" style="1213" customWidth="1"/>
    <col min="500" max="500" width="11.7109375" style="1213" customWidth="1"/>
    <col min="501" max="501" width="11.140625" style="1213" customWidth="1"/>
    <col min="502" max="502" width="11.42578125" style="1213" customWidth="1"/>
    <col min="503" max="503" width="11.7109375" style="1213" customWidth="1"/>
    <col min="504" max="504" width="45.42578125" style="1213" customWidth="1"/>
    <col min="505" max="752" width="9.140625" style="1213"/>
    <col min="753" max="753" width="4.85546875" style="1213" customWidth="1"/>
    <col min="754" max="754" width="48.28515625" style="1213" customWidth="1"/>
    <col min="755" max="755" width="12.85546875" style="1213" customWidth="1"/>
    <col min="756" max="756" width="11.7109375" style="1213" customWidth="1"/>
    <col min="757" max="757" width="11.140625" style="1213" customWidth="1"/>
    <col min="758" max="758" width="11.42578125" style="1213" customWidth="1"/>
    <col min="759" max="759" width="11.7109375" style="1213" customWidth="1"/>
    <col min="760" max="760" width="45.42578125" style="1213" customWidth="1"/>
    <col min="761" max="1008" width="9.140625" style="1213"/>
    <col min="1009" max="1009" width="4.85546875" style="1213" customWidth="1"/>
    <col min="1010" max="1010" width="48.28515625" style="1213" customWidth="1"/>
    <col min="1011" max="1011" width="12.85546875" style="1213" customWidth="1"/>
    <col min="1012" max="1012" width="11.7109375" style="1213" customWidth="1"/>
    <col min="1013" max="1013" width="11.140625" style="1213" customWidth="1"/>
    <col min="1014" max="1014" width="11.42578125" style="1213" customWidth="1"/>
    <col min="1015" max="1015" width="11.7109375" style="1213" customWidth="1"/>
    <col min="1016" max="1016" width="45.42578125" style="1213" customWidth="1"/>
    <col min="1017" max="1264" width="9.140625" style="1213"/>
    <col min="1265" max="1265" width="4.85546875" style="1213" customWidth="1"/>
    <col min="1266" max="1266" width="48.28515625" style="1213" customWidth="1"/>
    <col min="1267" max="1267" width="12.85546875" style="1213" customWidth="1"/>
    <col min="1268" max="1268" width="11.7109375" style="1213" customWidth="1"/>
    <col min="1269" max="1269" width="11.140625" style="1213" customWidth="1"/>
    <col min="1270" max="1270" width="11.42578125" style="1213" customWidth="1"/>
    <col min="1271" max="1271" width="11.7109375" style="1213" customWidth="1"/>
    <col min="1272" max="1272" width="45.42578125" style="1213" customWidth="1"/>
    <col min="1273" max="1520" width="9.140625" style="1213"/>
    <col min="1521" max="1521" width="4.85546875" style="1213" customWidth="1"/>
    <col min="1522" max="1522" width="48.28515625" style="1213" customWidth="1"/>
    <col min="1523" max="1523" width="12.85546875" style="1213" customWidth="1"/>
    <col min="1524" max="1524" width="11.7109375" style="1213" customWidth="1"/>
    <col min="1525" max="1525" width="11.140625" style="1213" customWidth="1"/>
    <col min="1526" max="1526" width="11.42578125" style="1213" customWidth="1"/>
    <col min="1527" max="1527" width="11.7109375" style="1213" customWidth="1"/>
    <col min="1528" max="1528" width="45.42578125" style="1213" customWidth="1"/>
    <col min="1529" max="1776" width="9.140625" style="1213"/>
    <col min="1777" max="1777" width="4.85546875" style="1213" customWidth="1"/>
    <col min="1778" max="1778" width="48.28515625" style="1213" customWidth="1"/>
    <col min="1779" max="1779" width="12.85546875" style="1213" customWidth="1"/>
    <col min="1780" max="1780" width="11.7109375" style="1213" customWidth="1"/>
    <col min="1781" max="1781" width="11.140625" style="1213" customWidth="1"/>
    <col min="1782" max="1782" width="11.42578125" style="1213" customWidth="1"/>
    <col min="1783" max="1783" width="11.7109375" style="1213" customWidth="1"/>
    <col min="1784" max="1784" width="45.42578125" style="1213" customWidth="1"/>
    <col min="1785" max="2032" width="9.140625" style="1213"/>
    <col min="2033" max="2033" width="4.85546875" style="1213" customWidth="1"/>
    <col min="2034" max="2034" width="48.28515625" style="1213" customWidth="1"/>
    <col min="2035" max="2035" width="12.85546875" style="1213" customWidth="1"/>
    <col min="2036" max="2036" width="11.7109375" style="1213" customWidth="1"/>
    <col min="2037" max="2037" width="11.140625" style="1213" customWidth="1"/>
    <col min="2038" max="2038" width="11.42578125" style="1213" customWidth="1"/>
    <col min="2039" max="2039" width="11.7109375" style="1213" customWidth="1"/>
    <col min="2040" max="2040" width="45.42578125" style="1213" customWidth="1"/>
    <col min="2041" max="2288" width="9.140625" style="1213"/>
    <col min="2289" max="2289" width="4.85546875" style="1213" customWidth="1"/>
    <col min="2290" max="2290" width="48.28515625" style="1213" customWidth="1"/>
    <col min="2291" max="2291" width="12.85546875" style="1213" customWidth="1"/>
    <col min="2292" max="2292" width="11.7109375" style="1213" customWidth="1"/>
    <col min="2293" max="2293" width="11.140625" style="1213" customWidth="1"/>
    <col min="2294" max="2294" width="11.42578125" style="1213" customWidth="1"/>
    <col min="2295" max="2295" width="11.7109375" style="1213" customWidth="1"/>
    <col min="2296" max="2296" width="45.42578125" style="1213" customWidth="1"/>
    <col min="2297" max="2544" width="9.140625" style="1213"/>
    <col min="2545" max="2545" width="4.85546875" style="1213" customWidth="1"/>
    <col min="2546" max="2546" width="48.28515625" style="1213" customWidth="1"/>
    <col min="2547" max="2547" width="12.85546875" style="1213" customWidth="1"/>
    <col min="2548" max="2548" width="11.7109375" style="1213" customWidth="1"/>
    <col min="2549" max="2549" width="11.140625" style="1213" customWidth="1"/>
    <col min="2550" max="2550" width="11.42578125" style="1213" customWidth="1"/>
    <col min="2551" max="2551" width="11.7109375" style="1213" customWidth="1"/>
    <col min="2552" max="2552" width="45.42578125" style="1213" customWidth="1"/>
    <col min="2553" max="2800" width="9.140625" style="1213"/>
    <col min="2801" max="2801" width="4.85546875" style="1213" customWidth="1"/>
    <col min="2802" max="2802" width="48.28515625" style="1213" customWidth="1"/>
    <col min="2803" max="2803" width="12.85546875" style="1213" customWidth="1"/>
    <col min="2804" max="2804" width="11.7109375" style="1213" customWidth="1"/>
    <col min="2805" max="2805" width="11.140625" style="1213" customWidth="1"/>
    <col min="2806" max="2806" width="11.42578125" style="1213" customWidth="1"/>
    <col min="2807" max="2807" width="11.7109375" style="1213" customWidth="1"/>
    <col min="2808" max="2808" width="45.42578125" style="1213" customWidth="1"/>
    <col min="2809" max="3056" width="9.140625" style="1213"/>
    <col min="3057" max="3057" width="4.85546875" style="1213" customWidth="1"/>
    <col min="3058" max="3058" width="48.28515625" style="1213" customWidth="1"/>
    <col min="3059" max="3059" width="12.85546875" style="1213" customWidth="1"/>
    <col min="3060" max="3060" width="11.7109375" style="1213" customWidth="1"/>
    <col min="3061" max="3061" width="11.140625" style="1213" customWidth="1"/>
    <col min="3062" max="3062" width="11.42578125" style="1213" customWidth="1"/>
    <col min="3063" max="3063" width="11.7109375" style="1213" customWidth="1"/>
    <col min="3064" max="3064" width="45.42578125" style="1213" customWidth="1"/>
    <col min="3065" max="3312" width="9.140625" style="1213"/>
    <col min="3313" max="3313" width="4.85546875" style="1213" customWidth="1"/>
    <col min="3314" max="3314" width="48.28515625" style="1213" customWidth="1"/>
    <col min="3315" max="3315" width="12.85546875" style="1213" customWidth="1"/>
    <col min="3316" max="3316" width="11.7109375" style="1213" customWidth="1"/>
    <col min="3317" max="3317" width="11.140625" style="1213" customWidth="1"/>
    <col min="3318" max="3318" width="11.42578125" style="1213" customWidth="1"/>
    <col min="3319" max="3319" width="11.7109375" style="1213" customWidth="1"/>
    <col min="3320" max="3320" width="45.42578125" style="1213" customWidth="1"/>
    <col min="3321" max="3568" width="9.140625" style="1213"/>
    <col min="3569" max="3569" width="4.85546875" style="1213" customWidth="1"/>
    <col min="3570" max="3570" width="48.28515625" style="1213" customWidth="1"/>
    <col min="3571" max="3571" width="12.85546875" style="1213" customWidth="1"/>
    <col min="3572" max="3572" width="11.7109375" style="1213" customWidth="1"/>
    <col min="3573" max="3573" width="11.140625" style="1213" customWidth="1"/>
    <col min="3574" max="3574" width="11.42578125" style="1213" customWidth="1"/>
    <col min="3575" max="3575" width="11.7109375" style="1213" customWidth="1"/>
    <col min="3576" max="3576" width="45.42578125" style="1213" customWidth="1"/>
    <col min="3577" max="3824" width="9.140625" style="1213"/>
    <col min="3825" max="3825" width="4.85546875" style="1213" customWidth="1"/>
    <col min="3826" max="3826" width="48.28515625" style="1213" customWidth="1"/>
    <col min="3827" max="3827" width="12.85546875" style="1213" customWidth="1"/>
    <col min="3828" max="3828" width="11.7109375" style="1213" customWidth="1"/>
    <col min="3829" max="3829" width="11.140625" style="1213" customWidth="1"/>
    <col min="3830" max="3830" width="11.42578125" style="1213" customWidth="1"/>
    <col min="3831" max="3831" width="11.7109375" style="1213" customWidth="1"/>
    <col min="3832" max="3832" width="45.42578125" style="1213" customWidth="1"/>
    <col min="3833" max="4080" width="9.140625" style="1213"/>
    <col min="4081" max="4081" width="4.85546875" style="1213" customWidth="1"/>
    <col min="4082" max="4082" width="48.28515625" style="1213" customWidth="1"/>
    <col min="4083" max="4083" width="12.85546875" style="1213" customWidth="1"/>
    <col min="4084" max="4084" width="11.7109375" style="1213" customWidth="1"/>
    <col min="4085" max="4085" width="11.140625" style="1213" customWidth="1"/>
    <col min="4086" max="4086" width="11.42578125" style="1213" customWidth="1"/>
    <col min="4087" max="4087" width="11.7109375" style="1213" customWidth="1"/>
    <col min="4088" max="4088" width="45.42578125" style="1213" customWidth="1"/>
    <col min="4089" max="4336" width="9.140625" style="1213"/>
    <col min="4337" max="4337" width="4.85546875" style="1213" customWidth="1"/>
    <col min="4338" max="4338" width="48.28515625" style="1213" customWidth="1"/>
    <col min="4339" max="4339" width="12.85546875" style="1213" customWidth="1"/>
    <col min="4340" max="4340" width="11.7109375" style="1213" customWidth="1"/>
    <col min="4341" max="4341" width="11.140625" style="1213" customWidth="1"/>
    <col min="4342" max="4342" width="11.42578125" style="1213" customWidth="1"/>
    <col min="4343" max="4343" width="11.7109375" style="1213" customWidth="1"/>
    <col min="4344" max="4344" width="45.42578125" style="1213" customWidth="1"/>
    <col min="4345" max="4592" width="9.140625" style="1213"/>
    <col min="4593" max="4593" width="4.85546875" style="1213" customWidth="1"/>
    <col min="4594" max="4594" width="48.28515625" style="1213" customWidth="1"/>
    <col min="4595" max="4595" width="12.85546875" style="1213" customWidth="1"/>
    <col min="4596" max="4596" width="11.7109375" style="1213" customWidth="1"/>
    <col min="4597" max="4597" width="11.140625" style="1213" customWidth="1"/>
    <col min="4598" max="4598" width="11.42578125" style="1213" customWidth="1"/>
    <col min="4599" max="4599" width="11.7109375" style="1213" customWidth="1"/>
    <col min="4600" max="4600" width="45.42578125" style="1213" customWidth="1"/>
    <col min="4601" max="4848" width="9.140625" style="1213"/>
    <col min="4849" max="4849" width="4.85546875" style="1213" customWidth="1"/>
    <col min="4850" max="4850" width="48.28515625" style="1213" customWidth="1"/>
    <col min="4851" max="4851" width="12.85546875" style="1213" customWidth="1"/>
    <col min="4852" max="4852" width="11.7109375" style="1213" customWidth="1"/>
    <col min="4853" max="4853" width="11.140625" style="1213" customWidth="1"/>
    <col min="4854" max="4854" width="11.42578125" style="1213" customWidth="1"/>
    <col min="4855" max="4855" width="11.7109375" style="1213" customWidth="1"/>
    <col min="4856" max="4856" width="45.42578125" style="1213" customWidth="1"/>
    <col min="4857" max="5104" width="9.140625" style="1213"/>
    <col min="5105" max="5105" width="4.85546875" style="1213" customWidth="1"/>
    <col min="5106" max="5106" width="48.28515625" style="1213" customWidth="1"/>
    <col min="5107" max="5107" width="12.85546875" style="1213" customWidth="1"/>
    <col min="5108" max="5108" width="11.7109375" style="1213" customWidth="1"/>
    <col min="5109" max="5109" width="11.140625" style="1213" customWidth="1"/>
    <col min="5110" max="5110" width="11.42578125" style="1213" customWidth="1"/>
    <col min="5111" max="5111" width="11.7109375" style="1213" customWidth="1"/>
    <col min="5112" max="5112" width="45.42578125" style="1213" customWidth="1"/>
    <col min="5113" max="5360" width="9.140625" style="1213"/>
    <col min="5361" max="5361" width="4.85546875" style="1213" customWidth="1"/>
    <col min="5362" max="5362" width="48.28515625" style="1213" customWidth="1"/>
    <col min="5363" max="5363" width="12.85546875" style="1213" customWidth="1"/>
    <col min="5364" max="5364" width="11.7109375" style="1213" customWidth="1"/>
    <col min="5365" max="5365" width="11.140625" style="1213" customWidth="1"/>
    <col min="5366" max="5366" width="11.42578125" style="1213" customWidth="1"/>
    <col min="5367" max="5367" width="11.7109375" style="1213" customWidth="1"/>
    <col min="5368" max="5368" width="45.42578125" style="1213" customWidth="1"/>
    <col min="5369" max="5616" width="9.140625" style="1213"/>
    <col min="5617" max="5617" width="4.85546875" style="1213" customWidth="1"/>
    <col min="5618" max="5618" width="48.28515625" style="1213" customWidth="1"/>
    <col min="5619" max="5619" width="12.85546875" style="1213" customWidth="1"/>
    <col min="5620" max="5620" width="11.7109375" style="1213" customWidth="1"/>
    <col min="5621" max="5621" width="11.140625" style="1213" customWidth="1"/>
    <col min="5622" max="5622" width="11.42578125" style="1213" customWidth="1"/>
    <col min="5623" max="5623" width="11.7109375" style="1213" customWidth="1"/>
    <col min="5624" max="5624" width="45.42578125" style="1213" customWidth="1"/>
    <col min="5625" max="5872" width="9.140625" style="1213"/>
    <col min="5873" max="5873" width="4.85546875" style="1213" customWidth="1"/>
    <col min="5874" max="5874" width="48.28515625" style="1213" customWidth="1"/>
    <col min="5875" max="5875" width="12.85546875" style="1213" customWidth="1"/>
    <col min="5876" max="5876" width="11.7109375" style="1213" customWidth="1"/>
    <col min="5877" max="5877" width="11.140625" style="1213" customWidth="1"/>
    <col min="5878" max="5878" width="11.42578125" style="1213" customWidth="1"/>
    <col min="5879" max="5879" width="11.7109375" style="1213" customWidth="1"/>
    <col min="5880" max="5880" width="45.42578125" style="1213" customWidth="1"/>
    <col min="5881" max="6128" width="9.140625" style="1213"/>
    <col min="6129" max="6129" width="4.85546875" style="1213" customWidth="1"/>
    <col min="6130" max="6130" width="48.28515625" style="1213" customWidth="1"/>
    <col min="6131" max="6131" width="12.85546875" style="1213" customWidth="1"/>
    <col min="6132" max="6132" width="11.7109375" style="1213" customWidth="1"/>
    <col min="6133" max="6133" width="11.140625" style="1213" customWidth="1"/>
    <col min="6134" max="6134" width="11.42578125" style="1213" customWidth="1"/>
    <col min="6135" max="6135" width="11.7109375" style="1213" customWidth="1"/>
    <col min="6136" max="6136" width="45.42578125" style="1213" customWidth="1"/>
    <col min="6137" max="6384" width="9.140625" style="1213"/>
    <col min="6385" max="6385" width="4.85546875" style="1213" customWidth="1"/>
    <col min="6386" max="6386" width="48.28515625" style="1213" customWidth="1"/>
    <col min="6387" max="6387" width="12.85546875" style="1213" customWidth="1"/>
    <col min="6388" max="6388" width="11.7109375" style="1213" customWidth="1"/>
    <col min="6389" max="6389" width="11.140625" style="1213" customWidth="1"/>
    <col min="6390" max="6390" width="11.42578125" style="1213" customWidth="1"/>
    <col min="6391" max="6391" width="11.7109375" style="1213" customWidth="1"/>
    <col min="6392" max="6392" width="45.42578125" style="1213" customWidth="1"/>
    <col min="6393" max="6640" width="9.140625" style="1213"/>
    <col min="6641" max="6641" width="4.85546875" style="1213" customWidth="1"/>
    <col min="6642" max="6642" width="48.28515625" style="1213" customWidth="1"/>
    <col min="6643" max="6643" width="12.85546875" style="1213" customWidth="1"/>
    <col min="6644" max="6644" width="11.7109375" style="1213" customWidth="1"/>
    <col min="6645" max="6645" width="11.140625" style="1213" customWidth="1"/>
    <col min="6646" max="6646" width="11.42578125" style="1213" customWidth="1"/>
    <col min="6647" max="6647" width="11.7109375" style="1213" customWidth="1"/>
    <col min="6648" max="6648" width="45.42578125" style="1213" customWidth="1"/>
    <col min="6649" max="6896" width="9.140625" style="1213"/>
    <col min="6897" max="6897" width="4.85546875" style="1213" customWidth="1"/>
    <col min="6898" max="6898" width="48.28515625" style="1213" customWidth="1"/>
    <col min="6899" max="6899" width="12.85546875" style="1213" customWidth="1"/>
    <col min="6900" max="6900" width="11.7109375" style="1213" customWidth="1"/>
    <col min="6901" max="6901" width="11.140625" style="1213" customWidth="1"/>
    <col min="6902" max="6902" width="11.42578125" style="1213" customWidth="1"/>
    <col min="6903" max="6903" width="11.7109375" style="1213" customWidth="1"/>
    <col min="6904" max="6904" width="45.42578125" style="1213" customWidth="1"/>
    <col min="6905" max="7152" width="9.140625" style="1213"/>
    <col min="7153" max="7153" width="4.85546875" style="1213" customWidth="1"/>
    <col min="7154" max="7154" width="48.28515625" style="1213" customWidth="1"/>
    <col min="7155" max="7155" width="12.85546875" style="1213" customWidth="1"/>
    <col min="7156" max="7156" width="11.7109375" style="1213" customWidth="1"/>
    <col min="7157" max="7157" width="11.140625" style="1213" customWidth="1"/>
    <col min="7158" max="7158" width="11.42578125" style="1213" customWidth="1"/>
    <col min="7159" max="7159" width="11.7109375" style="1213" customWidth="1"/>
    <col min="7160" max="7160" width="45.42578125" style="1213" customWidth="1"/>
    <col min="7161" max="7408" width="9.140625" style="1213"/>
    <col min="7409" max="7409" width="4.85546875" style="1213" customWidth="1"/>
    <col min="7410" max="7410" width="48.28515625" style="1213" customWidth="1"/>
    <col min="7411" max="7411" width="12.85546875" style="1213" customWidth="1"/>
    <col min="7412" max="7412" width="11.7109375" style="1213" customWidth="1"/>
    <col min="7413" max="7413" width="11.140625" style="1213" customWidth="1"/>
    <col min="7414" max="7414" width="11.42578125" style="1213" customWidth="1"/>
    <col min="7415" max="7415" width="11.7109375" style="1213" customWidth="1"/>
    <col min="7416" max="7416" width="45.42578125" style="1213" customWidth="1"/>
    <col min="7417" max="7664" width="9.140625" style="1213"/>
    <col min="7665" max="7665" width="4.85546875" style="1213" customWidth="1"/>
    <col min="7666" max="7666" width="48.28515625" style="1213" customWidth="1"/>
    <col min="7667" max="7667" width="12.85546875" style="1213" customWidth="1"/>
    <col min="7668" max="7668" width="11.7109375" style="1213" customWidth="1"/>
    <col min="7669" max="7669" width="11.140625" style="1213" customWidth="1"/>
    <col min="7670" max="7670" width="11.42578125" style="1213" customWidth="1"/>
    <col min="7671" max="7671" width="11.7109375" style="1213" customWidth="1"/>
    <col min="7672" max="7672" width="45.42578125" style="1213" customWidth="1"/>
    <col min="7673" max="7920" width="9.140625" style="1213"/>
    <col min="7921" max="7921" width="4.85546875" style="1213" customWidth="1"/>
    <col min="7922" max="7922" width="48.28515625" style="1213" customWidth="1"/>
    <col min="7923" max="7923" width="12.85546875" style="1213" customWidth="1"/>
    <col min="7924" max="7924" width="11.7109375" style="1213" customWidth="1"/>
    <col min="7925" max="7925" width="11.140625" style="1213" customWidth="1"/>
    <col min="7926" max="7926" width="11.42578125" style="1213" customWidth="1"/>
    <col min="7927" max="7927" width="11.7109375" style="1213" customWidth="1"/>
    <col min="7928" max="7928" width="45.42578125" style="1213" customWidth="1"/>
    <col min="7929" max="8176" width="9.140625" style="1213"/>
    <col min="8177" max="8177" width="4.85546875" style="1213" customWidth="1"/>
    <col min="8178" max="8178" width="48.28515625" style="1213" customWidth="1"/>
    <col min="8179" max="8179" width="12.85546875" style="1213" customWidth="1"/>
    <col min="8180" max="8180" width="11.7109375" style="1213" customWidth="1"/>
    <col min="8181" max="8181" width="11.140625" style="1213" customWidth="1"/>
    <col min="8182" max="8182" width="11.42578125" style="1213" customWidth="1"/>
    <col min="8183" max="8183" width="11.7109375" style="1213" customWidth="1"/>
    <col min="8184" max="8184" width="45.42578125" style="1213" customWidth="1"/>
    <col min="8185" max="8432" width="9.140625" style="1213"/>
    <col min="8433" max="8433" width="4.85546875" style="1213" customWidth="1"/>
    <col min="8434" max="8434" width="48.28515625" style="1213" customWidth="1"/>
    <col min="8435" max="8435" width="12.85546875" style="1213" customWidth="1"/>
    <col min="8436" max="8436" width="11.7109375" style="1213" customWidth="1"/>
    <col min="8437" max="8437" width="11.140625" style="1213" customWidth="1"/>
    <col min="8438" max="8438" width="11.42578125" style="1213" customWidth="1"/>
    <col min="8439" max="8439" width="11.7109375" style="1213" customWidth="1"/>
    <col min="8440" max="8440" width="45.42578125" style="1213" customWidth="1"/>
    <col min="8441" max="8688" width="9.140625" style="1213"/>
    <col min="8689" max="8689" width="4.85546875" style="1213" customWidth="1"/>
    <col min="8690" max="8690" width="48.28515625" style="1213" customWidth="1"/>
    <col min="8691" max="8691" width="12.85546875" style="1213" customWidth="1"/>
    <col min="8692" max="8692" width="11.7109375" style="1213" customWidth="1"/>
    <col min="8693" max="8693" width="11.140625" style="1213" customWidth="1"/>
    <col min="8694" max="8694" width="11.42578125" style="1213" customWidth="1"/>
    <col min="8695" max="8695" width="11.7109375" style="1213" customWidth="1"/>
    <col min="8696" max="8696" width="45.42578125" style="1213" customWidth="1"/>
    <col min="8697" max="8944" width="9.140625" style="1213"/>
    <col min="8945" max="8945" width="4.85546875" style="1213" customWidth="1"/>
    <col min="8946" max="8946" width="48.28515625" style="1213" customWidth="1"/>
    <col min="8947" max="8947" width="12.85546875" style="1213" customWidth="1"/>
    <col min="8948" max="8948" width="11.7109375" style="1213" customWidth="1"/>
    <col min="8949" max="8949" width="11.140625" style="1213" customWidth="1"/>
    <col min="8950" max="8950" width="11.42578125" style="1213" customWidth="1"/>
    <col min="8951" max="8951" width="11.7109375" style="1213" customWidth="1"/>
    <col min="8952" max="8952" width="45.42578125" style="1213" customWidth="1"/>
    <col min="8953" max="9200" width="9.140625" style="1213"/>
    <col min="9201" max="9201" width="4.85546875" style="1213" customWidth="1"/>
    <col min="9202" max="9202" width="48.28515625" style="1213" customWidth="1"/>
    <col min="9203" max="9203" width="12.85546875" style="1213" customWidth="1"/>
    <col min="9204" max="9204" width="11.7109375" style="1213" customWidth="1"/>
    <col min="9205" max="9205" width="11.140625" style="1213" customWidth="1"/>
    <col min="9206" max="9206" width="11.42578125" style="1213" customWidth="1"/>
    <col min="9207" max="9207" width="11.7109375" style="1213" customWidth="1"/>
    <col min="9208" max="9208" width="45.42578125" style="1213" customWidth="1"/>
    <col min="9209" max="9456" width="9.140625" style="1213"/>
    <col min="9457" max="9457" width="4.85546875" style="1213" customWidth="1"/>
    <col min="9458" max="9458" width="48.28515625" style="1213" customWidth="1"/>
    <col min="9459" max="9459" width="12.85546875" style="1213" customWidth="1"/>
    <col min="9460" max="9460" width="11.7109375" style="1213" customWidth="1"/>
    <col min="9461" max="9461" width="11.140625" style="1213" customWidth="1"/>
    <col min="9462" max="9462" width="11.42578125" style="1213" customWidth="1"/>
    <col min="9463" max="9463" width="11.7109375" style="1213" customWidth="1"/>
    <col min="9464" max="9464" width="45.42578125" style="1213" customWidth="1"/>
    <col min="9465" max="9712" width="9.140625" style="1213"/>
    <col min="9713" max="9713" width="4.85546875" style="1213" customWidth="1"/>
    <col min="9714" max="9714" width="48.28515625" style="1213" customWidth="1"/>
    <col min="9715" max="9715" width="12.85546875" style="1213" customWidth="1"/>
    <col min="9716" max="9716" width="11.7109375" style="1213" customWidth="1"/>
    <col min="9717" max="9717" width="11.140625" style="1213" customWidth="1"/>
    <col min="9718" max="9718" width="11.42578125" style="1213" customWidth="1"/>
    <col min="9719" max="9719" width="11.7109375" style="1213" customWidth="1"/>
    <col min="9720" max="9720" width="45.42578125" style="1213" customWidth="1"/>
    <col min="9721" max="9968" width="9.140625" style="1213"/>
    <col min="9969" max="9969" width="4.85546875" style="1213" customWidth="1"/>
    <col min="9970" max="9970" width="48.28515625" style="1213" customWidth="1"/>
    <col min="9971" max="9971" width="12.85546875" style="1213" customWidth="1"/>
    <col min="9972" max="9972" width="11.7109375" style="1213" customWidth="1"/>
    <col min="9973" max="9973" width="11.140625" style="1213" customWidth="1"/>
    <col min="9974" max="9974" width="11.42578125" style="1213" customWidth="1"/>
    <col min="9975" max="9975" width="11.7109375" style="1213" customWidth="1"/>
    <col min="9976" max="9976" width="45.42578125" style="1213" customWidth="1"/>
    <col min="9977" max="10224" width="9.140625" style="1213"/>
    <col min="10225" max="10225" width="4.85546875" style="1213" customWidth="1"/>
    <col min="10226" max="10226" width="48.28515625" style="1213" customWidth="1"/>
    <col min="10227" max="10227" width="12.85546875" style="1213" customWidth="1"/>
    <col min="10228" max="10228" width="11.7109375" style="1213" customWidth="1"/>
    <col min="10229" max="10229" width="11.140625" style="1213" customWidth="1"/>
    <col min="10230" max="10230" width="11.42578125" style="1213" customWidth="1"/>
    <col min="10231" max="10231" width="11.7109375" style="1213" customWidth="1"/>
    <col min="10232" max="10232" width="45.42578125" style="1213" customWidth="1"/>
    <col min="10233" max="10480" width="9.140625" style="1213"/>
    <col min="10481" max="10481" width="4.85546875" style="1213" customWidth="1"/>
    <col min="10482" max="10482" width="48.28515625" style="1213" customWidth="1"/>
    <col min="10483" max="10483" width="12.85546875" style="1213" customWidth="1"/>
    <col min="10484" max="10484" width="11.7109375" style="1213" customWidth="1"/>
    <col min="10485" max="10485" width="11.140625" style="1213" customWidth="1"/>
    <col min="10486" max="10486" width="11.42578125" style="1213" customWidth="1"/>
    <col min="10487" max="10487" width="11.7109375" style="1213" customWidth="1"/>
    <col min="10488" max="10488" width="45.42578125" style="1213" customWidth="1"/>
    <col min="10489" max="10736" width="9.140625" style="1213"/>
    <col min="10737" max="10737" width="4.85546875" style="1213" customWidth="1"/>
    <col min="10738" max="10738" width="48.28515625" style="1213" customWidth="1"/>
    <col min="10739" max="10739" width="12.85546875" style="1213" customWidth="1"/>
    <col min="10740" max="10740" width="11.7109375" style="1213" customWidth="1"/>
    <col min="10741" max="10741" width="11.140625" style="1213" customWidth="1"/>
    <col min="10742" max="10742" width="11.42578125" style="1213" customWidth="1"/>
    <col min="10743" max="10743" width="11.7109375" style="1213" customWidth="1"/>
    <col min="10744" max="10744" width="45.42578125" style="1213" customWidth="1"/>
    <col min="10745" max="10992" width="9.140625" style="1213"/>
    <col min="10993" max="10993" width="4.85546875" style="1213" customWidth="1"/>
    <col min="10994" max="10994" width="48.28515625" style="1213" customWidth="1"/>
    <col min="10995" max="10995" width="12.85546875" style="1213" customWidth="1"/>
    <col min="10996" max="10996" width="11.7109375" style="1213" customWidth="1"/>
    <col min="10997" max="10997" width="11.140625" style="1213" customWidth="1"/>
    <col min="10998" max="10998" width="11.42578125" style="1213" customWidth="1"/>
    <col min="10999" max="10999" width="11.7109375" style="1213" customWidth="1"/>
    <col min="11000" max="11000" width="45.42578125" style="1213" customWidth="1"/>
    <col min="11001" max="11248" width="9.140625" style="1213"/>
    <col min="11249" max="11249" width="4.85546875" style="1213" customWidth="1"/>
    <col min="11250" max="11250" width="48.28515625" style="1213" customWidth="1"/>
    <col min="11251" max="11251" width="12.85546875" style="1213" customWidth="1"/>
    <col min="11252" max="11252" width="11.7109375" style="1213" customWidth="1"/>
    <col min="11253" max="11253" width="11.140625" style="1213" customWidth="1"/>
    <col min="11254" max="11254" width="11.42578125" style="1213" customWidth="1"/>
    <col min="11255" max="11255" width="11.7109375" style="1213" customWidth="1"/>
    <col min="11256" max="11256" width="45.42578125" style="1213" customWidth="1"/>
    <col min="11257" max="11504" width="9.140625" style="1213"/>
    <col min="11505" max="11505" width="4.85546875" style="1213" customWidth="1"/>
    <col min="11506" max="11506" width="48.28515625" style="1213" customWidth="1"/>
    <col min="11507" max="11507" width="12.85546875" style="1213" customWidth="1"/>
    <col min="11508" max="11508" width="11.7109375" style="1213" customWidth="1"/>
    <col min="11509" max="11509" width="11.140625" style="1213" customWidth="1"/>
    <col min="11510" max="11510" width="11.42578125" style="1213" customWidth="1"/>
    <col min="11511" max="11511" width="11.7109375" style="1213" customWidth="1"/>
    <col min="11512" max="11512" width="45.42578125" style="1213" customWidth="1"/>
    <col min="11513" max="11760" width="9.140625" style="1213"/>
    <col min="11761" max="11761" width="4.85546875" style="1213" customWidth="1"/>
    <col min="11762" max="11762" width="48.28515625" style="1213" customWidth="1"/>
    <col min="11763" max="11763" width="12.85546875" style="1213" customWidth="1"/>
    <col min="11764" max="11764" width="11.7109375" style="1213" customWidth="1"/>
    <col min="11765" max="11765" width="11.140625" style="1213" customWidth="1"/>
    <col min="11766" max="11766" width="11.42578125" style="1213" customWidth="1"/>
    <col min="11767" max="11767" width="11.7109375" style="1213" customWidth="1"/>
    <col min="11768" max="11768" width="45.42578125" style="1213" customWidth="1"/>
    <col min="11769" max="12016" width="9.140625" style="1213"/>
    <col min="12017" max="12017" width="4.85546875" style="1213" customWidth="1"/>
    <col min="12018" max="12018" width="48.28515625" style="1213" customWidth="1"/>
    <col min="12019" max="12019" width="12.85546875" style="1213" customWidth="1"/>
    <col min="12020" max="12020" width="11.7109375" style="1213" customWidth="1"/>
    <col min="12021" max="12021" width="11.140625" style="1213" customWidth="1"/>
    <col min="12022" max="12022" width="11.42578125" style="1213" customWidth="1"/>
    <col min="12023" max="12023" width="11.7109375" style="1213" customWidth="1"/>
    <col min="12024" max="12024" width="45.42578125" style="1213" customWidth="1"/>
    <col min="12025" max="12272" width="9.140625" style="1213"/>
    <col min="12273" max="12273" width="4.85546875" style="1213" customWidth="1"/>
    <col min="12274" max="12274" width="48.28515625" style="1213" customWidth="1"/>
    <col min="12275" max="12275" width="12.85546875" style="1213" customWidth="1"/>
    <col min="12276" max="12276" width="11.7109375" style="1213" customWidth="1"/>
    <col min="12277" max="12277" width="11.140625" style="1213" customWidth="1"/>
    <col min="12278" max="12278" width="11.42578125" style="1213" customWidth="1"/>
    <col min="12279" max="12279" width="11.7109375" style="1213" customWidth="1"/>
    <col min="12280" max="12280" width="45.42578125" style="1213" customWidth="1"/>
    <col min="12281" max="12528" width="9.140625" style="1213"/>
    <col min="12529" max="12529" width="4.85546875" style="1213" customWidth="1"/>
    <col min="12530" max="12530" width="48.28515625" style="1213" customWidth="1"/>
    <col min="12531" max="12531" width="12.85546875" style="1213" customWidth="1"/>
    <col min="12532" max="12532" width="11.7109375" style="1213" customWidth="1"/>
    <col min="12533" max="12533" width="11.140625" style="1213" customWidth="1"/>
    <col min="12534" max="12534" width="11.42578125" style="1213" customWidth="1"/>
    <col min="12535" max="12535" width="11.7109375" style="1213" customWidth="1"/>
    <col min="12536" max="12536" width="45.42578125" style="1213" customWidth="1"/>
    <col min="12537" max="12784" width="9.140625" style="1213"/>
    <col min="12785" max="12785" width="4.85546875" style="1213" customWidth="1"/>
    <col min="12786" max="12786" width="48.28515625" style="1213" customWidth="1"/>
    <col min="12787" max="12787" width="12.85546875" style="1213" customWidth="1"/>
    <col min="12788" max="12788" width="11.7109375" style="1213" customWidth="1"/>
    <col min="12789" max="12789" width="11.140625" style="1213" customWidth="1"/>
    <col min="12790" max="12790" width="11.42578125" style="1213" customWidth="1"/>
    <col min="12791" max="12791" width="11.7109375" style="1213" customWidth="1"/>
    <col min="12792" max="12792" width="45.42578125" style="1213" customWidth="1"/>
    <col min="12793" max="13040" width="9.140625" style="1213"/>
    <col min="13041" max="13041" width="4.85546875" style="1213" customWidth="1"/>
    <col min="13042" max="13042" width="48.28515625" style="1213" customWidth="1"/>
    <col min="13043" max="13043" width="12.85546875" style="1213" customWidth="1"/>
    <col min="13044" max="13044" width="11.7109375" style="1213" customWidth="1"/>
    <col min="13045" max="13045" width="11.140625" style="1213" customWidth="1"/>
    <col min="13046" max="13046" width="11.42578125" style="1213" customWidth="1"/>
    <col min="13047" max="13047" width="11.7109375" style="1213" customWidth="1"/>
    <col min="13048" max="13048" width="45.42578125" style="1213" customWidth="1"/>
    <col min="13049" max="13296" width="9.140625" style="1213"/>
    <col min="13297" max="13297" width="4.85546875" style="1213" customWidth="1"/>
    <col min="13298" max="13298" width="48.28515625" style="1213" customWidth="1"/>
    <col min="13299" max="13299" width="12.85546875" style="1213" customWidth="1"/>
    <col min="13300" max="13300" width="11.7109375" style="1213" customWidth="1"/>
    <col min="13301" max="13301" width="11.140625" style="1213" customWidth="1"/>
    <col min="13302" max="13302" width="11.42578125" style="1213" customWidth="1"/>
    <col min="13303" max="13303" width="11.7109375" style="1213" customWidth="1"/>
    <col min="13304" max="13304" width="45.42578125" style="1213" customWidth="1"/>
    <col min="13305" max="13552" width="9.140625" style="1213"/>
    <col min="13553" max="13553" width="4.85546875" style="1213" customWidth="1"/>
    <col min="13554" max="13554" width="48.28515625" style="1213" customWidth="1"/>
    <col min="13555" max="13555" width="12.85546875" style="1213" customWidth="1"/>
    <col min="13556" max="13556" width="11.7109375" style="1213" customWidth="1"/>
    <col min="13557" max="13557" width="11.140625" style="1213" customWidth="1"/>
    <col min="13558" max="13558" width="11.42578125" style="1213" customWidth="1"/>
    <col min="13559" max="13559" width="11.7109375" style="1213" customWidth="1"/>
    <col min="13560" max="13560" width="45.42578125" style="1213" customWidth="1"/>
    <col min="13561" max="13808" width="9.140625" style="1213"/>
    <col min="13809" max="13809" width="4.85546875" style="1213" customWidth="1"/>
    <col min="13810" max="13810" width="48.28515625" style="1213" customWidth="1"/>
    <col min="13811" max="13811" width="12.85546875" style="1213" customWidth="1"/>
    <col min="13812" max="13812" width="11.7109375" style="1213" customWidth="1"/>
    <col min="13813" max="13813" width="11.140625" style="1213" customWidth="1"/>
    <col min="13814" max="13814" width="11.42578125" style="1213" customWidth="1"/>
    <col min="13815" max="13815" width="11.7109375" style="1213" customWidth="1"/>
    <col min="13816" max="13816" width="45.42578125" style="1213" customWidth="1"/>
    <col min="13817" max="14064" width="9.140625" style="1213"/>
    <col min="14065" max="14065" width="4.85546875" style="1213" customWidth="1"/>
    <col min="14066" max="14066" width="48.28515625" style="1213" customWidth="1"/>
    <col min="14067" max="14067" width="12.85546875" style="1213" customWidth="1"/>
    <col min="14068" max="14068" width="11.7109375" style="1213" customWidth="1"/>
    <col min="14069" max="14069" width="11.140625" style="1213" customWidth="1"/>
    <col min="14070" max="14070" width="11.42578125" style="1213" customWidth="1"/>
    <col min="14071" max="14071" width="11.7109375" style="1213" customWidth="1"/>
    <col min="14072" max="14072" width="45.42578125" style="1213" customWidth="1"/>
    <col min="14073" max="14320" width="9.140625" style="1213"/>
    <col min="14321" max="14321" width="4.85546875" style="1213" customWidth="1"/>
    <col min="14322" max="14322" width="48.28515625" style="1213" customWidth="1"/>
    <col min="14323" max="14323" width="12.85546875" style="1213" customWidth="1"/>
    <col min="14324" max="14324" width="11.7109375" style="1213" customWidth="1"/>
    <col min="14325" max="14325" width="11.140625" style="1213" customWidth="1"/>
    <col min="14326" max="14326" width="11.42578125" style="1213" customWidth="1"/>
    <col min="14327" max="14327" width="11.7109375" style="1213" customWidth="1"/>
    <col min="14328" max="14328" width="45.42578125" style="1213" customWidth="1"/>
    <col min="14329" max="14576" width="9.140625" style="1213"/>
    <col min="14577" max="14577" width="4.85546875" style="1213" customWidth="1"/>
    <col min="14578" max="14578" width="48.28515625" style="1213" customWidth="1"/>
    <col min="14579" max="14579" width="12.85546875" style="1213" customWidth="1"/>
    <col min="14580" max="14580" width="11.7109375" style="1213" customWidth="1"/>
    <col min="14581" max="14581" width="11.140625" style="1213" customWidth="1"/>
    <col min="14582" max="14582" width="11.42578125" style="1213" customWidth="1"/>
    <col min="14583" max="14583" width="11.7109375" style="1213" customWidth="1"/>
    <col min="14584" max="14584" width="45.42578125" style="1213" customWidth="1"/>
    <col min="14585" max="14832" width="9.140625" style="1213"/>
    <col min="14833" max="14833" width="4.85546875" style="1213" customWidth="1"/>
    <col min="14834" max="14834" width="48.28515625" style="1213" customWidth="1"/>
    <col min="14835" max="14835" width="12.85546875" style="1213" customWidth="1"/>
    <col min="14836" max="14836" width="11.7109375" style="1213" customWidth="1"/>
    <col min="14837" max="14837" width="11.140625" style="1213" customWidth="1"/>
    <col min="14838" max="14838" width="11.42578125" style="1213" customWidth="1"/>
    <col min="14839" max="14839" width="11.7109375" style="1213" customWidth="1"/>
    <col min="14840" max="14840" width="45.42578125" style="1213" customWidth="1"/>
    <col min="14841" max="15088" width="9.140625" style="1213"/>
    <col min="15089" max="15089" width="4.85546875" style="1213" customWidth="1"/>
    <col min="15090" max="15090" width="48.28515625" style="1213" customWidth="1"/>
    <col min="15091" max="15091" width="12.85546875" style="1213" customWidth="1"/>
    <col min="15092" max="15092" width="11.7109375" style="1213" customWidth="1"/>
    <col min="15093" max="15093" width="11.140625" style="1213" customWidth="1"/>
    <col min="15094" max="15094" width="11.42578125" style="1213" customWidth="1"/>
    <col min="15095" max="15095" width="11.7109375" style="1213" customWidth="1"/>
    <col min="15096" max="15096" width="45.42578125" style="1213" customWidth="1"/>
    <col min="15097" max="15344" width="9.140625" style="1213"/>
    <col min="15345" max="15345" width="4.85546875" style="1213" customWidth="1"/>
    <col min="15346" max="15346" width="48.28515625" style="1213" customWidth="1"/>
    <col min="15347" max="15347" width="12.85546875" style="1213" customWidth="1"/>
    <col min="15348" max="15348" width="11.7109375" style="1213" customWidth="1"/>
    <col min="15349" max="15349" width="11.140625" style="1213" customWidth="1"/>
    <col min="15350" max="15350" width="11.42578125" style="1213" customWidth="1"/>
    <col min="15351" max="15351" width="11.7109375" style="1213" customWidth="1"/>
    <col min="15352" max="15352" width="45.42578125" style="1213" customWidth="1"/>
    <col min="15353" max="15600" width="9.140625" style="1213"/>
    <col min="15601" max="15601" width="4.85546875" style="1213" customWidth="1"/>
    <col min="15602" max="15602" width="48.28515625" style="1213" customWidth="1"/>
    <col min="15603" max="15603" width="12.85546875" style="1213" customWidth="1"/>
    <col min="15604" max="15604" width="11.7109375" style="1213" customWidth="1"/>
    <col min="15605" max="15605" width="11.140625" style="1213" customWidth="1"/>
    <col min="15606" max="15606" width="11.42578125" style="1213" customWidth="1"/>
    <col min="15607" max="15607" width="11.7109375" style="1213" customWidth="1"/>
    <col min="15608" max="15608" width="45.42578125" style="1213" customWidth="1"/>
    <col min="15609" max="15856" width="9.140625" style="1213"/>
    <col min="15857" max="15857" width="4.85546875" style="1213" customWidth="1"/>
    <col min="15858" max="15858" width="48.28515625" style="1213" customWidth="1"/>
    <col min="15859" max="15859" width="12.85546875" style="1213" customWidth="1"/>
    <col min="15860" max="15860" width="11.7109375" style="1213" customWidth="1"/>
    <col min="15861" max="15861" width="11.140625" style="1213" customWidth="1"/>
    <col min="15862" max="15862" width="11.42578125" style="1213" customWidth="1"/>
    <col min="15863" max="15863" width="11.7109375" style="1213" customWidth="1"/>
    <col min="15864" max="15864" width="45.42578125" style="1213" customWidth="1"/>
    <col min="15865" max="16112" width="9.140625" style="1213"/>
    <col min="16113" max="16113" width="4.85546875" style="1213" customWidth="1"/>
    <col min="16114" max="16114" width="48.28515625" style="1213" customWidth="1"/>
    <col min="16115" max="16115" width="12.85546875" style="1213" customWidth="1"/>
    <col min="16116" max="16116" width="11.7109375" style="1213" customWidth="1"/>
    <col min="16117" max="16117" width="11.140625" style="1213" customWidth="1"/>
    <col min="16118" max="16118" width="11.42578125" style="1213" customWidth="1"/>
    <col min="16119" max="16119" width="11.7109375" style="1213" customWidth="1"/>
    <col min="16120" max="16120" width="45.42578125" style="1213" customWidth="1"/>
    <col min="16121" max="16384" width="9.140625" style="1213"/>
  </cols>
  <sheetData>
    <row r="1" spans="1:8" x14ac:dyDescent="0.2">
      <c r="H1" s="1215" t="s">
        <v>1390</v>
      </c>
    </row>
    <row r="2" spans="1:8" x14ac:dyDescent="0.2">
      <c r="G2" s="1216"/>
      <c r="H2" s="1215" t="s">
        <v>434</v>
      </c>
    </row>
    <row r="3" spans="1:8" ht="18.75" x14ac:dyDescent="0.3">
      <c r="A3" s="1217" t="s">
        <v>2</v>
      </c>
      <c r="B3" s="1218"/>
      <c r="C3" s="1218" t="s">
        <v>1391</v>
      </c>
      <c r="D3" s="1219"/>
      <c r="E3" s="1219"/>
      <c r="F3" s="1220"/>
    </row>
    <row r="4" spans="1:8" x14ac:dyDescent="0.2">
      <c r="A4" s="1776" t="s">
        <v>4</v>
      </c>
      <c r="B4" s="1776"/>
      <c r="C4" s="1222">
        <v>90000594245</v>
      </c>
      <c r="D4" s="1223"/>
      <c r="E4" s="1223"/>
      <c r="F4" s="1222"/>
    </row>
    <row r="5" spans="1:8" ht="15.75" customHeight="1" x14ac:dyDescent="0.25">
      <c r="A5" s="1777" t="s">
        <v>414</v>
      </c>
      <c r="B5" s="1777"/>
      <c r="C5" s="1777"/>
      <c r="D5" s="1777"/>
      <c r="E5" s="1777"/>
      <c r="F5" s="1777"/>
      <c r="G5" s="1777"/>
      <c r="H5" s="1777"/>
    </row>
    <row r="6" spans="1:8" ht="15.75" customHeight="1" x14ac:dyDescent="0.2">
      <c r="A6" s="1224"/>
      <c r="B6" s="1224"/>
      <c r="C6" s="1224"/>
      <c r="D6" s="1224"/>
      <c r="E6" s="1224"/>
      <c r="F6" s="1224"/>
      <c r="G6" s="1224"/>
      <c r="H6" s="1224"/>
    </row>
    <row r="7" spans="1:8" ht="15.75" x14ac:dyDescent="0.25">
      <c r="A7" s="1217" t="s">
        <v>331</v>
      </c>
      <c r="B7" s="1217"/>
      <c r="C7" s="1778" t="s">
        <v>1392</v>
      </c>
      <c r="D7" s="1778"/>
      <c r="E7" s="1778"/>
      <c r="F7" s="1778"/>
    </row>
    <row r="8" spans="1:8" s="1230" customFormat="1" ht="13.5" customHeight="1" x14ac:dyDescent="0.25">
      <c r="A8" s="1779" t="s">
        <v>333</v>
      </c>
      <c r="B8" s="1779"/>
      <c r="C8" s="1225" t="s">
        <v>1385</v>
      </c>
      <c r="D8" s="1226"/>
      <c r="E8" s="1227"/>
      <c r="F8" s="1228"/>
      <c r="G8" s="1229"/>
      <c r="H8" s="1221"/>
    </row>
    <row r="9" spans="1:8" x14ac:dyDescent="0.2">
      <c r="A9" s="1231" t="s">
        <v>334</v>
      </c>
      <c r="B9" s="1231"/>
      <c r="C9" s="1232" t="s">
        <v>533</v>
      </c>
      <c r="D9" s="1233"/>
      <c r="E9" s="1234"/>
      <c r="F9" s="1235"/>
    </row>
    <row r="10" spans="1:8" ht="49.5" customHeight="1" x14ac:dyDescent="0.2">
      <c r="A10" s="993" t="s">
        <v>335</v>
      </c>
      <c r="B10" s="993" t="s">
        <v>336</v>
      </c>
      <c r="C10" s="1236" t="s">
        <v>337</v>
      </c>
      <c r="D10" s="1237" t="s">
        <v>338</v>
      </c>
      <c r="E10" s="1237" t="s">
        <v>339</v>
      </c>
      <c r="F10" s="1237" t="s">
        <v>340</v>
      </c>
      <c r="G10" s="1237" t="s">
        <v>35</v>
      </c>
      <c r="H10" s="1237" t="s">
        <v>341</v>
      </c>
    </row>
    <row r="11" spans="1:8" ht="12.75" customHeight="1" x14ac:dyDescent="0.2">
      <c r="A11" s="1238"/>
      <c r="B11" s="988" t="s">
        <v>638</v>
      </c>
      <c r="C11" s="1239"/>
      <c r="D11" s="1240">
        <f>SUM(D12:D20)</f>
        <v>363081</v>
      </c>
      <c r="E11" s="1240">
        <f>SUM(E12:E20)</f>
        <v>0</v>
      </c>
      <c r="F11" s="1240">
        <f>SUM(F12:F20)</f>
        <v>363081</v>
      </c>
      <c r="G11" s="1240"/>
      <c r="H11" s="1241"/>
    </row>
    <row r="12" spans="1:8" ht="41.25" customHeight="1" x14ac:dyDescent="0.2">
      <c r="A12" s="1242">
        <v>1</v>
      </c>
      <c r="B12" s="1243" t="s">
        <v>1393</v>
      </c>
      <c r="C12" s="1244">
        <v>6255</v>
      </c>
      <c r="D12" s="1245">
        <v>25020</v>
      </c>
      <c r="E12" s="1246"/>
      <c r="F12" s="1247">
        <f t="shared" ref="F12:F20" si="0">D12+E12</f>
        <v>25020</v>
      </c>
      <c r="G12" s="1248"/>
      <c r="H12" s="1249" t="s">
        <v>1394</v>
      </c>
    </row>
    <row r="13" spans="1:8" ht="50.25" customHeight="1" x14ac:dyDescent="0.2">
      <c r="A13" s="1242">
        <v>2</v>
      </c>
      <c r="B13" s="1243" t="s">
        <v>1395</v>
      </c>
      <c r="C13" s="1244">
        <v>6423</v>
      </c>
      <c r="D13" s="1245">
        <v>2736</v>
      </c>
      <c r="E13" s="1246">
        <v>-408</v>
      </c>
      <c r="F13" s="1247">
        <f t="shared" si="0"/>
        <v>2328</v>
      </c>
      <c r="G13" s="1248" t="s">
        <v>1387</v>
      </c>
      <c r="H13" s="1249" t="s">
        <v>1394</v>
      </c>
    </row>
    <row r="14" spans="1:8" ht="25.5" customHeight="1" x14ac:dyDescent="0.2">
      <c r="A14" s="1242">
        <v>3</v>
      </c>
      <c r="B14" s="1243" t="s">
        <v>1396</v>
      </c>
      <c r="C14" s="1244">
        <v>6423</v>
      </c>
      <c r="D14" s="1245">
        <v>298854</v>
      </c>
      <c r="E14" s="1246"/>
      <c r="F14" s="1247">
        <f t="shared" si="0"/>
        <v>298854</v>
      </c>
      <c r="G14" s="1248"/>
      <c r="H14" s="1249" t="s">
        <v>1397</v>
      </c>
    </row>
    <row r="15" spans="1:8" ht="25.5" customHeight="1" x14ac:dyDescent="0.2">
      <c r="A15" s="1242">
        <v>4</v>
      </c>
      <c r="B15" s="1243" t="s">
        <v>1398</v>
      </c>
      <c r="C15" s="1244">
        <v>6423</v>
      </c>
      <c r="D15" s="1245">
        <v>10560</v>
      </c>
      <c r="E15" s="1246"/>
      <c r="F15" s="1247">
        <f t="shared" si="0"/>
        <v>10560</v>
      </c>
      <c r="G15" s="1248"/>
      <c r="H15" s="1249" t="s">
        <v>1399</v>
      </c>
    </row>
    <row r="16" spans="1:8" ht="24" x14ac:dyDescent="0.2">
      <c r="A16" s="1250">
        <v>5</v>
      </c>
      <c r="B16" s="1243" t="s">
        <v>1400</v>
      </c>
      <c r="C16" s="1244">
        <v>6423</v>
      </c>
      <c r="D16" s="1245">
        <v>10480</v>
      </c>
      <c r="E16" s="1246"/>
      <c r="F16" s="1247">
        <f t="shared" si="0"/>
        <v>10480</v>
      </c>
      <c r="G16" s="1248"/>
      <c r="H16" s="1249" t="s">
        <v>1401</v>
      </c>
    </row>
    <row r="17" spans="1:8" x14ac:dyDescent="0.2">
      <c r="A17" s="1780">
        <v>6</v>
      </c>
      <c r="B17" s="1783" t="s">
        <v>1402</v>
      </c>
      <c r="C17" s="1244">
        <v>2314</v>
      </c>
      <c r="D17" s="1245">
        <v>430</v>
      </c>
      <c r="E17" s="1246"/>
      <c r="F17" s="1247">
        <f t="shared" si="0"/>
        <v>430</v>
      </c>
      <c r="G17" s="1251"/>
      <c r="H17" s="1784" t="s">
        <v>1394</v>
      </c>
    </row>
    <row r="18" spans="1:8" x14ac:dyDescent="0.2">
      <c r="A18" s="1781"/>
      <c r="B18" s="1783"/>
      <c r="C18" s="1244">
        <v>2279</v>
      </c>
      <c r="D18" s="1245">
        <v>300</v>
      </c>
      <c r="E18" s="1246"/>
      <c r="F18" s="1247">
        <f t="shared" si="0"/>
        <v>300</v>
      </c>
      <c r="G18" s="1251"/>
      <c r="H18" s="1784"/>
    </row>
    <row r="19" spans="1:8" x14ac:dyDescent="0.2">
      <c r="A19" s="1782"/>
      <c r="B19" s="1783"/>
      <c r="C19" s="1244">
        <v>2314</v>
      </c>
      <c r="D19" s="1245">
        <v>1750</v>
      </c>
      <c r="E19" s="1246"/>
      <c r="F19" s="1247">
        <f t="shared" si="0"/>
        <v>1750</v>
      </c>
      <c r="G19" s="1251"/>
      <c r="H19" s="1784"/>
    </row>
    <row r="20" spans="1:8" ht="84" x14ac:dyDescent="0.2">
      <c r="A20" s="1252">
        <v>7</v>
      </c>
      <c r="B20" s="1243" t="s">
        <v>1403</v>
      </c>
      <c r="C20" s="1244">
        <v>7247</v>
      </c>
      <c r="D20" s="1245">
        <v>12951</v>
      </c>
      <c r="E20" s="1253">
        <v>408</v>
      </c>
      <c r="F20" s="1247">
        <f t="shared" si="0"/>
        <v>13359</v>
      </c>
      <c r="G20" s="1248" t="s">
        <v>1404</v>
      </c>
      <c r="H20" s="1249" t="s">
        <v>1405</v>
      </c>
    </row>
    <row r="21" spans="1:8" x14ac:dyDescent="0.2">
      <c r="A21" s="1254"/>
      <c r="B21" s="1254"/>
      <c r="C21" s="1254"/>
      <c r="D21" s="1255"/>
      <c r="E21" s="1256"/>
      <c r="F21" s="1254"/>
    </row>
    <row r="22" spans="1:8" x14ac:dyDescent="0.2">
      <c r="A22" s="1231" t="s">
        <v>333</v>
      </c>
      <c r="B22" s="1231"/>
      <c r="C22" s="1257" t="s">
        <v>1406</v>
      </c>
      <c r="D22" s="1233"/>
      <c r="E22" s="1234"/>
      <c r="F22" s="1258"/>
    </row>
    <row r="23" spans="1:8" x14ac:dyDescent="0.2">
      <c r="A23" s="1231" t="s">
        <v>334</v>
      </c>
      <c r="B23" s="1231"/>
      <c r="C23" s="1232" t="s">
        <v>1407</v>
      </c>
      <c r="D23" s="1233"/>
      <c r="E23" s="1234"/>
      <c r="F23" s="1258"/>
    </row>
    <row r="24" spans="1:8" ht="53.25" customHeight="1" x14ac:dyDescent="0.2">
      <c r="A24" s="993" t="s">
        <v>335</v>
      </c>
      <c r="B24" s="993" t="s">
        <v>336</v>
      </c>
      <c r="C24" s="1259" t="s">
        <v>337</v>
      </c>
      <c r="D24" s="1237" t="s">
        <v>338</v>
      </c>
      <c r="E24" s="1237" t="s">
        <v>339</v>
      </c>
      <c r="F24" s="1237" t="s">
        <v>340</v>
      </c>
      <c r="G24" s="1237" t="s">
        <v>35</v>
      </c>
      <c r="H24" s="1237" t="s">
        <v>341</v>
      </c>
    </row>
    <row r="25" spans="1:8" ht="12.75" customHeight="1" x14ac:dyDescent="0.2">
      <c r="A25" s="1238"/>
      <c r="B25" s="988" t="s">
        <v>638</v>
      </c>
      <c r="C25" s="1260"/>
      <c r="D25" s="1261">
        <f>SUM(D26:D26)</f>
        <v>14400</v>
      </c>
      <c r="E25" s="1261">
        <f>SUM(E26:E26)</f>
        <v>0</v>
      </c>
      <c r="F25" s="1261">
        <f>SUM(F26:F26)</f>
        <v>14400</v>
      </c>
      <c r="G25" s="1261"/>
      <c r="H25" s="1262"/>
    </row>
    <row r="26" spans="1:8" ht="55.5" customHeight="1" x14ac:dyDescent="0.2">
      <c r="A26" s="1252">
        <v>1</v>
      </c>
      <c r="B26" s="1263" t="s">
        <v>1408</v>
      </c>
      <c r="C26" s="1244">
        <v>6255</v>
      </c>
      <c r="D26" s="1245">
        <v>14400</v>
      </c>
      <c r="E26" s="1246"/>
      <c r="F26" s="1247">
        <f>D26+E26</f>
        <v>14400</v>
      </c>
      <c r="G26" s="1264"/>
      <c r="H26" s="1249" t="s">
        <v>1409</v>
      </c>
    </row>
    <row r="27" spans="1:8" x14ac:dyDescent="0.2">
      <c r="A27" s="1254"/>
      <c r="B27" s="1254"/>
      <c r="C27" s="1254"/>
      <c r="D27" s="1255"/>
      <c r="E27" s="1256"/>
      <c r="F27" s="1254"/>
    </row>
    <row r="28" spans="1:8" x14ac:dyDescent="0.2">
      <c r="A28" s="1231" t="s">
        <v>333</v>
      </c>
      <c r="B28" s="1231"/>
      <c r="C28" s="1257" t="s">
        <v>1410</v>
      </c>
      <c r="D28" s="1265"/>
      <c r="E28" s="1266"/>
      <c r="F28" s="1257"/>
      <c r="G28" s="1267"/>
      <c r="H28" s="1217"/>
    </row>
    <row r="29" spans="1:8" x14ac:dyDescent="0.2">
      <c r="A29" s="1231" t="s">
        <v>334</v>
      </c>
      <c r="B29" s="1231"/>
      <c r="C29" s="1232" t="s">
        <v>1411</v>
      </c>
      <c r="D29" s="1265"/>
      <c r="E29" s="1266"/>
      <c r="F29" s="1268"/>
      <c r="G29" s="1267"/>
      <c r="H29" s="1217"/>
    </row>
    <row r="30" spans="1:8" ht="48" x14ac:dyDescent="0.2">
      <c r="A30" s="993" t="s">
        <v>335</v>
      </c>
      <c r="B30" s="993" t="s">
        <v>336</v>
      </c>
      <c r="C30" s="1236" t="s">
        <v>337</v>
      </c>
      <c r="D30" s="1237" t="s">
        <v>338</v>
      </c>
      <c r="E30" s="1237" t="s">
        <v>339</v>
      </c>
      <c r="F30" s="1237" t="s">
        <v>340</v>
      </c>
      <c r="G30" s="1237" t="s">
        <v>35</v>
      </c>
      <c r="H30" s="1237" t="s">
        <v>341</v>
      </c>
    </row>
    <row r="31" spans="1:8" ht="12.75" customHeight="1" x14ac:dyDescent="0.2">
      <c r="A31" s="1238"/>
      <c r="B31" s="988" t="s">
        <v>638</v>
      </c>
      <c r="C31" s="1239"/>
      <c r="D31" s="1240">
        <f>SUM(D32:D36)</f>
        <v>48967</v>
      </c>
      <c r="E31" s="1240">
        <f>SUM(E32:E36)</f>
        <v>0</v>
      </c>
      <c r="F31" s="1240">
        <f>SUM(F32:F36)</f>
        <v>48967</v>
      </c>
      <c r="G31" s="1240"/>
      <c r="H31" s="1241"/>
    </row>
    <row r="32" spans="1:8" ht="24" x14ac:dyDescent="0.2">
      <c r="A32" s="1242">
        <v>1</v>
      </c>
      <c r="B32" s="1269" t="s">
        <v>1412</v>
      </c>
      <c r="C32" s="1270">
        <v>6423</v>
      </c>
      <c r="D32" s="1271">
        <v>12096</v>
      </c>
      <c r="E32" s="1272"/>
      <c r="F32" s="1247">
        <f>D32+E32</f>
        <v>12096</v>
      </c>
      <c r="G32" s="1248"/>
      <c r="H32" s="1273" t="s">
        <v>1413</v>
      </c>
    </row>
    <row r="33" spans="1:9" ht="24" x14ac:dyDescent="0.2">
      <c r="A33" s="1242">
        <v>2</v>
      </c>
      <c r="B33" s="1243" t="s">
        <v>1414</v>
      </c>
      <c r="C33" s="1244">
        <v>6423</v>
      </c>
      <c r="D33" s="1274">
        <v>8550</v>
      </c>
      <c r="E33" s="1272"/>
      <c r="F33" s="1247">
        <f>D33+E33</f>
        <v>8550</v>
      </c>
      <c r="G33" s="1248"/>
      <c r="H33" s="1273" t="s">
        <v>1405</v>
      </c>
    </row>
    <row r="34" spans="1:9" ht="36" x14ac:dyDescent="0.2">
      <c r="A34" s="1242">
        <v>3</v>
      </c>
      <c r="B34" s="1263" t="s">
        <v>1415</v>
      </c>
      <c r="C34" s="1244">
        <v>6255</v>
      </c>
      <c r="D34" s="1274">
        <v>19311</v>
      </c>
      <c r="E34" s="1272"/>
      <c r="F34" s="1247">
        <f>D34+E34</f>
        <v>19311</v>
      </c>
      <c r="G34" s="1248"/>
      <c r="H34" s="1249" t="s">
        <v>1413</v>
      </c>
    </row>
    <row r="35" spans="1:9" ht="24" x14ac:dyDescent="0.2">
      <c r="A35" s="1242">
        <v>4</v>
      </c>
      <c r="B35" s="1263" t="s">
        <v>1416</v>
      </c>
      <c r="C35" s="1244">
        <v>6255</v>
      </c>
      <c r="D35" s="1274">
        <v>7250</v>
      </c>
      <c r="E35" s="1272"/>
      <c r="F35" s="1247">
        <f>D35+E35</f>
        <v>7250</v>
      </c>
      <c r="G35" s="1248"/>
      <c r="H35" s="1249" t="s">
        <v>1413</v>
      </c>
    </row>
    <row r="36" spans="1:9" ht="36" x14ac:dyDescent="0.2">
      <c r="A36" s="1242">
        <v>5</v>
      </c>
      <c r="B36" s="1275" t="s">
        <v>1417</v>
      </c>
      <c r="C36" s="1244">
        <v>2279</v>
      </c>
      <c r="D36" s="1274">
        <v>1760</v>
      </c>
      <c r="E36" s="1272"/>
      <c r="F36" s="1247">
        <f>D36+E36</f>
        <v>1760</v>
      </c>
      <c r="G36" s="1248"/>
      <c r="H36" s="1249" t="s">
        <v>1413</v>
      </c>
    </row>
    <row r="37" spans="1:9" ht="16.5" customHeight="1" x14ac:dyDescent="0.2">
      <c r="B37" s="1276"/>
      <c r="C37" s="1276"/>
      <c r="D37" s="1277"/>
      <c r="E37" s="1278"/>
      <c r="F37" s="1276" t="s">
        <v>580</v>
      </c>
    </row>
    <row r="38" spans="1:9" x14ac:dyDescent="0.2">
      <c r="A38" s="1279" t="s">
        <v>1418</v>
      </c>
      <c r="B38" s="1279"/>
      <c r="C38" s="1279"/>
      <c r="D38" s="1279"/>
      <c r="E38" s="1280">
        <f>E11+E25+E31</f>
        <v>0</v>
      </c>
      <c r="F38" s="1279"/>
      <c r="G38" s="1281"/>
      <c r="H38" s="1279"/>
      <c r="I38" s="1279"/>
    </row>
    <row r="39" spans="1:9" x14ac:dyDescent="0.2">
      <c r="A39" s="1279" t="s">
        <v>1419</v>
      </c>
      <c r="B39" s="1279"/>
      <c r="C39" s="1279"/>
      <c r="D39" s="1279"/>
      <c r="E39" s="1279"/>
      <c r="F39" s="1279"/>
      <c r="G39" s="1281"/>
      <c r="H39" s="1279"/>
      <c r="I39" s="1279"/>
    </row>
    <row r="40" spans="1:9" x14ac:dyDescent="0.2">
      <c r="A40" s="1279"/>
      <c r="B40" s="1279"/>
      <c r="C40" s="1279" t="s">
        <v>1420</v>
      </c>
      <c r="D40" s="1279"/>
      <c r="E40" s="1279"/>
      <c r="F40" s="1279"/>
      <c r="G40" s="1281"/>
      <c r="H40" s="1279"/>
      <c r="I40" s="1279"/>
    </row>
    <row r="41" spans="1:9" x14ac:dyDescent="0.2">
      <c r="A41" s="1279"/>
      <c r="B41" s="1279"/>
      <c r="C41" s="1279"/>
      <c r="D41" s="1279"/>
      <c r="E41" s="1279"/>
      <c r="F41" s="1279"/>
      <c r="G41" s="1281"/>
      <c r="H41" s="1279"/>
      <c r="I41" s="1279"/>
    </row>
    <row r="42" spans="1:9" x14ac:dyDescent="0.2">
      <c r="A42" s="1279" t="s">
        <v>936</v>
      </c>
      <c r="B42" s="1279"/>
      <c r="C42" s="1279"/>
      <c r="D42" s="1279"/>
      <c r="E42" s="1279"/>
      <c r="F42" s="1279"/>
      <c r="G42" s="1281"/>
      <c r="H42" s="1279"/>
      <c r="I42" s="1279"/>
    </row>
    <row r="43" spans="1:9" x14ac:dyDescent="0.2">
      <c r="A43" s="1279"/>
      <c r="B43" s="1279" t="s">
        <v>1421</v>
      </c>
      <c r="C43" s="1279"/>
      <c r="D43" s="1279"/>
      <c r="E43" s="1279"/>
      <c r="F43" s="1279"/>
      <c r="G43" s="1281"/>
      <c r="H43" s="1279"/>
      <c r="I43" s="1279"/>
    </row>
    <row r="44" spans="1:9" x14ac:dyDescent="0.2">
      <c r="A44" s="1279"/>
      <c r="B44" s="1279" t="s">
        <v>1422</v>
      </c>
      <c r="C44" s="1279"/>
      <c r="D44" s="1279"/>
      <c r="E44" s="1279"/>
      <c r="F44" s="1279"/>
      <c r="G44" s="1281"/>
      <c r="H44" s="1279"/>
      <c r="I44" s="1279"/>
    </row>
    <row r="45" spans="1:9" x14ac:dyDescent="0.2">
      <c r="A45" s="1279"/>
      <c r="B45" s="1279"/>
      <c r="C45" s="1279" t="s">
        <v>1423</v>
      </c>
      <c r="D45" s="1279"/>
      <c r="E45" s="1279"/>
      <c r="F45" s="1279"/>
      <c r="G45" s="1281"/>
      <c r="H45" s="1279"/>
      <c r="I45" s="1279"/>
    </row>
    <row r="46" spans="1:9" x14ac:dyDescent="0.2">
      <c r="A46" s="1279"/>
      <c r="B46" s="1279"/>
      <c r="C46" s="1279" t="s">
        <v>1424</v>
      </c>
      <c r="D46" s="1279"/>
      <c r="E46" s="1279"/>
      <c r="F46" s="1279"/>
      <c r="G46" s="1281"/>
      <c r="H46" s="1279"/>
      <c r="I46" s="1279"/>
    </row>
    <row r="47" spans="1:9" x14ac:dyDescent="0.2">
      <c r="C47" s="1279" t="s">
        <v>1425</v>
      </c>
      <c r="I47" s="1221"/>
    </row>
    <row r="48" spans="1:9" x14ac:dyDescent="0.2">
      <c r="C48" s="1279" t="s">
        <v>1426</v>
      </c>
      <c r="I48" s="1221"/>
    </row>
    <row r="49" spans="3:9" x14ac:dyDescent="0.2">
      <c r="C49" s="1279" t="s">
        <v>1427</v>
      </c>
      <c r="I49" s="1221"/>
    </row>
    <row r="50" spans="3:9" x14ac:dyDescent="0.2">
      <c r="I50" s="1221"/>
    </row>
    <row r="51" spans="3:9" x14ac:dyDescent="0.2">
      <c r="I51" s="1221"/>
    </row>
    <row r="52" spans="3:9" x14ac:dyDescent="0.2">
      <c r="I52" s="1221"/>
    </row>
  </sheetData>
  <sheetProtection algorithmName="SHA-512" hashValue="p3d5J55oOvcweMPEHxMyxiA7hOiWWdl9dbXKdBTlDhL4WBPhIehmCXZwI+VpcmPoxNT3/lweiuVdbTW1j3OADQ==" saltValue="cb2B7W5E7VVFqkLoUFOE4A==" spinCount="100000" sheet="1" objects="1" scenarios="1"/>
  <mergeCells count="7">
    <mergeCell ref="A4:B4"/>
    <mergeCell ref="A5:H5"/>
    <mergeCell ref="C7:F7"/>
    <mergeCell ref="A8:B8"/>
    <mergeCell ref="A17:A19"/>
    <mergeCell ref="B17:B19"/>
    <mergeCell ref="H17:H1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51.pielikums Jūrmalas pilsētas domes
2019.gada 31.oktobra saistošajiem noteikumiem Nr.46
(protokols Nr.14, 28.punkts)
 </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1641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1642</v>
      </c>
      <c r="D5" s="1512"/>
      <c r="E5" s="1512"/>
      <c r="F5" s="1512"/>
      <c r="G5" s="1512"/>
      <c r="H5" s="1512"/>
      <c r="I5" s="1512"/>
      <c r="J5" s="1512"/>
      <c r="K5" s="1512"/>
      <c r="L5" s="1512"/>
      <c r="M5" s="1512"/>
      <c r="N5" s="1512"/>
      <c r="O5" s="1512"/>
      <c r="P5" s="1513"/>
      <c r="Q5" s="277"/>
    </row>
    <row r="6" spans="1:17" ht="12.75" customHeight="1" x14ac:dyDescent="0.25">
      <c r="A6" s="7" t="s">
        <v>8</v>
      </c>
      <c r="B6" s="8"/>
      <c r="C6" s="1512" t="s">
        <v>1643</v>
      </c>
      <c r="D6" s="1512"/>
      <c r="E6" s="1512"/>
      <c r="F6" s="1512"/>
      <c r="G6" s="1512"/>
      <c r="H6" s="1512"/>
      <c r="I6" s="1512"/>
      <c r="J6" s="1512"/>
      <c r="K6" s="1512"/>
      <c r="L6" s="1512"/>
      <c r="M6" s="1512"/>
      <c r="N6" s="1512"/>
      <c r="O6" s="1512"/>
      <c r="P6" s="1513"/>
      <c r="Q6" s="277"/>
    </row>
    <row r="7" spans="1:17" ht="39" customHeight="1" x14ac:dyDescent="0.25">
      <c r="A7" s="7" t="s">
        <v>10</v>
      </c>
      <c r="B7" s="8"/>
      <c r="C7" s="1517" t="s">
        <v>1644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1645</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23921</v>
      </c>
      <c r="D20" s="32">
        <f>SUM(D21,D24,D25,D41,D43)</f>
        <v>29936</v>
      </c>
      <c r="E20" s="33">
        <f t="shared" ref="E20:F20" si="1">SUM(E21,E24,E25,E41,E43)</f>
        <v>-6015</v>
      </c>
      <c r="F20" s="34">
        <f t="shared" si="1"/>
        <v>23921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39</v>
      </c>
      <c r="C21" s="38">
        <f t="shared" si="0"/>
        <v>937</v>
      </c>
      <c r="D21" s="39">
        <f>SUM(D22:D23)</f>
        <v>937</v>
      </c>
      <c r="E21" s="40">
        <f t="shared" ref="E21:F21" si="5">SUM(E22:E23)</f>
        <v>0</v>
      </c>
      <c r="F21" s="41">
        <f t="shared" si="5"/>
        <v>937</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937</v>
      </c>
      <c r="D23" s="53">
        <v>937</v>
      </c>
      <c r="E23" s="54"/>
      <c r="F23" s="55">
        <f t="shared" ref="F23:F25" si="9">D23+E23</f>
        <v>937</v>
      </c>
      <c r="G23" s="53"/>
      <c r="H23" s="54"/>
      <c r="I23" s="55">
        <f t="shared" ref="I23:I24" si="10">G23+H23</f>
        <v>0</v>
      </c>
      <c r="J23" s="53"/>
      <c r="K23" s="54"/>
      <c r="L23" s="56">
        <f>K23+J23</f>
        <v>0</v>
      </c>
      <c r="M23" s="53"/>
      <c r="N23" s="54"/>
      <c r="O23" s="55">
        <f>N23+M23</f>
        <v>0</v>
      </c>
      <c r="P23" s="57"/>
    </row>
    <row r="24" spans="1:16" s="28" customFormat="1" ht="34.5" customHeight="1" thickBot="1" x14ac:dyDescent="0.3">
      <c r="A24" s="58">
        <v>19300</v>
      </c>
      <c r="B24" s="58" t="s">
        <v>42</v>
      </c>
      <c r="C24" s="59">
        <f>F24+I24</f>
        <v>16660</v>
      </c>
      <c r="D24" s="60">
        <v>22578</v>
      </c>
      <c r="E24" s="63">
        <v>-5918</v>
      </c>
      <c r="F24" s="62">
        <f t="shared" si="9"/>
        <v>16660</v>
      </c>
      <c r="G24" s="60"/>
      <c r="H24" s="63"/>
      <c r="I24" s="62">
        <f t="shared" si="10"/>
        <v>0</v>
      </c>
      <c r="J24" s="64" t="s">
        <v>43</v>
      </c>
      <c r="K24" s="65" t="s">
        <v>43</v>
      </c>
      <c r="L24" s="66" t="s">
        <v>43</v>
      </c>
      <c r="M24" s="64" t="s">
        <v>43</v>
      </c>
      <c r="N24" s="65" t="s">
        <v>43</v>
      </c>
      <c r="O24" s="66" t="s">
        <v>43</v>
      </c>
      <c r="P24" s="67" t="s">
        <v>1646</v>
      </c>
    </row>
    <row r="25" spans="1:16" s="28" customFormat="1" ht="24.75" customHeight="1" thickTop="1" x14ac:dyDescent="0.25">
      <c r="A25" s="68">
        <v>18630</v>
      </c>
      <c r="B25" s="69" t="s">
        <v>44</v>
      </c>
      <c r="C25" s="70">
        <f>F25</f>
        <v>4616</v>
      </c>
      <c r="D25" s="71">
        <v>5621</v>
      </c>
      <c r="E25" s="1398">
        <v>-1005</v>
      </c>
      <c r="F25" s="73">
        <f t="shared" si="9"/>
        <v>4616</v>
      </c>
      <c r="G25" s="74" t="s">
        <v>43</v>
      </c>
      <c r="H25" s="75" t="s">
        <v>43</v>
      </c>
      <c r="I25" s="76" t="s">
        <v>43</v>
      </c>
      <c r="J25" s="74" t="s">
        <v>43</v>
      </c>
      <c r="K25" s="75" t="s">
        <v>43</v>
      </c>
      <c r="L25" s="76" t="s">
        <v>43</v>
      </c>
      <c r="M25" s="74" t="s">
        <v>43</v>
      </c>
      <c r="N25" s="75" t="s">
        <v>43</v>
      </c>
      <c r="O25" s="76" t="s">
        <v>43</v>
      </c>
      <c r="P25" s="77" t="s">
        <v>1647</v>
      </c>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customHeight="1" x14ac:dyDescent="0.25">
      <c r="A41" s="120">
        <v>21420</v>
      </c>
      <c r="B41" s="121" t="s">
        <v>60</v>
      </c>
      <c r="C41" s="122">
        <f>F41</f>
        <v>1708</v>
      </c>
      <c r="D41" s="123">
        <f>SUM(D42)</f>
        <v>800</v>
      </c>
      <c r="E41" s="124">
        <f t="shared" ref="E41:F41" si="21">SUM(E42)</f>
        <v>908</v>
      </c>
      <c r="F41" s="125">
        <f t="shared" si="21"/>
        <v>1708</v>
      </c>
      <c r="G41" s="126" t="s">
        <v>43</v>
      </c>
      <c r="H41" s="127" t="s">
        <v>43</v>
      </c>
      <c r="I41" s="128" t="s">
        <v>43</v>
      </c>
      <c r="J41" s="126" t="s">
        <v>43</v>
      </c>
      <c r="K41" s="127" t="s">
        <v>43</v>
      </c>
      <c r="L41" s="128" t="s">
        <v>43</v>
      </c>
      <c r="M41" s="126" t="s">
        <v>43</v>
      </c>
      <c r="N41" s="127" t="s">
        <v>43</v>
      </c>
      <c r="O41" s="128" t="s">
        <v>43</v>
      </c>
      <c r="P41" s="129"/>
    </row>
    <row r="42" spans="1:16" s="28" customFormat="1" ht="38.25" customHeight="1" x14ac:dyDescent="0.25">
      <c r="A42" s="108">
        <v>21429</v>
      </c>
      <c r="B42" s="109" t="s">
        <v>61</v>
      </c>
      <c r="C42" s="130">
        <f>F42</f>
        <v>1708</v>
      </c>
      <c r="D42" s="114">
        <v>800</v>
      </c>
      <c r="E42" s="1399">
        <v>908</v>
      </c>
      <c r="F42" s="131">
        <f>D42+E42</f>
        <v>1708</v>
      </c>
      <c r="G42" s="111" t="s">
        <v>43</v>
      </c>
      <c r="H42" s="112" t="s">
        <v>43</v>
      </c>
      <c r="I42" s="113" t="s">
        <v>43</v>
      </c>
      <c r="J42" s="111" t="s">
        <v>43</v>
      </c>
      <c r="K42" s="112" t="s">
        <v>43</v>
      </c>
      <c r="L42" s="113" t="s">
        <v>43</v>
      </c>
      <c r="M42" s="111" t="s">
        <v>43</v>
      </c>
      <c r="N42" s="112" t="s">
        <v>43</v>
      </c>
      <c r="O42" s="113" t="s">
        <v>43</v>
      </c>
      <c r="P42" s="57" t="s">
        <v>1648</v>
      </c>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23921</v>
      </c>
      <c r="D50" s="159">
        <f>SUM(D51,D286)</f>
        <v>29936</v>
      </c>
      <c r="E50" s="160">
        <f t="shared" ref="E50:F50" si="26">SUM(E51,E286)</f>
        <v>-6015</v>
      </c>
      <c r="F50" s="161">
        <f t="shared" si="26"/>
        <v>23921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23235</v>
      </c>
      <c r="D51" s="165">
        <f>SUM(D52,D194)</f>
        <v>24315</v>
      </c>
      <c r="E51" s="166">
        <f t="shared" ref="E51:F51" si="30">SUM(E52,E194)</f>
        <v>-1080</v>
      </c>
      <c r="F51" s="167">
        <f t="shared" si="30"/>
        <v>23235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23235</v>
      </c>
      <c r="D52" s="173">
        <f>SUM(D53,D75,D173,D187)</f>
        <v>24315</v>
      </c>
      <c r="E52" s="174">
        <f t="shared" ref="E52:F52" si="34">SUM(E53,E75,E173,E187)</f>
        <v>-1080</v>
      </c>
      <c r="F52" s="175">
        <f t="shared" si="34"/>
        <v>23235</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23235</v>
      </c>
      <c r="D75" s="179">
        <f>SUM(D76,D83,D130,D164,D165,D172)</f>
        <v>24315</v>
      </c>
      <c r="E75" s="180">
        <f t="shared" ref="E75:F75" si="74">SUM(E76,E83,E130,E164,E165,E172)</f>
        <v>-1080</v>
      </c>
      <c r="F75" s="181">
        <f t="shared" si="74"/>
        <v>23235</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94</v>
      </c>
      <c r="C76" s="70">
        <f t="shared" si="0"/>
        <v>5031</v>
      </c>
      <c r="D76" s="184">
        <f>SUM(D77,D80)</f>
        <v>6353</v>
      </c>
      <c r="E76" s="185">
        <f t="shared" ref="E76:F76" si="78">SUM(E77,E80)</f>
        <v>-1322</v>
      </c>
      <c r="F76" s="73">
        <f t="shared" si="78"/>
        <v>5031</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5031</v>
      </c>
      <c r="D80" s="190">
        <f>SUM(D81:D82)</f>
        <v>6353</v>
      </c>
      <c r="E80" s="191">
        <f t="shared" ref="E80:F80" si="90">SUM(E81:E82)</f>
        <v>-1322</v>
      </c>
      <c r="F80" s="55">
        <f t="shared" si="90"/>
        <v>5031</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customHeight="1" x14ac:dyDescent="0.25">
      <c r="A81" s="51">
        <v>2121</v>
      </c>
      <c r="B81" s="89" t="s">
        <v>96</v>
      </c>
      <c r="C81" s="90">
        <f t="shared" si="0"/>
        <v>1215</v>
      </c>
      <c r="D81" s="196">
        <v>1788</v>
      </c>
      <c r="E81" s="198">
        <v>-573</v>
      </c>
      <c r="F81" s="55">
        <f t="shared" ref="F81:F82" si="94">D81+E81</f>
        <v>1215</v>
      </c>
      <c r="G81" s="53"/>
      <c r="H81" s="54"/>
      <c r="I81" s="55">
        <f t="shared" ref="I81:I82" si="95">G81+H81</f>
        <v>0</v>
      </c>
      <c r="J81" s="53"/>
      <c r="K81" s="54"/>
      <c r="L81" s="55">
        <f t="shared" ref="L81:L82" si="96">K81+J81</f>
        <v>0</v>
      </c>
      <c r="M81" s="53"/>
      <c r="N81" s="54"/>
      <c r="O81" s="55">
        <f t="shared" ref="O81:O82" si="97">N81+M81</f>
        <v>0</v>
      </c>
      <c r="P81" s="57" t="s">
        <v>918</v>
      </c>
    </row>
    <row r="82" spans="1:16" ht="24" customHeight="1" x14ac:dyDescent="0.25">
      <c r="A82" s="51">
        <v>2122</v>
      </c>
      <c r="B82" s="89" t="s">
        <v>97</v>
      </c>
      <c r="C82" s="90">
        <f t="shared" si="0"/>
        <v>3816</v>
      </c>
      <c r="D82" s="196">
        <v>4565</v>
      </c>
      <c r="E82" s="198">
        <v>-749</v>
      </c>
      <c r="F82" s="55">
        <f t="shared" si="94"/>
        <v>3816</v>
      </c>
      <c r="G82" s="53"/>
      <c r="H82" s="54"/>
      <c r="I82" s="55">
        <f t="shared" si="95"/>
        <v>0</v>
      </c>
      <c r="J82" s="53"/>
      <c r="K82" s="54"/>
      <c r="L82" s="55">
        <f t="shared" si="96"/>
        <v>0</v>
      </c>
      <c r="M82" s="53"/>
      <c r="N82" s="54"/>
      <c r="O82" s="55">
        <f t="shared" si="97"/>
        <v>0</v>
      </c>
      <c r="P82" s="57" t="s">
        <v>918</v>
      </c>
    </row>
    <row r="83" spans="1:16" x14ac:dyDescent="0.25">
      <c r="A83" s="69">
        <v>2200</v>
      </c>
      <c r="B83" s="183" t="s">
        <v>99</v>
      </c>
      <c r="C83" s="70">
        <f t="shared" si="0"/>
        <v>17569</v>
      </c>
      <c r="D83" s="184">
        <f>SUM(D84,D89,D95,D103,D112,D116,D122,D128)</f>
        <v>17062</v>
      </c>
      <c r="E83" s="185">
        <f t="shared" ref="E83:F83" si="98">SUM(E84,E89,E95,E103,E112,E116,E122,E128)</f>
        <v>507</v>
      </c>
      <c r="F83" s="73">
        <f t="shared" si="98"/>
        <v>17569</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19</v>
      </c>
      <c r="D95" s="190">
        <f>SUM(D96:D102)</f>
        <v>20</v>
      </c>
      <c r="E95" s="191">
        <f t="shared" ref="E95:F95" si="119">SUM(E96:E102)</f>
        <v>-1</v>
      </c>
      <c r="F95" s="55">
        <f t="shared" si="119"/>
        <v>19</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9" t="s">
        <v>117</v>
      </c>
      <c r="C101" s="90">
        <f t="shared" si="102"/>
        <v>19</v>
      </c>
      <c r="D101" s="196">
        <v>20</v>
      </c>
      <c r="E101" s="198">
        <v>-1</v>
      </c>
      <c r="F101" s="55">
        <f t="shared" si="123"/>
        <v>19</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8512</v>
      </c>
      <c r="D116" s="190">
        <f>SUM(D117:D121)</f>
        <v>9090</v>
      </c>
      <c r="E116" s="191">
        <f t="shared" ref="E116:F116" si="143">SUM(E117:E121)</f>
        <v>-578</v>
      </c>
      <c r="F116" s="55">
        <f t="shared" si="143"/>
        <v>8512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8512</v>
      </c>
      <c r="D120" s="196">
        <v>9090</v>
      </c>
      <c r="E120" s="198">
        <v>-578</v>
      </c>
      <c r="F120" s="55">
        <f t="shared" si="147"/>
        <v>8512</v>
      </c>
      <c r="G120" s="53"/>
      <c r="H120" s="54"/>
      <c r="I120" s="55">
        <f t="shared" si="148"/>
        <v>0</v>
      </c>
      <c r="J120" s="53"/>
      <c r="K120" s="54"/>
      <c r="L120" s="55">
        <f t="shared" si="149"/>
        <v>0</v>
      </c>
      <c r="M120" s="53"/>
      <c r="N120" s="54"/>
      <c r="O120" s="55">
        <f t="shared" si="150"/>
        <v>0</v>
      </c>
      <c r="P120" s="57" t="s">
        <v>918</v>
      </c>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9038</v>
      </c>
      <c r="D122" s="190">
        <f>SUM(D123:D127)</f>
        <v>7952</v>
      </c>
      <c r="E122" s="191">
        <f t="shared" ref="E122:F122" si="151">SUM(E123:E127)</f>
        <v>1086</v>
      </c>
      <c r="F122" s="55">
        <f t="shared" si="151"/>
        <v>9038</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4.5" customHeight="1" x14ac:dyDescent="0.25">
      <c r="A127" s="51">
        <v>2279</v>
      </c>
      <c r="B127" s="89" t="s">
        <v>143</v>
      </c>
      <c r="C127" s="90">
        <f t="shared" si="102"/>
        <v>9038</v>
      </c>
      <c r="D127" s="196">
        <v>7952</v>
      </c>
      <c r="E127" s="198">
        <v>1086</v>
      </c>
      <c r="F127" s="55">
        <f t="shared" si="155"/>
        <v>9038</v>
      </c>
      <c r="G127" s="53"/>
      <c r="H127" s="54"/>
      <c r="I127" s="55">
        <f t="shared" si="156"/>
        <v>0</v>
      </c>
      <c r="J127" s="53"/>
      <c r="K127" s="54"/>
      <c r="L127" s="55">
        <f t="shared" si="157"/>
        <v>0</v>
      </c>
      <c r="M127" s="53"/>
      <c r="N127" s="54"/>
      <c r="O127" s="55">
        <f t="shared" si="158"/>
        <v>0</v>
      </c>
      <c r="P127" s="57" t="s">
        <v>1649</v>
      </c>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9"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635</v>
      </c>
      <c r="D130" s="184">
        <f>SUM(D131,D136,D140,D141,D144,D151,D159,D160,D163)</f>
        <v>900</v>
      </c>
      <c r="E130" s="185">
        <f t="shared" ref="E130:F130" si="160">SUM(E131,E136,E140,E141,E144,E151,E159,E160,E163)</f>
        <v>-265</v>
      </c>
      <c r="F130" s="73">
        <f t="shared" si="160"/>
        <v>635</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372">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178</v>
      </c>
      <c r="D136" s="190">
        <f>SUM(D137:D139)</f>
        <v>400</v>
      </c>
      <c r="E136" s="191">
        <f t="shared" ref="E136:F136" si="169">SUM(E137:E139)</f>
        <v>-222</v>
      </c>
      <c r="F136" s="55">
        <f t="shared" si="169"/>
        <v>178</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178</v>
      </c>
      <c r="D138" s="196">
        <v>400</v>
      </c>
      <c r="E138" s="198">
        <v>-222</v>
      </c>
      <c r="F138" s="55">
        <f t="shared" si="173"/>
        <v>178</v>
      </c>
      <c r="G138" s="53"/>
      <c r="H138" s="54"/>
      <c r="I138" s="55">
        <f t="shared" si="174"/>
        <v>0</v>
      </c>
      <c r="J138" s="53"/>
      <c r="K138" s="54"/>
      <c r="L138" s="55">
        <f t="shared" si="175"/>
        <v>0</v>
      </c>
      <c r="M138" s="53"/>
      <c r="N138" s="54"/>
      <c r="O138" s="55">
        <f t="shared" si="176"/>
        <v>0</v>
      </c>
      <c r="P138" s="57" t="s">
        <v>918</v>
      </c>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179</v>
      </c>
      <c r="C163" s="143">
        <f t="shared" si="193"/>
        <v>457</v>
      </c>
      <c r="D163" s="203">
        <v>500</v>
      </c>
      <c r="E163" s="1400">
        <v>-43</v>
      </c>
      <c r="F163" s="141">
        <f t="shared" si="206"/>
        <v>457</v>
      </c>
      <c r="G163" s="144"/>
      <c r="H163" s="145"/>
      <c r="I163" s="141">
        <f t="shared" si="207"/>
        <v>0</v>
      </c>
      <c r="J163" s="144"/>
      <c r="K163" s="145"/>
      <c r="L163" s="141">
        <f t="shared" si="208"/>
        <v>0</v>
      </c>
      <c r="M163" s="144"/>
      <c r="N163" s="145"/>
      <c r="O163" s="141">
        <f t="shared" si="209"/>
        <v>0</v>
      </c>
      <c r="P163" s="57" t="s">
        <v>918</v>
      </c>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686</v>
      </c>
      <c r="D286" s="190">
        <f>SUM(D287:D288)</f>
        <v>5621</v>
      </c>
      <c r="E286" s="191">
        <f t="shared" ref="E286:F286" si="381">SUM(E287:E288)</f>
        <v>-4935</v>
      </c>
      <c r="F286" s="55">
        <f t="shared" si="381"/>
        <v>686</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24" customHeight="1" x14ac:dyDescent="0.25">
      <c r="A287" s="201" t="s">
        <v>303</v>
      </c>
      <c r="B287" s="51" t="s">
        <v>304</v>
      </c>
      <c r="C287" s="90">
        <f t="shared" si="371"/>
        <v>686</v>
      </c>
      <c r="D287" s="196">
        <v>0</v>
      </c>
      <c r="E287" s="198">
        <v>686</v>
      </c>
      <c r="F287" s="55">
        <f t="shared" ref="F287:F288" si="385">D287+E287</f>
        <v>686</v>
      </c>
      <c r="G287" s="53"/>
      <c r="H287" s="54"/>
      <c r="I287" s="55">
        <f t="shared" ref="I287:I288" si="386">G287+H287</f>
        <v>0</v>
      </c>
      <c r="J287" s="53"/>
      <c r="K287" s="54"/>
      <c r="L287" s="55">
        <f t="shared" ref="L287:L288" si="387">K287+J287</f>
        <v>0</v>
      </c>
      <c r="M287" s="53"/>
      <c r="N287" s="54"/>
      <c r="O287" s="55">
        <f t="shared" ref="O287:O288" si="388">N287+M287</f>
        <v>0</v>
      </c>
      <c r="P287" s="57" t="s">
        <v>1650</v>
      </c>
    </row>
    <row r="288" spans="1:16" ht="47.25" hidden="1" customHeight="1" x14ac:dyDescent="0.25">
      <c r="A288" s="201" t="s">
        <v>305</v>
      </c>
      <c r="B288" s="249" t="s">
        <v>306</v>
      </c>
      <c r="C288" s="83">
        <f t="shared" si="371"/>
        <v>0</v>
      </c>
      <c r="D288" s="199">
        <v>5621</v>
      </c>
      <c r="E288" s="1393">
        <v>-5621</v>
      </c>
      <c r="F288" s="134">
        <f t="shared" si="385"/>
        <v>0</v>
      </c>
      <c r="G288" s="46"/>
      <c r="H288" s="47"/>
      <c r="I288" s="134">
        <f t="shared" si="386"/>
        <v>0</v>
      </c>
      <c r="J288" s="46"/>
      <c r="K288" s="47"/>
      <c r="L288" s="134">
        <f t="shared" si="387"/>
        <v>0</v>
      </c>
      <c r="M288" s="46"/>
      <c r="N288" s="47"/>
      <c r="O288" s="134">
        <f t="shared" si="388"/>
        <v>0</v>
      </c>
      <c r="P288" s="49" t="s">
        <v>1651</v>
      </c>
    </row>
    <row r="289" spans="1:16" ht="12.75" thickBot="1" x14ac:dyDescent="0.3">
      <c r="A289" s="250"/>
      <c r="B289" s="250" t="s">
        <v>307</v>
      </c>
      <c r="C289" s="251">
        <f t="shared" si="371"/>
        <v>23921</v>
      </c>
      <c r="D289" s="252">
        <f t="shared" ref="D289:O289" si="389">SUM(D286,D269,D230,D195,D187,D173,D75,D53,D283)</f>
        <v>29936</v>
      </c>
      <c r="E289" s="253">
        <f t="shared" si="389"/>
        <v>-6015</v>
      </c>
      <c r="F289" s="254">
        <f t="shared" si="389"/>
        <v>23921</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-251</v>
      </c>
      <c r="D290" s="257">
        <f>SUM(D24,D25,D41)-D51</f>
        <v>4684</v>
      </c>
      <c r="E290" s="258">
        <f t="shared" ref="E290:F290" si="390">SUM(E24,E25,E41)-E51</f>
        <v>-4935</v>
      </c>
      <c r="F290" s="259">
        <f t="shared" si="390"/>
        <v>-251</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251</v>
      </c>
      <c r="D291" s="262">
        <f t="shared" ref="D291:O291" si="394">SUM(D292,D293)-D300+D301</f>
        <v>-4684</v>
      </c>
      <c r="E291" s="263">
        <f t="shared" si="394"/>
        <v>4935</v>
      </c>
      <c r="F291" s="264">
        <f t="shared" si="394"/>
        <v>251</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251</v>
      </c>
      <c r="D292" s="159">
        <f t="shared" ref="D292:O292" si="395">D21-D286</f>
        <v>-4684</v>
      </c>
      <c r="E292" s="160">
        <f t="shared" si="395"/>
        <v>4935</v>
      </c>
      <c r="F292" s="161">
        <f t="shared" si="395"/>
        <v>251</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UhvtZNJWkieQGS4wZBzZ54k6ZdhHVNL35hiylxmcL56wnzf/Dy8EGWkAhIGbSD8OfiMF5D+1FxoegKfTJhfRg==" saltValue="N2WzNhdkea617Ju6M09kLQ==" spinCount="100000" sheet="1" objects="1" scenarios="1" formatCells="0" formatColumns="0" formatRows="0" deleteColumns="0"/>
  <autoFilter ref="A18:P301">
    <filterColumn colId="2">
      <filters>
        <filter val="1 215"/>
        <filter val="1 708"/>
        <filter val="16 660"/>
        <filter val="17 569"/>
        <filter val="178"/>
        <filter val="19"/>
        <filter val="23 235"/>
        <filter val="23 921"/>
        <filter val="251"/>
        <filter val="-251"/>
        <filter val="3 816"/>
        <filter val="4 616"/>
        <filter val="457"/>
        <filter val="5 031"/>
        <filter val="635"/>
        <filter val="686"/>
        <filter val="8 512"/>
        <filter val="9 038"/>
        <filter val="93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52.pielikums Jūrmalas pilsētas domes
2019.gada 31.oktobra saistošajiem noteikumiem Nr.46
(protokols Nr.14, 28.punkts)
 </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1683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1684</v>
      </c>
      <c r="D5" s="1512"/>
      <c r="E5" s="1512"/>
      <c r="F5" s="1512"/>
      <c r="G5" s="1512"/>
      <c r="H5" s="1512"/>
      <c r="I5" s="1512"/>
      <c r="J5" s="1512"/>
      <c r="K5" s="1512"/>
      <c r="L5" s="1512"/>
      <c r="M5" s="1512"/>
      <c r="N5" s="1512"/>
      <c r="O5" s="1512"/>
      <c r="P5" s="1513"/>
      <c r="Q5" s="277"/>
    </row>
    <row r="6" spans="1:17" ht="12.75" customHeight="1" x14ac:dyDescent="0.25">
      <c r="A6" s="7" t="s">
        <v>8</v>
      </c>
      <c r="B6" s="8"/>
      <c r="C6" s="1512" t="s">
        <v>1685</v>
      </c>
      <c r="D6" s="1512"/>
      <c r="E6" s="1512"/>
      <c r="F6" s="1512"/>
      <c r="G6" s="1512"/>
      <c r="H6" s="1512"/>
      <c r="I6" s="1512"/>
      <c r="J6" s="1512"/>
      <c r="K6" s="1512"/>
      <c r="L6" s="1512"/>
      <c r="M6" s="1512"/>
      <c r="N6" s="1512"/>
      <c r="O6" s="1512"/>
      <c r="P6" s="1513"/>
      <c r="Q6" s="277"/>
    </row>
    <row r="7" spans="1:17" ht="36.75" customHeight="1" x14ac:dyDescent="0.25">
      <c r="A7" s="7" t="s">
        <v>10</v>
      </c>
      <c r="B7" s="8"/>
      <c r="C7" s="1517" t="s">
        <v>1686</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1687</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9192</v>
      </c>
      <c r="D20" s="32">
        <f>SUM(D21,D24,D25,D41,D43)</f>
        <v>9364</v>
      </c>
      <c r="E20" s="33">
        <f t="shared" ref="E20:F20" si="1">SUM(E21,E24,E25,E41,E43)</f>
        <v>-172</v>
      </c>
      <c r="F20" s="34">
        <f t="shared" si="1"/>
        <v>9192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9" customHeight="1" thickTop="1" thickBot="1" x14ac:dyDescent="0.3">
      <c r="A24" s="58">
        <v>19300</v>
      </c>
      <c r="B24" s="58" t="s">
        <v>42</v>
      </c>
      <c r="C24" s="59">
        <f>F24+I24</f>
        <v>4364</v>
      </c>
      <c r="D24" s="60">
        <v>4364</v>
      </c>
      <c r="E24" s="63"/>
      <c r="F24" s="62">
        <f t="shared" si="9"/>
        <v>4364</v>
      </c>
      <c r="G24" s="60"/>
      <c r="H24" s="63"/>
      <c r="I24" s="62">
        <f t="shared" si="10"/>
        <v>0</v>
      </c>
      <c r="J24" s="64" t="s">
        <v>43</v>
      </c>
      <c r="K24" s="65" t="s">
        <v>43</v>
      </c>
      <c r="L24" s="66" t="s">
        <v>43</v>
      </c>
      <c r="M24" s="64" t="s">
        <v>43</v>
      </c>
      <c r="N24" s="65" t="s">
        <v>43</v>
      </c>
      <c r="O24" s="66" t="s">
        <v>43</v>
      </c>
      <c r="P24" s="77"/>
    </row>
    <row r="25" spans="1:16" s="28" customFormat="1" ht="51.75" customHeight="1" thickTop="1" x14ac:dyDescent="0.25">
      <c r="A25" s="68">
        <v>21192</v>
      </c>
      <c r="B25" s="69" t="s">
        <v>44</v>
      </c>
      <c r="C25" s="70">
        <f>F25</f>
        <v>4828</v>
      </c>
      <c r="D25" s="71">
        <v>5000</v>
      </c>
      <c r="E25" s="1398">
        <f>-174+2</f>
        <v>-172</v>
      </c>
      <c r="F25" s="73">
        <f t="shared" si="9"/>
        <v>4828</v>
      </c>
      <c r="G25" s="74" t="s">
        <v>43</v>
      </c>
      <c r="H25" s="75" t="s">
        <v>43</v>
      </c>
      <c r="I25" s="76" t="s">
        <v>43</v>
      </c>
      <c r="J25" s="74" t="s">
        <v>43</v>
      </c>
      <c r="K25" s="75" t="s">
        <v>43</v>
      </c>
      <c r="L25" s="76" t="s">
        <v>43</v>
      </c>
      <c r="M25" s="74" t="s">
        <v>43</v>
      </c>
      <c r="N25" s="75" t="s">
        <v>43</v>
      </c>
      <c r="O25" s="76" t="s">
        <v>43</v>
      </c>
      <c r="P25" s="77" t="s">
        <v>1688</v>
      </c>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3"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9192</v>
      </c>
      <c r="D50" s="159">
        <f>SUM(D51,D286)</f>
        <v>9364</v>
      </c>
      <c r="E50" s="160">
        <f t="shared" ref="E50:F50" si="26">SUM(E51,E286)</f>
        <v>-172</v>
      </c>
      <c r="F50" s="161">
        <f t="shared" si="26"/>
        <v>9192</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8228</v>
      </c>
      <c r="D51" s="165">
        <f>SUM(D52,D194)</f>
        <v>8614</v>
      </c>
      <c r="E51" s="166">
        <f t="shared" ref="E51:F51" si="30">SUM(E52,E194)</f>
        <v>-386</v>
      </c>
      <c r="F51" s="167">
        <f t="shared" si="30"/>
        <v>8228</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8228</v>
      </c>
      <c r="D52" s="173">
        <f>SUM(D53,D75,D173,D187)</f>
        <v>8614</v>
      </c>
      <c r="E52" s="174">
        <f t="shared" ref="E52:F52" si="34">SUM(E53,E75,E173,E187)</f>
        <v>-386</v>
      </c>
      <c r="F52" s="175">
        <f t="shared" si="34"/>
        <v>8228</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3">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8228</v>
      </c>
      <c r="D75" s="179">
        <f>SUM(D76,D83,D130,D164,D165,D172)</f>
        <v>8614</v>
      </c>
      <c r="E75" s="180">
        <f t="shared" ref="E75:F75" si="74">SUM(E76,E83,E130,E164,E165,E172)</f>
        <v>-386</v>
      </c>
      <c r="F75" s="181">
        <f t="shared" si="74"/>
        <v>8228</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94</v>
      </c>
      <c r="C76" s="70">
        <f t="shared" si="0"/>
        <v>8228</v>
      </c>
      <c r="D76" s="184">
        <f>SUM(D77,D80)</f>
        <v>8614</v>
      </c>
      <c r="E76" s="185">
        <f t="shared" ref="E76:F76" si="78">SUM(E77,E80)</f>
        <v>-386</v>
      </c>
      <c r="F76" s="73">
        <f t="shared" si="78"/>
        <v>8228</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8228</v>
      </c>
      <c r="D80" s="190">
        <f>SUM(D81:D82)</f>
        <v>8614</v>
      </c>
      <c r="E80" s="191">
        <f t="shared" ref="E80:F80" si="90">SUM(E81:E82)</f>
        <v>-386</v>
      </c>
      <c r="F80" s="55">
        <f t="shared" si="90"/>
        <v>8228</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308"/>
    </row>
    <row r="81" spans="1:16" ht="28.5" customHeight="1" x14ac:dyDescent="0.25">
      <c r="A81" s="51">
        <v>2121</v>
      </c>
      <c r="B81" s="89" t="s">
        <v>96</v>
      </c>
      <c r="C81" s="90">
        <f t="shared" si="0"/>
        <v>1327</v>
      </c>
      <c r="D81" s="196">
        <v>1420</v>
      </c>
      <c r="E81" s="198">
        <f>-94+1</f>
        <v>-93</v>
      </c>
      <c r="F81" s="55">
        <f t="shared" ref="F81:F82" si="94">D81+E81</f>
        <v>1327</v>
      </c>
      <c r="G81" s="53"/>
      <c r="H81" s="54"/>
      <c r="I81" s="55">
        <f t="shared" ref="I81:I82" si="95">G81+H81</f>
        <v>0</v>
      </c>
      <c r="J81" s="53"/>
      <c r="K81" s="54"/>
      <c r="L81" s="55">
        <f t="shared" ref="L81:L82" si="96">K81+J81</f>
        <v>0</v>
      </c>
      <c r="M81" s="53"/>
      <c r="N81" s="54"/>
      <c r="O81" s="55">
        <f t="shared" ref="O81:O82" si="97">N81+M81</f>
        <v>0</v>
      </c>
      <c r="P81" s="57" t="s">
        <v>1689</v>
      </c>
    </row>
    <row r="82" spans="1:16" ht="36" customHeight="1" x14ac:dyDescent="0.25">
      <c r="A82" s="51">
        <v>2122</v>
      </c>
      <c r="B82" s="89" t="s">
        <v>97</v>
      </c>
      <c r="C82" s="90">
        <f t="shared" si="0"/>
        <v>6901</v>
      </c>
      <c r="D82" s="196">
        <v>7194</v>
      </c>
      <c r="E82" s="198">
        <f>-294+1</f>
        <v>-293</v>
      </c>
      <c r="F82" s="55">
        <f t="shared" si="94"/>
        <v>6901</v>
      </c>
      <c r="G82" s="53"/>
      <c r="H82" s="54"/>
      <c r="I82" s="55">
        <f t="shared" si="95"/>
        <v>0</v>
      </c>
      <c r="J82" s="53"/>
      <c r="K82" s="54"/>
      <c r="L82" s="55">
        <f t="shared" si="96"/>
        <v>0</v>
      </c>
      <c r="M82" s="53"/>
      <c r="N82" s="54"/>
      <c r="O82" s="55">
        <f t="shared" si="97"/>
        <v>0</v>
      </c>
      <c r="P82" s="57" t="s">
        <v>1690</v>
      </c>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373">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17.25"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964</v>
      </c>
      <c r="D286" s="190">
        <f>SUM(D287:D288)</f>
        <v>750</v>
      </c>
      <c r="E286" s="191">
        <f t="shared" ref="E286:F286" si="381">SUM(E287:E288)</f>
        <v>214</v>
      </c>
      <c r="F286" s="55">
        <f t="shared" si="381"/>
        <v>964</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964</v>
      </c>
      <c r="D288" s="199">
        <f>D24+D25-D51</f>
        <v>750</v>
      </c>
      <c r="E288" s="200">
        <f>E24+E25-E51</f>
        <v>214</v>
      </c>
      <c r="F288" s="134">
        <f t="shared" si="385"/>
        <v>964</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9192</v>
      </c>
      <c r="D289" s="252">
        <f t="shared" ref="D289:O289" si="389">SUM(D286,D269,D230,D195,D187,D173,D75,D53,D283)</f>
        <v>9364</v>
      </c>
      <c r="E289" s="253">
        <f t="shared" si="389"/>
        <v>-172</v>
      </c>
      <c r="F289" s="254">
        <f t="shared" si="389"/>
        <v>9192</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964</v>
      </c>
      <c r="D290" s="257">
        <f>SUM(D24,D25,D41)-D51</f>
        <v>750</v>
      </c>
      <c r="E290" s="258">
        <f t="shared" ref="E290:F290" si="390">SUM(E24,E25,E41)-E51</f>
        <v>214</v>
      </c>
      <c r="F290" s="259">
        <f t="shared" si="390"/>
        <v>964</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-964</v>
      </c>
      <c r="D291" s="262">
        <f t="shared" ref="D291:O291" si="394">SUM(D292,D293)-D300+D301</f>
        <v>-750</v>
      </c>
      <c r="E291" s="263">
        <f t="shared" si="394"/>
        <v>-214</v>
      </c>
      <c r="F291" s="264">
        <f t="shared" si="394"/>
        <v>-964</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-964</v>
      </c>
      <c r="D292" s="159">
        <f t="shared" ref="D292:O292" si="395">D21-D286</f>
        <v>-750</v>
      </c>
      <c r="E292" s="160">
        <f t="shared" si="395"/>
        <v>-214</v>
      </c>
      <c r="F292" s="161">
        <f t="shared" si="395"/>
        <v>-964</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JKVDke5Ai2VWlfH0AZ6r6cVXJxi/3eZqPZB7woEPfCPpsIzwKkFHLJmU1m1UrmYLc4XuOSXJqDwX8wQVXKBWwQ==" saltValue="D2AiZtGBLU/Wqc2pRP1cBw==" spinCount="100000" sheet="1" objects="1" scenarios="1" formatCells="0" formatColumns="0" formatRows="0" deleteColumns="0"/>
  <autoFilter ref="A18:P301">
    <filterColumn colId="2">
      <filters>
        <filter val="1 327"/>
        <filter val="4 364"/>
        <filter val="4 828"/>
        <filter val="6 901"/>
        <filter val="8 228"/>
        <filter val="9 192"/>
        <filter val="964"/>
        <filter val="-96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53.pielikums Jūrmalas pilsētas domes
2019.gada 31.oktobra saistošajiem noteikumiem Nr.46
(protokols Nr.14, 28.punkts)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3" sqref="U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1039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409</v>
      </c>
      <c r="D6" s="1512"/>
      <c r="E6" s="1512"/>
      <c r="F6" s="1512"/>
      <c r="G6" s="1512"/>
      <c r="H6" s="1512"/>
      <c r="I6" s="1512"/>
      <c r="J6" s="1512"/>
      <c r="K6" s="1512"/>
      <c r="L6" s="1512"/>
      <c r="M6" s="1512"/>
      <c r="N6" s="1512"/>
      <c r="O6" s="1512"/>
      <c r="P6" s="1513"/>
      <c r="Q6" s="277"/>
    </row>
    <row r="7" spans="1:17" ht="12" customHeight="1" x14ac:dyDescent="0.25">
      <c r="A7" s="7" t="s">
        <v>10</v>
      </c>
      <c r="B7" s="8"/>
      <c r="C7" s="1517" t="s">
        <v>550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1040</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411</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2914268</v>
      </c>
      <c r="D20" s="32">
        <f>SUM(D21,D24,D25,D41,D43)</f>
        <v>2676694</v>
      </c>
      <c r="E20" s="33">
        <f t="shared" ref="E20:F20" si="1">SUM(E21,E24,E25,E41,E43)</f>
        <v>0</v>
      </c>
      <c r="F20" s="34">
        <f t="shared" si="1"/>
        <v>2676694</v>
      </c>
      <c r="G20" s="32">
        <f>SUM(G21,G24,G43)</f>
        <v>0</v>
      </c>
      <c r="H20" s="33">
        <f t="shared" ref="H20:I20" si="2">SUM(H21,H24,H43)</f>
        <v>0</v>
      </c>
      <c r="I20" s="34">
        <f t="shared" si="2"/>
        <v>0</v>
      </c>
      <c r="J20" s="32">
        <f>SUM(J21,J26,J43)</f>
        <v>237574</v>
      </c>
      <c r="K20" s="33">
        <f t="shared" ref="K20:L20" si="3">SUM(K21,K26,K43)</f>
        <v>0</v>
      </c>
      <c r="L20" s="34">
        <f t="shared" si="3"/>
        <v>237574</v>
      </c>
      <c r="M20" s="32">
        <f>SUM(M21,M45)</f>
        <v>0</v>
      </c>
      <c r="N20" s="33">
        <f t="shared" ref="N20:O20" si="4">SUM(N21,N45)</f>
        <v>0</v>
      </c>
      <c r="O20" s="34">
        <f t="shared" si="4"/>
        <v>0</v>
      </c>
      <c r="P20" s="35"/>
    </row>
    <row r="21" spans="1:16" ht="12.75" thickTop="1" x14ac:dyDescent="0.25">
      <c r="A21" s="36"/>
      <c r="B21" s="37" t="s">
        <v>39</v>
      </c>
      <c r="C21" s="38">
        <f t="shared" si="0"/>
        <v>68288</v>
      </c>
      <c r="D21" s="39">
        <f>SUM(D22:D23)</f>
        <v>0</v>
      </c>
      <c r="E21" s="40">
        <f t="shared" ref="E21:F21" si="5">SUM(E22:E23)</f>
        <v>0</v>
      </c>
      <c r="F21" s="41">
        <f t="shared" si="5"/>
        <v>0</v>
      </c>
      <c r="G21" s="39">
        <f>SUM(G22:G23)</f>
        <v>0</v>
      </c>
      <c r="H21" s="40">
        <f t="shared" ref="H21:I21" si="6">SUM(H22:H23)</f>
        <v>0</v>
      </c>
      <c r="I21" s="41">
        <f t="shared" si="6"/>
        <v>0</v>
      </c>
      <c r="J21" s="39">
        <f>SUM(J22:J23)</f>
        <v>68288</v>
      </c>
      <c r="K21" s="40">
        <f t="shared" ref="K21:L21" si="7">SUM(K22:K23)</f>
        <v>0</v>
      </c>
      <c r="L21" s="41">
        <f t="shared" si="7"/>
        <v>68288</v>
      </c>
      <c r="M21" s="39">
        <f>SUM(M22:M23)</f>
        <v>0</v>
      </c>
      <c r="N21" s="40">
        <f t="shared" ref="N21:O21" si="8">SUM(N22:N23)</f>
        <v>0</v>
      </c>
      <c r="O21" s="41">
        <f t="shared" si="8"/>
        <v>0</v>
      </c>
      <c r="P21" s="42"/>
    </row>
    <row r="22" spans="1:16" ht="12" customHeight="1" x14ac:dyDescent="0.25">
      <c r="A22" s="43"/>
      <c r="B22" s="44" t="s">
        <v>40</v>
      </c>
      <c r="C22" s="45">
        <f t="shared" si="0"/>
        <v>113</v>
      </c>
      <c r="D22" s="46"/>
      <c r="E22" s="47"/>
      <c r="F22" s="48">
        <f>D22+E22</f>
        <v>0</v>
      </c>
      <c r="G22" s="46"/>
      <c r="H22" s="47"/>
      <c r="I22" s="48">
        <f>G22+H22</f>
        <v>0</v>
      </c>
      <c r="J22" s="46">
        <v>113</v>
      </c>
      <c r="K22" s="47"/>
      <c r="L22" s="48">
        <f>K22+J22</f>
        <v>113</v>
      </c>
      <c r="M22" s="46"/>
      <c r="N22" s="47"/>
      <c r="O22" s="48">
        <f>N22+M22</f>
        <v>0</v>
      </c>
      <c r="P22" s="49"/>
    </row>
    <row r="23" spans="1:16" x14ac:dyDescent="0.25">
      <c r="A23" s="50"/>
      <c r="B23" s="51" t="s">
        <v>41</v>
      </c>
      <c r="C23" s="52">
        <f t="shared" si="0"/>
        <v>68175</v>
      </c>
      <c r="D23" s="53"/>
      <c r="E23" s="54"/>
      <c r="F23" s="55">
        <f t="shared" ref="F23:F25" si="9">D23+E23</f>
        <v>0</v>
      </c>
      <c r="G23" s="53"/>
      <c r="H23" s="54"/>
      <c r="I23" s="55">
        <f t="shared" ref="I23:I24" si="10">G23+H23</f>
        <v>0</v>
      </c>
      <c r="J23" s="53">
        <f>19307+48868</f>
        <v>68175</v>
      </c>
      <c r="K23" s="54"/>
      <c r="L23" s="56">
        <f>K23+J23</f>
        <v>68175</v>
      </c>
      <c r="M23" s="53"/>
      <c r="N23" s="54"/>
      <c r="O23" s="55">
        <f>N23+M23</f>
        <v>0</v>
      </c>
      <c r="P23" s="57"/>
    </row>
    <row r="24" spans="1:16" s="28" customFormat="1" ht="24.75" customHeight="1" thickBot="1" x14ac:dyDescent="0.3">
      <c r="A24" s="58">
        <v>19300</v>
      </c>
      <c r="B24" s="58" t="s">
        <v>42</v>
      </c>
      <c r="C24" s="59">
        <f>F24+I24</f>
        <v>2676694</v>
      </c>
      <c r="D24" s="60">
        <f>2669094+19100-5000-6500</f>
        <v>2676694</v>
      </c>
      <c r="E24" s="63"/>
      <c r="F24" s="62">
        <f t="shared" si="9"/>
        <v>2676694</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9" customHeight="1" thickTop="1" x14ac:dyDescent="0.25">
      <c r="A26" s="69">
        <v>21300</v>
      </c>
      <c r="B26" s="69" t="s">
        <v>45</v>
      </c>
      <c r="C26" s="70">
        <f>L26</f>
        <v>167906</v>
      </c>
      <c r="D26" s="74" t="s">
        <v>43</v>
      </c>
      <c r="E26" s="75" t="s">
        <v>43</v>
      </c>
      <c r="F26" s="76" t="s">
        <v>43</v>
      </c>
      <c r="G26" s="74" t="s">
        <v>43</v>
      </c>
      <c r="H26" s="75" t="s">
        <v>43</v>
      </c>
      <c r="I26" s="76" t="s">
        <v>43</v>
      </c>
      <c r="J26" s="78">
        <f>SUM(J27,J31,J33,J36)</f>
        <v>167906</v>
      </c>
      <c r="K26" s="79">
        <f t="shared" ref="K26:L26" si="11">SUM(K27,K31,K33,K36)</f>
        <v>0</v>
      </c>
      <c r="L26" s="80">
        <f t="shared" si="11"/>
        <v>167906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customHeight="1" x14ac:dyDescent="0.25">
      <c r="A31" s="81">
        <v>21370</v>
      </c>
      <c r="B31" s="69" t="s">
        <v>50</v>
      </c>
      <c r="C31" s="70">
        <f>L31</f>
        <v>123445</v>
      </c>
      <c r="D31" s="74" t="s">
        <v>43</v>
      </c>
      <c r="E31" s="75" t="s">
        <v>43</v>
      </c>
      <c r="F31" s="76" t="s">
        <v>43</v>
      </c>
      <c r="G31" s="74" t="s">
        <v>43</v>
      </c>
      <c r="H31" s="75" t="s">
        <v>43</v>
      </c>
      <c r="I31" s="76" t="s">
        <v>43</v>
      </c>
      <c r="J31" s="78">
        <f>SUM(J32)</f>
        <v>123445</v>
      </c>
      <c r="K31" s="79">
        <f t="shared" ref="K31:L31" si="15">SUM(K32)</f>
        <v>0</v>
      </c>
      <c r="L31" s="80">
        <f t="shared" si="15"/>
        <v>123445</v>
      </c>
      <c r="M31" s="78" t="s">
        <v>43</v>
      </c>
      <c r="N31" s="79" t="s">
        <v>43</v>
      </c>
      <c r="O31" s="80" t="s">
        <v>43</v>
      </c>
      <c r="P31" s="77"/>
    </row>
    <row r="32" spans="1:16" ht="36" customHeight="1" x14ac:dyDescent="0.25">
      <c r="A32" s="96">
        <v>21379</v>
      </c>
      <c r="B32" s="97" t="s">
        <v>51</v>
      </c>
      <c r="C32" s="98">
        <f t="shared" ref="C32:C40" si="16">L32</f>
        <v>123445</v>
      </c>
      <c r="D32" s="99" t="s">
        <v>43</v>
      </c>
      <c r="E32" s="100" t="s">
        <v>43</v>
      </c>
      <c r="F32" s="101" t="s">
        <v>43</v>
      </c>
      <c r="G32" s="99" t="s">
        <v>43</v>
      </c>
      <c r="H32" s="100" t="s">
        <v>43</v>
      </c>
      <c r="I32" s="101" t="s">
        <v>43</v>
      </c>
      <c r="J32" s="102">
        <v>123445</v>
      </c>
      <c r="K32" s="103"/>
      <c r="L32" s="104">
        <f>K32+J32</f>
        <v>123445</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7.75" customHeight="1" x14ac:dyDescent="0.25">
      <c r="A36" s="81">
        <v>21390</v>
      </c>
      <c r="B36" s="69" t="s">
        <v>55</v>
      </c>
      <c r="C36" s="70">
        <f t="shared" si="16"/>
        <v>44461</v>
      </c>
      <c r="D36" s="74" t="s">
        <v>43</v>
      </c>
      <c r="E36" s="75" t="s">
        <v>43</v>
      </c>
      <c r="F36" s="76" t="s">
        <v>43</v>
      </c>
      <c r="G36" s="74" t="s">
        <v>43</v>
      </c>
      <c r="H36" s="75" t="s">
        <v>43</v>
      </c>
      <c r="I36" s="76" t="s">
        <v>43</v>
      </c>
      <c r="J36" s="78">
        <f>SUM(J37:J40)</f>
        <v>44461</v>
      </c>
      <c r="K36" s="79">
        <f t="shared" ref="K36:L36" si="19">SUM(K37:K40)</f>
        <v>0</v>
      </c>
      <c r="L36" s="80">
        <f t="shared" si="19"/>
        <v>44461</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44461</v>
      </c>
      <c r="D40" s="111" t="s">
        <v>43</v>
      </c>
      <c r="E40" s="112" t="s">
        <v>43</v>
      </c>
      <c r="F40" s="113" t="s">
        <v>43</v>
      </c>
      <c r="G40" s="111" t="s">
        <v>43</v>
      </c>
      <c r="H40" s="112" t="s">
        <v>43</v>
      </c>
      <c r="I40" s="113" t="s">
        <v>43</v>
      </c>
      <c r="J40" s="114">
        <v>44461</v>
      </c>
      <c r="K40" s="115"/>
      <c r="L40" s="116">
        <f t="shared" si="20"/>
        <v>44461</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7" customHeight="1" x14ac:dyDescent="0.25">
      <c r="A43" s="81">
        <v>21490</v>
      </c>
      <c r="B43" s="69" t="s">
        <v>62</v>
      </c>
      <c r="C43" s="132">
        <f>F43+I43+L43</f>
        <v>1380</v>
      </c>
      <c r="D43" s="78">
        <f>D44</f>
        <v>0</v>
      </c>
      <c r="E43" s="79">
        <f t="shared" ref="E43:L43" si="22">E44</f>
        <v>0</v>
      </c>
      <c r="F43" s="80">
        <f t="shared" si="22"/>
        <v>0</v>
      </c>
      <c r="G43" s="78">
        <f t="shared" si="22"/>
        <v>0</v>
      </c>
      <c r="H43" s="79">
        <f t="shared" si="22"/>
        <v>0</v>
      </c>
      <c r="I43" s="80">
        <f t="shared" si="22"/>
        <v>0</v>
      </c>
      <c r="J43" s="78">
        <f t="shared" si="22"/>
        <v>1380</v>
      </c>
      <c r="K43" s="79">
        <f t="shared" si="22"/>
        <v>0</v>
      </c>
      <c r="L43" s="80">
        <f t="shared" si="22"/>
        <v>1380</v>
      </c>
      <c r="M43" s="78" t="s">
        <v>43</v>
      </c>
      <c r="N43" s="79" t="s">
        <v>43</v>
      </c>
      <c r="O43" s="80" t="s">
        <v>43</v>
      </c>
      <c r="P43" s="77"/>
    </row>
    <row r="44" spans="1:16" s="28" customFormat="1" ht="24" customHeight="1" x14ac:dyDescent="0.25">
      <c r="A44" s="51">
        <v>21499</v>
      </c>
      <c r="B44" s="89" t="s">
        <v>63</v>
      </c>
      <c r="C44" s="133">
        <f>F44+I44+L44</f>
        <v>1380</v>
      </c>
      <c r="D44" s="46"/>
      <c r="E44" s="47"/>
      <c r="F44" s="134">
        <f>D44+E44</f>
        <v>0</v>
      </c>
      <c r="G44" s="46"/>
      <c r="H44" s="47"/>
      <c r="I44" s="134">
        <f>G44+H44</f>
        <v>0</v>
      </c>
      <c r="J44" s="46">
        <v>1380</v>
      </c>
      <c r="K44" s="47"/>
      <c r="L44" s="48">
        <f>K44+J44</f>
        <v>1380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2914268</v>
      </c>
      <c r="D50" s="159">
        <f>SUM(D51,D286)</f>
        <v>2676694</v>
      </c>
      <c r="E50" s="160">
        <f t="shared" ref="E50:F50" si="26">SUM(E51,E286)</f>
        <v>0</v>
      </c>
      <c r="F50" s="161">
        <f t="shared" si="26"/>
        <v>2676694</v>
      </c>
      <c r="G50" s="159">
        <f>SUM(G51,G286)</f>
        <v>0</v>
      </c>
      <c r="H50" s="160">
        <f>SUM(H51,H286)</f>
        <v>0</v>
      </c>
      <c r="I50" s="161">
        <f t="shared" ref="I50" si="27">SUM(I51,I286)</f>
        <v>0</v>
      </c>
      <c r="J50" s="32">
        <f>SUM(J51,J286)</f>
        <v>237574</v>
      </c>
      <c r="K50" s="33">
        <f t="shared" ref="K50:L50" si="28">SUM(K51,K286)</f>
        <v>0</v>
      </c>
      <c r="L50" s="34">
        <f t="shared" si="28"/>
        <v>237574</v>
      </c>
      <c r="M50" s="32">
        <f>SUM(M51,M286)</f>
        <v>0</v>
      </c>
      <c r="N50" s="33">
        <f t="shared" ref="N50:O50" si="29">SUM(N51,N286)</f>
        <v>0</v>
      </c>
      <c r="O50" s="34">
        <f t="shared" si="29"/>
        <v>0</v>
      </c>
      <c r="P50" s="35"/>
    </row>
    <row r="51" spans="1:16" s="28" customFormat="1" ht="39.75" customHeight="1" thickTop="1" x14ac:dyDescent="0.25">
      <c r="A51" s="162"/>
      <c r="B51" s="163" t="s">
        <v>69</v>
      </c>
      <c r="C51" s="164">
        <f t="shared" si="0"/>
        <v>2914268</v>
      </c>
      <c r="D51" s="165">
        <f>SUM(D52,D194)</f>
        <v>2676694</v>
      </c>
      <c r="E51" s="166">
        <f t="shared" ref="E51:F51" si="30">SUM(E52,E194)</f>
        <v>0</v>
      </c>
      <c r="F51" s="167">
        <f t="shared" si="30"/>
        <v>2676694</v>
      </c>
      <c r="G51" s="165">
        <f>SUM(G52,G194)</f>
        <v>0</v>
      </c>
      <c r="H51" s="166">
        <f t="shared" ref="H51:I51" si="31">SUM(H52,H194)</f>
        <v>0</v>
      </c>
      <c r="I51" s="167">
        <f t="shared" si="31"/>
        <v>0</v>
      </c>
      <c r="J51" s="168">
        <f>SUM(J52,J194)</f>
        <v>237574</v>
      </c>
      <c r="K51" s="169">
        <f t="shared" ref="K51:L51" si="32">SUM(K52,K194)</f>
        <v>0</v>
      </c>
      <c r="L51" s="170">
        <f t="shared" si="32"/>
        <v>237574</v>
      </c>
      <c r="M51" s="168">
        <f>SUM(M52,M194)</f>
        <v>0</v>
      </c>
      <c r="N51" s="169">
        <f t="shared" ref="N51:O51" si="33">SUM(N52,N194)</f>
        <v>0</v>
      </c>
      <c r="O51" s="170">
        <f t="shared" si="33"/>
        <v>0</v>
      </c>
      <c r="P51" s="171"/>
    </row>
    <row r="52" spans="1:16" s="28" customFormat="1" ht="25.5" customHeight="1" x14ac:dyDescent="0.25">
      <c r="A52" s="24"/>
      <c r="B52" s="22" t="s">
        <v>70</v>
      </c>
      <c r="C52" s="172">
        <f t="shared" si="0"/>
        <v>2783972</v>
      </c>
      <c r="D52" s="173">
        <f>SUM(D53,D75,D173,D187)</f>
        <v>2565225</v>
      </c>
      <c r="E52" s="174">
        <f t="shared" ref="E52:F52" si="34">SUM(E53,E75,E173,E187)</f>
        <v>2000</v>
      </c>
      <c r="F52" s="175">
        <f t="shared" si="34"/>
        <v>2567225</v>
      </c>
      <c r="G52" s="173">
        <f>SUM(G53,G75,G173,G187)</f>
        <v>0</v>
      </c>
      <c r="H52" s="174">
        <f t="shared" ref="H52:I52" si="35">SUM(H53,H75,H173,H187)</f>
        <v>0</v>
      </c>
      <c r="I52" s="175">
        <f t="shared" si="35"/>
        <v>0</v>
      </c>
      <c r="J52" s="173">
        <f>SUM(J53,J75,J173,J187)</f>
        <v>214747</v>
      </c>
      <c r="K52" s="174">
        <f t="shared" ref="K52:L52" si="36">SUM(K53,K75,K173,K187)</f>
        <v>2000</v>
      </c>
      <c r="L52" s="175">
        <f t="shared" si="36"/>
        <v>216747</v>
      </c>
      <c r="M52" s="173">
        <f>SUM(M53,M75,M173,M187)</f>
        <v>0</v>
      </c>
      <c r="N52" s="174">
        <f t="shared" ref="N52:O52" si="37">SUM(N53,N75,N173,N187)</f>
        <v>0</v>
      </c>
      <c r="O52" s="175">
        <f t="shared" si="37"/>
        <v>0</v>
      </c>
      <c r="P52" s="176"/>
    </row>
    <row r="53" spans="1:16" s="28" customFormat="1" x14ac:dyDescent="0.25">
      <c r="A53" s="177">
        <v>1000</v>
      </c>
      <c r="B53" s="177" t="s">
        <v>71</v>
      </c>
      <c r="C53" s="178">
        <f t="shared" si="0"/>
        <v>2316531</v>
      </c>
      <c r="D53" s="179">
        <f>SUM(D54,D67)</f>
        <v>2316531</v>
      </c>
      <c r="E53" s="180">
        <f t="shared" ref="E53:F53" si="38">SUM(E54,E67)</f>
        <v>0</v>
      </c>
      <c r="F53" s="181">
        <f t="shared" si="38"/>
        <v>2316531</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1765513</v>
      </c>
      <c r="D54" s="184">
        <f>SUM(D55,D58,D66)</f>
        <v>1765513</v>
      </c>
      <c r="E54" s="185">
        <f t="shared" ref="E54:F54" si="42">SUM(E55,E58,E66)</f>
        <v>0</v>
      </c>
      <c r="F54" s="73">
        <f t="shared" si="42"/>
        <v>1765513</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1532731</v>
      </c>
      <c r="D55" s="187">
        <f>SUM(D56:D57)</f>
        <v>1532731</v>
      </c>
      <c r="E55" s="188">
        <f t="shared" ref="E55:F55" si="46">SUM(E56:E57)</f>
        <v>0</v>
      </c>
      <c r="F55" s="141">
        <f t="shared" si="46"/>
        <v>1532731</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75</v>
      </c>
      <c r="C57" s="90">
        <f t="shared" si="0"/>
        <v>1532731</v>
      </c>
      <c r="D57" s="53">
        <f>1536731-4000</f>
        <v>1532731</v>
      </c>
      <c r="E57" s="54"/>
      <c r="F57" s="55">
        <f t="shared" si="50"/>
        <v>1532731</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172339</v>
      </c>
      <c r="D58" s="190">
        <f>SUM(D59:D65)</f>
        <v>172339</v>
      </c>
      <c r="E58" s="191">
        <f>SUM(E59:E65)</f>
        <v>0</v>
      </c>
      <c r="F58" s="55">
        <f t="shared" ref="F58" si="54">SUM(F59:F65)</f>
        <v>172339</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5827</v>
      </c>
      <c r="D59" s="53">
        <f>5327+500</f>
        <v>5827</v>
      </c>
      <c r="E59" s="54"/>
      <c r="F59" s="55">
        <f t="shared" ref="F59:F66" si="58">D59+E59</f>
        <v>5827</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6630</v>
      </c>
      <c r="D60" s="53">
        <v>6630</v>
      </c>
      <c r="E60" s="54"/>
      <c r="F60" s="55">
        <f t="shared" si="58"/>
        <v>6630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9" t="s">
        <v>80</v>
      </c>
      <c r="C62" s="90">
        <f t="shared" si="0"/>
        <v>23000</v>
      </c>
      <c r="D62" s="53">
        <v>23000</v>
      </c>
      <c r="E62" s="54"/>
      <c r="F62" s="55">
        <f t="shared" si="58"/>
        <v>23000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33091</v>
      </c>
      <c r="D63" s="53">
        <f>38091-5000</f>
        <v>33091</v>
      </c>
      <c r="E63" s="54"/>
      <c r="F63" s="55">
        <f t="shared" si="58"/>
        <v>33091</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103791</v>
      </c>
      <c r="D64" s="53">
        <v>103791</v>
      </c>
      <c r="E64" s="54"/>
      <c r="F64" s="55">
        <f t="shared" si="58"/>
        <v>103791</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9" customHeight="1" x14ac:dyDescent="0.25">
      <c r="A66" s="186">
        <v>1150</v>
      </c>
      <c r="B66" s="138" t="s">
        <v>84</v>
      </c>
      <c r="C66" s="143">
        <f t="shared" si="0"/>
        <v>60443</v>
      </c>
      <c r="D66" s="144">
        <v>60443</v>
      </c>
      <c r="E66" s="145"/>
      <c r="F66" s="141">
        <f t="shared" si="58"/>
        <v>60443</v>
      </c>
      <c r="G66" s="144"/>
      <c r="H66" s="145"/>
      <c r="I66" s="141">
        <f t="shared" si="59"/>
        <v>0</v>
      </c>
      <c r="J66" s="144"/>
      <c r="K66" s="145"/>
      <c r="L66" s="141">
        <f t="shared" si="60"/>
        <v>0</v>
      </c>
      <c r="M66" s="144"/>
      <c r="N66" s="145"/>
      <c r="O66" s="141">
        <f t="shared" si="61"/>
        <v>0</v>
      </c>
      <c r="P66" s="129"/>
    </row>
    <row r="67" spans="1:16" ht="27" customHeight="1" x14ac:dyDescent="0.25">
      <c r="A67" s="69">
        <v>1200</v>
      </c>
      <c r="B67" s="183" t="s">
        <v>85</v>
      </c>
      <c r="C67" s="70">
        <f t="shared" si="0"/>
        <v>551018</v>
      </c>
      <c r="D67" s="184">
        <f>SUM(D68:D69)</f>
        <v>551018</v>
      </c>
      <c r="E67" s="185">
        <f t="shared" ref="E67:F67" si="62">SUM(E68:E69)</f>
        <v>0</v>
      </c>
      <c r="F67" s="73">
        <f t="shared" si="62"/>
        <v>551018</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7.75" customHeight="1" x14ac:dyDescent="0.25">
      <c r="A68" s="855">
        <v>1210</v>
      </c>
      <c r="B68" s="82" t="s">
        <v>86</v>
      </c>
      <c r="C68" s="83">
        <f t="shared" si="0"/>
        <v>427688</v>
      </c>
      <c r="D68" s="46">
        <f>431688-4000</f>
        <v>427688</v>
      </c>
      <c r="E68" s="47"/>
      <c r="F68" s="134">
        <f>D68+E68</f>
        <v>427688</v>
      </c>
      <c r="G68" s="46"/>
      <c r="H68" s="47"/>
      <c r="I68" s="134">
        <f>G68+H68</f>
        <v>0</v>
      </c>
      <c r="J68" s="46"/>
      <c r="K68" s="47"/>
      <c r="L68" s="134">
        <f>K68+J68</f>
        <v>0</v>
      </c>
      <c r="M68" s="46"/>
      <c r="N68" s="47"/>
      <c r="O68" s="134">
        <f>N68+M68</f>
        <v>0</v>
      </c>
      <c r="P68" s="49"/>
    </row>
    <row r="69" spans="1:16" ht="26.25" customHeight="1" x14ac:dyDescent="0.25">
      <c r="A69" s="189">
        <v>1220</v>
      </c>
      <c r="B69" s="89" t="s">
        <v>87</v>
      </c>
      <c r="C69" s="90">
        <f t="shared" si="0"/>
        <v>123330</v>
      </c>
      <c r="D69" s="190">
        <f>SUM(D70:D74)</f>
        <v>123330</v>
      </c>
      <c r="E69" s="191">
        <f t="shared" ref="E69:F69" si="66">SUM(E70:E74)</f>
        <v>0</v>
      </c>
      <c r="F69" s="55">
        <f t="shared" si="66"/>
        <v>123330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52.5" customHeight="1" x14ac:dyDescent="0.25">
      <c r="A70" s="51">
        <v>1221</v>
      </c>
      <c r="B70" s="89" t="s">
        <v>88</v>
      </c>
      <c r="C70" s="90">
        <f t="shared" si="0"/>
        <v>93399</v>
      </c>
      <c r="D70" s="53">
        <v>93399</v>
      </c>
      <c r="E70" s="54"/>
      <c r="F70" s="55">
        <f t="shared" ref="F70:F74" si="70">D70+E70</f>
        <v>93399</v>
      </c>
      <c r="G70" s="53"/>
      <c r="H70" s="54"/>
      <c r="I70" s="55">
        <f t="shared" ref="I70:I74" si="71">G70+H70</f>
        <v>0</v>
      </c>
      <c r="J70" s="53"/>
      <c r="K70" s="54"/>
      <c r="L70" s="55">
        <f t="shared" ref="L70:L74" si="72">K70+J70</f>
        <v>0</v>
      </c>
      <c r="M70" s="53"/>
      <c r="N70" s="54"/>
      <c r="O70" s="55">
        <f t="shared" ref="O70:O74" si="73">N70+M70</f>
        <v>0</v>
      </c>
      <c r="P70" s="57"/>
    </row>
    <row r="71" spans="1:16" ht="12" customHeight="1" x14ac:dyDescent="0.25">
      <c r="A71" s="51">
        <v>1223</v>
      </c>
      <c r="B71" s="89" t="s">
        <v>89</v>
      </c>
      <c r="C71" s="90">
        <f t="shared" si="0"/>
        <v>800</v>
      </c>
      <c r="D71" s="53">
        <v>800</v>
      </c>
      <c r="E71" s="54"/>
      <c r="F71" s="55">
        <f t="shared" si="70"/>
        <v>800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5.25" customHeight="1" x14ac:dyDescent="0.25">
      <c r="A73" s="51">
        <v>1227</v>
      </c>
      <c r="B73" s="89" t="s">
        <v>91</v>
      </c>
      <c r="C73" s="90">
        <f t="shared" si="0"/>
        <v>21343</v>
      </c>
      <c r="D73" s="53">
        <v>21343</v>
      </c>
      <c r="E73" s="54"/>
      <c r="F73" s="55">
        <f t="shared" si="70"/>
        <v>21343</v>
      </c>
      <c r="G73" s="53"/>
      <c r="H73" s="54"/>
      <c r="I73" s="55">
        <f t="shared" si="71"/>
        <v>0</v>
      </c>
      <c r="J73" s="53"/>
      <c r="K73" s="54"/>
      <c r="L73" s="55">
        <f t="shared" si="72"/>
        <v>0</v>
      </c>
      <c r="M73" s="53"/>
      <c r="N73" s="54"/>
      <c r="O73" s="55">
        <f t="shared" si="73"/>
        <v>0</v>
      </c>
      <c r="P73" s="57"/>
    </row>
    <row r="74" spans="1:16" ht="49.5" customHeight="1" x14ac:dyDescent="0.25">
      <c r="A74" s="51">
        <v>1228</v>
      </c>
      <c r="B74" s="89" t="s">
        <v>92</v>
      </c>
      <c r="C74" s="90">
        <f t="shared" si="0"/>
        <v>7788</v>
      </c>
      <c r="D74" s="53">
        <f>6788+1000</f>
        <v>7788</v>
      </c>
      <c r="E74" s="54"/>
      <c r="F74" s="55">
        <f t="shared" si="70"/>
        <v>7788</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467441</v>
      </c>
      <c r="D75" s="179">
        <f>SUM(D76,D83,D130,D164,D165,D172)</f>
        <v>248694</v>
      </c>
      <c r="E75" s="180">
        <f t="shared" ref="E75:F75" si="74">SUM(E76,E83,E130,E164,E165,E172)</f>
        <v>2000</v>
      </c>
      <c r="F75" s="181">
        <f t="shared" si="74"/>
        <v>250694</v>
      </c>
      <c r="G75" s="179">
        <f>SUM(G76,G83,G130,G164,G165,G172)</f>
        <v>0</v>
      </c>
      <c r="H75" s="180">
        <f t="shared" ref="H75:I75" si="75">SUM(H76,H83,H130,H164,H165,H172)</f>
        <v>0</v>
      </c>
      <c r="I75" s="181">
        <f t="shared" si="75"/>
        <v>0</v>
      </c>
      <c r="J75" s="179">
        <f>SUM(J76,J83,J130,J164,J165,J172)</f>
        <v>214747</v>
      </c>
      <c r="K75" s="180">
        <f t="shared" ref="K75:L75" si="76">SUM(K76,K83,K130,K164,K165,K172)</f>
        <v>2000</v>
      </c>
      <c r="L75" s="181">
        <f t="shared" si="76"/>
        <v>216747</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55">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279678</v>
      </c>
      <c r="D83" s="184">
        <f>SUM(D84,D89,D95,D103,D112,D116,D122,D128)</f>
        <v>175293</v>
      </c>
      <c r="E83" s="185">
        <f t="shared" ref="E83:F83" si="98">SUM(E84,E89,E95,E103,E112,E116,E122,E128)</f>
        <v>-5100</v>
      </c>
      <c r="F83" s="73">
        <f t="shared" si="98"/>
        <v>170193</v>
      </c>
      <c r="G83" s="184">
        <f>SUM(G84,G89,G95,G103,G112,G116,G122,G128)</f>
        <v>0</v>
      </c>
      <c r="H83" s="185">
        <f t="shared" ref="H83:I83" si="99">SUM(H84,H89,H95,H103,H112,H116,H122,H128)</f>
        <v>0</v>
      </c>
      <c r="I83" s="73">
        <f t="shared" si="99"/>
        <v>0</v>
      </c>
      <c r="J83" s="184">
        <f>SUM(J84,J89,J95,J103,J112,J116,J122,J128)</f>
        <v>112485</v>
      </c>
      <c r="K83" s="185">
        <f t="shared" ref="K83:L83" si="100">SUM(K84,K89,K95,K103,K112,K116,K122,K128)</f>
        <v>-3000</v>
      </c>
      <c r="L83" s="73">
        <f t="shared" si="100"/>
        <v>109485</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36260</v>
      </c>
      <c r="D84" s="187">
        <f>SUM(D85:D88)</f>
        <v>17150</v>
      </c>
      <c r="E84" s="188">
        <f t="shared" ref="E84:F84" si="103">SUM(E85:E88)</f>
        <v>-2000</v>
      </c>
      <c r="F84" s="141">
        <f t="shared" si="103"/>
        <v>15150</v>
      </c>
      <c r="G84" s="187">
        <f>SUM(G85:G88)</f>
        <v>0</v>
      </c>
      <c r="H84" s="188">
        <f t="shared" ref="H84:I84" si="104">SUM(H85:H88)</f>
        <v>0</v>
      </c>
      <c r="I84" s="141">
        <f t="shared" si="104"/>
        <v>0</v>
      </c>
      <c r="J84" s="187">
        <f>SUM(J85:J88)</f>
        <v>24110</v>
      </c>
      <c r="K84" s="188">
        <f t="shared" ref="K84:L84" si="105">SUM(K85:K88)</f>
        <v>-3000</v>
      </c>
      <c r="L84" s="141">
        <f t="shared" si="105"/>
        <v>21110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v>0</v>
      </c>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11350</v>
      </c>
      <c r="D86" s="196">
        <v>2750</v>
      </c>
      <c r="E86" s="198">
        <v>-1000</v>
      </c>
      <c r="F86" s="55">
        <f t="shared" si="107"/>
        <v>1750</v>
      </c>
      <c r="G86" s="53"/>
      <c r="H86" s="54"/>
      <c r="I86" s="55">
        <f t="shared" si="108"/>
        <v>0</v>
      </c>
      <c r="J86" s="53">
        <v>11600</v>
      </c>
      <c r="K86" s="725">
        <v>-2000</v>
      </c>
      <c r="L86" s="55">
        <f t="shared" si="109"/>
        <v>9600</v>
      </c>
      <c r="M86" s="53"/>
      <c r="N86" s="54"/>
      <c r="O86" s="55">
        <f t="shared" si="110"/>
        <v>0</v>
      </c>
      <c r="P86" s="57"/>
    </row>
    <row r="87" spans="1:16" ht="24" customHeight="1" x14ac:dyDescent="0.25">
      <c r="A87" s="51">
        <v>2214</v>
      </c>
      <c r="B87" s="89" t="s">
        <v>103</v>
      </c>
      <c r="C87" s="90">
        <f t="shared" si="102"/>
        <v>24910</v>
      </c>
      <c r="D87" s="196">
        <v>14400</v>
      </c>
      <c r="E87" s="198">
        <v>-1000</v>
      </c>
      <c r="F87" s="55">
        <f t="shared" si="107"/>
        <v>13400</v>
      </c>
      <c r="G87" s="53"/>
      <c r="H87" s="54"/>
      <c r="I87" s="55">
        <f t="shared" si="108"/>
        <v>0</v>
      </c>
      <c r="J87" s="53">
        <v>12510</v>
      </c>
      <c r="K87" s="725">
        <v>-1000</v>
      </c>
      <c r="L87" s="55">
        <f t="shared" si="109"/>
        <v>11510</v>
      </c>
      <c r="M87" s="53"/>
      <c r="N87" s="54"/>
      <c r="O87" s="55">
        <f t="shared" si="110"/>
        <v>0</v>
      </c>
      <c r="P87" s="57"/>
    </row>
    <row r="88" spans="1:16" ht="12" hidden="1" customHeight="1" x14ac:dyDescent="0.25">
      <c r="A88" s="51">
        <v>2219</v>
      </c>
      <c r="B88" s="89" t="s">
        <v>104</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124081</v>
      </c>
      <c r="D89" s="190">
        <f>SUM(D90:D94)</f>
        <v>62150</v>
      </c>
      <c r="E89" s="191">
        <f t="shared" ref="E89:F89" si="111">SUM(E90:E94)</f>
        <v>0</v>
      </c>
      <c r="F89" s="55">
        <f t="shared" si="111"/>
        <v>62150</v>
      </c>
      <c r="G89" s="190">
        <f>SUM(G90:G94)</f>
        <v>0</v>
      </c>
      <c r="H89" s="191">
        <f t="shared" ref="H89:I89" si="112">SUM(H90:H94)</f>
        <v>0</v>
      </c>
      <c r="I89" s="55">
        <f t="shared" si="112"/>
        <v>0</v>
      </c>
      <c r="J89" s="190">
        <f>SUM(J90:J94)</f>
        <v>62431</v>
      </c>
      <c r="K89" s="191">
        <f t="shared" ref="K89:L89" si="113">SUM(K90:K94)</f>
        <v>-500</v>
      </c>
      <c r="L89" s="55">
        <f t="shared" si="113"/>
        <v>61931</v>
      </c>
      <c r="M89" s="190">
        <f>SUM(M90:M94)</f>
        <v>0</v>
      </c>
      <c r="N89" s="191">
        <f t="shared" ref="N89:O89" si="114">SUM(N90:N94)</f>
        <v>0</v>
      </c>
      <c r="O89" s="55">
        <f t="shared" si="114"/>
        <v>0</v>
      </c>
      <c r="P89" s="57"/>
    </row>
    <row r="90" spans="1:16" ht="24" customHeight="1" x14ac:dyDescent="0.25">
      <c r="A90" s="51">
        <v>2221</v>
      </c>
      <c r="B90" s="89" t="s">
        <v>106</v>
      </c>
      <c r="C90" s="90">
        <f t="shared" si="102"/>
        <v>49000</v>
      </c>
      <c r="D90" s="196">
        <v>20000</v>
      </c>
      <c r="E90" s="197"/>
      <c r="F90" s="55">
        <f t="shared" ref="F90:F94" si="115">D90+E90</f>
        <v>20000</v>
      </c>
      <c r="G90" s="53"/>
      <c r="H90" s="54"/>
      <c r="I90" s="55">
        <f t="shared" ref="I90:I94" si="116">G90+H90</f>
        <v>0</v>
      </c>
      <c r="J90" s="53">
        <f>25000+4000</f>
        <v>29000</v>
      </c>
      <c r="K90" s="54"/>
      <c r="L90" s="55">
        <f t="shared" ref="L90:L94" si="117">K90+J90</f>
        <v>29000</v>
      </c>
      <c r="M90" s="53"/>
      <c r="N90" s="54"/>
      <c r="O90" s="55">
        <f t="shared" ref="O90:O94" si="118">N90+M90</f>
        <v>0</v>
      </c>
      <c r="P90" s="57"/>
    </row>
    <row r="91" spans="1:16" ht="12" customHeight="1" x14ac:dyDescent="0.25">
      <c r="A91" s="51">
        <v>2222</v>
      </c>
      <c r="B91" s="89" t="s">
        <v>107</v>
      </c>
      <c r="C91" s="90">
        <f t="shared" si="102"/>
        <v>6350</v>
      </c>
      <c r="D91" s="196">
        <v>1350</v>
      </c>
      <c r="E91" s="197"/>
      <c r="F91" s="55">
        <f t="shared" si="115"/>
        <v>1350</v>
      </c>
      <c r="G91" s="53"/>
      <c r="H91" s="54"/>
      <c r="I91" s="55">
        <f t="shared" si="116"/>
        <v>0</v>
      </c>
      <c r="J91" s="53">
        <v>5000</v>
      </c>
      <c r="K91" s="54"/>
      <c r="L91" s="55">
        <f t="shared" si="117"/>
        <v>5000</v>
      </c>
      <c r="M91" s="53"/>
      <c r="N91" s="54"/>
      <c r="O91" s="55">
        <f t="shared" si="118"/>
        <v>0</v>
      </c>
      <c r="P91" s="57"/>
    </row>
    <row r="92" spans="1:16" ht="12" customHeight="1" x14ac:dyDescent="0.25">
      <c r="A92" s="51">
        <v>2223</v>
      </c>
      <c r="B92" s="89" t="s">
        <v>108</v>
      </c>
      <c r="C92" s="90">
        <f t="shared" si="102"/>
        <v>65300</v>
      </c>
      <c r="D92" s="196">
        <v>40000</v>
      </c>
      <c r="E92" s="197"/>
      <c r="F92" s="55">
        <f t="shared" si="115"/>
        <v>40000</v>
      </c>
      <c r="G92" s="53"/>
      <c r="H92" s="54"/>
      <c r="I92" s="55">
        <f t="shared" si="116"/>
        <v>0</v>
      </c>
      <c r="J92" s="53">
        <v>25300</v>
      </c>
      <c r="K92" s="54"/>
      <c r="L92" s="55">
        <f t="shared" si="117"/>
        <v>25300</v>
      </c>
      <c r="M92" s="53"/>
      <c r="N92" s="54"/>
      <c r="O92" s="55">
        <f t="shared" si="118"/>
        <v>0</v>
      </c>
      <c r="P92" s="57"/>
    </row>
    <row r="93" spans="1:16" ht="48" customHeight="1" x14ac:dyDescent="0.25">
      <c r="A93" s="51">
        <v>2224</v>
      </c>
      <c r="B93" s="89" t="s">
        <v>109</v>
      </c>
      <c r="C93" s="90">
        <f t="shared" si="102"/>
        <v>3431</v>
      </c>
      <c r="D93" s="196">
        <v>800</v>
      </c>
      <c r="E93" s="197"/>
      <c r="F93" s="55">
        <f t="shared" si="115"/>
        <v>800</v>
      </c>
      <c r="G93" s="53"/>
      <c r="H93" s="54"/>
      <c r="I93" s="55">
        <f t="shared" si="116"/>
        <v>0</v>
      </c>
      <c r="J93" s="53">
        <v>3131</v>
      </c>
      <c r="K93" s="725">
        <v>-500</v>
      </c>
      <c r="L93" s="55">
        <f t="shared" si="117"/>
        <v>2631</v>
      </c>
      <c r="M93" s="53"/>
      <c r="N93" s="54"/>
      <c r="O93" s="55">
        <f t="shared" si="118"/>
        <v>0</v>
      </c>
      <c r="P93" s="57"/>
    </row>
    <row r="94" spans="1:16" ht="24" hidden="1" customHeight="1" x14ac:dyDescent="0.25">
      <c r="A94" s="51">
        <v>2229</v>
      </c>
      <c r="B94" s="89" t="s">
        <v>110</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5200</v>
      </c>
      <c r="D95" s="190">
        <f>SUM(D96:D102)</f>
        <v>0</v>
      </c>
      <c r="E95" s="191">
        <f t="shared" ref="E95:F95" si="119">SUM(E96:E102)</f>
        <v>0</v>
      </c>
      <c r="F95" s="55">
        <f t="shared" si="119"/>
        <v>0</v>
      </c>
      <c r="G95" s="190">
        <f>SUM(G96:G102)</f>
        <v>0</v>
      </c>
      <c r="H95" s="191">
        <f t="shared" ref="H95:I95" si="120">SUM(H96:H102)</f>
        <v>0</v>
      </c>
      <c r="I95" s="55">
        <f t="shared" si="120"/>
        <v>0</v>
      </c>
      <c r="J95" s="190">
        <f>SUM(J96:J102)</f>
        <v>5200</v>
      </c>
      <c r="K95" s="191">
        <f t="shared" ref="K95:L95" si="121">SUM(K96:K102)</f>
        <v>0</v>
      </c>
      <c r="L95" s="55">
        <f t="shared" si="121"/>
        <v>5200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v>0</v>
      </c>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5200</v>
      </c>
      <c r="D102" s="196"/>
      <c r="E102" s="197"/>
      <c r="F102" s="55">
        <f t="shared" si="123"/>
        <v>0</v>
      </c>
      <c r="G102" s="53"/>
      <c r="H102" s="54"/>
      <c r="I102" s="55">
        <f t="shared" si="124"/>
        <v>0</v>
      </c>
      <c r="J102" s="53">
        <v>5200</v>
      </c>
      <c r="K102" s="54"/>
      <c r="L102" s="55">
        <f t="shared" si="125"/>
        <v>5200</v>
      </c>
      <c r="M102" s="53"/>
      <c r="N102" s="54"/>
      <c r="O102" s="55">
        <f t="shared" si="126"/>
        <v>0</v>
      </c>
      <c r="P102" s="57"/>
    </row>
    <row r="103" spans="1:16" ht="36" x14ac:dyDescent="0.25">
      <c r="A103" s="189">
        <v>2240</v>
      </c>
      <c r="B103" s="89" t="s">
        <v>119</v>
      </c>
      <c r="C103" s="90">
        <f t="shared" si="102"/>
        <v>109608</v>
      </c>
      <c r="D103" s="190">
        <f>SUM(D104:D111)</f>
        <v>91993</v>
      </c>
      <c r="E103" s="191">
        <f t="shared" ref="E103:F103" si="127">SUM(E104:E111)</f>
        <v>-1500</v>
      </c>
      <c r="F103" s="55">
        <f t="shared" si="127"/>
        <v>90493</v>
      </c>
      <c r="G103" s="190">
        <f>SUM(G104:G111)</f>
        <v>0</v>
      </c>
      <c r="H103" s="191">
        <f t="shared" ref="H103:I103" si="128">SUM(H104:H111)</f>
        <v>0</v>
      </c>
      <c r="I103" s="55">
        <f t="shared" si="128"/>
        <v>0</v>
      </c>
      <c r="J103" s="190">
        <f>SUM(J104:J111)</f>
        <v>18615</v>
      </c>
      <c r="K103" s="191">
        <f t="shared" ref="K103:L103" si="129">SUM(K104:K111)</f>
        <v>500</v>
      </c>
      <c r="L103" s="55">
        <f t="shared" si="129"/>
        <v>19115</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23561</v>
      </c>
      <c r="D105" s="196">
        <v>20000</v>
      </c>
      <c r="E105" s="198">
        <v>-1500</v>
      </c>
      <c r="F105" s="55">
        <f t="shared" si="131"/>
        <v>18500</v>
      </c>
      <c r="G105" s="53"/>
      <c r="H105" s="54"/>
      <c r="I105" s="55">
        <f t="shared" si="132"/>
        <v>0</v>
      </c>
      <c r="J105" s="53">
        <v>5561</v>
      </c>
      <c r="K105" s="725">
        <v>-500</v>
      </c>
      <c r="L105" s="55">
        <f t="shared" si="133"/>
        <v>5061</v>
      </c>
      <c r="M105" s="53"/>
      <c r="N105" s="54"/>
      <c r="O105" s="55">
        <f t="shared" si="134"/>
        <v>0</v>
      </c>
      <c r="P105" s="57"/>
    </row>
    <row r="106" spans="1:16" ht="24" customHeight="1" x14ac:dyDescent="0.25">
      <c r="A106" s="51">
        <v>2243</v>
      </c>
      <c r="B106" s="89" t="s">
        <v>122</v>
      </c>
      <c r="C106" s="90">
        <f t="shared" si="102"/>
        <v>6000</v>
      </c>
      <c r="D106" s="196">
        <f>1000+1500</f>
        <v>2500</v>
      </c>
      <c r="E106" s="197"/>
      <c r="F106" s="55">
        <f t="shared" si="131"/>
        <v>2500</v>
      </c>
      <c r="G106" s="53"/>
      <c r="H106" s="54"/>
      <c r="I106" s="55">
        <f t="shared" si="132"/>
        <v>0</v>
      </c>
      <c r="J106" s="53">
        <v>2500</v>
      </c>
      <c r="K106" s="725">
        <v>1000</v>
      </c>
      <c r="L106" s="55">
        <f t="shared" si="133"/>
        <v>3500</v>
      </c>
      <c r="M106" s="53"/>
      <c r="N106" s="54"/>
      <c r="O106" s="55">
        <f t="shared" si="134"/>
        <v>0</v>
      </c>
      <c r="P106" s="57"/>
    </row>
    <row r="107" spans="1:16" ht="12" customHeight="1" x14ac:dyDescent="0.25">
      <c r="A107" s="51">
        <v>2244</v>
      </c>
      <c r="B107" s="89" t="s">
        <v>123</v>
      </c>
      <c r="C107" s="90">
        <f t="shared" si="102"/>
        <v>79997</v>
      </c>
      <c r="D107" s="196">
        <f>65543+3900</f>
        <v>69443</v>
      </c>
      <c r="E107" s="197"/>
      <c r="F107" s="55">
        <f t="shared" si="131"/>
        <v>69443</v>
      </c>
      <c r="G107" s="53"/>
      <c r="H107" s="54"/>
      <c r="I107" s="55">
        <f t="shared" si="132"/>
        <v>0</v>
      </c>
      <c r="J107" s="53">
        <v>10554</v>
      </c>
      <c r="K107" s="54"/>
      <c r="L107" s="55">
        <f t="shared" si="133"/>
        <v>10554</v>
      </c>
      <c r="M107" s="53"/>
      <c r="N107" s="54"/>
      <c r="O107" s="55">
        <f t="shared" si="134"/>
        <v>0</v>
      </c>
      <c r="P107" s="57"/>
    </row>
    <row r="108" spans="1:16" ht="24" hidden="1" customHeight="1" x14ac:dyDescent="0.25">
      <c r="A108" s="51">
        <v>2246</v>
      </c>
      <c r="B108" s="89" t="s">
        <v>124</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50</v>
      </c>
      <c r="D111" s="196">
        <v>50</v>
      </c>
      <c r="E111" s="197"/>
      <c r="F111" s="55">
        <f t="shared" si="131"/>
        <v>50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629</v>
      </c>
      <c r="D116" s="190">
        <f>SUM(D117:D121)</f>
        <v>1500</v>
      </c>
      <c r="E116" s="191">
        <f t="shared" ref="E116:F116" si="143">SUM(E117:E121)</f>
        <v>-1000</v>
      </c>
      <c r="F116" s="55">
        <f t="shared" si="143"/>
        <v>500</v>
      </c>
      <c r="G116" s="190">
        <f>SUM(G117:G121)</f>
        <v>0</v>
      </c>
      <c r="H116" s="191">
        <f t="shared" ref="H116:I116" si="144">SUM(H117:H121)</f>
        <v>0</v>
      </c>
      <c r="I116" s="55">
        <f t="shared" si="144"/>
        <v>0</v>
      </c>
      <c r="J116" s="190">
        <f>SUM(J117:J121)</f>
        <v>129</v>
      </c>
      <c r="K116" s="191">
        <f t="shared" ref="K116:L116" si="145">SUM(K117:K121)</f>
        <v>0</v>
      </c>
      <c r="L116" s="55">
        <f t="shared" si="145"/>
        <v>129</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500</v>
      </c>
      <c r="D118" s="196">
        <v>1500</v>
      </c>
      <c r="E118" s="198">
        <v>-1000</v>
      </c>
      <c r="F118" s="55">
        <f t="shared" si="147"/>
        <v>500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129</v>
      </c>
      <c r="D121" s="196"/>
      <c r="E121" s="197"/>
      <c r="F121" s="55">
        <f t="shared" si="147"/>
        <v>0</v>
      </c>
      <c r="G121" s="53"/>
      <c r="H121" s="54"/>
      <c r="I121" s="55">
        <f t="shared" si="148"/>
        <v>0</v>
      </c>
      <c r="J121" s="53">
        <v>129</v>
      </c>
      <c r="K121" s="54"/>
      <c r="L121" s="55">
        <f t="shared" si="149"/>
        <v>129</v>
      </c>
      <c r="M121" s="53"/>
      <c r="N121" s="54"/>
      <c r="O121" s="55">
        <f t="shared" si="150"/>
        <v>0</v>
      </c>
      <c r="P121" s="57"/>
    </row>
    <row r="122" spans="1:16" x14ac:dyDescent="0.25">
      <c r="A122" s="189">
        <v>2270</v>
      </c>
      <c r="B122" s="89" t="s">
        <v>138</v>
      </c>
      <c r="C122" s="90">
        <f t="shared" si="102"/>
        <v>3900</v>
      </c>
      <c r="D122" s="190">
        <f>SUM(D123:D127)</f>
        <v>2500</v>
      </c>
      <c r="E122" s="191">
        <f t="shared" ref="E122:F122" si="151">SUM(E123:E127)</f>
        <v>-600</v>
      </c>
      <c r="F122" s="55">
        <f t="shared" si="151"/>
        <v>1900</v>
      </c>
      <c r="G122" s="190">
        <f>SUM(G123:G127)</f>
        <v>0</v>
      </c>
      <c r="H122" s="191">
        <f t="shared" ref="H122:I122" si="152">SUM(H123:H127)</f>
        <v>0</v>
      </c>
      <c r="I122" s="55">
        <f t="shared" si="152"/>
        <v>0</v>
      </c>
      <c r="J122" s="190">
        <f>SUM(J123:J127)</f>
        <v>2000</v>
      </c>
      <c r="K122" s="191">
        <f t="shared" ref="K122:L122" si="153">SUM(K123:K127)</f>
        <v>0</v>
      </c>
      <c r="L122" s="55">
        <f t="shared" si="153"/>
        <v>2000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3900</v>
      </c>
      <c r="D127" s="196">
        <v>2500</v>
      </c>
      <c r="E127" s="198">
        <v>-600</v>
      </c>
      <c r="F127" s="55">
        <f t="shared" si="155"/>
        <v>1900</v>
      </c>
      <c r="G127" s="53"/>
      <c r="H127" s="54"/>
      <c r="I127" s="55">
        <f t="shared" si="156"/>
        <v>0</v>
      </c>
      <c r="J127" s="53">
        <v>2000</v>
      </c>
      <c r="K127" s="54"/>
      <c r="L127" s="55">
        <f t="shared" si="157"/>
        <v>2000</v>
      </c>
      <c r="M127" s="53"/>
      <c r="N127" s="54"/>
      <c r="O127" s="55">
        <f t="shared" si="158"/>
        <v>0</v>
      </c>
      <c r="P127" s="57"/>
    </row>
    <row r="128" spans="1:16" ht="48" hidden="1" x14ac:dyDescent="0.25">
      <c r="A128" s="855">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146058</v>
      </c>
      <c r="D130" s="184">
        <f>SUM(D131,D136,D140,D141,D144,D151,D159,D160,D163)</f>
        <v>71301</v>
      </c>
      <c r="E130" s="185">
        <f t="shared" ref="E130:F130" si="160">SUM(E131,E136,E140,E141,E144,E151,E159,E160,E163)</f>
        <v>7100</v>
      </c>
      <c r="F130" s="73">
        <f t="shared" si="160"/>
        <v>78401</v>
      </c>
      <c r="G130" s="184">
        <f>SUM(G131,G136,G140,G141,G144,G151,G159,G160,G163)</f>
        <v>0</v>
      </c>
      <c r="H130" s="185">
        <f t="shared" ref="H130:I130" si="161">SUM(H131,H136,H140,H141,H144,H151,H159,H160,H163)</f>
        <v>0</v>
      </c>
      <c r="I130" s="73">
        <f t="shared" si="161"/>
        <v>0</v>
      </c>
      <c r="J130" s="184">
        <f>SUM(J131,J136,J140,J141,J144,J151,J159,J160,J163)</f>
        <v>62657</v>
      </c>
      <c r="K130" s="185">
        <f t="shared" ref="K130:L130" si="162">SUM(K131,K136,K140,K141,K144,K151,K159,K160,K163)</f>
        <v>5000</v>
      </c>
      <c r="L130" s="73">
        <f t="shared" si="162"/>
        <v>67657</v>
      </c>
      <c r="M130" s="184">
        <f>SUM(M131,M136,M140,M141,M144,M151,M159,M160,M163)</f>
        <v>0</v>
      </c>
      <c r="N130" s="185">
        <f t="shared" ref="N130:O130" si="163">SUM(N131,N136,N140,N141,N144,N151,N159,N160,N163)</f>
        <v>0</v>
      </c>
      <c r="O130" s="73">
        <f t="shared" si="163"/>
        <v>0</v>
      </c>
      <c r="P130" s="77"/>
    </row>
    <row r="131" spans="1:16" ht="24" x14ac:dyDescent="0.25">
      <c r="A131" s="855">
        <v>2310</v>
      </c>
      <c r="B131" s="82" t="s">
        <v>147</v>
      </c>
      <c r="C131" s="83">
        <f t="shared" si="102"/>
        <v>73881</v>
      </c>
      <c r="D131" s="194">
        <f t="shared" ref="D131:O131" si="164">SUM(D132:D135)</f>
        <v>23681</v>
      </c>
      <c r="E131" s="195">
        <f t="shared" si="164"/>
        <v>7100</v>
      </c>
      <c r="F131" s="134">
        <f t="shared" si="164"/>
        <v>30781</v>
      </c>
      <c r="G131" s="194">
        <f t="shared" si="164"/>
        <v>0</v>
      </c>
      <c r="H131" s="195">
        <f t="shared" si="164"/>
        <v>0</v>
      </c>
      <c r="I131" s="134">
        <f t="shared" si="164"/>
        <v>0</v>
      </c>
      <c r="J131" s="194">
        <f t="shared" si="164"/>
        <v>33100</v>
      </c>
      <c r="K131" s="195">
        <f t="shared" si="164"/>
        <v>10000</v>
      </c>
      <c r="L131" s="134">
        <f t="shared" si="164"/>
        <v>43100</v>
      </c>
      <c r="M131" s="194">
        <f t="shared" si="164"/>
        <v>0</v>
      </c>
      <c r="N131" s="195">
        <f t="shared" si="164"/>
        <v>0</v>
      </c>
      <c r="O131" s="134">
        <f t="shared" si="164"/>
        <v>0</v>
      </c>
      <c r="P131" s="49"/>
    </row>
    <row r="132" spans="1:16" ht="12" customHeight="1" x14ac:dyDescent="0.25">
      <c r="A132" s="51">
        <v>2311</v>
      </c>
      <c r="B132" s="89" t="s">
        <v>148</v>
      </c>
      <c r="C132" s="90">
        <f t="shared" si="102"/>
        <v>21500</v>
      </c>
      <c r="D132" s="196">
        <v>15000</v>
      </c>
      <c r="E132" s="197"/>
      <c r="F132" s="55">
        <f t="shared" ref="F132:F135" si="165">D132+E132</f>
        <v>15000</v>
      </c>
      <c r="G132" s="53"/>
      <c r="H132" s="54"/>
      <c r="I132" s="55">
        <f t="shared" ref="I132:I135" si="166">G132+H132</f>
        <v>0</v>
      </c>
      <c r="J132" s="53">
        <v>6500</v>
      </c>
      <c r="K132" s="54"/>
      <c r="L132" s="55">
        <f t="shared" ref="L132:L135" si="167">K132+J132</f>
        <v>6500</v>
      </c>
      <c r="M132" s="53"/>
      <c r="N132" s="54"/>
      <c r="O132" s="55">
        <f t="shared" ref="O132:O135" si="168">N132+M132</f>
        <v>0</v>
      </c>
      <c r="P132" s="57"/>
    </row>
    <row r="133" spans="1:16" ht="12" customHeight="1" x14ac:dyDescent="0.25">
      <c r="A133" s="51">
        <v>2312</v>
      </c>
      <c r="B133" s="89" t="s">
        <v>149</v>
      </c>
      <c r="C133" s="90">
        <f t="shared" si="102"/>
        <v>52281</v>
      </c>
      <c r="D133" s="196">
        <v>8681</v>
      </c>
      <c r="E133" s="198">
        <v>7100</v>
      </c>
      <c r="F133" s="55">
        <f t="shared" si="165"/>
        <v>15781</v>
      </c>
      <c r="G133" s="53"/>
      <c r="H133" s="54"/>
      <c r="I133" s="55">
        <f t="shared" si="166"/>
        <v>0</v>
      </c>
      <c r="J133" s="53">
        <f>17000+7000+2500</f>
        <v>26500</v>
      </c>
      <c r="K133" s="725">
        <v>10000</v>
      </c>
      <c r="L133" s="55">
        <f t="shared" si="167"/>
        <v>36500</v>
      </c>
      <c r="M133" s="53"/>
      <c r="N133" s="54"/>
      <c r="O133" s="55">
        <f t="shared" si="168"/>
        <v>0</v>
      </c>
      <c r="P133" s="57"/>
    </row>
    <row r="134" spans="1:16" ht="12" customHeight="1" x14ac:dyDescent="0.25">
      <c r="A134" s="51">
        <v>2313</v>
      </c>
      <c r="B134" s="89" t="s">
        <v>150</v>
      </c>
      <c r="C134" s="90">
        <f t="shared" si="102"/>
        <v>100</v>
      </c>
      <c r="D134" s="196">
        <v>0</v>
      </c>
      <c r="E134" s="197"/>
      <c r="F134" s="55">
        <f t="shared" si="165"/>
        <v>0</v>
      </c>
      <c r="G134" s="53"/>
      <c r="H134" s="54"/>
      <c r="I134" s="55">
        <f t="shared" si="166"/>
        <v>0</v>
      </c>
      <c r="J134" s="53">
        <v>100</v>
      </c>
      <c r="K134" s="54"/>
      <c r="L134" s="55">
        <f t="shared" si="167"/>
        <v>100</v>
      </c>
      <c r="M134" s="53"/>
      <c r="N134" s="54"/>
      <c r="O134" s="55">
        <f t="shared" si="168"/>
        <v>0</v>
      </c>
      <c r="P134" s="57"/>
    </row>
    <row r="135" spans="1:16" ht="36" hidden="1" customHeight="1" x14ac:dyDescent="0.25">
      <c r="A135" s="51">
        <v>2314</v>
      </c>
      <c r="B135" s="89" t="s">
        <v>151</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62000</v>
      </c>
      <c r="D136" s="190">
        <f>SUM(D137:D139)</f>
        <v>45000</v>
      </c>
      <c r="E136" s="191">
        <f t="shared" ref="E136:F136" si="169">SUM(E137:E139)</f>
        <v>0</v>
      </c>
      <c r="F136" s="55">
        <f t="shared" si="169"/>
        <v>45000</v>
      </c>
      <c r="G136" s="190">
        <f>SUM(G137:G139)</f>
        <v>0</v>
      </c>
      <c r="H136" s="191">
        <f t="shared" ref="H136:I136" si="170">SUM(H137:H139)</f>
        <v>0</v>
      </c>
      <c r="I136" s="55">
        <f t="shared" si="170"/>
        <v>0</v>
      </c>
      <c r="J136" s="190">
        <f>SUM(J137:J139)</f>
        <v>17000</v>
      </c>
      <c r="K136" s="191">
        <f t="shared" ref="K136:L136" si="171">SUM(K137:K139)</f>
        <v>0</v>
      </c>
      <c r="L136" s="55">
        <f t="shared" si="171"/>
        <v>17000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62000</v>
      </c>
      <c r="D138" s="196">
        <v>45000</v>
      </c>
      <c r="E138" s="197"/>
      <c r="F138" s="55">
        <f t="shared" si="173"/>
        <v>45000</v>
      </c>
      <c r="G138" s="53"/>
      <c r="H138" s="54"/>
      <c r="I138" s="55">
        <f t="shared" si="174"/>
        <v>0</v>
      </c>
      <c r="J138" s="53">
        <v>17000</v>
      </c>
      <c r="K138" s="54"/>
      <c r="L138" s="55">
        <f t="shared" si="175"/>
        <v>17000</v>
      </c>
      <c r="M138" s="53"/>
      <c r="N138" s="54"/>
      <c r="O138" s="55">
        <f t="shared" si="176"/>
        <v>0</v>
      </c>
      <c r="P138" s="57"/>
    </row>
    <row r="139" spans="1:16" ht="10.5" hidden="1" customHeight="1" x14ac:dyDescent="0.25">
      <c r="A139" s="51">
        <v>2329</v>
      </c>
      <c r="B139" s="89" t="s">
        <v>155</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50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50</v>
      </c>
      <c r="K141" s="191">
        <f t="shared" ref="K141:L141" si="179">SUM(K142:K143)</f>
        <v>0</v>
      </c>
      <c r="L141" s="55">
        <f t="shared" si="179"/>
        <v>50</v>
      </c>
      <c r="M141" s="190">
        <f>SUM(M142:M143)</f>
        <v>0</v>
      </c>
      <c r="N141" s="191">
        <f t="shared" ref="N141:O141" si="180">SUM(N142:N143)</f>
        <v>0</v>
      </c>
      <c r="O141" s="55">
        <f t="shared" si="180"/>
        <v>0</v>
      </c>
      <c r="P141" s="57"/>
    </row>
    <row r="142" spans="1:16" ht="12" customHeight="1" x14ac:dyDescent="0.25">
      <c r="A142" s="51">
        <v>2341</v>
      </c>
      <c r="B142" s="89" t="s">
        <v>158</v>
      </c>
      <c r="C142" s="90">
        <f t="shared" si="102"/>
        <v>50</v>
      </c>
      <c r="D142" s="196">
        <v>0</v>
      </c>
      <c r="E142" s="197"/>
      <c r="F142" s="55">
        <f t="shared" ref="F142:F143" si="181">D142+E142</f>
        <v>0</v>
      </c>
      <c r="G142" s="53"/>
      <c r="H142" s="54"/>
      <c r="I142" s="55">
        <f t="shared" ref="I142:I143" si="182">G142+H142</f>
        <v>0</v>
      </c>
      <c r="J142" s="53">
        <v>50</v>
      </c>
      <c r="K142" s="54"/>
      <c r="L142" s="55">
        <f t="shared" ref="L142:L143" si="183">K142+J142</f>
        <v>50</v>
      </c>
      <c r="M142" s="53"/>
      <c r="N142" s="54"/>
      <c r="O142" s="55">
        <f t="shared" ref="O142:O143" si="184">N142+M142</f>
        <v>0</v>
      </c>
      <c r="P142" s="57"/>
    </row>
    <row r="143" spans="1:16" ht="24" hidden="1" customHeight="1" x14ac:dyDescent="0.25">
      <c r="A143" s="51">
        <v>2344</v>
      </c>
      <c r="B143" s="89" t="s">
        <v>159</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10027</v>
      </c>
      <c r="D144" s="187">
        <f>SUM(D145:D150)</f>
        <v>2520</v>
      </c>
      <c r="E144" s="188">
        <f t="shared" ref="E144:F144" si="185">SUM(E145:E150)</f>
        <v>0</v>
      </c>
      <c r="F144" s="141">
        <f t="shared" si="185"/>
        <v>2520</v>
      </c>
      <c r="G144" s="187">
        <f>SUM(G145:G150)</f>
        <v>0</v>
      </c>
      <c r="H144" s="188">
        <f t="shared" ref="H144:I144" si="186">SUM(H145:H150)</f>
        <v>0</v>
      </c>
      <c r="I144" s="141">
        <f t="shared" si="186"/>
        <v>0</v>
      </c>
      <c r="J144" s="187">
        <f>SUM(J145:J150)</f>
        <v>12507</v>
      </c>
      <c r="K144" s="188">
        <f t="shared" ref="K144:L144" si="187">SUM(K145:K150)</f>
        <v>-5000</v>
      </c>
      <c r="L144" s="141">
        <f t="shared" si="187"/>
        <v>7507</v>
      </c>
      <c r="M144" s="187">
        <f>SUM(M145:M150)</f>
        <v>0</v>
      </c>
      <c r="N144" s="188">
        <f t="shared" ref="N144:O144" si="188">SUM(N145:N150)</f>
        <v>0</v>
      </c>
      <c r="O144" s="141">
        <f t="shared" si="188"/>
        <v>0</v>
      </c>
      <c r="P144" s="129"/>
    </row>
    <row r="145" spans="1:16" ht="12" customHeight="1" x14ac:dyDescent="0.25">
      <c r="A145" s="44">
        <v>2351</v>
      </c>
      <c r="B145" s="82" t="s">
        <v>161</v>
      </c>
      <c r="C145" s="83">
        <f t="shared" si="102"/>
        <v>300</v>
      </c>
      <c r="D145" s="199">
        <v>300</v>
      </c>
      <c r="E145" s="200"/>
      <c r="F145" s="134">
        <f t="shared" ref="F145:F150" si="189">D145+E145</f>
        <v>300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7007</v>
      </c>
      <c r="D146" s="196">
        <v>1200</v>
      </c>
      <c r="E146" s="197"/>
      <c r="F146" s="55">
        <f t="shared" si="189"/>
        <v>1200</v>
      </c>
      <c r="G146" s="53"/>
      <c r="H146" s="54"/>
      <c r="I146" s="55">
        <f t="shared" si="190"/>
        <v>0</v>
      </c>
      <c r="J146" s="53">
        <f>3000+6807</f>
        <v>9807</v>
      </c>
      <c r="K146" s="725">
        <v>-4000</v>
      </c>
      <c r="L146" s="55">
        <f t="shared" si="191"/>
        <v>5807</v>
      </c>
      <c r="M146" s="53"/>
      <c r="N146" s="54"/>
      <c r="O146" s="55">
        <f t="shared" si="192"/>
        <v>0</v>
      </c>
      <c r="P146" s="57"/>
    </row>
    <row r="147" spans="1:16" ht="24" customHeight="1" x14ac:dyDescent="0.25">
      <c r="A147" s="51">
        <v>2353</v>
      </c>
      <c r="B147" s="89" t="s">
        <v>163</v>
      </c>
      <c r="C147" s="90">
        <f t="shared" si="102"/>
        <v>650</v>
      </c>
      <c r="D147" s="196">
        <v>150</v>
      </c>
      <c r="E147" s="197"/>
      <c r="F147" s="55">
        <f t="shared" si="189"/>
        <v>150</v>
      </c>
      <c r="G147" s="53"/>
      <c r="H147" s="54"/>
      <c r="I147" s="55">
        <f t="shared" si="190"/>
        <v>0</v>
      </c>
      <c r="J147" s="53">
        <v>500</v>
      </c>
      <c r="K147" s="54"/>
      <c r="L147" s="55">
        <f t="shared" si="191"/>
        <v>500</v>
      </c>
      <c r="M147" s="53"/>
      <c r="N147" s="54"/>
      <c r="O147" s="55">
        <f t="shared" si="192"/>
        <v>0</v>
      </c>
      <c r="P147" s="57"/>
    </row>
    <row r="148" spans="1:16" ht="24" customHeight="1" x14ac:dyDescent="0.25">
      <c r="A148" s="51">
        <v>2354</v>
      </c>
      <c r="B148" s="89" t="s">
        <v>164</v>
      </c>
      <c r="C148" s="90">
        <f t="shared" ref="C148:C211" si="193">F148+I148+L148+O148</f>
        <v>2070</v>
      </c>
      <c r="D148" s="196">
        <v>870</v>
      </c>
      <c r="E148" s="197"/>
      <c r="F148" s="55">
        <f t="shared" si="189"/>
        <v>870</v>
      </c>
      <c r="G148" s="53"/>
      <c r="H148" s="54"/>
      <c r="I148" s="55">
        <f t="shared" si="190"/>
        <v>0</v>
      </c>
      <c r="J148" s="53">
        <v>2200</v>
      </c>
      <c r="K148" s="725">
        <v>-1000</v>
      </c>
      <c r="L148" s="55">
        <f t="shared" si="191"/>
        <v>1200</v>
      </c>
      <c r="M148" s="53"/>
      <c r="N148" s="54"/>
      <c r="O148" s="55">
        <f t="shared" si="192"/>
        <v>0</v>
      </c>
      <c r="P148" s="57"/>
    </row>
    <row r="149" spans="1:16" ht="24" hidden="1" customHeight="1" x14ac:dyDescent="0.25">
      <c r="A149" s="51">
        <v>2355</v>
      </c>
      <c r="B149" s="89" t="s">
        <v>165</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v>0</v>
      </c>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v>0</v>
      </c>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179</v>
      </c>
      <c r="C163" s="143">
        <f t="shared" si="193"/>
        <v>100</v>
      </c>
      <c r="D163" s="203">
        <v>100</v>
      </c>
      <c r="E163" s="204"/>
      <c r="F163" s="141">
        <f t="shared" si="206"/>
        <v>100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v>0</v>
      </c>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41705</v>
      </c>
      <c r="D165" s="184">
        <f>SUM(D166,D171)</f>
        <v>2100</v>
      </c>
      <c r="E165" s="185">
        <f t="shared" ref="E165:O165" si="210">SUM(E166,E171)</f>
        <v>0</v>
      </c>
      <c r="F165" s="73">
        <f t="shared" si="210"/>
        <v>2100</v>
      </c>
      <c r="G165" s="184">
        <f t="shared" si="210"/>
        <v>0</v>
      </c>
      <c r="H165" s="185">
        <f t="shared" si="210"/>
        <v>0</v>
      </c>
      <c r="I165" s="73">
        <f t="shared" si="210"/>
        <v>0</v>
      </c>
      <c r="J165" s="184">
        <f t="shared" si="210"/>
        <v>39605</v>
      </c>
      <c r="K165" s="185">
        <f t="shared" si="210"/>
        <v>0</v>
      </c>
      <c r="L165" s="73">
        <f t="shared" si="210"/>
        <v>39605</v>
      </c>
      <c r="M165" s="184">
        <f t="shared" si="210"/>
        <v>0</v>
      </c>
      <c r="N165" s="185">
        <f t="shared" si="210"/>
        <v>0</v>
      </c>
      <c r="O165" s="73">
        <f t="shared" si="210"/>
        <v>0</v>
      </c>
      <c r="P165" s="77"/>
    </row>
    <row r="166" spans="1:16" ht="24" x14ac:dyDescent="0.25">
      <c r="A166" s="855">
        <v>2510</v>
      </c>
      <c r="B166" s="82" t="s">
        <v>182</v>
      </c>
      <c r="C166" s="83">
        <f t="shared" si="193"/>
        <v>41605</v>
      </c>
      <c r="D166" s="194">
        <f>SUM(D167:D170)</f>
        <v>2000</v>
      </c>
      <c r="E166" s="195">
        <f t="shared" ref="E166:O166" si="211">SUM(E167:E170)</f>
        <v>0</v>
      </c>
      <c r="F166" s="134">
        <f t="shared" si="211"/>
        <v>2000</v>
      </c>
      <c r="G166" s="194">
        <f t="shared" si="211"/>
        <v>0</v>
      </c>
      <c r="H166" s="195">
        <f t="shared" si="211"/>
        <v>0</v>
      </c>
      <c r="I166" s="134">
        <f t="shared" si="211"/>
        <v>0</v>
      </c>
      <c r="J166" s="194">
        <f t="shared" si="211"/>
        <v>39605</v>
      </c>
      <c r="K166" s="195">
        <f t="shared" si="211"/>
        <v>0</v>
      </c>
      <c r="L166" s="134">
        <f t="shared" si="211"/>
        <v>39605</v>
      </c>
      <c r="M166" s="194">
        <f t="shared" si="211"/>
        <v>0</v>
      </c>
      <c r="N166" s="195">
        <f t="shared" si="211"/>
        <v>0</v>
      </c>
      <c r="O166" s="134">
        <f t="shared" si="211"/>
        <v>0</v>
      </c>
      <c r="P166" s="49"/>
    </row>
    <row r="167" spans="1:16" ht="24" customHeight="1" x14ac:dyDescent="0.25">
      <c r="A167" s="51">
        <v>2512</v>
      </c>
      <c r="B167" s="89" t="s">
        <v>183</v>
      </c>
      <c r="C167" s="90">
        <f t="shared" si="193"/>
        <v>39605</v>
      </c>
      <c r="D167" s="196">
        <v>0</v>
      </c>
      <c r="E167" s="197"/>
      <c r="F167" s="55">
        <f t="shared" ref="F167:F172" si="212">D167+E167</f>
        <v>0</v>
      </c>
      <c r="G167" s="53"/>
      <c r="H167" s="54"/>
      <c r="I167" s="55">
        <f t="shared" ref="I167:I172" si="213">G167+H167</f>
        <v>0</v>
      </c>
      <c r="J167" s="53">
        <v>39605</v>
      </c>
      <c r="K167" s="54"/>
      <c r="L167" s="55">
        <f t="shared" ref="L167:L172" si="214">K167+J167</f>
        <v>39605</v>
      </c>
      <c r="M167" s="53"/>
      <c r="N167" s="54"/>
      <c r="O167" s="55">
        <f t="shared" ref="O167:O172" si="215">N167+M167</f>
        <v>0</v>
      </c>
      <c r="P167" s="57"/>
    </row>
    <row r="168" spans="1:16" ht="36" hidden="1" customHeight="1" x14ac:dyDescent="0.25">
      <c r="A168" s="51">
        <v>2513</v>
      </c>
      <c r="B168" s="89" t="s">
        <v>184</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186</v>
      </c>
      <c r="C170" s="90">
        <f t="shared" si="193"/>
        <v>2000</v>
      </c>
      <c r="D170" s="196">
        <v>2000</v>
      </c>
      <c r="E170" s="197"/>
      <c r="F170" s="55">
        <f t="shared" si="212"/>
        <v>2000</v>
      </c>
      <c r="G170" s="53"/>
      <c r="H170" s="54"/>
      <c r="I170" s="55">
        <f t="shared" si="213"/>
        <v>0</v>
      </c>
      <c r="J170" s="53"/>
      <c r="K170" s="54"/>
      <c r="L170" s="55">
        <f t="shared" si="214"/>
        <v>0</v>
      </c>
      <c r="M170" s="53"/>
      <c r="N170" s="54"/>
      <c r="O170" s="55">
        <f t="shared" si="215"/>
        <v>0</v>
      </c>
      <c r="P170" s="57"/>
    </row>
    <row r="171" spans="1:16" ht="24" customHeight="1" x14ac:dyDescent="0.25">
      <c r="A171" s="189">
        <v>2520</v>
      </c>
      <c r="B171" s="89" t="s">
        <v>187</v>
      </c>
      <c r="C171" s="90">
        <f t="shared" si="193"/>
        <v>100</v>
      </c>
      <c r="D171" s="196">
        <v>100</v>
      </c>
      <c r="E171" s="197"/>
      <c r="F171" s="55">
        <f t="shared" si="212"/>
        <v>100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55">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55">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v>0</v>
      </c>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v>0</v>
      </c>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v>0</v>
      </c>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55">
        <v>4240</v>
      </c>
      <c r="B189" s="82" t="s">
        <v>205</v>
      </c>
      <c r="C189" s="83">
        <f t="shared" si="193"/>
        <v>0</v>
      </c>
      <c r="D189" s="199">
        <v>0</v>
      </c>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55">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130296</v>
      </c>
      <c r="D194" s="173">
        <f>SUM(D195,D230,D269,D283)</f>
        <v>111469</v>
      </c>
      <c r="E194" s="174">
        <f t="shared" ref="E194:O194" si="259">SUM(E195,E230,E269,E283)</f>
        <v>-2000</v>
      </c>
      <c r="F194" s="175">
        <f t="shared" si="259"/>
        <v>109469</v>
      </c>
      <c r="G194" s="173">
        <f t="shared" si="259"/>
        <v>0</v>
      </c>
      <c r="H194" s="174">
        <f t="shared" si="259"/>
        <v>0</v>
      </c>
      <c r="I194" s="175">
        <f t="shared" si="259"/>
        <v>0</v>
      </c>
      <c r="J194" s="173">
        <f t="shared" si="259"/>
        <v>22827</v>
      </c>
      <c r="K194" s="174">
        <f t="shared" si="259"/>
        <v>-2000</v>
      </c>
      <c r="L194" s="175">
        <f t="shared" si="259"/>
        <v>20827</v>
      </c>
      <c r="M194" s="173">
        <f t="shared" si="259"/>
        <v>0</v>
      </c>
      <c r="N194" s="174">
        <f t="shared" si="259"/>
        <v>0</v>
      </c>
      <c r="O194" s="175">
        <f t="shared" si="259"/>
        <v>0</v>
      </c>
      <c r="P194" s="176"/>
    </row>
    <row r="195" spans="1:16" x14ac:dyDescent="0.25">
      <c r="A195" s="177">
        <v>5000</v>
      </c>
      <c r="B195" s="177" t="s">
        <v>211</v>
      </c>
      <c r="C195" s="178">
        <f t="shared" si="193"/>
        <v>129073</v>
      </c>
      <c r="D195" s="179">
        <f>D196+D204</f>
        <v>111469</v>
      </c>
      <c r="E195" s="180">
        <f t="shared" ref="E195:F195" si="260">E196+E204</f>
        <v>-2000</v>
      </c>
      <c r="F195" s="181">
        <f t="shared" si="260"/>
        <v>109469</v>
      </c>
      <c r="G195" s="179">
        <f>G196+G204</f>
        <v>0</v>
      </c>
      <c r="H195" s="180">
        <f t="shared" ref="H195:I195" si="261">H196+H204</f>
        <v>0</v>
      </c>
      <c r="I195" s="181">
        <f t="shared" si="261"/>
        <v>0</v>
      </c>
      <c r="J195" s="179">
        <f>J196+J204</f>
        <v>21604</v>
      </c>
      <c r="K195" s="180">
        <f t="shared" ref="K195:L195" si="262">K196+K204</f>
        <v>-2000</v>
      </c>
      <c r="L195" s="181">
        <f t="shared" si="262"/>
        <v>19604</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55">
        <v>5110</v>
      </c>
      <c r="B197" s="82" t="s">
        <v>213</v>
      </c>
      <c r="C197" s="83">
        <f t="shared" si="193"/>
        <v>0</v>
      </c>
      <c r="D197" s="199">
        <v>0</v>
      </c>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129073</v>
      </c>
      <c r="D204" s="184">
        <f>D205+D215+D216+D225+D226+D227+D229</f>
        <v>111469</v>
      </c>
      <c r="E204" s="185">
        <f t="shared" ref="E204:F204" si="276">E205+E215+E216+E225+E226+E227+E229</f>
        <v>-2000</v>
      </c>
      <c r="F204" s="73">
        <f t="shared" si="276"/>
        <v>109469</v>
      </c>
      <c r="G204" s="184">
        <f>G205+G215+G216+G225+G226+G227+G229</f>
        <v>0</v>
      </c>
      <c r="H204" s="185">
        <f t="shared" ref="H204:I204" si="277">H205+H215+H216+H225+H226+H227+H229</f>
        <v>0</v>
      </c>
      <c r="I204" s="73">
        <f t="shared" si="277"/>
        <v>0</v>
      </c>
      <c r="J204" s="184">
        <f>J205+J215+J216+J225+J226+J227+J229</f>
        <v>21604</v>
      </c>
      <c r="K204" s="185">
        <f t="shared" ref="K204:L204" si="278">K205+K215+K216+K225+K226+K227+K229</f>
        <v>-2000</v>
      </c>
      <c r="L204" s="73">
        <f t="shared" si="278"/>
        <v>19604</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v>0</v>
      </c>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113873</v>
      </c>
      <c r="D216" s="190">
        <f>SUM(D217:D224)</f>
        <v>96269</v>
      </c>
      <c r="E216" s="191">
        <f t="shared" ref="E216:F216" si="289">SUM(E217:E224)</f>
        <v>-2000</v>
      </c>
      <c r="F216" s="55">
        <f t="shared" si="289"/>
        <v>94269</v>
      </c>
      <c r="G216" s="190">
        <f>SUM(G217:G224)</f>
        <v>0</v>
      </c>
      <c r="H216" s="191">
        <f t="shared" ref="H216:I216" si="290">SUM(H217:H224)</f>
        <v>0</v>
      </c>
      <c r="I216" s="55">
        <f t="shared" si="290"/>
        <v>0</v>
      </c>
      <c r="J216" s="190">
        <f>SUM(J217:J224)</f>
        <v>21604</v>
      </c>
      <c r="K216" s="191">
        <f t="shared" ref="K216:L216" si="291">SUM(K217:K224)</f>
        <v>-2000</v>
      </c>
      <c r="L216" s="55">
        <f t="shared" si="291"/>
        <v>19604</v>
      </c>
      <c r="M216" s="190">
        <f>SUM(M217:M224)</f>
        <v>0</v>
      </c>
      <c r="N216" s="191">
        <f t="shared" ref="N216:O216" si="292">SUM(N217:N224)</f>
        <v>0</v>
      </c>
      <c r="O216" s="55">
        <f t="shared" si="292"/>
        <v>0</v>
      </c>
      <c r="P216" s="57"/>
    </row>
    <row r="217" spans="1:16" ht="12" customHeight="1" x14ac:dyDescent="0.25">
      <c r="A217" s="51">
        <v>5231</v>
      </c>
      <c r="B217" s="89" t="s">
        <v>233</v>
      </c>
      <c r="C217" s="90">
        <f t="shared" si="288"/>
        <v>85819</v>
      </c>
      <c r="D217" s="196">
        <f>87000-1181</f>
        <v>85819</v>
      </c>
      <c r="E217" s="197"/>
      <c r="F217" s="55">
        <f t="shared" ref="F217:F226" si="293">D217+E217</f>
        <v>85819</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9" t="s">
        <v>234</v>
      </c>
      <c r="C218" s="90">
        <f t="shared" si="288"/>
        <v>18500</v>
      </c>
      <c r="D218" s="196">
        <f>9000-9000</f>
        <v>0</v>
      </c>
      <c r="E218" s="197"/>
      <c r="F218" s="55">
        <f t="shared" si="293"/>
        <v>0</v>
      </c>
      <c r="G218" s="53"/>
      <c r="H218" s="54"/>
      <c r="I218" s="55">
        <f t="shared" si="294"/>
        <v>0</v>
      </c>
      <c r="J218" s="53">
        <f>23000-2500</f>
        <v>20500</v>
      </c>
      <c r="K218" s="725">
        <v>-2000</v>
      </c>
      <c r="L218" s="55">
        <f t="shared" si="295"/>
        <v>18500</v>
      </c>
      <c r="M218" s="53"/>
      <c r="N218" s="54"/>
      <c r="O218" s="55">
        <f t="shared" si="296"/>
        <v>0</v>
      </c>
      <c r="P218" s="57"/>
    </row>
    <row r="219" spans="1:16" ht="12" hidden="1" customHeight="1" x14ac:dyDescent="0.25">
      <c r="A219" s="51">
        <v>5233</v>
      </c>
      <c r="B219" s="89" t="s">
        <v>235</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4258</v>
      </c>
      <c r="D223" s="196">
        <v>4258</v>
      </c>
      <c r="E223" s="197"/>
      <c r="F223" s="55">
        <f t="shared" si="293"/>
        <v>4258</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5296</v>
      </c>
      <c r="D224" s="196">
        <f>10450-4258</f>
        <v>6192</v>
      </c>
      <c r="E224" s="198">
        <v>-2000</v>
      </c>
      <c r="F224" s="55">
        <f t="shared" si="293"/>
        <v>4192</v>
      </c>
      <c r="G224" s="53"/>
      <c r="H224" s="54"/>
      <c r="I224" s="55">
        <f t="shared" si="294"/>
        <v>0</v>
      </c>
      <c r="J224" s="53">
        <v>1104</v>
      </c>
      <c r="K224" s="54"/>
      <c r="L224" s="55">
        <f t="shared" si="295"/>
        <v>1104</v>
      </c>
      <c r="M224" s="53"/>
      <c r="N224" s="54"/>
      <c r="O224" s="55">
        <f t="shared" si="296"/>
        <v>0</v>
      </c>
      <c r="P224" s="57"/>
    </row>
    <row r="225" spans="1:16" ht="24" hidden="1" customHeight="1" x14ac:dyDescent="0.25">
      <c r="A225" s="189">
        <v>5240</v>
      </c>
      <c r="B225" s="89" t="s">
        <v>241</v>
      </c>
      <c r="C225" s="90">
        <f t="shared" si="288"/>
        <v>0</v>
      </c>
      <c r="D225" s="196">
        <v>0</v>
      </c>
      <c r="E225" s="197"/>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242</v>
      </c>
      <c r="C226" s="90">
        <f t="shared" si="288"/>
        <v>15200</v>
      </c>
      <c r="D226" s="196">
        <v>15200</v>
      </c>
      <c r="E226" s="197"/>
      <c r="F226" s="55">
        <f t="shared" si="293"/>
        <v>15200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v>0</v>
      </c>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855">
        <v>6220</v>
      </c>
      <c r="B232" s="82" t="s">
        <v>248</v>
      </c>
      <c r="C232" s="83">
        <f t="shared" si="288"/>
        <v>0</v>
      </c>
      <c r="D232" s="199">
        <v>0</v>
      </c>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v>0</v>
      </c>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55">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55">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v>0</v>
      </c>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v>0</v>
      </c>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55">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36.75" customHeight="1" x14ac:dyDescent="0.25">
      <c r="A269" s="228">
        <v>7000</v>
      </c>
      <c r="B269" s="228" t="s">
        <v>285</v>
      </c>
      <c r="C269" s="229">
        <f t="shared" si="288"/>
        <v>1223</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1223</v>
      </c>
      <c r="K269" s="231">
        <f t="shared" ref="K269:L269" si="357">SUM(K270,K281)</f>
        <v>0</v>
      </c>
      <c r="L269" s="232">
        <f t="shared" si="357"/>
        <v>1223</v>
      </c>
      <c r="M269" s="230">
        <f>SUM(M270,M281)</f>
        <v>0</v>
      </c>
      <c r="N269" s="231">
        <f t="shared" ref="N269:O269" si="358">SUM(N270,N281)</f>
        <v>0</v>
      </c>
      <c r="O269" s="232">
        <f t="shared" si="358"/>
        <v>0</v>
      </c>
      <c r="P269" s="233"/>
    </row>
    <row r="270" spans="1:16" ht="24" x14ac:dyDescent="0.25">
      <c r="A270" s="69">
        <v>7200</v>
      </c>
      <c r="B270" s="183" t="s">
        <v>286</v>
      </c>
      <c r="C270" s="70">
        <f t="shared" si="288"/>
        <v>1223</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1223</v>
      </c>
      <c r="K270" s="185">
        <f t="shared" ref="K270:L270" si="361">SUM(K271,K272,K275,K276,K280)</f>
        <v>0</v>
      </c>
      <c r="L270" s="73">
        <f t="shared" si="361"/>
        <v>1223</v>
      </c>
      <c r="M270" s="184">
        <f>SUM(M271,M272,M275,M276,M280)</f>
        <v>0</v>
      </c>
      <c r="N270" s="185">
        <f t="shared" ref="N270:O270" si="362">SUM(N271,N272,N275,N276,N280)</f>
        <v>0</v>
      </c>
      <c r="O270" s="73">
        <f t="shared" si="362"/>
        <v>0</v>
      </c>
      <c r="P270" s="77"/>
    </row>
    <row r="271" spans="1:16" ht="24" hidden="1" customHeight="1" x14ac:dyDescent="0.25">
      <c r="A271" s="855">
        <v>7210</v>
      </c>
      <c r="B271" s="82" t="s">
        <v>287</v>
      </c>
      <c r="C271" s="83">
        <f t="shared" si="288"/>
        <v>0</v>
      </c>
      <c r="D271" s="199">
        <v>0</v>
      </c>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291</v>
      </c>
      <c r="C275" s="90">
        <f t="shared" si="288"/>
        <v>1223</v>
      </c>
      <c r="D275" s="196">
        <v>0</v>
      </c>
      <c r="E275" s="197"/>
      <c r="F275" s="55">
        <f t="shared" si="367"/>
        <v>0</v>
      </c>
      <c r="G275" s="53"/>
      <c r="H275" s="54"/>
      <c r="I275" s="55">
        <f t="shared" si="368"/>
        <v>0</v>
      </c>
      <c r="J275" s="53">
        <f>1110+113</f>
        <v>1223</v>
      </c>
      <c r="K275" s="54"/>
      <c r="L275" s="55">
        <f t="shared" si="369"/>
        <v>1223</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55">
        <v>7260</v>
      </c>
      <c r="B280" s="82" t="s">
        <v>296</v>
      </c>
      <c r="C280" s="83">
        <f t="shared" si="371"/>
        <v>0</v>
      </c>
      <c r="D280" s="199">
        <v>0</v>
      </c>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v>0</v>
      </c>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v>0</v>
      </c>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v>0</v>
      </c>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2914268</v>
      </c>
      <c r="D289" s="252">
        <f t="shared" ref="D289:O289" si="389">SUM(D286,D269,D230,D195,D187,D173,D75,D53,D283)</f>
        <v>2676694</v>
      </c>
      <c r="E289" s="253">
        <f t="shared" si="389"/>
        <v>0</v>
      </c>
      <c r="F289" s="254">
        <f t="shared" si="389"/>
        <v>2676694</v>
      </c>
      <c r="G289" s="252">
        <f t="shared" si="389"/>
        <v>0</v>
      </c>
      <c r="H289" s="253">
        <f t="shared" si="389"/>
        <v>0</v>
      </c>
      <c r="I289" s="254">
        <f t="shared" si="389"/>
        <v>0</v>
      </c>
      <c r="J289" s="252">
        <f t="shared" si="389"/>
        <v>237574</v>
      </c>
      <c r="K289" s="253">
        <f t="shared" si="389"/>
        <v>0</v>
      </c>
      <c r="L289" s="254">
        <f t="shared" si="389"/>
        <v>237574</v>
      </c>
      <c r="M289" s="252">
        <f t="shared" si="389"/>
        <v>0</v>
      </c>
      <c r="N289" s="253">
        <f t="shared" si="389"/>
        <v>0</v>
      </c>
      <c r="O289" s="254">
        <f t="shared" si="389"/>
        <v>0</v>
      </c>
      <c r="P289" s="255"/>
    </row>
    <row r="290" spans="1:16" s="28" customFormat="1" ht="13.5" thickTop="1" thickBot="1" x14ac:dyDescent="0.3">
      <c r="A290" s="1544" t="s">
        <v>308</v>
      </c>
      <c r="B290" s="1545"/>
      <c r="C290" s="256">
        <f t="shared" si="371"/>
        <v>-68288</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-68288</v>
      </c>
      <c r="K290" s="258">
        <f t="shared" ref="K290:L290" si="392">(K26+K43)-K51</f>
        <v>0</v>
      </c>
      <c r="L290" s="259">
        <f t="shared" si="392"/>
        <v>-68288</v>
      </c>
      <c r="M290" s="257">
        <f>M45-M51</f>
        <v>0</v>
      </c>
      <c r="N290" s="258">
        <f t="shared" ref="N290:O290" si="393">N45-N51</f>
        <v>0</v>
      </c>
      <c r="O290" s="259">
        <f t="shared" si="393"/>
        <v>0</v>
      </c>
      <c r="P290" s="260"/>
    </row>
    <row r="291" spans="1:16" s="28" customFormat="1" ht="12.75" thickTop="1" x14ac:dyDescent="0.25">
      <c r="A291" s="1546" t="s">
        <v>309</v>
      </c>
      <c r="B291" s="1547"/>
      <c r="C291" s="261">
        <f t="shared" si="371"/>
        <v>68288</v>
      </c>
      <c r="D291" s="262">
        <f t="shared" ref="D291:O291" si="394">SUM(D292,D293)-D300+D301</f>
        <v>0</v>
      </c>
      <c r="E291" s="263">
        <f t="shared" si="394"/>
        <v>0</v>
      </c>
      <c r="F291" s="264">
        <f t="shared" si="394"/>
        <v>0</v>
      </c>
      <c r="G291" s="262">
        <f t="shared" si="394"/>
        <v>0</v>
      </c>
      <c r="H291" s="263">
        <f t="shared" si="394"/>
        <v>0</v>
      </c>
      <c r="I291" s="264">
        <f t="shared" si="394"/>
        <v>0</v>
      </c>
      <c r="J291" s="262">
        <f t="shared" si="394"/>
        <v>68288</v>
      </c>
      <c r="K291" s="263">
        <f t="shared" si="394"/>
        <v>0</v>
      </c>
      <c r="L291" s="264">
        <f t="shared" si="394"/>
        <v>68288</v>
      </c>
      <c r="M291" s="262">
        <f t="shared" si="394"/>
        <v>0</v>
      </c>
      <c r="N291" s="263">
        <f t="shared" si="394"/>
        <v>0</v>
      </c>
      <c r="O291" s="264">
        <f t="shared" si="394"/>
        <v>0</v>
      </c>
      <c r="P291" s="265"/>
    </row>
    <row r="292" spans="1:16" s="28" customFormat="1" ht="12.75" thickBot="1" x14ac:dyDescent="0.3">
      <c r="A292" s="157" t="s">
        <v>310</v>
      </c>
      <c r="B292" s="157" t="s">
        <v>311</v>
      </c>
      <c r="C292" s="158">
        <f t="shared" si="371"/>
        <v>68288</v>
      </c>
      <c r="D292" s="159">
        <f t="shared" ref="D292:O292" si="395">D21-D286</f>
        <v>0</v>
      </c>
      <c r="E292" s="160">
        <f t="shared" si="395"/>
        <v>0</v>
      </c>
      <c r="F292" s="161">
        <f t="shared" si="395"/>
        <v>0</v>
      </c>
      <c r="G292" s="159">
        <f t="shared" si="395"/>
        <v>0</v>
      </c>
      <c r="H292" s="160">
        <f t="shared" si="395"/>
        <v>0</v>
      </c>
      <c r="I292" s="161">
        <f t="shared" si="395"/>
        <v>0</v>
      </c>
      <c r="J292" s="159">
        <f t="shared" si="395"/>
        <v>68288</v>
      </c>
      <c r="K292" s="160">
        <f t="shared" si="395"/>
        <v>0</v>
      </c>
      <c r="L292" s="161">
        <f t="shared" si="395"/>
        <v>68288</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IX1ufAMZDcD+oCKVc0i2J6oxWP1xBO453daorNutlEbZK6l9tKuwWvIHKlei0VsK+Rmr7+fH4ExH7r14Ox2lcw==" saltValue="tqSOS9D9Huvx5AYoB8lXzw==" spinCount="100000" sheet="1" objects="1" scenarios="1" formatCells="0" formatColumns="0" formatRows="0" deleteColumns="0"/>
  <autoFilter ref="A18:P301">
    <filterColumn colId="2">
      <filters>
        <filter val="1 223"/>
        <filter val="1 380"/>
        <filter val="1 532 731"/>
        <filter val="1 765 513"/>
        <filter val="10 027"/>
        <filter val="100"/>
        <filter val="103 791"/>
        <filter val="109 608"/>
        <filter val="11 350"/>
        <filter val="113"/>
        <filter val="113 873"/>
        <filter val="123 330"/>
        <filter val="123 445"/>
        <filter val="124 081"/>
        <filter val="129"/>
        <filter val="129 073"/>
        <filter val="130 296"/>
        <filter val="146 058"/>
        <filter val="15 200"/>
        <filter val="167 906"/>
        <filter val="172 339"/>
        <filter val="18 500"/>
        <filter val="2 000"/>
        <filter val="2 070"/>
        <filter val="2 316 531"/>
        <filter val="2 676 694"/>
        <filter val="2 783 972"/>
        <filter val="2 914 268"/>
        <filter val="21 343"/>
        <filter val="21 500"/>
        <filter val="23 000"/>
        <filter val="23 561"/>
        <filter val="24 910"/>
        <filter val="279 678"/>
        <filter val="3 431"/>
        <filter val="3 900"/>
        <filter val="300"/>
        <filter val="33 091"/>
        <filter val="36 260"/>
        <filter val="39 605"/>
        <filter val="4 258"/>
        <filter val="41 605"/>
        <filter val="41 705"/>
        <filter val="427 688"/>
        <filter val="44 461"/>
        <filter val="467 441"/>
        <filter val="49 000"/>
        <filter val="5 200"/>
        <filter val="5 296"/>
        <filter val="5 827"/>
        <filter val="50"/>
        <filter val="500"/>
        <filter val="52 281"/>
        <filter val="551 018"/>
        <filter val="6 000"/>
        <filter val="6 350"/>
        <filter val="6 630"/>
        <filter val="60 443"/>
        <filter val="62 000"/>
        <filter val="629"/>
        <filter val="65 300"/>
        <filter val="650"/>
        <filter val="68 175"/>
        <filter val="68 288"/>
        <filter val="-68 288"/>
        <filter val="7 007"/>
        <filter val="7 788"/>
        <filter val="73 881"/>
        <filter val="79 997"/>
        <filter val="800"/>
        <filter val="85 819"/>
        <filter val="93 39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2019.gada 31.oktobra saistošajiem noteikumiem Nr.46
(protokols Nr.14, 28.punkts)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2"/>
  <sheetViews>
    <sheetView showGridLines="0" view="pageLayout" zoomScaleNormal="100" workbookViewId="0">
      <selection activeCell="R6" sqref="R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1903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1904</v>
      </c>
      <c r="D3" s="1517"/>
      <c r="E3" s="1517"/>
      <c r="F3" s="1517"/>
      <c r="G3" s="1517"/>
      <c r="H3" s="1517"/>
      <c r="I3" s="1517"/>
      <c r="J3" s="1517"/>
      <c r="K3" s="1517"/>
      <c r="L3" s="1517"/>
      <c r="M3" s="1517"/>
      <c r="N3" s="1517"/>
      <c r="O3" s="1517"/>
      <c r="P3" s="1518"/>
      <c r="Q3" s="277"/>
    </row>
    <row r="4" spans="1:17" ht="12.75" customHeight="1" x14ac:dyDescent="0.25">
      <c r="A4" s="5" t="s">
        <v>4</v>
      </c>
      <c r="B4" s="6"/>
      <c r="C4" s="1517"/>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9</v>
      </c>
      <c r="D6" s="1512"/>
      <c r="E6" s="1512"/>
      <c r="F6" s="1512"/>
      <c r="G6" s="1512"/>
      <c r="H6" s="1512"/>
      <c r="I6" s="1512"/>
      <c r="J6" s="1512"/>
      <c r="K6" s="1512"/>
      <c r="L6" s="1512"/>
      <c r="M6" s="1512"/>
      <c r="N6" s="1512"/>
      <c r="O6" s="1512"/>
      <c r="P6" s="1513"/>
      <c r="Q6" s="277"/>
    </row>
    <row r="7" spans="1:17" ht="36" customHeight="1" x14ac:dyDescent="0.25">
      <c r="A7" s="7" t="s">
        <v>10</v>
      </c>
      <c r="B7" s="8"/>
      <c r="C7" s="1517" t="s">
        <v>1905</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1906</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21"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21"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1" s="28" customFormat="1" ht="12" hidden="1" customHeight="1" x14ac:dyDescent="0.25">
      <c r="A19" s="22"/>
      <c r="B19" s="23" t="s">
        <v>37</v>
      </c>
      <c r="C19" s="24"/>
      <c r="D19" s="25"/>
      <c r="E19" s="26"/>
      <c r="F19" s="27"/>
      <c r="G19" s="25"/>
      <c r="H19" s="26"/>
      <c r="I19" s="27"/>
      <c r="J19" s="25"/>
      <c r="K19" s="26"/>
      <c r="L19" s="27"/>
      <c r="M19" s="25"/>
      <c r="N19" s="26"/>
      <c r="O19" s="27"/>
      <c r="P19" s="27"/>
    </row>
    <row r="20" spans="1:21" s="28" customFormat="1" ht="12.75" thickBot="1" x14ac:dyDescent="0.3">
      <c r="A20" s="29"/>
      <c r="B20" s="30" t="s">
        <v>38</v>
      </c>
      <c r="C20" s="31">
        <f t="shared" ref="C20:C83" si="0">F20+I20+L20+O20</f>
        <v>19905</v>
      </c>
      <c r="D20" s="32">
        <f>SUM(D21,D24,D25,D41,D43)</f>
        <v>24955</v>
      </c>
      <c r="E20" s="33">
        <f t="shared" ref="E20:F20" si="1">SUM(E21,E24,E25,E41,E43)</f>
        <v>-5050</v>
      </c>
      <c r="F20" s="34">
        <f t="shared" si="1"/>
        <v>19905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R20" s="1447"/>
      <c r="S20" s="1447"/>
      <c r="U20" s="1447"/>
    </row>
    <row r="21" spans="1:21"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1447"/>
      <c r="S21" s="1447"/>
      <c r="U21" s="1447"/>
    </row>
    <row r="22" spans="1:21"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c r="R22" s="1447"/>
      <c r="S22" s="1447"/>
      <c r="U22" s="1447"/>
    </row>
    <row r="23" spans="1:21"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1447"/>
      <c r="S23" s="1447"/>
      <c r="U23" s="1447"/>
    </row>
    <row r="24" spans="1:21" s="28" customFormat="1" ht="24.75" customHeight="1" thickTop="1" thickBot="1" x14ac:dyDescent="0.3">
      <c r="A24" s="58">
        <v>19300</v>
      </c>
      <c r="B24" s="58" t="s">
        <v>42</v>
      </c>
      <c r="C24" s="59">
        <f>F24+I24</f>
        <v>19905</v>
      </c>
      <c r="D24" s="60">
        <v>24955</v>
      </c>
      <c r="E24" s="63">
        <v>-5050</v>
      </c>
      <c r="F24" s="62">
        <f t="shared" si="9"/>
        <v>19905</v>
      </c>
      <c r="G24" s="60"/>
      <c r="H24" s="63"/>
      <c r="I24" s="62">
        <f t="shared" si="10"/>
        <v>0</v>
      </c>
      <c r="J24" s="64" t="s">
        <v>43</v>
      </c>
      <c r="K24" s="65" t="s">
        <v>43</v>
      </c>
      <c r="L24" s="66" t="s">
        <v>43</v>
      </c>
      <c r="M24" s="64" t="s">
        <v>43</v>
      </c>
      <c r="N24" s="65" t="s">
        <v>43</v>
      </c>
      <c r="O24" s="66" t="s">
        <v>43</v>
      </c>
      <c r="P24" s="67"/>
      <c r="R24" s="1447"/>
      <c r="S24" s="1447"/>
      <c r="U24" s="1447"/>
    </row>
    <row r="25" spans="1:21"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c r="R25" s="1447"/>
      <c r="S25" s="1447"/>
      <c r="U25" s="1447"/>
    </row>
    <row r="26" spans="1:21"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c r="R26" s="1447"/>
      <c r="S26" s="1447"/>
      <c r="U26" s="1447"/>
    </row>
    <row r="27" spans="1:21"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c r="R27" s="1447"/>
      <c r="S27" s="1447"/>
      <c r="U27" s="1447"/>
    </row>
    <row r="28" spans="1:21"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c r="R28" s="1447"/>
      <c r="S28" s="1447"/>
      <c r="U28" s="1447"/>
    </row>
    <row r="29" spans="1:21"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c r="R29" s="1447"/>
      <c r="S29" s="1447"/>
      <c r="U29" s="1447"/>
    </row>
    <row r="30" spans="1:21"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c r="R30" s="1447"/>
      <c r="S30" s="1447"/>
      <c r="U30" s="1447"/>
    </row>
    <row r="31" spans="1:21"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c r="R31" s="1447"/>
      <c r="S31" s="1447"/>
      <c r="U31" s="1447"/>
    </row>
    <row r="32" spans="1:21"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c r="R32" s="1447"/>
      <c r="S32" s="1447"/>
      <c r="U32" s="1447"/>
    </row>
    <row r="33" spans="1:21"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c r="R33" s="1447"/>
      <c r="S33" s="1447"/>
      <c r="U33" s="1447"/>
    </row>
    <row r="34" spans="1:21"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c r="R34" s="1447"/>
      <c r="S34" s="1447"/>
      <c r="U34" s="1447"/>
    </row>
    <row r="35" spans="1:21"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c r="R35" s="1447"/>
      <c r="S35" s="1447"/>
      <c r="U35" s="1447"/>
    </row>
    <row r="36" spans="1:21"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c r="R36" s="1447"/>
      <c r="S36" s="1447"/>
      <c r="U36" s="1447"/>
    </row>
    <row r="37" spans="1:21"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c r="R37" s="1447"/>
      <c r="S37" s="1447"/>
      <c r="U37" s="1447"/>
    </row>
    <row r="38" spans="1:21"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c r="R38" s="1447"/>
      <c r="S38" s="1447"/>
      <c r="U38" s="1447"/>
    </row>
    <row r="39" spans="1:21"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c r="R39" s="1447"/>
      <c r="S39" s="1447"/>
      <c r="U39" s="1447"/>
    </row>
    <row r="40" spans="1:21"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c r="R40" s="1447"/>
      <c r="S40" s="1447"/>
      <c r="U40" s="1447"/>
    </row>
    <row r="41" spans="1:21"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c r="R41" s="1447"/>
      <c r="S41" s="1447"/>
      <c r="U41" s="1447"/>
    </row>
    <row r="42" spans="1:21"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c r="R42" s="1447"/>
      <c r="S42" s="1447"/>
      <c r="U42" s="1447"/>
    </row>
    <row r="43" spans="1:21"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c r="R43" s="1447"/>
      <c r="S43" s="1447"/>
      <c r="U43" s="1447"/>
    </row>
    <row r="44" spans="1:21"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c r="R44" s="1447"/>
      <c r="S44" s="1447"/>
      <c r="U44" s="1447"/>
    </row>
    <row r="45" spans="1:21"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c r="R45" s="1447"/>
      <c r="S45" s="1447"/>
      <c r="U45" s="1447"/>
    </row>
    <row r="46" spans="1:21"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c r="R46" s="1447"/>
      <c r="S46" s="1447"/>
      <c r="U46" s="1447"/>
    </row>
    <row r="47" spans="1:21"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c r="R47" s="1447"/>
      <c r="S47" s="1447"/>
      <c r="U47" s="1447"/>
    </row>
    <row r="48" spans="1:21" ht="12" hidden="1" customHeight="1" x14ac:dyDescent="0.25">
      <c r="A48" s="142"/>
      <c r="B48" s="138"/>
      <c r="C48" s="143"/>
      <c r="D48" s="144"/>
      <c r="E48" s="145"/>
      <c r="F48" s="141"/>
      <c r="G48" s="144"/>
      <c r="H48" s="145"/>
      <c r="I48" s="141"/>
      <c r="J48" s="144"/>
      <c r="K48" s="145"/>
      <c r="L48" s="125"/>
      <c r="M48" s="144"/>
      <c r="N48" s="145"/>
      <c r="O48" s="141"/>
      <c r="P48" s="129"/>
      <c r="R48" s="1447"/>
      <c r="S48" s="1447"/>
      <c r="U48" s="1447"/>
    </row>
    <row r="49" spans="1:21" s="28" customFormat="1" ht="12" hidden="1" customHeight="1" x14ac:dyDescent="0.25">
      <c r="A49" s="146"/>
      <c r="B49" s="147" t="s">
        <v>67</v>
      </c>
      <c r="C49" s="148"/>
      <c r="D49" s="149"/>
      <c r="E49" s="150"/>
      <c r="F49" s="151"/>
      <c r="G49" s="152"/>
      <c r="H49" s="153"/>
      <c r="I49" s="154"/>
      <c r="J49" s="152"/>
      <c r="K49" s="153"/>
      <c r="L49" s="155"/>
      <c r="M49" s="152"/>
      <c r="N49" s="153"/>
      <c r="O49" s="154"/>
      <c r="P49" s="156"/>
      <c r="R49" s="1447"/>
      <c r="S49" s="1447"/>
      <c r="U49" s="1447"/>
    </row>
    <row r="50" spans="1:21" s="28" customFormat="1" ht="13.5" thickTop="1" thickBot="1" x14ac:dyDescent="0.3">
      <c r="A50" s="157"/>
      <c r="B50" s="29" t="s">
        <v>68</v>
      </c>
      <c r="C50" s="158">
        <f t="shared" si="0"/>
        <v>19905</v>
      </c>
      <c r="D50" s="159">
        <f>SUM(D51,D286)</f>
        <v>24955</v>
      </c>
      <c r="E50" s="160">
        <f t="shared" ref="E50:F50" si="26">SUM(E51,E286)</f>
        <v>-5050</v>
      </c>
      <c r="F50" s="161">
        <f t="shared" si="26"/>
        <v>19905</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R50" s="1447"/>
      <c r="S50" s="1447"/>
      <c r="U50" s="1447"/>
    </row>
    <row r="51" spans="1:21" s="28" customFormat="1" ht="36.75" thickTop="1" x14ac:dyDescent="0.25">
      <c r="A51" s="162"/>
      <c r="B51" s="163" t="s">
        <v>69</v>
      </c>
      <c r="C51" s="164">
        <f t="shared" si="0"/>
        <v>19905</v>
      </c>
      <c r="D51" s="165">
        <f>SUM(D52,D194)</f>
        <v>24955</v>
      </c>
      <c r="E51" s="166">
        <f t="shared" ref="E51:F51" si="30">SUM(E52,E194)</f>
        <v>-5050</v>
      </c>
      <c r="F51" s="167">
        <f t="shared" si="30"/>
        <v>19905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c r="R51" s="1447"/>
      <c r="S51" s="1447"/>
      <c r="U51" s="1447"/>
    </row>
    <row r="52" spans="1:21" s="28" customFormat="1" ht="24" x14ac:dyDescent="0.25">
      <c r="A52" s="24"/>
      <c r="B52" s="22" t="s">
        <v>70</v>
      </c>
      <c r="C52" s="172">
        <f t="shared" si="0"/>
        <v>19905</v>
      </c>
      <c r="D52" s="173">
        <f>SUM(D53,D75,D173,D187)</f>
        <v>24955</v>
      </c>
      <c r="E52" s="174">
        <f t="shared" ref="E52:F52" si="34">SUM(E53,E75,E173,E187)</f>
        <v>-5050</v>
      </c>
      <c r="F52" s="175">
        <f t="shared" si="34"/>
        <v>19905</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c r="R52" s="1447"/>
      <c r="S52" s="1447"/>
      <c r="U52" s="1447"/>
    </row>
    <row r="53" spans="1:21"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c r="R53" s="1447"/>
      <c r="S53" s="1447"/>
      <c r="U53" s="1447"/>
    </row>
    <row r="54" spans="1:21"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c r="R54" s="1447"/>
      <c r="S54" s="1447"/>
      <c r="U54" s="1447"/>
    </row>
    <row r="55" spans="1:21"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c r="R55" s="1447"/>
      <c r="S55" s="1447"/>
      <c r="U55" s="1447"/>
    </row>
    <row r="56" spans="1:21"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c r="R56" s="1447"/>
      <c r="S56" s="1447"/>
      <c r="U56" s="1447"/>
    </row>
    <row r="57" spans="1:21"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c r="R57" s="1447"/>
      <c r="S57" s="1447"/>
      <c r="U57" s="1447"/>
    </row>
    <row r="58" spans="1:21"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c r="R58" s="1447"/>
      <c r="S58" s="1447"/>
      <c r="U58" s="1447"/>
    </row>
    <row r="59" spans="1:21"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R59" s="1447"/>
      <c r="S59" s="1447"/>
      <c r="U59" s="1447"/>
    </row>
    <row r="60" spans="1:21"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c r="R60" s="1447"/>
      <c r="S60" s="1447"/>
      <c r="U60" s="1447"/>
    </row>
    <row r="61" spans="1:21"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c r="R61" s="1447"/>
      <c r="S61" s="1447"/>
      <c r="U61" s="1447"/>
    </row>
    <row r="62" spans="1:21"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c r="R62" s="1447"/>
      <c r="S62" s="1447"/>
      <c r="U62" s="1447"/>
    </row>
    <row r="63" spans="1:21"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c r="R63" s="1447"/>
      <c r="S63" s="1447"/>
      <c r="U63" s="1447"/>
    </row>
    <row r="64" spans="1:21"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c r="R64" s="1447"/>
      <c r="S64" s="1447"/>
      <c r="U64" s="1447"/>
    </row>
    <row r="65" spans="1:21"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c r="R65" s="1447"/>
      <c r="S65" s="1447"/>
      <c r="U65" s="1447"/>
    </row>
    <row r="66" spans="1:21"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c r="R66" s="1447"/>
      <c r="S66" s="1447"/>
      <c r="U66" s="1447"/>
    </row>
    <row r="67" spans="1:21"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c r="R67" s="1447"/>
      <c r="S67" s="1447"/>
      <c r="U67" s="1447"/>
    </row>
    <row r="68" spans="1:21" ht="24" hidden="1" customHeight="1" x14ac:dyDescent="0.25">
      <c r="A68" s="1373">
        <v>1210</v>
      </c>
      <c r="B68" s="82" t="s">
        <v>86</v>
      </c>
      <c r="C68" s="83">
        <f t="shared" si="0"/>
        <v>0</v>
      </c>
      <c r="D68" s="46"/>
      <c r="E68" s="47"/>
      <c r="F68" s="134">
        <f>D68+E68</f>
        <v>0</v>
      </c>
      <c r="G68" s="46"/>
      <c r="H68" s="47"/>
      <c r="I68" s="134">
        <f>G68+H68</f>
        <v>0</v>
      </c>
      <c r="J68" s="46"/>
      <c r="K68" s="47"/>
      <c r="L68" s="134">
        <f>K68+J68</f>
        <v>0</v>
      </c>
      <c r="M68" s="46"/>
      <c r="N68" s="47"/>
      <c r="O68" s="134">
        <f>N68+M68</f>
        <v>0</v>
      </c>
      <c r="P68" s="49"/>
      <c r="R68" s="1447"/>
      <c r="S68" s="1447"/>
      <c r="U68" s="1447"/>
    </row>
    <row r="69" spans="1:21"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c r="R69" s="1447"/>
      <c r="S69" s="1447"/>
      <c r="U69" s="1447"/>
    </row>
    <row r="70" spans="1:21"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R70" s="1447"/>
      <c r="S70" s="1447"/>
      <c r="U70" s="1447"/>
    </row>
    <row r="71" spans="1:21"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c r="R71" s="1447"/>
      <c r="S71" s="1447"/>
      <c r="U71" s="1447"/>
    </row>
    <row r="72" spans="1:21"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c r="R72" s="1447"/>
      <c r="S72" s="1447"/>
      <c r="U72" s="1447"/>
    </row>
    <row r="73" spans="1:21"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c r="R73" s="1447"/>
      <c r="S73" s="1447"/>
      <c r="U73" s="1447"/>
    </row>
    <row r="74" spans="1:21"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c r="R74" s="1447"/>
      <c r="S74" s="1447"/>
      <c r="U74" s="1447"/>
    </row>
    <row r="75" spans="1:21" x14ac:dyDescent="0.25">
      <c r="A75" s="177">
        <v>2000</v>
      </c>
      <c r="B75" s="177" t="s">
        <v>93</v>
      </c>
      <c r="C75" s="178">
        <f t="shared" si="0"/>
        <v>19905</v>
      </c>
      <c r="D75" s="179">
        <f>SUM(D76,D83,D130,D164,D165,D172)</f>
        <v>24955</v>
      </c>
      <c r="E75" s="180">
        <f t="shared" ref="E75:F75" si="74">SUM(E76,E83,E130,E164,E165,E172)</f>
        <v>-5050</v>
      </c>
      <c r="F75" s="181">
        <f t="shared" si="74"/>
        <v>19905</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c r="R75" s="1447"/>
      <c r="S75" s="1447"/>
      <c r="U75" s="1447"/>
    </row>
    <row r="76" spans="1:21"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c r="R76" s="1447"/>
      <c r="S76" s="1447"/>
      <c r="U76" s="1447"/>
    </row>
    <row r="77" spans="1:21"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c r="R77" s="1447"/>
      <c r="S77" s="1447"/>
      <c r="U77" s="1447"/>
    </row>
    <row r="78" spans="1:21"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1447"/>
      <c r="S78" s="1447"/>
      <c r="U78" s="1447"/>
    </row>
    <row r="79" spans="1:21"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c r="R79" s="1447"/>
      <c r="S79" s="1447"/>
      <c r="U79" s="1447"/>
    </row>
    <row r="80" spans="1:21"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c r="R80" s="1447"/>
      <c r="S80" s="1447"/>
      <c r="U80" s="1447"/>
    </row>
    <row r="81" spans="1:21"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1447"/>
      <c r="S81" s="1447"/>
      <c r="U81" s="1447"/>
    </row>
    <row r="82" spans="1:21"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c r="R82" s="1447"/>
      <c r="S82" s="1447"/>
      <c r="U82" s="1447"/>
    </row>
    <row r="83" spans="1:21" x14ac:dyDescent="0.25">
      <c r="A83" s="69">
        <v>2200</v>
      </c>
      <c r="B83" s="183" t="s">
        <v>99</v>
      </c>
      <c r="C83" s="70">
        <f t="shared" si="0"/>
        <v>19905</v>
      </c>
      <c r="D83" s="184">
        <f>SUM(D84,D89,D95,D103,D112,D116,D122,D128)</f>
        <v>24955</v>
      </c>
      <c r="E83" s="185">
        <f t="shared" ref="E83:F83" si="98">SUM(E84,E89,E95,E103,E112,E116,E122,E128)</f>
        <v>-5050</v>
      </c>
      <c r="F83" s="73">
        <f t="shared" si="98"/>
        <v>19905</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c r="R83" s="1447"/>
      <c r="S83" s="1447"/>
      <c r="U83" s="1447"/>
    </row>
    <row r="84" spans="1:21"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c r="R84" s="1447"/>
      <c r="S84" s="1447"/>
      <c r="U84" s="1447"/>
    </row>
    <row r="85" spans="1:21"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c r="R85" s="1447"/>
      <c r="S85" s="1447"/>
      <c r="U85" s="1447"/>
    </row>
    <row r="86" spans="1:21"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c r="R86" s="1447"/>
      <c r="S86" s="1447"/>
      <c r="U86" s="1447"/>
    </row>
    <row r="87" spans="1:21"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c r="R87" s="1447"/>
      <c r="S87" s="1447"/>
      <c r="U87" s="1447"/>
    </row>
    <row r="88" spans="1:21"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c r="R88" s="1447"/>
      <c r="S88" s="1447"/>
      <c r="U88" s="1447"/>
    </row>
    <row r="89" spans="1:21"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c r="R89" s="1447"/>
      <c r="S89" s="1447"/>
      <c r="U89" s="1447"/>
    </row>
    <row r="90" spans="1:21"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1447"/>
      <c r="S90" s="1447"/>
      <c r="U90" s="1447"/>
    </row>
    <row r="91" spans="1:21"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c r="R91" s="1447"/>
      <c r="S91" s="1447"/>
      <c r="U91" s="1447"/>
    </row>
    <row r="92" spans="1:21"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c r="R92" s="1447"/>
      <c r="S92" s="1447"/>
      <c r="U92" s="1447"/>
    </row>
    <row r="93" spans="1:21"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c r="R93" s="1447"/>
      <c r="S93" s="1447"/>
      <c r="U93" s="1447"/>
    </row>
    <row r="94" spans="1:21"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c r="R94" s="1447"/>
      <c r="S94" s="1447"/>
      <c r="U94" s="1447"/>
    </row>
    <row r="95" spans="1:21"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c r="R95" s="1447"/>
      <c r="S95" s="1447"/>
      <c r="U95" s="1447"/>
    </row>
    <row r="96" spans="1:21"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1447"/>
      <c r="S96" s="1447"/>
      <c r="U96" s="1447"/>
    </row>
    <row r="97" spans="1:21"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c r="R97" s="1447"/>
      <c r="S97" s="1447"/>
      <c r="U97" s="1447"/>
    </row>
    <row r="98" spans="1:21"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c r="R98" s="1447"/>
      <c r="S98" s="1447"/>
      <c r="U98" s="1447"/>
    </row>
    <row r="99" spans="1:21"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c r="R99" s="1447"/>
      <c r="S99" s="1447"/>
      <c r="U99" s="1447"/>
    </row>
    <row r="100" spans="1:21"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c r="R100" s="1447"/>
      <c r="S100" s="1447"/>
      <c r="U100" s="1447"/>
    </row>
    <row r="101" spans="1:21"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c r="R101" s="1447"/>
      <c r="S101" s="1447"/>
      <c r="U101" s="1447"/>
    </row>
    <row r="102" spans="1:21"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c r="R102" s="1447"/>
      <c r="S102" s="1447"/>
      <c r="U102" s="1447"/>
    </row>
    <row r="103" spans="1:21"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c r="R103" s="1447"/>
      <c r="S103" s="1447"/>
      <c r="U103" s="1447"/>
    </row>
    <row r="104" spans="1:21"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1447"/>
      <c r="S104" s="1447"/>
      <c r="U104" s="1447"/>
    </row>
    <row r="105" spans="1:21"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c r="R105" s="1447"/>
      <c r="S105" s="1447"/>
      <c r="U105" s="1447"/>
    </row>
    <row r="106" spans="1:21"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c r="R106" s="1447"/>
      <c r="S106" s="1447"/>
      <c r="U106" s="1447"/>
    </row>
    <row r="107" spans="1:21"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c r="R107" s="1447"/>
      <c r="S107" s="1447"/>
      <c r="U107" s="1447"/>
    </row>
    <row r="108" spans="1:21"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c r="R108" s="1447"/>
      <c r="S108" s="1447"/>
      <c r="U108" s="1447"/>
    </row>
    <row r="109" spans="1:21"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c r="R109" s="1447"/>
      <c r="S109" s="1447"/>
      <c r="U109" s="1447"/>
    </row>
    <row r="110" spans="1:21"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c r="R110" s="1447"/>
      <c r="S110" s="1447"/>
      <c r="U110" s="1447"/>
    </row>
    <row r="111" spans="1:21"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c r="R111" s="1447"/>
      <c r="S111" s="1447"/>
      <c r="U111" s="1447"/>
    </row>
    <row r="112" spans="1:21"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c r="R112" s="1447"/>
      <c r="S112" s="1447"/>
      <c r="U112" s="1447"/>
    </row>
    <row r="113" spans="1:21"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1447"/>
      <c r="S113" s="1447"/>
      <c r="U113" s="1447"/>
    </row>
    <row r="114" spans="1:21"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c r="R114" s="1447"/>
      <c r="S114" s="1447"/>
      <c r="U114" s="1447"/>
    </row>
    <row r="115" spans="1:21"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c r="R115" s="1447"/>
      <c r="S115" s="1447"/>
      <c r="U115" s="1447"/>
    </row>
    <row r="116" spans="1:21"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c r="R116" s="1447"/>
      <c r="S116" s="1447"/>
      <c r="U116" s="1447"/>
    </row>
    <row r="117" spans="1:21"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1447"/>
      <c r="S117" s="1447"/>
      <c r="U117" s="1447"/>
    </row>
    <row r="118" spans="1:21"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c r="R118" s="1447"/>
      <c r="S118" s="1447"/>
      <c r="U118" s="1447"/>
    </row>
    <row r="119" spans="1:21"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c r="R119" s="1447"/>
      <c r="S119" s="1447"/>
      <c r="U119" s="1447"/>
    </row>
    <row r="120" spans="1:21"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c r="R120" s="1447"/>
      <c r="S120" s="1447"/>
      <c r="U120" s="1447"/>
    </row>
    <row r="121" spans="1:21"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c r="R121" s="1447"/>
      <c r="S121" s="1447"/>
      <c r="U121" s="1447"/>
    </row>
    <row r="122" spans="1:21" x14ac:dyDescent="0.25">
      <c r="A122" s="189">
        <v>2270</v>
      </c>
      <c r="B122" s="89" t="s">
        <v>138</v>
      </c>
      <c r="C122" s="90">
        <f t="shared" si="102"/>
        <v>19905</v>
      </c>
      <c r="D122" s="190">
        <f>SUM(D123:D127)</f>
        <v>24955</v>
      </c>
      <c r="E122" s="191">
        <f t="shared" ref="E122:F122" si="151">SUM(E123:E127)</f>
        <v>-5050</v>
      </c>
      <c r="F122" s="55">
        <f t="shared" si="151"/>
        <v>19905</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c r="R122" s="1447"/>
      <c r="S122" s="1447"/>
      <c r="U122" s="1447"/>
    </row>
    <row r="123" spans="1:21"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1447"/>
      <c r="S123" s="1447"/>
      <c r="U123" s="1447"/>
    </row>
    <row r="124" spans="1:21"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c r="R124" s="1447"/>
      <c r="S124" s="1447"/>
      <c r="U124" s="1447"/>
    </row>
    <row r="125" spans="1:21" ht="24" customHeight="1" x14ac:dyDescent="0.25">
      <c r="A125" s="51">
        <v>2275</v>
      </c>
      <c r="B125" s="89" t="s">
        <v>141</v>
      </c>
      <c r="C125" s="90">
        <f t="shared" si="102"/>
        <v>19905</v>
      </c>
      <c r="D125" s="196">
        <v>24955</v>
      </c>
      <c r="E125" s="197">
        <v>-5050</v>
      </c>
      <c r="F125" s="55">
        <f t="shared" si="155"/>
        <v>19905</v>
      </c>
      <c r="G125" s="53"/>
      <c r="H125" s="54"/>
      <c r="I125" s="55">
        <f t="shared" si="156"/>
        <v>0</v>
      </c>
      <c r="J125" s="53"/>
      <c r="K125" s="54"/>
      <c r="L125" s="55">
        <f t="shared" si="157"/>
        <v>0</v>
      </c>
      <c r="M125" s="53"/>
      <c r="N125" s="54"/>
      <c r="O125" s="55">
        <f t="shared" si="158"/>
        <v>0</v>
      </c>
      <c r="P125" s="57"/>
      <c r="R125" s="1447"/>
      <c r="S125" s="1447"/>
      <c r="U125" s="1447"/>
    </row>
    <row r="126" spans="1:21"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c r="R126" s="1447"/>
      <c r="S126" s="1447"/>
      <c r="U126" s="1447"/>
    </row>
    <row r="127" spans="1:21"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c r="R127" s="1447"/>
      <c r="S127" s="1447"/>
      <c r="U127" s="1447"/>
    </row>
    <row r="128" spans="1:21"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c r="R128" s="1447"/>
      <c r="S128" s="1447"/>
      <c r="U128" s="1447"/>
    </row>
    <row r="129" spans="1:21"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c r="R129" s="1447"/>
      <c r="S129" s="1447"/>
      <c r="U129" s="1447"/>
    </row>
    <row r="130" spans="1:21"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c r="R130" s="1447"/>
      <c r="S130" s="1447"/>
      <c r="U130" s="1447"/>
    </row>
    <row r="131" spans="1:21" ht="24" hidden="1" x14ac:dyDescent="0.25">
      <c r="A131" s="1373">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c r="R131" s="1447"/>
      <c r="S131" s="1447"/>
      <c r="U131" s="1447"/>
    </row>
    <row r="132" spans="1:21"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R132" s="1447"/>
      <c r="S132" s="1447"/>
      <c r="U132" s="1447"/>
    </row>
    <row r="133" spans="1:21"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c r="R133" s="1447"/>
      <c r="S133" s="1447"/>
      <c r="U133" s="1447"/>
    </row>
    <row r="134" spans="1:21"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c r="R134" s="1447"/>
      <c r="S134" s="1447"/>
      <c r="U134" s="1447"/>
    </row>
    <row r="135" spans="1:21"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c r="R135" s="1447"/>
      <c r="S135" s="1447"/>
      <c r="U135" s="1447"/>
    </row>
    <row r="136" spans="1:21"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c r="R136" s="1447"/>
      <c r="S136" s="1447"/>
      <c r="U136" s="1447"/>
    </row>
    <row r="137" spans="1:21"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1447"/>
      <c r="S137" s="1447"/>
      <c r="U137" s="1447"/>
    </row>
    <row r="138" spans="1:21"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c r="R138" s="1447"/>
      <c r="S138" s="1447"/>
      <c r="U138" s="1447"/>
    </row>
    <row r="139" spans="1:21"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c r="R139" s="1447"/>
      <c r="S139" s="1447"/>
      <c r="U139" s="1447"/>
    </row>
    <row r="140" spans="1:21"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c r="R140" s="1447"/>
      <c r="S140" s="1447"/>
      <c r="U140" s="1447"/>
    </row>
    <row r="141" spans="1:21"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c r="R141" s="1447"/>
      <c r="S141" s="1447"/>
      <c r="U141" s="1447"/>
    </row>
    <row r="142" spans="1:21"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R142" s="1447"/>
      <c r="S142" s="1447"/>
      <c r="U142" s="1447"/>
    </row>
    <row r="143" spans="1:21"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c r="R143" s="1447"/>
      <c r="S143" s="1447"/>
      <c r="U143" s="1447"/>
    </row>
    <row r="144" spans="1:21"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c r="R144" s="1447"/>
      <c r="S144" s="1447"/>
      <c r="U144" s="1447"/>
    </row>
    <row r="145" spans="1:21"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c r="R145" s="1447"/>
      <c r="S145" s="1447"/>
      <c r="U145" s="1447"/>
    </row>
    <row r="146" spans="1:21"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c r="R146" s="1447"/>
      <c r="S146" s="1447"/>
      <c r="U146" s="1447"/>
    </row>
    <row r="147" spans="1:21"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c r="R147" s="1447"/>
      <c r="S147" s="1447"/>
      <c r="U147" s="1447"/>
    </row>
    <row r="148" spans="1:21"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c r="R148" s="1447"/>
      <c r="S148" s="1447"/>
      <c r="U148" s="1447"/>
    </row>
    <row r="149" spans="1:21"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c r="R149" s="1447"/>
      <c r="S149" s="1447"/>
      <c r="U149" s="1447"/>
    </row>
    <row r="150" spans="1:21"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c r="R150" s="1447"/>
      <c r="S150" s="1447"/>
      <c r="U150" s="1447"/>
    </row>
    <row r="151" spans="1:21"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c r="R151" s="1447"/>
      <c r="S151" s="1447"/>
      <c r="U151" s="1447"/>
    </row>
    <row r="152" spans="1:21"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R152" s="1447"/>
      <c r="S152" s="1447"/>
      <c r="U152" s="1447"/>
    </row>
    <row r="153" spans="1:21"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c r="R153" s="1447"/>
      <c r="S153" s="1447"/>
      <c r="U153" s="1447"/>
    </row>
    <row r="154" spans="1:21"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c r="R154" s="1447"/>
      <c r="S154" s="1447"/>
      <c r="U154" s="1447"/>
    </row>
    <row r="155" spans="1:21"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c r="R155" s="1447"/>
      <c r="S155" s="1447"/>
      <c r="U155" s="1447"/>
    </row>
    <row r="156" spans="1:21"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c r="R156" s="1447"/>
      <c r="S156" s="1447"/>
      <c r="U156" s="1447"/>
    </row>
    <row r="157" spans="1:21"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c r="R157" s="1447"/>
      <c r="S157" s="1447"/>
      <c r="U157" s="1447"/>
    </row>
    <row r="158" spans="1:21"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c r="R158" s="1447"/>
      <c r="S158" s="1447"/>
      <c r="U158" s="1447"/>
    </row>
    <row r="159" spans="1:21"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c r="R159" s="1447"/>
      <c r="S159" s="1447"/>
      <c r="U159" s="1447"/>
    </row>
    <row r="160" spans="1:21"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c r="R160" s="1447"/>
      <c r="S160" s="1447"/>
      <c r="U160" s="1447"/>
    </row>
    <row r="161" spans="1:21"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c r="R161" s="1447"/>
      <c r="S161" s="1447"/>
      <c r="U161" s="1447"/>
    </row>
    <row r="162" spans="1:21"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c r="R162" s="1447"/>
      <c r="S162" s="1447"/>
      <c r="U162" s="1447"/>
    </row>
    <row r="163" spans="1:21"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c r="R163" s="1447"/>
      <c r="S163" s="1447"/>
      <c r="U163" s="1447"/>
    </row>
    <row r="164" spans="1:21"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c r="R164" s="1447"/>
      <c r="S164" s="1447"/>
      <c r="U164" s="1447"/>
    </row>
    <row r="165" spans="1:21"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c r="R165" s="1447"/>
      <c r="S165" s="1447"/>
      <c r="U165" s="1447"/>
    </row>
    <row r="166" spans="1:21"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c r="R166" s="1447"/>
      <c r="S166" s="1447"/>
      <c r="U166" s="1447"/>
    </row>
    <row r="167" spans="1:21"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1447"/>
      <c r="S167" s="1447"/>
      <c r="U167" s="1447"/>
    </row>
    <row r="168" spans="1:21"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c r="R168" s="1447"/>
      <c r="S168" s="1447"/>
      <c r="U168" s="1447"/>
    </row>
    <row r="169" spans="1:21"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c r="R169" s="1447"/>
      <c r="S169" s="1447"/>
      <c r="U169" s="1447"/>
    </row>
    <row r="170" spans="1:21"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c r="R170" s="1447"/>
      <c r="S170" s="1447"/>
      <c r="U170" s="1447"/>
    </row>
    <row r="171" spans="1:21"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c r="R171" s="1447"/>
      <c r="S171" s="1447"/>
      <c r="U171" s="1447"/>
    </row>
    <row r="172" spans="1:21"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c r="R172" s="1447"/>
      <c r="S172" s="1447"/>
      <c r="U172" s="1447"/>
    </row>
    <row r="173" spans="1:21"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c r="R173" s="1447"/>
      <c r="S173" s="1447"/>
      <c r="U173" s="1447"/>
    </row>
    <row r="174" spans="1:21"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c r="R174" s="1447"/>
      <c r="S174" s="1447"/>
      <c r="U174" s="1447"/>
    </row>
    <row r="175" spans="1:21"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c r="R175" s="1447"/>
      <c r="S175" s="1447"/>
      <c r="U175" s="1447"/>
    </row>
    <row r="176" spans="1:21"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1447"/>
      <c r="S176" s="1447"/>
      <c r="U176" s="1447"/>
    </row>
    <row r="177" spans="1:21"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c r="R177" s="1447"/>
      <c r="S177" s="1447"/>
      <c r="U177" s="1447"/>
    </row>
    <row r="178" spans="1:21"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c r="R178" s="1447"/>
      <c r="S178" s="1447"/>
      <c r="U178" s="1447"/>
    </row>
    <row r="179" spans="1:21"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c r="R179" s="1447"/>
      <c r="S179" s="1447"/>
      <c r="U179" s="1447"/>
    </row>
    <row r="180" spans="1:21"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1447"/>
      <c r="S180" s="1447"/>
      <c r="U180" s="1447"/>
    </row>
    <row r="181" spans="1:21"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c r="R181" s="1447"/>
      <c r="S181" s="1447"/>
      <c r="U181" s="1447"/>
    </row>
    <row r="182" spans="1:21"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c r="R182" s="1447"/>
      <c r="S182" s="1447"/>
      <c r="U182" s="1447"/>
    </row>
    <row r="183" spans="1:21"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c r="R183" s="1447"/>
      <c r="S183" s="1447"/>
      <c r="U183" s="1447"/>
    </row>
    <row r="184" spans="1:21"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c r="R184" s="1447"/>
      <c r="S184" s="1447"/>
      <c r="U184" s="1447"/>
    </row>
    <row r="185" spans="1:21"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c r="R185" s="1447"/>
      <c r="S185" s="1447"/>
      <c r="U185" s="1447"/>
    </row>
    <row r="186" spans="1:21"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c r="R186" s="1447"/>
      <c r="S186" s="1447"/>
      <c r="U186" s="1447"/>
    </row>
    <row r="187" spans="1:21"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c r="R187" s="1447"/>
      <c r="S187" s="1447"/>
      <c r="U187" s="1447"/>
    </row>
    <row r="188" spans="1:21"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c r="R188" s="1447"/>
      <c r="S188" s="1447"/>
      <c r="U188" s="1447"/>
    </row>
    <row r="189" spans="1:21"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c r="R189" s="1447"/>
      <c r="S189" s="1447"/>
      <c r="U189" s="1447"/>
    </row>
    <row r="190" spans="1:21"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c r="R190" s="1447"/>
      <c r="S190" s="1447"/>
      <c r="U190" s="1447"/>
    </row>
    <row r="191" spans="1:21"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c r="R191" s="1447"/>
      <c r="S191" s="1447"/>
      <c r="U191" s="1447"/>
    </row>
    <row r="192" spans="1:21"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c r="R192" s="1447"/>
      <c r="S192" s="1447"/>
      <c r="U192" s="1447"/>
    </row>
    <row r="193" spans="1:21"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c r="R193" s="1447"/>
      <c r="S193" s="1447"/>
      <c r="U193" s="1447"/>
    </row>
    <row r="194" spans="1:21"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c r="R194" s="1447"/>
      <c r="S194" s="1447"/>
      <c r="U194" s="1447"/>
    </row>
    <row r="195" spans="1:21"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c r="R195" s="1447"/>
      <c r="S195" s="1447"/>
      <c r="U195" s="1447"/>
    </row>
    <row r="196" spans="1:21"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c r="R196" s="1447"/>
      <c r="S196" s="1447"/>
      <c r="U196" s="1447"/>
    </row>
    <row r="197" spans="1:21"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c r="R197" s="1447"/>
      <c r="S197" s="1447"/>
      <c r="U197" s="1447"/>
    </row>
    <row r="198" spans="1:21"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c r="R198" s="1447"/>
      <c r="S198" s="1447"/>
      <c r="U198" s="1447"/>
    </row>
    <row r="199" spans="1:21"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1447"/>
      <c r="S199" s="1447"/>
      <c r="U199" s="1447"/>
    </row>
    <row r="200" spans="1:21"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c r="R200" s="1447"/>
      <c r="S200" s="1447"/>
      <c r="U200" s="1447"/>
    </row>
    <row r="201" spans="1:21"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c r="R201" s="1447"/>
      <c r="S201" s="1447"/>
      <c r="U201" s="1447"/>
    </row>
    <row r="202" spans="1:21"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c r="R202" s="1447"/>
      <c r="S202" s="1447"/>
      <c r="U202" s="1447"/>
    </row>
    <row r="203" spans="1:21"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c r="R203" s="1447"/>
      <c r="S203" s="1447"/>
      <c r="U203" s="1447"/>
    </row>
    <row r="204" spans="1:21"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c r="R204" s="1447"/>
      <c r="S204" s="1447"/>
      <c r="U204" s="1447"/>
    </row>
    <row r="205" spans="1:21"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c r="R205" s="1447"/>
      <c r="S205" s="1447"/>
      <c r="U205" s="1447"/>
    </row>
    <row r="206" spans="1:21"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c r="R206" s="1447"/>
      <c r="S206" s="1447"/>
      <c r="U206" s="1447"/>
    </row>
    <row r="207" spans="1:21"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c r="R207" s="1447"/>
      <c r="S207" s="1447"/>
      <c r="U207" s="1447"/>
    </row>
    <row r="208" spans="1:21"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c r="R208" s="1447"/>
      <c r="S208" s="1447"/>
      <c r="U208" s="1447"/>
    </row>
    <row r="209" spans="1:21"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c r="R209" s="1447"/>
      <c r="S209" s="1447"/>
      <c r="U209" s="1447"/>
    </row>
    <row r="210" spans="1:21"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c r="R210" s="1447"/>
      <c r="S210" s="1447"/>
      <c r="U210" s="1447"/>
    </row>
    <row r="211" spans="1:21"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c r="R211" s="1447"/>
      <c r="S211" s="1447"/>
      <c r="U211" s="1447"/>
    </row>
    <row r="212" spans="1:21"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c r="R212" s="1447"/>
      <c r="S212" s="1447"/>
      <c r="U212" s="1447"/>
    </row>
    <row r="213" spans="1:21"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c r="R213" s="1447"/>
      <c r="S213" s="1447"/>
      <c r="U213" s="1447"/>
    </row>
    <row r="214" spans="1:21"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c r="R214" s="1447"/>
      <c r="S214" s="1447"/>
      <c r="U214" s="1447"/>
    </row>
    <row r="215" spans="1:21"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c r="R215" s="1447"/>
      <c r="S215" s="1447"/>
      <c r="U215" s="1447"/>
    </row>
    <row r="216" spans="1:21"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c r="R216" s="1447"/>
      <c r="S216" s="1447"/>
      <c r="U216" s="1447"/>
    </row>
    <row r="217" spans="1:21"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1447"/>
      <c r="S217" s="1447"/>
      <c r="U217" s="1447"/>
    </row>
    <row r="218" spans="1:21"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c r="R218" s="1447"/>
      <c r="S218" s="1447"/>
      <c r="U218" s="1447"/>
    </row>
    <row r="219" spans="1:21"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c r="R219" s="1447"/>
      <c r="S219" s="1447"/>
      <c r="U219" s="1447"/>
    </row>
    <row r="220" spans="1:21"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c r="R220" s="1447"/>
      <c r="S220" s="1447"/>
      <c r="U220" s="1447"/>
    </row>
    <row r="221" spans="1:21"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c r="R221" s="1447"/>
      <c r="S221" s="1447"/>
      <c r="U221" s="1447"/>
    </row>
    <row r="222" spans="1:21"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c r="R222" s="1447"/>
      <c r="S222" s="1447"/>
      <c r="U222" s="1447"/>
    </row>
    <row r="223" spans="1:21"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c r="R223" s="1447"/>
      <c r="S223" s="1447"/>
      <c r="U223" s="1447"/>
    </row>
    <row r="224" spans="1:21"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c r="R224" s="1447"/>
      <c r="S224" s="1447"/>
      <c r="U224" s="1447"/>
    </row>
    <row r="225" spans="1:21"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c r="R225" s="1447"/>
      <c r="S225" s="1447"/>
      <c r="U225" s="1447"/>
    </row>
    <row r="226" spans="1:21"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c r="R226" s="1447"/>
      <c r="S226" s="1447"/>
      <c r="U226" s="1447"/>
    </row>
    <row r="227" spans="1:21"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c r="R227" s="1447"/>
      <c r="S227" s="1447"/>
      <c r="U227" s="1447"/>
    </row>
    <row r="228" spans="1:21"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1447"/>
      <c r="S228" s="1447"/>
      <c r="U228" s="1447"/>
    </row>
    <row r="229" spans="1:21"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c r="R229" s="1447"/>
      <c r="S229" s="1447"/>
      <c r="U229" s="1447"/>
    </row>
    <row r="230" spans="1:21"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c r="R230" s="1447"/>
      <c r="S230" s="1447"/>
      <c r="U230" s="1447"/>
    </row>
    <row r="231" spans="1:21"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c r="R231" s="1447"/>
      <c r="S231" s="1447"/>
      <c r="U231" s="1447"/>
    </row>
    <row r="232" spans="1:21"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c r="R232" s="1447"/>
      <c r="S232" s="1447"/>
      <c r="U232" s="1447"/>
    </row>
    <row r="233" spans="1:21"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c r="R233" s="1447"/>
      <c r="S233" s="1447"/>
      <c r="U233" s="1447"/>
    </row>
    <row r="234" spans="1:21"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c r="R234" s="1447"/>
      <c r="S234" s="1447"/>
      <c r="U234" s="1447"/>
    </row>
    <row r="235" spans="1:21"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c r="R235" s="1447"/>
      <c r="S235" s="1447"/>
      <c r="U235" s="1447"/>
    </row>
    <row r="236" spans="1:21"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1447"/>
      <c r="S236" s="1447"/>
      <c r="U236" s="1447"/>
    </row>
    <row r="237" spans="1:21"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c r="R237" s="1447"/>
      <c r="S237" s="1447"/>
      <c r="U237" s="1447"/>
    </row>
    <row r="238" spans="1:21"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c r="R238" s="1447"/>
      <c r="S238" s="1447"/>
      <c r="U238" s="1447"/>
    </row>
    <row r="239" spans="1:21"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1447"/>
      <c r="S239" s="1447"/>
      <c r="U239" s="1447"/>
    </row>
    <row r="240" spans="1:21"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c r="R240" s="1447"/>
      <c r="S240" s="1447"/>
      <c r="U240" s="1447"/>
    </row>
    <row r="241" spans="1:21"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c r="R241" s="1447"/>
      <c r="S241" s="1447"/>
      <c r="U241" s="1447"/>
    </row>
    <row r="242" spans="1:21"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c r="R242" s="1447"/>
      <c r="S242" s="1447"/>
      <c r="U242" s="1447"/>
    </row>
    <row r="243" spans="1:21"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c r="R243" s="1447"/>
      <c r="S243" s="1447"/>
      <c r="U243" s="1447"/>
    </row>
    <row r="244" spans="1:21"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c r="R244" s="1447"/>
      <c r="S244" s="1447"/>
      <c r="U244" s="1447"/>
    </row>
    <row r="245" spans="1:21"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c r="R245" s="1447"/>
      <c r="S245" s="1447"/>
      <c r="U245" s="1447"/>
    </row>
    <row r="246" spans="1:21"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c r="R246" s="1447"/>
      <c r="S246" s="1447"/>
      <c r="U246" s="1447"/>
    </row>
    <row r="247" spans="1:21"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1447"/>
      <c r="S247" s="1447"/>
      <c r="U247" s="1447"/>
    </row>
    <row r="248" spans="1:21"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c r="R248" s="1447"/>
      <c r="S248" s="1447"/>
      <c r="U248" s="1447"/>
    </row>
    <row r="249" spans="1:21"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c r="R249" s="1447"/>
      <c r="S249" s="1447"/>
      <c r="U249" s="1447"/>
    </row>
    <row r="250" spans="1:21"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c r="R250" s="1447"/>
      <c r="S250" s="1447"/>
      <c r="U250" s="1447"/>
    </row>
    <row r="251" spans="1:21"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c r="R251" s="1447"/>
      <c r="S251" s="1447"/>
      <c r="U251" s="1447"/>
    </row>
    <row r="252" spans="1:21"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c r="R252" s="1447"/>
      <c r="S252" s="1447"/>
      <c r="U252" s="1447"/>
    </row>
    <row r="253" spans="1:21"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1447"/>
      <c r="S253" s="1447"/>
      <c r="U253" s="1447"/>
    </row>
    <row r="254" spans="1:21"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c r="R254" s="1447"/>
      <c r="S254" s="1447"/>
      <c r="U254" s="1447"/>
    </row>
    <row r="255" spans="1:21"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c r="R255" s="1447"/>
      <c r="S255" s="1447"/>
      <c r="U255" s="1447"/>
    </row>
    <row r="256" spans="1:21"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c r="R256" s="1447"/>
      <c r="S256" s="1447"/>
      <c r="U256" s="1447"/>
    </row>
    <row r="257" spans="1:21"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c r="R257" s="1447"/>
      <c r="S257" s="1447"/>
      <c r="U257" s="1447"/>
    </row>
    <row r="258" spans="1:21"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c r="R258" s="1447"/>
      <c r="S258" s="1447"/>
      <c r="U258" s="1447"/>
    </row>
    <row r="259" spans="1:21"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c r="R259" s="1447"/>
      <c r="S259" s="1447"/>
      <c r="U259" s="1447"/>
    </row>
    <row r="260" spans="1:21"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c r="R260" s="1447"/>
      <c r="S260" s="1447"/>
      <c r="U260" s="1447"/>
    </row>
    <row r="261" spans="1:21"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1447"/>
      <c r="S261" s="1447"/>
      <c r="U261" s="1447"/>
    </row>
    <row r="262" spans="1:21"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c r="R262" s="1447"/>
      <c r="S262" s="1447"/>
      <c r="U262" s="1447"/>
    </row>
    <row r="263" spans="1:21"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c r="R263" s="1447"/>
      <c r="S263" s="1447"/>
      <c r="U263" s="1447"/>
    </row>
    <row r="264" spans="1:21"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c r="R264" s="1447"/>
      <c r="S264" s="1447"/>
      <c r="U264" s="1447"/>
    </row>
    <row r="265" spans="1:21"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1447"/>
      <c r="S265" s="1447"/>
      <c r="U265" s="1447"/>
    </row>
    <row r="266" spans="1:21"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c r="R266" s="1447"/>
      <c r="S266" s="1447"/>
      <c r="U266" s="1447"/>
    </row>
    <row r="267" spans="1:21"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c r="R267" s="1447"/>
      <c r="S267" s="1447"/>
      <c r="U267" s="1447"/>
    </row>
    <row r="268" spans="1:21"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c r="R268" s="1447"/>
      <c r="S268" s="1447"/>
      <c r="U268" s="1447"/>
    </row>
    <row r="269" spans="1:21"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c r="R269" s="1447"/>
      <c r="S269" s="1447"/>
      <c r="U269" s="1447"/>
    </row>
    <row r="270" spans="1:21"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c r="R270" s="1447"/>
      <c r="S270" s="1447"/>
      <c r="U270" s="1447"/>
    </row>
    <row r="271" spans="1:21"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c r="R271" s="1447"/>
      <c r="S271" s="1447"/>
      <c r="U271" s="1447"/>
    </row>
    <row r="272" spans="1:21"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c r="R272" s="1447"/>
      <c r="S272" s="1447"/>
      <c r="U272" s="1447"/>
    </row>
    <row r="273" spans="1:21"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1447"/>
      <c r="S273" s="1447"/>
      <c r="U273" s="1447"/>
    </row>
    <row r="274" spans="1:21"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c r="R274" s="1447"/>
      <c r="S274" s="1447"/>
      <c r="U274" s="1447"/>
    </row>
    <row r="275" spans="1:21"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c r="R275" s="1447"/>
      <c r="S275" s="1447"/>
      <c r="U275" s="1447"/>
    </row>
    <row r="276" spans="1:21"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c r="R276" s="1447"/>
      <c r="S276" s="1447"/>
      <c r="U276" s="1447"/>
    </row>
    <row r="277" spans="1:21"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1447"/>
      <c r="S277" s="1447"/>
      <c r="U277" s="1447"/>
    </row>
    <row r="278" spans="1:21"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c r="R278" s="1447"/>
      <c r="S278" s="1447"/>
      <c r="U278" s="1447"/>
    </row>
    <row r="279" spans="1:21"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c r="R279" s="1447"/>
      <c r="S279" s="1447"/>
      <c r="U279" s="1447"/>
    </row>
    <row r="280" spans="1:21"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c r="R280" s="1447"/>
      <c r="S280" s="1447"/>
      <c r="U280" s="1447"/>
    </row>
    <row r="281" spans="1:21"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c r="R281" s="1447"/>
      <c r="S281" s="1447"/>
      <c r="U281" s="1447"/>
    </row>
    <row r="282" spans="1:21"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c r="R282" s="1447"/>
      <c r="S282" s="1447"/>
      <c r="U282" s="1447"/>
    </row>
    <row r="283" spans="1:21"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c r="R283" s="1447"/>
      <c r="S283" s="1447"/>
      <c r="U283" s="1447"/>
    </row>
    <row r="284" spans="1:21"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c r="R284" s="1447"/>
      <c r="S284" s="1447"/>
      <c r="U284" s="1447"/>
    </row>
    <row r="285" spans="1:21"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c r="R285" s="1447"/>
      <c r="S285" s="1447"/>
      <c r="U285" s="1447"/>
    </row>
    <row r="286" spans="1:21"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c r="R286" s="1447"/>
      <c r="S286" s="1447"/>
      <c r="U286" s="1447"/>
    </row>
    <row r="287" spans="1:21"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1447"/>
      <c r="S287" s="1447"/>
      <c r="U287" s="1447"/>
    </row>
    <row r="288" spans="1:21"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c r="R288" s="1447"/>
      <c r="S288" s="1447"/>
      <c r="U288" s="1447"/>
    </row>
    <row r="289" spans="1:21" ht="12.75" thickBot="1" x14ac:dyDescent="0.3">
      <c r="A289" s="250"/>
      <c r="B289" s="250" t="s">
        <v>307</v>
      </c>
      <c r="C289" s="251">
        <f t="shared" si="371"/>
        <v>19905</v>
      </c>
      <c r="D289" s="252">
        <f t="shared" ref="D289:O289" si="389">SUM(D286,D269,D230,D195,D187,D173,D75,D53,D283)</f>
        <v>24955</v>
      </c>
      <c r="E289" s="253">
        <f t="shared" si="389"/>
        <v>-5050</v>
      </c>
      <c r="F289" s="254">
        <f t="shared" si="389"/>
        <v>19905</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c r="R289" s="1447"/>
      <c r="S289" s="1447"/>
      <c r="U289" s="1447"/>
    </row>
    <row r="290" spans="1:21"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c r="R290" s="1447"/>
      <c r="S290" s="1447"/>
      <c r="U290" s="1447"/>
    </row>
    <row r="291" spans="1:21"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c r="R291" s="1447"/>
      <c r="S291" s="1447"/>
      <c r="U291" s="1447"/>
    </row>
    <row r="292" spans="1:21"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c r="R292" s="1447"/>
      <c r="S292" s="1447"/>
      <c r="U292" s="1447"/>
    </row>
    <row r="293" spans="1:21"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c r="R293" s="1447"/>
      <c r="S293" s="1447"/>
      <c r="U293" s="1447"/>
    </row>
    <row r="294" spans="1:21"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c r="R294" s="1447"/>
      <c r="S294" s="1447"/>
      <c r="U294" s="1447"/>
    </row>
    <row r="295" spans="1:21"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c r="R295" s="1447"/>
      <c r="S295" s="1447"/>
      <c r="U295" s="1447"/>
    </row>
    <row r="296" spans="1:21"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c r="R296" s="1447"/>
      <c r="S296" s="1447"/>
      <c r="U296" s="1447"/>
    </row>
    <row r="297" spans="1:21"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c r="R297" s="1447"/>
      <c r="S297" s="1447"/>
      <c r="U297" s="1447"/>
    </row>
    <row r="298" spans="1:21"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c r="R298" s="1447"/>
      <c r="S298" s="1447"/>
      <c r="U298" s="1447"/>
    </row>
    <row r="299" spans="1:21"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c r="R299" s="1447"/>
      <c r="S299" s="1447"/>
      <c r="U299" s="1447"/>
    </row>
    <row r="300" spans="1:21"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c r="R300" s="1447"/>
      <c r="S300" s="1447"/>
      <c r="U300" s="1447"/>
    </row>
    <row r="301" spans="1:21"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c r="R301" s="1447"/>
      <c r="S301" s="1447"/>
      <c r="U301" s="1447"/>
    </row>
    <row r="302" spans="1:21" ht="12.75" thickTop="1" x14ac:dyDescent="0.25"/>
  </sheetData>
  <sheetProtection algorithmName="SHA-512" hashValue="aUOY0MPZ0JBc9pWB01j59iJ6XJFqYyM/UWZqVzxGzZiWBRIlMwNIDKp6DAz42Wnnw34lYhITecZEeFoqFKgupw==" saltValue="bX2DmpJWWthGhSW4L6LkGg==" spinCount="100000" sheet="1" objects="1" scenarios="1" formatCells="0" formatColumns="0" formatRows="0" deleteColumns="0"/>
  <autoFilter ref="A18:P301">
    <filterColumn colId="2">
      <filters>
        <filter val="19 90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54.pielikums Jūrmalas pilsētas domes
2019.gada 31.oktobra saistošajiem noteikumiem Nr.46
(protokols Nr.14, 28.punkts)
 </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7" sqref="U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1901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385</v>
      </c>
      <c r="D3" s="1517"/>
      <c r="E3" s="1517"/>
      <c r="F3" s="1517"/>
      <c r="G3" s="1517"/>
      <c r="H3" s="1517"/>
      <c r="I3" s="1517"/>
      <c r="J3" s="1517"/>
      <c r="K3" s="1517"/>
      <c r="L3" s="1517"/>
      <c r="M3" s="1517"/>
      <c r="N3" s="1517"/>
      <c r="O3" s="1517"/>
      <c r="P3" s="1518"/>
      <c r="Q3" s="277"/>
    </row>
    <row r="4" spans="1:17" ht="12.75" customHeight="1" x14ac:dyDescent="0.25">
      <c r="A4" s="5" t="s">
        <v>4</v>
      </c>
      <c r="B4" s="6"/>
      <c r="C4" s="1517" t="s">
        <v>386</v>
      </c>
      <c r="D4" s="1517"/>
      <c r="E4" s="1517"/>
      <c r="F4" s="1517"/>
      <c r="G4" s="1517"/>
      <c r="H4" s="1517"/>
      <c r="I4" s="1517"/>
      <c r="J4" s="1517"/>
      <c r="K4" s="1517"/>
      <c r="L4" s="1517"/>
      <c r="M4" s="1517"/>
      <c r="N4" s="1517"/>
      <c r="O4" s="1517"/>
      <c r="P4" s="1518"/>
      <c r="Q4" s="277"/>
    </row>
    <row r="5" spans="1:17" ht="12.75" customHeight="1" x14ac:dyDescent="0.25">
      <c r="A5" s="7" t="s">
        <v>6</v>
      </c>
      <c r="B5" s="8"/>
      <c r="C5" s="1512" t="s">
        <v>1893</v>
      </c>
      <c r="D5" s="1512"/>
      <c r="E5" s="1512"/>
      <c r="F5" s="1512"/>
      <c r="G5" s="1512"/>
      <c r="H5" s="1512"/>
      <c r="I5" s="1512"/>
      <c r="J5" s="1512"/>
      <c r="K5" s="1512"/>
      <c r="L5" s="1512"/>
      <c r="M5" s="1512"/>
      <c r="N5" s="1512"/>
      <c r="O5" s="1512"/>
      <c r="P5" s="1513"/>
      <c r="Q5" s="277"/>
    </row>
    <row r="6" spans="1:17" ht="12.75" customHeight="1" x14ac:dyDescent="0.25">
      <c r="A6" s="7" t="s">
        <v>8</v>
      </c>
      <c r="B6" s="8"/>
      <c r="C6" s="1512" t="s">
        <v>1894</v>
      </c>
      <c r="D6" s="1512"/>
      <c r="E6" s="1512"/>
      <c r="F6" s="1512"/>
      <c r="G6" s="1512"/>
      <c r="H6" s="1512"/>
      <c r="I6" s="1512"/>
      <c r="J6" s="1512"/>
      <c r="K6" s="1512"/>
      <c r="L6" s="1512"/>
      <c r="M6" s="1512"/>
      <c r="N6" s="1512"/>
      <c r="O6" s="1512"/>
      <c r="P6" s="1513"/>
      <c r="Q6" s="277"/>
    </row>
    <row r="7" spans="1:17" ht="26.25" customHeight="1" x14ac:dyDescent="0.25">
      <c r="A7" s="7" t="s">
        <v>10</v>
      </c>
      <c r="B7" s="8"/>
      <c r="C7" s="1517" t="s">
        <v>1902</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1895</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11965</v>
      </c>
      <c r="D20" s="32">
        <f>SUM(D21,D24,D25,D41,D43)</f>
        <v>0</v>
      </c>
      <c r="E20" s="33">
        <f t="shared" ref="E20:F20" si="1">SUM(E21,E24,E25,E41,E43)</f>
        <v>11965</v>
      </c>
      <c r="F20" s="34">
        <f t="shared" si="1"/>
        <v>11965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5" customHeight="1" thickTop="1" thickBot="1" x14ac:dyDescent="0.3">
      <c r="A24" s="58">
        <v>19300</v>
      </c>
      <c r="B24" s="58" t="s">
        <v>42</v>
      </c>
      <c r="C24" s="59">
        <f>F24+I24</f>
        <v>5050</v>
      </c>
      <c r="D24" s="60"/>
      <c r="E24" s="63">
        <v>5050</v>
      </c>
      <c r="F24" s="62">
        <f t="shared" si="9"/>
        <v>5050</v>
      </c>
      <c r="G24" s="60"/>
      <c r="H24" s="63"/>
      <c r="I24" s="62">
        <f t="shared" si="10"/>
        <v>0</v>
      </c>
      <c r="J24" s="64" t="s">
        <v>43</v>
      </c>
      <c r="K24" s="65" t="s">
        <v>43</v>
      </c>
      <c r="L24" s="66" t="s">
        <v>43</v>
      </c>
      <c r="M24" s="64" t="s">
        <v>43</v>
      </c>
      <c r="N24" s="65" t="s">
        <v>43</v>
      </c>
      <c r="O24" s="66" t="s">
        <v>43</v>
      </c>
      <c r="P24" s="1445" t="s">
        <v>1896</v>
      </c>
    </row>
    <row r="25" spans="1:16" s="28" customFormat="1" ht="36.75" thickTop="1" x14ac:dyDescent="0.25">
      <c r="A25" s="68">
        <v>18620</v>
      </c>
      <c r="B25" s="69" t="s">
        <v>44</v>
      </c>
      <c r="C25" s="70">
        <f>F25</f>
        <v>6915</v>
      </c>
      <c r="D25" s="71"/>
      <c r="E25" s="72">
        <v>6915</v>
      </c>
      <c r="F25" s="73">
        <f t="shared" si="9"/>
        <v>6915</v>
      </c>
      <c r="G25" s="74" t="s">
        <v>43</v>
      </c>
      <c r="H25" s="75" t="s">
        <v>43</v>
      </c>
      <c r="I25" s="76" t="s">
        <v>43</v>
      </c>
      <c r="J25" s="74" t="s">
        <v>43</v>
      </c>
      <c r="K25" s="75" t="s">
        <v>43</v>
      </c>
      <c r="L25" s="76" t="s">
        <v>43</v>
      </c>
      <c r="M25" s="74" t="s">
        <v>43</v>
      </c>
      <c r="N25" s="75" t="s">
        <v>43</v>
      </c>
      <c r="O25" s="76" t="s">
        <v>43</v>
      </c>
      <c r="P25" s="77" t="s">
        <v>1897</v>
      </c>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11965</v>
      </c>
      <c r="D50" s="159">
        <f>SUM(D51,D286)</f>
        <v>0</v>
      </c>
      <c r="E50" s="160">
        <f t="shared" ref="E50:F50" si="26">SUM(E51,E286)</f>
        <v>11965</v>
      </c>
      <c r="F50" s="161">
        <f t="shared" si="26"/>
        <v>11965</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8507</v>
      </c>
      <c r="D51" s="165">
        <f>SUM(D52,D194)</f>
        <v>0</v>
      </c>
      <c r="E51" s="166">
        <f t="shared" ref="E51:F51" si="30">SUM(E52,E194)</f>
        <v>8507</v>
      </c>
      <c r="F51" s="167">
        <f t="shared" si="30"/>
        <v>8507</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345</v>
      </c>
      <c r="D52" s="173">
        <f>SUM(D53,D75,D173,D187)</f>
        <v>0</v>
      </c>
      <c r="E52" s="174">
        <f t="shared" ref="E52:F52" si="34">SUM(E53,E75,E173,E187)</f>
        <v>345</v>
      </c>
      <c r="F52" s="175">
        <f t="shared" si="34"/>
        <v>345</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3">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345</v>
      </c>
      <c r="D75" s="179">
        <f>SUM(D76,D83,D130,D164,D165,D172)</f>
        <v>0</v>
      </c>
      <c r="E75" s="180">
        <f t="shared" ref="E75:F75" si="74">SUM(E76,E83,E130,E164,E165,E172)</f>
        <v>345</v>
      </c>
      <c r="F75" s="181">
        <f t="shared" si="74"/>
        <v>345</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345</v>
      </c>
      <c r="D130" s="184">
        <f>SUM(D131,D136,D140,D141,D144,D151,D159,D160,D163)</f>
        <v>0</v>
      </c>
      <c r="E130" s="185">
        <f t="shared" ref="E130:F130" si="160">SUM(E131,E136,E140,E141,E144,E151,E159,E160,E163)</f>
        <v>345</v>
      </c>
      <c r="F130" s="73">
        <f t="shared" si="160"/>
        <v>345</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345</v>
      </c>
      <c r="D131" s="194">
        <f t="shared" ref="D131:O131" si="164">SUM(D132:D135)</f>
        <v>0</v>
      </c>
      <c r="E131" s="195">
        <f t="shared" si="164"/>
        <v>345</v>
      </c>
      <c r="F131" s="134">
        <f t="shared" si="164"/>
        <v>345</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30" customHeight="1" x14ac:dyDescent="0.25">
      <c r="A133" s="51">
        <v>2312</v>
      </c>
      <c r="B133" s="89" t="s">
        <v>149</v>
      </c>
      <c r="C133" s="90">
        <f t="shared" si="102"/>
        <v>345</v>
      </c>
      <c r="D133" s="196"/>
      <c r="E133" s="197">
        <v>345</v>
      </c>
      <c r="F133" s="55">
        <f t="shared" si="165"/>
        <v>345</v>
      </c>
      <c r="G133" s="53"/>
      <c r="H133" s="54"/>
      <c r="I133" s="55">
        <f t="shared" si="166"/>
        <v>0</v>
      </c>
      <c r="J133" s="53"/>
      <c r="K133" s="54"/>
      <c r="L133" s="55">
        <f t="shared" si="167"/>
        <v>0</v>
      </c>
      <c r="M133" s="53"/>
      <c r="N133" s="54"/>
      <c r="O133" s="55">
        <f t="shared" si="168"/>
        <v>0</v>
      </c>
      <c r="P133" s="354" t="s">
        <v>1898</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8162</v>
      </c>
      <c r="D194" s="173">
        <f t="shared" ref="D194:O194" si="259">SUM(D195,D230,D269,D283)</f>
        <v>0</v>
      </c>
      <c r="E194" s="174">
        <f t="shared" si="259"/>
        <v>8162</v>
      </c>
      <c r="F194" s="175">
        <f t="shared" si="259"/>
        <v>8162</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8162</v>
      </c>
      <c r="D195" s="179">
        <f>D196+D204</f>
        <v>0</v>
      </c>
      <c r="E195" s="180">
        <f t="shared" ref="E195:F195" si="260">E196+E204</f>
        <v>8162</v>
      </c>
      <c r="F195" s="181">
        <f t="shared" si="260"/>
        <v>8162</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8162</v>
      </c>
      <c r="D204" s="184">
        <f>D205+D215+D216+D225+D226+D227+D229</f>
        <v>0</v>
      </c>
      <c r="E204" s="185">
        <f t="shared" ref="E204:F204" si="276">E205+E215+E216+E225+E226+E227+E229</f>
        <v>8162</v>
      </c>
      <c r="F204" s="73">
        <f t="shared" si="276"/>
        <v>8162</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8162</v>
      </c>
      <c r="D216" s="190">
        <f>SUM(D217:D224)</f>
        <v>0</v>
      </c>
      <c r="E216" s="191">
        <f t="shared" ref="E216:F216" si="289">SUM(E217:E224)</f>
        <v>8162</v>
      </c>
      <c r="F216" s="55">
        <f t="shared" si="289"/>
        <v>8162</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idden="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1446"/>
    </row>
    <row r="224" spans="1:16" ht="35.25" customHeight="1" x14ac:dyDescent="0.25">
      <c r="A224" s="51">
        <v>5239</v>
      </c>
      <c r="B224" s="89" t="s">
        <v>240</v>
      </c>
      <c r="C224" s="90">
        <f t="shared" si="288"/>
        <v>8162</v>
      </c>
      <c r="D224" s="196"/>
      <c r="E224" s="197">
        <v>8162</v>
      </c>
      <c r="F224" s="55">
        <f t="shared" si="293"/>
        <v>8162</v>
      </c>
      <c r="G224" s="53"/>
      <c r="H224" s="54"/>
      <c r="I224" s="55">
        <f t="shared" si="294"/>
        <v>0</v>
      </c>
      <c r="J224" s="53"/>
      <c r="K224" s="54"/>
      <c r="L224" s="55">
        <f t="shared" si="295"/>
        <v>0</v>
      </c>
      <c r="M224" s="53"/>
      <c r="N224" s="54"/>
      <c r="O224" s="55">
        <f t="shared" si="296"/>
        <v>0</v>
      </c>
      <c r="P224" s="1446" t="s">
        <v>1899</v>
      </c>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3458</v>
      </c>
      <c r="D286" s="190">
        <f>SUM(D287:D288)</f>
        <v>0</v>
      </c>
      <c r="E286" s="191">
        <f t="shared" ref="E286:F286" si="381">SUM(E287:E288)</f>
        <v>3458</v>
      </c>
      <c r="F286" s="55">
        <f t="shared" si="381"/>
        <v>3458</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3458</v>
      </c>
      <c r="D288" s="199"/>
      <c r="E288" s="200">
        <v>3458</v>
      </c>
      <c r="F288" s="134">
        <f t="shared" si="385"/>
        <v>3458</v>
      </c>
      <c r="G288" s="46"/>
      <c r="H288" s="47"/>
      <c r="I288" s="134">
        <f t="shared" si="386"/>
        <v>0</v>
      </c>
      <c r="J288" s="46"/>
      <c r="K288" s="47"/>
      <c r="L288" s="134">
        <f t="shared" si="387"/>
        <v>0</v>
      </c>
      <c r="M288" s="46"/>
      <c r="N288" s="47"/>
      <c r="O288" s="134">
        <f t="shared" si="388"/>
        <v>0</v>
      </c>
      <c r="P288" s="49" t="s">
        <v>1900</v>
      </c>
    </row>
    <row r="289" spans="1:16" ht="12.75" thickBot="1" x14ac:dyDescent="0.3">
      <c r="A289" s="250"/>
      <c r="B289" s="250" t="s">
        <v>307</v>
      </c>
      <c r="C289" s="251">
        <f t="shared" si="371"/>
        <v>11965</v>
      </c>
      <c r="D289" s="252">
        <f t="shared" ref="D289:O289" si="389">SUM(D286,D269,D230,D195,D187,D173,D75,D53,D283)</f>
        <v>0</v>
      </c>
      <c r="E289" s="253">
        <f t="shared" si="389"/>
        <v>11965</v>
      </c>
      <c r="F289" s="254">
        <f t="shared" si="389"/>
        <v>11965</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3458</v>
      </c>
      <c r="D290" s="257">
        <f>SUM(D24,D25,D41)-D51</f>
        <v>0</v>
      </c>
      <c r="E290" s="258">
        <f t="shared" ref="E290:F290" si="390">SUM(E24,E25,E41)-E51</f>
        <v>3458</v>
      </c>
      <c r="F290" s="259">
        <f t="shared" si="390"/>
        <v>3458</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-3458</v>
      </c>
      <c r="D291" s="262">
        <f t="shared" ref="D291:O291" si="394">SUM(D292,D293)-D300+D301</f>
        <v>0</v>
      </c>
      <c r="E291" s="263">
        <f t="shared" si="394"/>
        <v>-3458</v>
      </c>
      <c r="F291" s="264">
        <f t="shared" si="394"/>
        <v>-3458</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-3458</v>
      </c>
      <c r="D292" s="159">
        <f t="shared" ref="D292:O292" si="395">D21-D286</f>
        <v>0</v>
      </c>
      <c r="E292" s="160">
        <f t="shared" si="395"/>
        <v>-3458</v>
      </c>
      <c r="F292" s="161">
        <f t="shared" si="395"/>
        <v>-3458</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3CM7XPe5TGeJzGdmLobxt0ZJA57dk4OcTpSTZm/0Hi1aMgCFdaQZEDziVuz1syxw8nut3ELpoGVdhSq+iUpTCg==" saltValue="kORxG3Iy3pXEcHlerEMXBw==" spinCount="100000" sheet="1" objects="1" scenarios="1" formatCells="0" formatColumns="0" formatRows="0" deleteColumns="0"/>
  <autoFilter ref="A18:P301">
    <filterColumn colId="2">
      <filters>
        <filter val="11 965"/>
        <filter val="3 458"/>
        <filter val="-3 458"/>
        <filter val="345"/>
        <filter val="5 050"/>
        <filter val="6 915"/>
        <filter val="8 162"/>
        <filter val="8 50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55.pielikums Jūrmalas pilsētas domes
2019.gada 31.oktobra saistošajiem noteikumiem Nr.46
(protokols Nr.14, 28.punkts)
 </firstHeader>
    <firstFooter>&amp;L&amp;9&amp;D; &amp;T&amp;R&amp;9&amp;P (&amp;N)</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6" sqref="U6"/>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1921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24" customHeight="1" x14ac:dyDescent="0.25">
      <c r="A3" s="5" t="s">
        <v>2</v>
      </c>
      <c r="B3" s="6"/>
      <c r="C3" s="1517" t="s">
        <v>1907</v>
      </c>
      <c r="D3" s="1517"/>
      <c r="E3" s="1517"/>
      <c r="F3" s="1517"/>
      <c r="G3" s="1517"/>
      <c r="H3" s="1517"/>
      <c r="I3" s="1517"/>
      <c r="J3" s="1517"/>
      <c r="K3" s="1517"/>
      <c r="L3" s="1517"/>
      <c r="M3" s="1517"/>
      <c r="N3" s="1517"/>
      <c r="O3" s="1517"/>
      <c r="P3" s="1518"/>
      <c r="Q3" s="277"/>
    </row>
    <row r="4" spans="1:17" ht="12.75" customHeight="1" x14ac:dyDescent="0.25">
      <c r="A4" s="5" t="s">
        <v>4</v>
      </c>
      <c r="B4" s="6"/>
      <c r="C4" s="1517" t="s">
        <v>1908</v>
      </c>
      <c r="D4" s="1517"/>
      <c r="E4" s="1517"/>
      <c r="F4" s="1517"/>
      <c r="G4" s="1517"/>
      <c r="H4" s="1517"/>
      <c r="I4" s="1517"/>
      <c r="J4" s="1517"/>
      <c r="K4" s="1517"/>
      <c r="L4" s="1517"/>
      <c r="M4" s="1517"/>
      <c r="N4" s="1517"/>
      <c r="O4" s="1517"/>
      <c r="P4" s="1518"/>
      <c r="Q4" s="277"/>
    </row>
    <row r="5" spans="1:17" ht="12.75" customHeight="1" x14ac:dyDescent="0.25">
      <c r="A5" s="7" t="s">
        <v>6</v>
      </c>
      <c r="B5" s="8"/>
      <c r="C5" s="1512" t="s">
        <v>1909</v>
      </c>
      <c r="D5" s="1512"/>
      <c r="E5" s="1512"/>
      <c r="F5" s="1512"/>
      <c r="G5" s="1512"/>
      <c r="H5" s="1512"/>
      <c r="I5" s="1512"/>
      <c r="J5" s="1512"/>
      <c r="K5" s="1512"/>
      <c r="L5" s="1512"/>
      <c r="M5" s="1512"/>
      <c r="N5" s="1512"/>
      <c r="O5" s="1512"/>
      <c r="P5" s="1513"/>
      <c r="Q5" s="277"/>
    </row>
    <row r="6" spans="1:17" ht="12.75" customHeight="1" x14ac:dyDescent="0.25">
      <c r="A6" s="7" t="s">
        <v>8</v>
      </c>
      <c r="B6" s="8"/>
      <c r="C6" s="1512" t="s">
        <v>409</v>
      </c>
      <c r="D6" s="1512"/>
      <c r="E6" s="1512"/>
      <c r="F6" s="1512"/>
      <c r="G6" s="1512"/>
      <c r="H6" s="1512"/>
      <c r="I6" s="1512"/>
      <c r="J6" s="1512"/>
      <c r="K6" s="1512"/>
      <c r="L6" s="1512"/>
      <c r="M6" s="1512"/>
      <c r="N6" s="1512"/>
      <c r="O6" s="1512"/>
      <c r="P6" s="1513"/>
      <c r="Q6" s="277"/>
    </row>
    <row r="7" spans="1:17" x14ac:dyDescent="0.25">
      <c r="A7" s="7" t="s">
        <v>10</v>
      </c>
      <c r="B7" s="8"/>
      <c r="C7" s="1517" t="s">
        <v>1910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1911</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1912</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F20+I20+L20+O20</f>
        <v>421011</v>
      </c>
      <c r="D20" s="32">
        <f>SUM(D21,D24,D25,D41,D43)</f>
        <v>397037</v>
      </c>
      <c r="E20" s="33">
        <f t="shared" ref="E20" si="0">SUM(E21,E24,E25,E41,E43)</f>
        <v>-9688</v>
      </c>
      <c r="F20" s="34">
        <f>SUM(F21,F24,F25,F41,F43)</f>
        <v>387349</v>
      </c>
      <c r="G20" s="32">
        <f>SUM(G21,G24,G43)</f>
        <v>0</v>
      </c>
      <c r="H20" s="33">
        <f t="shared" ref="H20:I20" si="1">SUM(H21,H24,H43)</f>
        <v>0</v>
      </c>
      <c r="I20" s="34">
        <f t="shared" si="1"/>
        <v>0</v>
      </c>
      <c r="J20" s="32">
        <f>SUM(J21,J26,J43)</f>
        <v>23324</v>
      </c>
      <c r="K20" s="33">
        <f>SUM(K21,K25,K26,K43)</f>
        <v>10338</v>
      </c>
      <c r="L20" s="34">
        <f>SUM(L21,L25,L26,L43)</f>
        <v>33662</v>
      </c>
      <c r="M20" s="32">
        <f>SUM(M21,M45)</f>
        <v>0</v>
      </c>
      <c r="N20" s="33">
        <f t="shared" ref="N20:O20" si="2">SUM(N21,N45)</f>
        <v>0</v>
      </c>
      <c r="O20" s="34">
        <f t="shared" si="2"/>
        <v>0</v>
      </c>
      <c r="P20" s="35"/>
    </row>
    <row r="21" spans="1:16" ht="12.75" thickTop="1" x14ac:dyDescent="0.25">
      <c r="A21" s="36"/>
      <c r="B21" s="37" t="s">
        <v>39</v>
      </c>
      <c r="C21" s="38">
        <f>F21+I21+L21+O21</f>
        <v>1999</v>
      </c>
      <c r="D21" s="39">
        <f>SUM(D22:D23)</f>
        <v>0</v>
      </c>
      <c r="E21" s="40">
        <f>SUM(E22:E23)</f>
        <v>0</v>
      </c>
      <c r="F21" s="41">
        <f>SUM(F22:F23)</f>
        <v>0</v>
      </c>
      <c r="G21" s="39">
        <f>SUM(G22:G23)</f>
        <v>0</v>
      </c>
      <c r="H21" s="40">
        <f t="shared" ref="H21:I21" si="3">SUM(H22:H23)</f>
        <v>0</v>
      </c>
      <c r="I21" s="41">
        <f t="shared" si="3"/>
        <v>0</v>
      </c>
      <c r="J21" s="39">
        <f>SUM(J22:J23)</f>
        <v>1999</v>
      </c>
      <c r="K21" s="40">
        <f>SUM(K22:K23)</f>
        <v>0</v>
      </c>
      <c r="L21" s="41">
        <f>SUM(L22:L23)</f>
        <v>1999</v>
      </c>
      <c r="M21" s="39">
        <f>SUM(M22:M23)</f>
        <v>0</v>
      </c>
      <c r="N21" s="40">
        <f t="shared" ref="N21:O21" si="4">SUM(N22:N23)</f>
        <v>0</v>
      </c>
      <c r="O21" s="41">
        <f t="shared" si="4"/>
        <v>0</v>
      </c>
      <c r="P21" s="42"/>
    </row>
    <row r="22" spans="1:16" ht="12" customHeight="1" x14ac:dyDescent="0.25">
      <c r="A22" s="43"/>
      <c r="B22" s="44" t="s">
        <v>40</v>
      </c>
      <c r="C22" s="45">
        <f>F22+I22+L22+O22</f>
        <v>215</v>
      </c>
      <c r="D22" s="46"/>
      <c r="E22" s="47"/>
      <c r="F22" s="48">
        <f>D22+E22</f>
        <v>0</v>
      </c>
      <c r="G22" s="46"/>
      <c r="H22" s="47"/>
      <c r="I22" s="48">
        <f>G22+H22</f>
        <v>0</v>
      </c>
      <c r="J22" s="46">
        <v>215</v>
      </c>
      <c r="K22" s="47"/>
      <c r="L22" s="48">
        <f>K22+J22</f>
        <v>215</v>
      </c>
      <c r="M22" s="46"/>
      <c r="N22" s="47"/>
      <c r="O22" s="48">
        <f>N22+M22</f>
        <v>0</v>
      </c>
      <c r="P22" s="49"/>
    </row>
    <row r="23" spans="1:16" x14ac:dyDescent="0.25">
      <c r="A23" s="50"/>
      <c r="B23" s="51" t="s">
        <v>41</v>
      </c>
      <c r="C23" s="52">
        <f>F23+I23+L23+O23</f>
        <v>1784</v>
      </c>
      <c r="D23" s="53"/>
      <c r="E23" s="54"/>
      <c r="F23" s="55">
        <f t="shared" ref="F23:F25" si="5">D23+E23</f>
        <v>0</v>
      </c>
      <c r="G23" s="53"/>
      <c r="H23" s="54"/>
      <c r="I23" s="55">
        <f t="shared" ref="I23:I24" si="6">G23+H23</f>
        <v>0</v>
      </c>
      <c r="J23" s="53">
        <v>1784</v>
      </c>
      <c r="K23" s="54"/>
      <c r="L23" s="56">
        <f>K23+J23</f>
        <v>1784</v>
      </c>
      <c r="M23" s="53"/>
      <c r="N23" s="54"/>
      <c r="O23" s="55">
        <f>N23+M23</f>
        <v>0</v>
      </c>
      <c r="P23" s="57"/>
    </row>
    <row r="24" spans="1:16" s="28" customFormat="1" ht="24.75" customHeight="1" thickBot="1" x14ac:dyDescent="0.3">
      <c r="A24" s="58">
        <v>19300</v>
      </c>
      <c r="B24" s="58" t="s">
        <v>42</v>
      </c>
      <c r="C24" s="59">
        <f>F24+I24</f>
        <v>387349</v>
      </c>
      <c r="D24" s="60">
        <v>397037</v>
      </c>
      <c r="E24" s="63">
        <v>-9688</v>
      </c>
      <c r="F24" s="62">
        <f t="shared" si="5"/>
        <v>387349</v>
      </c>
      <c r="G24" s="60"/>
      <c r="H24" s="63"/>
      <c r="I24" s="62">
        <f t="shared" si="6"/>
        <v>0</v>
      </c>
      <c r="J24" s="64" t="s">
        <v>43</v>
      </c>
      <c r="K24" s="65" t="s">
        <v>43</v>
      </c>
      <c r="L24" s="66" t="s">
        <v>43</v>
      </c>
      <c r="M24" s="64" t="s">
        <v>43</v>
      </c>
      <c r="N24" s="65" t="s">
        <v>43</v>
      </c>
      <c r="O24" s="66" t="s">
        <v>43</v>
      </c>
      <c r="P24" s="67" t="s">
        <v>1913</v>
      </c>
    </row>
    <row r="25" spans="1:16" s="28" customFormat="1" ht="24.75" hidden="1" thickTop="1" x14ac:dyDescent="0.25">
      <c r="A25" s="68"/>
      <c r="B25" s="69" t="s">
        <v>44</v>
      </c>
      <c r="C25" s="70">
        <f>F25+L25</f>
        <v>0</v>
      </c>
      <c r="D25" s="71"/>
      <c r="E25" s="72"/>
      <c r="F25" s="73">
        <f t="shared" si="5"/>
        <v>0</v>
      </c>
      <c r="G25" s="74" t="s">
        <v>43</v>
      </c>
      <c r="H25" s="75" t="s">
        <v>43</v>
      </c>
      <c r="I25" s="76" t="s">
        <v>43</v>
      </c>
      <c r="J25" s="74"/>
      <c r="K25" s="72"/>
      <c r="L25" s="80">
        <f>J25+K25</f>
        <v>0</v>
      </c>
      <c r="M25" s="74" t="s">
        <v>43</v>
      </c>
      <c r="N25" s="75" t="s">
        <v>43</v>
      </c>
      <c r="O25" s="76" t="s">
        <v>43</v>
      </c>
      <c r="P25" s="77"/>
    </row>
    <row r="26" spans="1:16" s="28" customFormat="1" ht="36" customHeight="1" thickTop="1" x14ac:dyDescent="0.25">
      <c r="A26" s="69">
        <v>21300</v>
      </c>
      <c r="B26" s="69" t="s">
        <v>45</v>
      </c>
      <c r="C26" s="70">
        <f>L26</f>
        <v>28688</v>
      </c>
      <c r="D26" s="74" t="s">
        <v>43</v>
      </c>
      <c r="E26" s="75" t="s">
        <v>43</v>
      </c>
      <c r="F26" s="76" t="s">
        <v>43</v>
      </c>
      <c r="G26" s="74" t="s">
        <v>43</v>
      </c>
      <c r="H26" s="75" t="s">
        <v>43</v>
      </c>
      <c r="I26" s="76" t="s">
        <v>43</v>
      </c>
      <c r="J26" s="78">
        <f>SUM(J27,J31,J33,J36)</f>
        <v>19000</v>
      </c>
      <c r="K26" s="79">
        <f t="shared" ref="K26" si="7">SUM(K27,K31,K33,K36)</f>
        <v>9688</v>
      </c>
      <c r="L26" s="80">
        <f>SUM(L27,L31,L33,L36)</f>
        <v>28688</v>
      </c>
      <c r="M26" s="78" t="s">
        <v>43</v>
      </c>
      <c r="N26" s="79" t="s">
        <v>43</v>
      </c>
      <c r="O26" s="80" t="s">
        <v>43</v>
      </c>
      <c r="P26" s="77"/>
    </row>
    <row r="27" spans="1:16" s="28" customFormat="1" ht="24" hidden="1" customHeight="1" x14ac:dyDescent="0.25">
      <c r="A27" s="81">
        <v>21350</v>
      </c>
      <c r="B27" s="69" t="s">
        <v>46</v>
      </c>
      <c r="C27" s="70">
        <f t="shared" ref="C27:C30" si="8">L27</f>
        <v>0</v>
      </c>
      <c r="D27" s="74" t="s">
        <v>43</v>
      </c>
      <c r="E27" s="75" t="s">
        <v>43</v>
      </c>
      <c r="F27" s="76" t="s">
        <v>43</v>
      </c>
      <c r="G27" s="74" t="s">
        <v>43</v>
      </c>
      <c r="H27" s="75" t="s">
        <v>43</v>
      </c>
      <c r="I27" s="76" t="s">
        <v>43</v>
      </c>
      <c r="J27" s="78">
        <f>SUM(J28:J30)</f>
        <v>0</v>
      </c>
      <c r="K27" s="79">
        <f t="shared" ref="K27" si="9">SUM(K28:K30)</f>
        <v>0</v>
      </c>
      <c r="L27" s="80">
        <f>SUM(L28:L30)</f>
        <v>0</v>
      </c>
      <c r="M27" s="78" t="s">
        <v>43</v>
      </c>
      <c r="N27" s="79" t="s">
        <v>43</v>
      </c>
      <c r="O27" s="80" t="s">
        <v>43</v>
      </c>
      <c r="P27" s="77"/>
    </row>
    <row r="28" spans="1:16" ht="12" hidden="1" customHeight="1" x14ac:dyDescent="0.25">
      <c r="A28" s="43">
        <v>21351</v>
      </c>
      <c r="B28" s="82" t="s">
        <v>47</v>
      </c>
      <c r="C28" s="83">
        <f t="shared" si="8"/>
        <v>0</v>
      </c>
      <c r="D28" s="84" t="s">
        <v>43</v>
      </c>
      <c r="E28" s="85" t="s">
        <v>43</v>
      </c>
      <c r="F28" s="86" t="s">
        <v>43</v>
      </c>
      <c r="G28" s="84" t="s">
        <v>43</v>
      </c>
      <c r="H28" s="85" t="s">
        <v>43</v>
      </c>
      <c r="I28" s="86" t="s">
        <v>43</v>
      </c>
      <c r="J28" s="46"/>
      <c r="K28" s="47"/>
      <c r="L28" s="48">
        <f t="shared" ref="L28:L29" si="10">K28+J28</f>
        <v>0</v>
      </c>
      <c r="M28" s="87" t="s">
        <v>43</v>
      </c>
      <c r="N28" s="88" t="s">
        <v>43</v>
      </c>
      <c r="O28" s="48" t="s">
        <v>43</v>
      </c>
      <c r="P28" s="49"/>
    </row>
    <row r="29" spans="1:16" ht="12" hidden="1" customHeight="1" x14ac:dyDescent="0.25">
      <c r="A29" s="50">
        <v>21352</v>
      </c>
      <c r="B29" s="89" t="s">
        <v>48</v>
      </c>
      <c r="C29" s="90">
        <f t="shared" si="8"/>
        <v>0</v>
      </c>
      <c r="D29" s="91" t="s">
        <v>43</v>
      </c>
      <c r="E29" s="92" t="s">
        <v>43</v>
      </c>
      <c r="F29" s="93" t="s">
        <v>43</v>
      </c>
      <c r="G29" s="91" t="s">
        <v>43</v>
      </c>
      <c r="H29" s="92" t="s">
        <v>43</v>
      </c>
      <c r="I29" s="93" t="s">
        <v>43</v>
      </c>
      <c r="J29" s="53"/>
      <c r="K29" s="54"/>
      <c r="L29" s="56">
        <f t="shared" si="10"/>
        <v>0</v>
      </c>
      <c r="M29" s="94" t="s">
        <v>43</v>
      </c>
      <c r="N29" s="95" t="s">
        <v>43</v>
      </c>
      <c r="O29" s="56" t="s">
        <v>43</v>
      </c>
      <c r="P29" s="57"/>
    </row>
    <row r="30" spans="1:16" ht="24" hidden="1" customHeight="1" x14ac:dyDescent="0.25">
      <c r="A30" s="50">
        <v>21359</v>
      </c>
      <c r="B30" s="89" t="s">
        <v>49</v>
      </c>
      <c r="C30" s="90">
        <f t="shared" si="8"/>
        <v>0</v>
      </c>
      <c r="D30" s="91" t="s">
        <v>43</v>
      </c>
      <c r="E30" s="92" t="s">
        <v>43</v>
      </c>
      <c r="F30" s="93" t="s">
        <v>43</v>
      </c>
      <c r="G30" s="91" t="s">
        <v>43</v>
      </c>
      <c r="H30" s="92" t="s">
        <v>43</v>
      </c>
      <c r="I30" s="93" t="s">
        <v>43</v>
      </c>
      <c r="J30" s="53"/>
      <c r="K30" s="54"/>
      <c r="L30" s="56">
        <f>K30+J30</f>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1">SUM(K32)</f>
        <v>0</v>
      </c>
      <c r="L31" s="80">
        <f t="shared" si="11"/>
        <v>0</v>
      </c>
      <c r="M31" s="78" t="s">
        <v>43</v>
      </c>
      <c r="N31" s="79" t="s">
        <v>43</v>
      </c>
      <c r="O31" s="80" t="s">
        <v>43</v>
      </c>
      <c r="P31" s="77"/>
    </row>
    <row r="32" spans="1:16" ht="36" hidden="1" customHeight="1" x14ac:dyDescent="0.25">
      <c r="A32" s="96">
        <v>21379</v>
      </c>
      <c r="B32" s="97" t="s">
        <v>51</v>
      </c>
      <c r="C32" s="98">
        <f t="shared" ref="C32:C40" si="12">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2"/>
        <v>0</v>
      </c>
      <c r="D33" s="74" t="s">
        <v>43</v>
      </c>
      <c r="E33" s="75" t="s">
        <v>43</v>
      </c>
      <c r="F33" s="76" t="s">
        <v>43</v>
      </c>
      <c r="G33" s="74" t="s">
        <v>43</v>
      </c>
      <c r="H33" s="75" t="s">
        <v>43</v>
      </c>
      <c r="I33" s="76" t="s">
        <v>43</v>
      </c>
      <c r="J33" s="78">
        <f>SUM(J34:J35)</f>
        <v>0</v>
      </c>
      <c r="K33" s="79">
        <f t="shared" ref="K33:L33" si="13">SUM(K34:K35)</f>
        <v>0</v>
      </c>
      <c r="L33" s="80">
        <f t="shared" si="13"/>
        <v>0</v>
      </c>
      <c r="M33" s="78" t="s">
        <v>43</v>
      </c>
      <c r="N33" s="79" t="s">
        <v>43</v>
      </c>
      <c r="O33" s="80" t="s">
        <v>43</v>
      </c>
      <c r="P33" s="77"/>
    </row>
    <row r="34" spans="1:16" ht="12" hidden="1" customHeight="1" x14ac:dyDescent="0.25">
      <c r="A34" s="44">
        <v>21381</v>
      </c>
      <c r="B34" s="82" t="s">
        <v>53</v>
      </c>
      <c r="C34" s="83">
        <f t="shared" si="12"/>
        <v>0</v>
      </c>
      <c r="D34" s="84" t="s">
        <v>43</v>
      </c>
      <c r="E34" s="85" t="s">
        <v>43</v>
      </c>
      <c r="F34" s="86" t="s">
        <v>43</v>
      </c>
      <c r="G34" s="84" t="s">
        <v>43</v>
      </c>
      <c r="H34" s="85" t="s">
        <v>43</v>
      </c>
      <c r="I34" s="86" t="s">
        <v>43</v>
      </c>
      <c r="J34" s="46"/>
      <c r="K34" s="47"/>
      <c r="L34" s="48">
        <f t="shared" ref="L34:L35" si="14">K34+J34</f>
        <v>0</v>
      </c>
      <c r="M34" s="87" t="s">
        <v>43</v>
      </c>
      <c r="N34" s="88" t="s">
        <v>43</v>
      </c>
      <c r="O34" s="48" t="s">
        <v>43</v>
      </c>
      <c r="P34" s="49"/>
    </row>
    <row r="35" spans="1:16" ht="24" hidden="1" customHeight="1" x14ac:dyDescent="0.25">
      <c r="A35" s="51">
        <v>21383</v>
      </c>
      <c r="B35" s="89" t="s">
        <v>54</v>
      </c>
      <c r="C35" s="90">
        <f t="shared" si="12"/>
        <v>0</v>
      </c>
      <c r="D35" s="91" t="s">
        <v>43</v>
      </c>
      <c r="E35" s="92" t="s">
        <v>43</v>
      </c>
      <c r="F35" s="93" t="s">
        <v>43</v>
      </c>
      <c r="G35" s="91" t="s">
        <v>43</v>
      </c>
      <c r="H35" s="92" t="s">
        <v>43</v>
      </c>
      <c r="I35" s="93" t="s">
        <v>43</v>
      </c>
      <c r="J35" s="53"/>
      <c r="K35" s="54"/>
      <c r="L35" s="56">
        <f t="shared" si="14"/>
        <v>0</v>
      </c>
      <c r="M35" s="94" t="s">
        <v>43</v>
      </c>
      <c r="N35" s="95" t="s">
        <v>43</v>
      </c>
      <c r="O35" s="56" t="s">
        <v>43</v>
      </c>
      <c r="P35" s="57"/>
    </row>
    <row r="36" spans="1:16" s="28" customFormat="1" ht="25.5" customHeight="1" x14ac:dyDescent="0.25">
      <c r="A36" s="81">
        <v>21390</v>
      </c>
      <c r="B36" s="69" t="s">
        <v>55</v>
      </c>
      <c r="C36" s="70">
        <f>L36</f>
        <v>28688</v>
      </c>
      <c r="D36" s="74" t="s">
        <v>43</v>
      </c>
      <c r="E36" s="75" t="s">
        <v>43</v>
      </c>
      <c r="F36" s="76" t="s">
        <v>43</v>
      </c>
      <c r="G36" s="74" t="s">
        <v>43</v>
      </c>
      <c r="H36" s="75" t="s">
        <v>43</v>
      </c>
      <c r="I36" s="76" t="s">
        <v>43</v>
      </c>
      <c r="J36" s="78">
        <f>SUM(J37:J40)</f>
        <v>19000</v>
      </c>
      <c r="K36" s="79">
        <f t="shared" ref="K36:L36" si="15">SUM(K37:K40)</f>
        <v>9688</v>
      </c>
      <c r="L36" s="80">
        <f t="shared" si="15"/>
        <v>28688</v>
      </c>
      <c r="M36" s="78" t="s">
        <v>43</v>
      </c>
      <c r="N36" s="79" t="s">
        <v>43</v>
      </c>
      <c r="O36" s="80" t="s">
        <v>43</v>
      </c>
      <c r="P36" s="77"/>
    </row>
    <row r="37" spans="1:16" ht="24" hidden="1" customHeight="1" x14ac:dyDescent="0.25">
      <c r="A37" s="44">
        <v>21391</v>
      </c>
      <c r="B37" s="82" t="s">
        <v>56</v>
      </c>
      <c r="C37" s="83">
        <f t="shared" si="12"/>
        <v>0</v>
      </c>
      <c r="D37" s="84" t="s">
        <v>43</v>
      </c>
      <c r="E37" s="85" t="s">
        <v>43</v>
      </c>
      <c r="F37" s="86" t="s">
        <v>43</v>
      </c>
      <c r="G37" s="84" t="s">
        <v>43</v>
      </c>
      <c r="H37" s="85" t="s">
        <v>43</v>
      </c>
      <c r="I37" s="86" t="s">
        <v>43</v>
      </c>
      <c r="J37" s="46"/>
      <c r="K37" s="47"/>
      <c r="L37" s="48">
        <f t="shared" ref="L37:L40" si="16">K37+J37</f>
        <v>0</v>
      </c>
      <c r="M37" s="87" t="s">
        <v>43</v>
      </c>
      <c r="N37" s="88" t="s">
        <v>43</v>
      </c>
      <c r="O37" s="48" t="s">
        <v>43</v>
      </c>
      <c r="P37" s="49"/>
    </row>
    <row r="38" spans="1:16" ht="12" hidden="1" customHeight="1" x14ac:dyDescent="0.25">
      <c r="A38" s="51">
        <v>21393</v>
      </c>
      <c r="B38" s="89" t="s">
        <v>57</v>
      </c>
      <c r="C38" s="90">
        <f t="shared" si="12"/>
        <v>0</v>
      </c>
      <c r="D38" s="91" t="s">
        <v>43</v>
      </c>
      <c r="E38" s="92" t="s">
        <v>43</v>
      </c>
      <c r="F38" s="93" t="s">
        <v>43</v>
      </c>
      <c r="G38" s="91" t="s">
        <v>43</v>
      </c>
      <c r="H38" s="92" t="s">
        <v>43</v>
      </c>
      <c r="I38" s="93" t="s">
        <v>43</v>
      </c>
      <c r="J38" s="53"/>
      <c r="K38" s="54"/>
      <c r="L38" s="56">
        <f t="shared" si="16"/>
        <v>0</v>
      </c>
      <c r="M38" s="94" t="s">
        <v>43</v>
      </c>
      <c r="N38" s="95" t="s">
        <v>43</v>
      </c>
      <c r="O38" s="56" t="s">
        <v>43</v>
      </c>
      <c r="P38" s="57"/>
    </row>
    <row r="39" spans="1:16" ht="12" hidden="1" customHeight="1" x14ac:dyDescent="0.25">
      <c r="A39" s="51">
        <v>21395</v>
      </c>
      <c r="B39" s="89" t="s">
        <v>58</v>
      </c>
      <c r="C39" s="90">
        <f t="shared" si="12"/>
        <v>0</v>
      </c>
      <c r="D39" s="91" t="s">
        <v>43</v>
      </c>
      <c r="E39" s="92" t="s">
        <v>43</v>
      </c>
      <c r="F39" s="93" t="s">
        <v>43</v>
      </c>
      <c r="G39" s="91" t="s">
        <v>43</v>
      </c>
      <c r="H39" s="92" t="s">
        <v>43</v>
      </c>
      <c r="I39" s="93" t="s">
        <v>43</v>
      </c>
      <c r="J39" s="53"/>
      <c r="K39" s="54"/>
      <c r="L39" s="56">
        <f t="shared" si="16"/>
        <v>0</v>
      </c>
      <c r="M39" s="94" t="s">
        <v>43</v>
      </c>
      <c r="N39" s="95" t="s">
        <v>43</v>
      </c>
      <c r="O39" s="56" t="s">
        <v>43</v>
      </c>
      <c r="P39" s="57"/>
    </row>
    <row r="40" spans="1:16" ht="37.5" customHeight="1" x14ac:dyDescent="0.25">
      <c r="A40" s="108">
        <v>21399</v>
      </c>
      <c r="B40" s="109" t="s">
        <v>59</v>
      </c>
      <c r="C40" s="110">
        <f t="shared" si="12"/>
        <v>28688</v>
      </c>
      <c r="D40" s="111" t="s">
        <v>43</v>
      </c>
      <c r="E40" s="112" t="s">
        <v>43</v>
      </c>
      <c r="F40" s="113" t="s">
        <v>43</v>
      </c>
      <c r="G40" s="111" t="s">
        <v>43</v>
      </c>
      <c r="H40" s="112" t="s">
        <v>43</v>
      </c>
      <c r="I40" s="113" t="s">
        <v>43</v>
      </c>
      <c r="J40" s="114">
        <v>19000</v>
      </c>
      <c r="K40" s="115">
        <v>9688</v>
      </c>
      <c r="L40" s="116">
        <f t="shared" si="16"/>
        <v>28688</v>
      </c>
      <c r="M40" s="117" t="s">
        <v>43</v>
      </c>
      <c r="N40" s="118" t="s">
        <v>43</v>
      </c>
      <c r="O40" s="116" t="s">
        <v>43</v>
      </c>
      <c r="P40" s="119" t="s">
        <v>1914</v>
      </c>
    </row>
    <row r="41" spans="1:16" s="28" customFormat="1" ht="26.25" hidden="1" customHeight="1" x14ac:dyDescent="0.25">
      <c r="A41" s="120">
        <v>21420</v>
      </c>
      <c r="B41" s="121" t="s">
        <v>60</v>
      </c>
      <c r="C41" s="122">
        <f>F41</f>
        <v>0</v>
      </c>
      <c r="D41" s="123">
        <f>SUM(D42)</f>
        <v>0</v>
      </c>
      <c r="E41" s="124">
        <f t="shared" ref="E41:F41" si="17">SUM(E42)</f>
        <v>0</v>
      </c>
      <c r="F41" s="125">
        <f t="shared" si="17"/>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2975</v>
      </c>
      <c r="D43" s="78">
        <f>D44</f>
        <v>0</v>
      </c>
      <c r="E43" s="79">
        <f t="shared" ref="E43:L43" si="18">E44</f>
        <v>0</v>
      </c>
      <c r="F43" s="80">
        <f t="shared" si="18"/>
        <v>0</v>
      </c>
      <c r="G43" s="78">
        <f t="shared" si="18"/>
        <v>0</v>
      </c>
      <c r="H43" s="79">
        <f t="shared" si="18"/>
        <v>0</v>
      </c>
      <c r="I43" s="80">
        <f t="shared" si="18"/>
        <v>0</v>
      </c>
      <c r="J43" s="78">
        <f t="shared" si="18"/>
        <v>2325</v>
      </c>
      <c r="K43" s="79">
        <f t="shared" si="18"/>
        <v>650</v>
      </c>
      <c r="L43" s="80">
        <f t="shared" si="18"/>
        <v>2975</v>
      </c>
      <c r="M43" s="78" t="s">
        <v>43</v>
      </c>
      <c r="N43" s="79" t="s">
        <v>43</v>
      </c>
      <c r="O43" s="80" t="s">
        <v>43</v>
      </c>
      <c r="P43" s="77"/>
    </row>
    <row r="44" spans="1:16" s="28" customFormat="1" ht="24" customHeight="1" x14ac:dyDescent="0.25">
      <c r="A44" s="51">
        <v>21499</v>
      </c>
      <c r="B44" s="89" t="s">
        <v>63</v>
      </c>
      <c r="C44" s="133">
        <f>F44+I44+L44</f>
        <v>2975</v>
      </c>
      <c r="D44" s="46"/>
      <c r="E44" s="47"/>
      <c r="F44" s="134">
        <f>D44+E44</f>
        <v>0</v>
      </c>
      <c r="G44" s="46"/>
      <c r="H44" s="47"/>
      <c r="I44" s="134">
        <f>G44+H44</f>
        <v>0</v>
      </c>
      <c r="J44" s="46">
        <v>2325</v>
      </c>
      <c r="K44" s="47">
        <v>650</v>
      </c>
      <c r="L44" s="48">
        <f>K44+J44</f>
        <v>2975</v>
      </c>
      <c r="M44" s="87" t="s">
        <v>43</v>
      </c>
      <c r="N44" s="88" t="s">
        <v>43</v>
      </c>
      <c r="O44" s="48" t="s">
        <v>43</v>
      </c>
      <c r="P44" s="77" t="s">
        <v>1915</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19">SUM(N46:N47)</f>
        <v>0</v>
      </c>
      <c r="O45" s="116">
        <f t="shared" si="19"/>
        <v>0</v>
      </c>
      <c r="P45" s="119"/>
    </row>
    <row r="46" spans="1:16" ht="24" hidden="1" customHeight="1" x14ac:dyDescent="0.25">
      <c r="A46" s="137">
        <v>23410</v>
      </c>
      <c r="B46" s="138" t="s">
        <v>65</v>
      </c>
      <c r="C46" s="122">
        <f t="shared" ref="C46" si="20">O46</f>
        <v>0</v>
      </c>
      <c r="D46" s="126" t="s">
        <v>43</v>
      </c>
      <c r="E46" s="127" t="s">
        <v>43</v>
      </c>
      <c r="F46" s="128" t="s">
        <v>43</v>
      </c>
      <c r="G46" s="126" t="s">
        <v>43</v>
      </c>
      <c r="H46" s="127" t="s">
        <v>43</v>
      </c>
      <c r="I46" s="128" t="s">
        <v>43</v>
      </c>
      <c r="J46" s="126" t="s">
        <v>43</v>
      </c>
      <c r="K46" s="127" t="s">
        <v>43</v>
      </c>
      <c r="L46" s="128" t="s">
        <v>43</v>
      </c>
      <c r="M46" s="139"/>
      <c r="N46" s="140"/>
      <c r="O46" s="141">
        <f t="shared" ref="O46:O47" si="21">N46+M46</f>
        <v>0</v>
      </c>
      <c r="P46" s="129"/>
    </row>
    <row r="47" spans="1:16" ht="24" hidden="1" customHeight="1" x14ac:dyDescent="0.25">
      <c r="A47" s="137">
        <v>23510</v>
      </c>
      <c r="B47" s="138" t="s">
        <v>66</v>
      </c>
      <c r="C47" s="122">
        <f>O47</f>
        <v>0</v>
      </c>
      <c r="D47" s="126" t="s">
        <v>43</v>
      </c>
      <c r="E47" s="127" t="s">
        <v>43</v>
      </c>
      <c r="F47" s="128" t="s">
        <v>43</v>
      </c>
      <c r="G47" s="126" t="s">
        <v>43</v>
      </c>
      <c r="H47" s="127" t="s">
        <v>43</v>
      </c>
      <c r="I47" s="128" t="s">
        <v>43</v>
      </c>
      <c r="J47" s="126" t="s">
        <v>43</v>
      </c>
      <c r="K47" s="127" t="s">
        <v>43</v>
      </c>
      <c r="L47" s="128" t="s">
        <v>43</v>
      </c>
      <c r="M47" s="139"/>
      <c r="N47" s="140"/>
      <c r="O47" s="141">
        <f t="shared" si="21"/>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ref="C50:C113" si="22">F50+I50+L50+O50</f>
        <v>421011</v>
      </c>
      <c r="D50" s="159">
        <f>SUM(D51,D286)</f>
        <v>397037</v>
      </c>
      <c r="E50" s="160">
        <f t="shared" ref="E50:F50" si="23">SUM(E51,E286)</f>
        <v>-9688</v>
      </c>
      <c r="F50" s="161">
        <f t="shared" si="23"/>
        <v>387349</v>
      </c>
      <c r="G50" s="159">
        <f>SUM(G51,G286)</f>
        <v>0</v>
      </c>
      <c r="H50" s="160">
        <f>SUM(H51,H286)</f>
        <v>0</v>
      </c>
      <c r="I50" s="161">
        <f t="shared" ref="I50" si="24">SUM(I51,I286)</f>
        <v>0</v>
      </c>
      <c r="J50" s="32">
        <f>SUM(J51,J286)</f>
        <v>23324</v>
      </c>
      <c r="K50" s="33">
        <f t="shared" ref="K50:L50" si="25">SUM(K51,K286)</f>
        <v>10338</v>
      </c>
      <c r="L50" s="34">
        <f t="shared" si="25"/>
        <v>33662</v>
      </c>
      <c r="M50" s="32">
        <f>SUM(M51,M286)</f>
        <v>0</v>
      </c>
      <c r="N50" s="33">
        <f t="shared" ref="N50:O50" si="26">SUM(N51,N286)</f>
        <v>0</v>
      </c>
      <c r="O50" s="34">
        <f t="shared" si="26"/>
        <v>0</v>
      </c>
      <c r="P50" s="35"/>
    </row>
    <row r="51" spans="1:16" s="28" customFormat="1" ht="36.75" thickTop="1" x14ac:dyDescent="0.25">
      <c r="A51" s="162"/>
      <c r="B51" s="163" t="s">
        <v>69</v>
      </c>
      <c r="C51" s="164">
        <f t="shared" si="22"/>
        <v>420361</v>
      </c>
      <c r="D51" s="165">
        <f>SUM(D52,D194)</f>
        <v>397037</v>
      </c>
      <c r="E51" s="166">
        <f t="shared" ref="E51:F51" si="27">SUM(E52,E194)</f>
        <v>-9688</v>
      </c>
      <c r="F51" s="167">
        <f t="shared" si="27"/>
        <v>387349</v>
      </c>
      <c r="G51" s="165">
        <f>SUM(G52,G194)</f>
        <v>0</v>
      </c>
      <c r="H51" s="166">
        <f t="shared" ref="H51:I51" si="28">SUM(H52,H194)</f>
        <v>0</v>
      </c>
      <c r="I51" s="167">
        <f t="shared" si="28"/>
        <v>0</v>
      </c>
      <c r="J51" s="168">
        <f>SUM(J52,J194)</f>
        <v>23324</v>
      </c>
      <c r="K51" s="169">
        <f t="shared" ref="K51:L51" si="29">SUM(K52,K194)</f>
        <v>9688</v>
      </c>
      <c r="L51" s="170">
        <f t="shared" si="29"/>
        <v>33012</v>
      </c>
      <c r="M51" s="168">
        <f>SUM(M52,M194)</f>
        <v>0</v>
      </c>
      <c r="N51" s="169">
        <f t="shared" ref="N51:O51" si="30">SUM(N52,N194)</f>
        <v>0</v>
      </c>
      <c r="O51" s="170">
        <f t="shared" si="30"/>
        <v>0</v>
      </c>
      <c r="P51" s="171"/>
    </row>
    <row r="52" spans="1:16" s="28" customFormat="1" ht="24" x14ac:dyDescent="0.25">
      <c r="A52" s="24"/>
      <c r="B52" s="22" t="s">
        <v>70</v>
      </c>
      <c r="C52" s="172">
        <f t="shared" si="22"/>
        <v>416823</v>
      </c>
      <c r="D52" s="173">
        <f>SUM(D53,D75,D173,D187)</f>
        <v>394537</v>
      </c>
      <c r="E52" s="174">
        <f t="shared" ref="E52:F52" si="31">SUM(E53,E75,E173,E187)</f>
        <v>-9688</v>
      </c>
      <c r="F52" s="175">
        <f t="shared" si="31"/>
        <v>384849</v>
      </c>
      <c r="G52" s="173">
        <f>SUM(G53,G75,G173,G187)</f>
        <v>0</v>
      </c>
      <c r="H52" s="174">
        <f t="shared" ref="H52:I52" si="32">SUM(H53,H75,H173,H187)</f>
        <v>0</v>
      </c>
      <c r="I52" s="175">
        <f t="shared" si="32"/>
        <v>0</v>
      </c>
      <c r="J52" s="173">
        <f>SUM(J53,J75,J173,J187)</f>
        <v>22286</v>
      </c>
      <c r="K52" s="174">
        <f t="shared" ref="K52:L52" si="33">SUM(K53,K75,K173,K187)</f>
        <v>9688</v>
      </c>
      <c r="L52" s="175">
        <f t="shared" si="33"/>
        <v>31974</v>
      </c>
      <c r="M52" s="173">
        <f>SUM(M53,M75,M173,M187)</f>
        <v>0</v>
      </c>
      <c r="N52" s="174">
        <f t="shared" ref="N52:O52" si="34">SUM(N53,N75,N173,N187)</f>
        <v>0</v>
      </c>
      <c r="O52" s="175">
        <f t="shared" si="34"/>
        <v>0</v>
      </c>
      <c r="P52" s="176"/>
    </row>
    <row r="53" spans="1:16" s="28" customFormat="1" x14ac:dyDescent="0.25">
      <c r="A53" s="177">
        <v>1000</v>
      </c>
      <c r="B53" s="177" t="s">
        <v>71</v>
      </c>
      <c r="C53" s="178">
        <f t="shared" si="22"/>
        <v>227384</v>
      </c>
      <c r="D53" s="179">
        <f>SUM(D54,D67)</f>
        <v>226340</v>
      </c>
      <c r="E53" s="180">
        <f t="shared" ref="E53:F53" si="35">SUM(E54,E67)</f>
        <v>1044</v>
      </c>
      <c r="F53" s="181">
        <f t="shared" si="35"/>
        <v>227384</v>
      </c>
      <c r="G53" s="179">
        <f>SUM(G54,G67)</f>
        <v>0</v>
      </c>
      <c r="H53" s="180">
        <f t="shared" ref="H53:I53" si="36">SUM(H54,H67)</f>
        <v>0</v>
      </c>
      <c r="I53" s="181">
        <f t="shared" si="36"/>
        <v>0</v>
      </c>
      <c r="J53" s="179">
        <f>SUM(J54,J67)</f>
        <v>0</v>
      </c>
      <c r="K53" s="180">
        <f t="shared" ref="K53:L53" si="37">SUM(K54,K67)</f>
        <v>0</v>
      </c>
      <c r="L53" s="181">
        <f t="shared" si="37"/>
        <v>0</v>
      </c>
      <c r="M53" s="179">
        <f>SUM(M54,M67)</f>
        <v>0</v>
      </c>
      <c r="N53" s="180">
        <f t="shared" ref="N53:O53" si="38">SUM(N54,N67)</f>
        <v>0</v>
      </c>
      <c r="O53" s="181">
        <f t="shared" si="38"/>
        <v>0</v>
      </c>
      <c r="P53" s="182"/>
    </row>
    <row r="54" spans="1:16" x14ac:dyDescent="0.25">
      <c r="A54" s="69">
        <v>1100</v>
      </c>
      <c r="B54" s="183" t="s">
        <v>72</v>
      </c>
      <c r="C54" s="70">
        <f t="shared" si="22"/>
        <v>170652</v>
      </c>
      <c r="D54" s="184">
        <f>SUM(D55,D58,D66)</f>
        <v>169811</v>
      </c>
      <c r="E54" s="185">
        <f t="shared" ref="E54:F54" si="39">SUM(E55,E58,E66)</f>
        <v>841</v>
      </c>
      <c r="F54" s="73">
        <f t="shared" si="39"/>
        <v>170652</v>
      </c>
      <c r="G54" s="184">
        <f>SUM(G55,G58,G66)</f>
        <v>0</v>
      </c>
      <c r="H54" s="185">
        <f t="shared" ref="H54:I54" si="40">SUM(H55,H58,H66)</f>
        <v>0</v>
      </c>
      <c r="I54" s="73">
        <f t="shared" si="40"/>
        <v>0</v>
      </c>
      <c r="J54" s="184">
        <f>SUM(J55,J58,J66)</f>
        <v>0</v>
      </c>
      <c r="K54" s="185">
        <f t="shared" ref="K54:L54" si="41">SUM(K55,K58,K66)</f>
        <v>0</v>
      </c>
      <c r="L54" s="73">
        <f t="shared" si="41"/>
        <v>0</v>
      </c>
      <c r="M54" s="184">
        <f>SUM(M55,M58,M66)</f>
        <v>0</v>
      </c>
      <c r="N54" s="185">
        <f t="shared" ref="N54:O54" si="42">SUM(N55,N58,N66)</f>
        <v>0</v>
      </c>
      <c r="O54" s="73">
        <f t="shared" si="42"/>
        <v>0</v>
      </c>
      <c r="P54" s="77"/>
    </row>
    <row r="55" spans="1:16" x14ac:dyDescent="0.25">
      <c r="A55" s="186">
        <v>1110</v>
      </c>
      <c r="B55" s="138" t="s">
        <v>73</v>
      </c>
      <c r="C55" s="143">
        <f t="shared" si="22"/>
        <v>149741</v>
      </c>
      <c r="D55" s="187">
        <f>SUM(D56:D57)</f>
        <v>149741</v>
      </c>
      <c r="E55" s="188">
        <f t="shared" ref="E55:F55" si="43">SUM(E56:E57)</f>
        <v>0</v>
      </c>
      <c r="F55" s="141">
        <f t="shared" si="43"/>
        <v>149741</v>
      </c>
      <c r="G55" s="187">
        <f>SUM(G56:G57)</f>
        <v>0</v>
      </c>
      <c r="H55" s="188">
        <f t="shared" ref="H55:I55" si="44">SUM(H56:H57)</f>
        <v>0</v>
      </c>
      <c r="I55" s="141">
        <f t="shared" si="44"/>
        <v>0</v>
      </c>
      <c r="J55" s="187">
        <f>SUM(J56:J57)</f>
        <v>0</v>
      </c>
      <c r="K55" s="188">
        <f t="shared" ref="K55:L55" si="45">SUM(K56:K57)</f>
        <v>0</v>
      </c>
      <c r="L55" s="141">
        <f t="shared" si="45"/>
        <v>0</v>
      </c>
      <c r="M55" s="187">
        <f>SUM(M56:M57)</f>
        <v>0</v>
      </c>
      <c r="N55" s="188">
        <f t="shared" ref="N55:O55" si="46">SUM(N56:N57)</f>
        <v>0</v>
      </c>
      <c r="O55" s="141">
        <f t="shared" si="46"/>
        <v>0</v>
      </c>
      <c r="P55" s="129"/>
    </row>
    <row r="56" spans="1:16" ht="12" hidden="1" customHeight="1" x14ac:dyDescent="0.25">
      <c r="A56" s="44">
        <v>1111</v>
      </c>
      <c r="B56" s="82" t="s">
        <v>74</v>
      </c>
      <c r="C56" s="83">
        <f t="shared" si="22"/>
        <v>0</v>
      </c>
      <c r="D56" s="46"/>
      <c r="E56" s="47"/>
      <c r="F56" s="134">
        <f t="shared" ref="F56:F57" si="47">D56+E56</f>
        <v>0</v>
      </c>
      <c r="G56" s="46"/>
      <c r="H56" s="47"/>
      <c r="I56" s="134">
        <f t="shared" ref="I56:I57" si="48">G56+H56</f>
        <v>0</v>
      </c>
      <c r="J56" s="46"/>
      <c r="K56" s="47"/>
      <c r="L56" s="134">
        <f t="shared" ref="L56:L57" si="49">K56+J56</f>
        <v>0</v>
      </c>
      <c r="M56" s="46"/>
      <c r="N56" s="47"/>
      <c r="O56" s="134">
        <f t="shared" ref="O56:O57" si="50">N56+M56</f>
        <v>0</v>
      </c>
      <c r="P56" s="49"/>
    </row>
    <row r="57" spans="1:16" ht="24" customHeight="1" x14ac:dyDescent="0.25">
      <c r="A57" s="51">
        <v>1119</v>
      </c>
      <c r="B57" s="89" t="s">
        <v>75</v>
      </c>
      <c r="C57" s="90">
        <f t="shared" si="22"/>
        <v>149741</v>
      </c>
      <c r="D57" s="53">
        <v>149741</v>
      </c>
      <c r="E57" s="54"/>
      <c r="F57" s="55">
        <f t="shared" si="47"/>
        <v>149741</v>
      </c>
      <c r="G57" s="53"/>
      <c r="H57" s="54"/>
      <c r="I57" s="55">
        <f t="shared" si="48"/>
        <v>0</v>
      </c>
      <c r="J57" s="53"/>
      <c r="K57" s="54"/>
      <c r="L57" s="55">
        <f t="shared" si="49"/>
        <v>0</v>
      </c>
      <c r="M57" s="53"/>
      <c r="N57" s="54"/>
      <c r="O57" s="55">
        <f t="shared" si="50"/>
        <v>0</v>
      </c>
      <c r="P57" s="57"/>
    </row>
    <row r="58" spans="1:16" x14ac:dyDescent="0.25">
      <c r="A58" s="189">
        <v>1140</v>
      </c>
      <c r="B58" s="89" t="s">
        <v>76</v>
      </c>
      <c r="C58" s="90">
        <f t="shared" si="22"/>
        <v>12067</v>
      </c>
      <c r="D58" s="190">
        <f>SUM(D59:D65)</f>
        <v>12067</v>
      </c>
      <c r="E58" s="191">
        <f>SUM(E59:E65)</f>
        <v>0</v>
      </c>
      <c r="F58" s="55">
        <f t="shared" ref="F58" si="51">SUM(F59:F65)</f>
        <v>12067</v>
      </c>
      <c r="G58" s="190">
        <f>SUM(G59:G65)</f>
        <v>0</v>
      </c>
      <c r="H58" s="191">
        <f t="shared" ref="H58:I58" si="52">SUM(H59:H65)</f>
        <v>0</v>
      </c>
      <c r="I58" s="55">
        <f t="shared" si="52"/>
        <v>0</v>
      </c>
      <c r="J58" s="190">
        <f>SUM(J59:J65)</f>
        <v>0</v>
      </c>
      <c r="K58" s="191">
        <f t="shared" ref="K58:L58" si="53">SUM(K59:K65)</f>
        <v>0</v>
      </c>
      <c r="L58" s="55">
        <f t="shared" si="53"/>
        <v>0</v>
      </c>
      <c r="M58" s="190">
        <f>SUM(M59:M65)</f>
        <v>0</v>
      </c>
      <c r="N58" s="191">
        <f t="shared" ref="N58:O58" si="54">SUM(N59:N65)</f>
        <v>0</v>
      </c>
      <c r="O58" s="55">
        <f t="shared" si="54"/>
        <v>0</v>
      </c>
      <c r="P58" s="57"/>
    </row>
    <row r="59" spans="1:16" ht="12" hidden="1" customHeight="1" x14ac:dyDescent="0.25">
      <c r="A59" s="51">
        <v>1141</v>
      </c>
      <c r="B59" s="89" t="s">
        <v>77</v>
      </c>
      <c r="C59" s="90">
        <f t="shared" si="22"/>
        <v>0</v>
      </c>
      <c r="D59" s="53"/>
      <c r="E59" s="54"/>
      <c r="F59" s="55">
        <f t="shared" ref="F59:F66" si="55">D59+E59</f>
        <v>0</v>
      </c>
      <c r="G59" s="53"/>
      <c r="H59" s="54"/>
      <c r="I59" s="55">
        <f t="shared" ref="I59:I66" si="56">G59+H59</f>
        <v>0</v>
      </c>
      <c r="J59" s="53"/>
      <c r="K59" s="54"/>
      <c r="L59" s="55">
        <f t="shared" ref="L59:L66" si="57">K59+J59</f>
        <v>0</v>
      </c>
      <c r="M59" s="53"/>
      <c r="N59" s="54"/>
      <c r="O59" s="55">
        <f t="shared" ref="O59:O66" si="58">N59+M59</f>
        <v>0</v>
      </c>
      <c r="P59" s="57"/>
    </row>
    <row r="60" spans="1:16" ht="24.75" hidden="1" customHeight="1" x14ac:dyDescent="0.25">
      <c r="A60" s="51">
        <v>1142</v>
      </c>
      <c r="B60" s="89" t="s">
        <v>78</v>
      </c>
      <c r="C60" s="90">
        <f t="shared" si="22"/>
        <v>0</v>
      </c>
      <c r="D60" s="53"/>
      <c r="E60" s="54"/>
      <c r="F60" s="55">
        <f t="shared" si="55"/>
        <v>0</v>
      </c>
      <c r="G60" s="53"/>
      <c r="H60" s="54"/>
      <c r="I60" s="55">
        <f t="shared" si="56"/>
        <v>0</v>
      </c>
      <c r="J60" s="53"/>
      <c r="K60" s="54"/>
      <c r="L60" s="55">
        <f t="shared" si="57"/>
        <v>0</v>
      </c>
      <c r="M60" s="53"/>
      <c r="N60" s="54"/>
      <c r="O60" s="55">
        <f t="shared" si="58"/>
        <v>0</v>
      </c>
      <c r="P60" s="57"/>
    </row>
    <row r="61" spans="1:16" ht="24" hidden="1" customHeight="1" x14ac:dyDescent="0.25">
      <c r="A61" s="51">
        <v>1145</v>
      </c>
      <c r="B61" s="89" t="s">
        <v>79</v>
      </c>
      <c r="C61" s="90">
        <f t="shared" si="22"/>
        <v>0</v>
      </c>
      <c r="D61" s="53"/>
      <c r="E61" s="54"/>
      <c r="F61" s="55">
        <f t="shared" si="55"/>
        <v>0</v>
      </c>
      <c r="G61" s="53"/>
      <c r="H61" s="54"/>
      <c r="I61" s="55">
        <f t="shared" si="56"/>
        <v>0</v>
      </c>
      <c r="J61" s="53"/>
      <c r="K61" s="54"/>
      <c r="L61" s="55">
        <f t="shared" si="57"/>
        <v>0</v>
      </c>
      <c r="M61" s="53"/>
      <c r="N61" s="54"/>
      <c r="O61" s="55">
        <f t="shared" si="58"/>
        <v>0</v>
      </c>
      <c r="P61" s="57"/>
    </row>
    <row r="62" spans="1:16" ht="27.75" hidden="1" customHeight="1" x14ac:dyDescent="0.25">
      <c r="A62" s="51">
        <v>1146</v>
      </c>
      <c r="B62" s="89" t="s">
        <v>80</v>
      </c>
      <c r="C62" s="90">
        <f t="shared" si="22"/>
        <v>0</v>
      </c>
      <c r="D62" s="53"/>
      <c r="E62" s="54"/>
      <c r="F62" s="55">
        <f t="shared" si="55"/>
        <v>0</v>
      </c>
      <c r="G62" s="53"/>
      <c r="H62" s="54"/>
      <c r="I62" s="55">
        <f t="shared" si="56"/>
        <v>0</v>
      </c>
      <c r="J62" s="53"/>
      <c r="K62" s="54"/>
      <c r="L62" s="55">
        <f t="shared" si="57"/>
        <v>0</v>
      </c>
      <c r="M62" s="53"/>
      <c r="N62" s="54"/>
      <c r="O62" s="55">
        <f t="shared" si="58"/>
        <v>0</v>
      </c>
      <c r="P62" s="57"/>
    </row>
    <row r="63" spans="1:16" ht="12" customHeight="1" x14ac:dyDescent="0.25">
      <c r="A63" s="51">
        <v>1147</v>
      </c>
      <c r="B63" s="89" t="s">
        <v>81</v>
      </c>
      <c r="C63" s="90">
        <f t="shared" si="22"/>
        <v>3237</v>
      </c>
      <c r="D63" s="53">
        <v>3237</v>
      </c>
      <c r="E63" s="54"/>
      <c r="F63" s="55">
        <f t="shared" si="55"/>
        <v>3237</v>
      </c>
      <c r="G63" s="53"/>
      <c r="H63" s="54"/>
      <c r="I63" s="55">
        <f t="shared" si="56"/>
        <v>0</v>
      </c>
      <c r="J63" s="53"/>
      <c r="K63" s="54"/>
      <c r="L63" s="55">
        <f t="shared" si="57"/>
        <v>0</v>
      </c>
      <c r="M63" s="53"/>
      <c r="N63" s="54"/>
      <c r="O63" s="55">
        <f t="shared" si="58"/>
        <v>0</v>
      </c>
      <c r="P63" s="57"/>
    </row>
    <row r="64" spans="1:16" ht="12" customHeight="1" x14ac:dyDescent="0.25">
      <c r="A64" s="51">
        <v>1148</v>
      </c>
      <c r="B64" s="89" t="s">
        <v>82</v>
      </c>
      <c r="C64" s="90">
        <f t="shared" si="22"/>
        <v>8830</v>
      </c>
      <c r="D64" s="53">
        <v>8830</v>
      </c>
      <c r="E64" s="54"/>
      <c r="F64" s="55">
        <f t="shared" si="55"/>
        <v>8830</v>
      </c>
      <c r="G64" s="53"/>
      <c r="H64" s="54"/>
      <c r="I64" s="55">
        <f t="shared" si="56"/>
        <v>0</v>
      </c>
      <c r="J64" s="53"/>
      <c r="K64" s="54"/>
      <c r="L64" s="55">
        <f t="shared" si="57"/>
        <v>0</v>
      </c>
      <c r="M64" s="53"/>
      <c r="N64" s="54"/>
      <c r="O64" s="55">
        <f t="shared" si="58"/>
        <v>0</v>
      </c>
      <c r="P64" s="57"/>
    </row>
    <row r="65" spans="1:16" ht="24" hidden="1" customHeight="1" x14ac:dyDescent="0.25">
      <c r="A65" s="51">
        <v>1149</v>
      </c>
      <c r="B65" s="89" t="s">
        <v>83</v>
      </c>
      <c r="C65" s="90">
        <f t="shared" si="22"/>
        <v>0</v>
      </c>
      <c r="D65" s="53"/>
      <c r="E65" s="54"/>
      <c r="F65" s="55">
        <f t="shared" si="55"/>
        <v>0</v>
      </c>
      <c r="G65" s="53"/>
      <c r="H65" s="54"/>
      <c r="I65" s="55">
        <f t="shared" si="56"/>
        <v>0</v>
      </c>
      <c r="J65" s="53"/>
      <c r="K65" s="54"/>
      <c r="L65" s="55">
        <f t="shared" si="57"/>
        <v>0</v>
      </c>
      <c r="M65" s="53"/>
      <c r="N65" s="54"/>
      <c r="O65" s="55">
        <f t="shared" si="58"/>
        <v>0</v>
      </c>
      <c r="P65" s="57"/>
    </row>
    <row r="66" spans="1:16" ht="51" customHeight="1" x14ac:dyDescent="0.25">
      <c r="A66" s="186">
        <v>1150</v>
      </c>
      <c r="B66" s="138" t="s">
        <v>84</v>
      </c>
      <c r="C66" s="143">
        <f t="shared" si="22"/>
        <v>8844</v>
      </c>
      <c r="D66" s="144">
        <v>8003</v>
      </c>
      <c r="E66" s="145">
        <v>841</v>
      </c>
      <c r="F66" s="141">
        <f t="shared" si="55"/>
        <v>8844</v>
      </c>
      <c r="G66" s="144"/>
      <c r="H66" s="145"/>
      <c r="I66" s="141">
        <f t="shared" si="56"/>
        <v>0</v>
      </c>
      <c r="J66" s="144"/>
      <c r="K66" s="145"/>
      <c r="L66" s="141">
        <f t="shared" si="57"/>
        <v>0</v>
      </c>
      <c r="M66" s="144"/>
      <c r="N66" s="145"/>
      <c r="O66" s="141">
        <f t="shared" si="58"/>
        <v>0</v>
      </c>
      <c r="P66" s="129" t="s">
        <v>1916</v>
      </c>
    </row>
    <row r="67" spans="1:16" ht="24" x14ac:dyDescent="0.25">
      <c r="A67" s="69">
        <v>1200</v>
      </c>
      <c r="B67" s="183" t="s">
        <v>85</v>
      </c>
      <c r="C67" s="70">
        <f t="shared" si="22"/>
        <v>56732</v>
      </c>
      <c r="D67" s="184">
        <f>SUM(D68:D69)</f>
        <v>56529</v>
      </c>
      <c r="E67" s="185">
        <f t="shared" ref="E67:F67" si="59">SUM(E68:E69)</f>
        <v>203</v>
      </c>
      <c r="F67" s="73">
        <f t="shared" si="59"/>
        <v>56732</v>
      </c>
      <c r="G67" s="184">
        <f>SUM(G68:G69)</f>
        <v>0</v>
      </c>
      <c r="H67" s="185">
        <f t="shared" ref="H67:I67" si="60">SUM(H68:H69)</f>
        <v>0</v>
      </c>
      <c r="I67" s="73">
        <f t="shared" si="60"/>
        <v>0</v>
      </c>
      <c r="J67" s="184">
        <f>SUM(J68:J69)</f>
        <v>0</v>
      </c>
      <c r="K67" s="185">
        <f t="shared" ref="K67:L67" si="61">SUM(K68:K69)</f>
        <v>0</v>
      </c>
      <c r="L67" s="73">
        <f t="shared" si="61"/>
        <v>0</v>
      </c>
      <c r="M67" s="184">
        <f>SUM(M68:M69)</f>
        <v>0</v>
      </c>
      <c r="N67" s="185">
        <f t="shared" ref="N67:O67" si="62">SUM(N68:N69)</f>
        <v>0</v>
      </c>
      <c r="O67" s="73">
        <f t="shared" si="62"/>
        <v>0</v>
      </c>
      <c r="P67" s="77"/>
    </row>
    <row r="68" spans="1:16" ht="36" customHeight="1" x14ac:dyDescent="0.25">
      <c r="A68" s="1373">
        <v>1210</v>
      </c>
      <c r="B68" s="82" t="s">
        <v>86</v>
      </c>
      <c r="C68" s="83">
        <f t="shared" si="22"/>
        <v>42665</v>
      </c>
      <c r="D68" s="46">
        <v>42462</v>
      </c>
      <c r="E68" s="47">
        <v>203</v>
      </c>
      <c r="F68" s="134">
        <f>D68+E68</f>
        <v>42665</v>
      </c>
      <c r="G68" s="46"/>
      <c r="H68" s="47"/>
      <c r="I68" s="134">
        <f>G68+H68</f>
        <v>0</v>
      </c>
      <c r="J68" s="46"/>
      <c r="K68" s="47"/>
      <c r="L68" s="134">
        <f>K68+J68</f>
        <v>0</v>
      </c>
      <c r="M68" s="46"/>
      <c r="N68" s="47"/>
      <c r="O68" s="134">
        <f>N68+M68</f>
        <v>0</v>
      </c>
      <c r="P68" s="57" t="s">
        <v>1917</v>
      </c>
    </row>
    <row r="69" spans="1:16" ht="24" x14ac:dyDescent="0.25">
      <c r="A69" s="189">
        <v>1220</v>
      </c>
      <c r="B69" s="89" t="s">
        <v>87</v>
      </c>
      <c r="C69" s="90">
        <f t="shared" si="22"/>
        <v>14067</v>
      </c>
      <c r="D69" s="190">
        <f>SUM(D70:D74)</f>
        <v>14067</v>
      </c>
      <c r="E69" s="191">
        <f t="shared" ref="E69:F69" si="63">SUM(E70:E74)</f>
        <v>0</v>
      </c>
      <c r="F69" s="55">
        <f t="shared" si="63"/>
        <v>14067</v>
      </c>
      <c r="G69" s="190">
        <f>SUM(G70:G74)</f>
        <v>0</v>
      </c>
      <c r="H69" s="191">
        <f t="shared" ref="H69:I69" si="64">SUM(H70:H74)</f>
        <v>0</v>
      </c>
      <c r="I69" s="55">
        <f t="shared" si="64"/>
        <v>0</v>
      </c>
      <c r="J69" s="190">
        <f>SUM(J70:J74)</f>
        <v>0</v>
      </c>
      <c r="K69" s="191">
        <f t="shared" ref="K69:L69" si="65">SUM(K70:K74)</f>
        <v>0</v>
      </c>
      <c r="L69" s="55">
        <f t="shared" si="65"/>
        <v>0</v>
      </c>
      <c r="M69" s="190">
        <f>SUM(M70:M74)</f>
        <v>0</v>
      </c>
      <c r="N69" s="191">
        <f t="shared" ref="N69:O69" si="66">SUM(N70:N74)</f>
        <v>0</v>
      </c>
      <c r="O69" s="55">
        <f t="shared" si="66"/>
        <v>0</v>
      </c>
      <c r="P69" s="57"/>
    </row>
    <row r="70" spans="1:16" ht="48" customHeight="1" x14ac:dyDescent="0.25">
      <c r="A70" s="51">
        <v>1221</v>
      </c>
      <c r="B70" s="89" t="s">
        <v>88</v>
      </c>
      <c r="C70" s="90">
        <f t="shared" si="22"/>
        <v>8254</v>
      </c>
      <c r="D70" s="53">
        <v>8254</v>
      </c>
      <c r="E70" s="54"/>
      <c r="F70" s="55">
        <f t="shared" ref="F70:F74" si="67">D70+E70</f>
        <v>8254</v>
      </c>
      <c r="G70" s="53"/>
      <c r="H70" s="54"/>
      <c r="I70" s="55">
        <f t="shared" ref="I70:I74" si="68">G70+H70</f>
        <v>0</v>
      </c>
      <c r="J70" s="53"/>
      <c r="K70" s="54"/>
      <c r="L70" s="55">
        <f t="shared" ref="L70:L74" si="69">K70+J70</f>
        <v>0</v>
      </c>
      <c r="M70" s="53"/>
      <c r="N70" s="54"/>
      <c r="O70" s="55">
        <f t="shared" ref="O70:O74" si="70">N70+M70</f>
        <v>0</v>
      </c>
      <c r="P70" s="57"/>
    </row>
    <row r="71" spans="1:16" ht="12" hidden="1" customHeight="1" x14ac:dyDescent="0.25">
      <c r="A71" s="51">
        <v>1223</v>
      </c>
      <c r="B71" s="89" t="s">
        <v>89</v>
      </c>
      <c r="C71" s="90">
        <f t="shared" si="22"/>
        <v>0</v>
      </c>
      <c r="D71" s="53"/>
      <c r="E71" s="54"/>
      <c r="F71" s="55">
        <f t="shared" si="67"/>
        <v>0</v>
      </c>
      <c r="G71" s="53"/>
      <c r="H71" s="54"/>
      <c r="I71" s="55">
        <f t="shared" si="68"/>
        <v>0</v>
      </c>
      <c r="J71" s="53"/>
      <c r="K71" s="54"/>
      <c r="L71" s="55">
        <f t="shared" si="69"/>
        <v>0</v>
      </c>
      <c r="M71" s="53"/>
      <c r="N71" s="54"/>
      <c r="O71" s="55">
        <f t="shared" si="70"/>
        <v>0</v>
      </c>
      <c r="P71" s="57"/>
    </row>
    <row r="72" spans="1:16" ht="24" hidden="1" customHeight="1" x14ac:dyDescent="0.25">
      <c r="A72" s="51">
        <v>1225</v>
      </c>
      <c r="B72" s="89" t="s">
        <v>90</v>
      </c>
      <c r="C72" s="90">
        <f t="shared" si="22"/>
        <v>0</v>
      </c>
      <c r="D72" s="53"/>
      <c r="E72" s="54"/>
      <c r="F72" s="55">
        <f t="shared" si="67"/>
        <v>0</v>
      </c>
      <c r="G72" s="53"/>
      <c r="H72" s="54"/>
      <c r="I72" s="55">
        <f t="shared" si="68"/>
        <v>0</v>
      </c>
      <c r="J72" s="53"/>
      <c r="K72" s="54"/>
      <c r="L72" s="55">
        <f t="shared" si="69"/>
        <v>0</v>
      </c>
      <c r="M72" s="53"/>
      <c r="N72" s="54"/>
      <c r="O72" s="55">
        <f t="shared" si="70"/>
        <v>0</v>
      </c>
      <c r="P72" s="57"/>
    </row>
    <row r="73" spans="1:16" ht="36" customHeight="1" x14ac:dyDescent="0.25">
      <c r="A73" s="51">
        <v>1227</v>
      </c>
      <c r="B73" s="89" t="s">
        <v>91</v>
      </c>
      <c r="C73" s="90">
        <f t="shared" si="22"/>
        <v>4056</v>
      </c>
      <c r="D73" s="53">
        <v>4056</v>
      </c>
      <c r="E73" s="54"/>
      <c r="F73" s="55">
        <f t="shared" si="67"/>
        <v>4056</v>
      </c>
      <c r="G73" s="53"/>
      <c r="H73" s="54"/>
      <c r="I73" s="55">
        <f t="shared" si="68"/>
        <v>0</v>
      </c>
      <c r="J73" s="53"/>
      <c r="K73" s="54"/>
      <c r="L73" s="55">
        <f t="shared" si="69"/>
        <v>0</v>
      </c>
      <c r="M73" s="53"/>
      <c r="N73" s="54"/>
      <c r="O73" s="55">
        <f t="shared" si="70"/>
        <v>0</v>
      </c>
      <c r="P73" s="57"/>
    </row>
    <row r="74" spans="1:16" ht="48" customHeight="1" x14ac:dyDescent="0.25">
      <c r="A74" s="51">
        <v>1228</v>
      </c>
      <c r="B74" s="89" t="s">
        <v>92</v>
      </c>
      <c r="C74" s="90">
        <f t="shared" si="22"/>
        <v>1757</v>
      </c>
      <c r="D74" s="53">
        <v>1757</v>
      </c>
      <c r="E74" s="54"/>
      <c r="F74" s="55">
        <f t="shared" si="67"/>
        <v>1757</v>
      </c>
      <c r="G74" s="53"/>
      <c r="H74" s="54"/>
      <c r="I74" s="55">
        <f t="shared" si="68"/>
        <v>0</v>
      </c>
      <c r="J74" s="53"/>
      <c r="K74" s="54"/>
      <c r="L74" s="55">
        <f t="shared" si="69"/>
        <v>0</v>
      </c>
      <c r="M74" s="53"/>
      <c r="N74" s="54"/>
      <c r="O74" s="55">
        <f t="shared" si="70"/>
        <v>0</v>
      </c>
      <c r="P74" s="57"/>
    </row>
    <row r="75" spans="1:16" x14ac:dyDescent="0.25">
      <c r="A75" s="177">
        <v>2000</v>
      </c>
      <c r="B75" s="177" t="s">
        <v>93</v>
      </c>
      <c r="C75" s="178">
        <f t="shared" si="22"/>
        <v>189439</v>
      </c>
      <c r="D75" s="179">
        <f>SUM(D76,D83,D130,D164,D165,D172)</f>
        <v>168197</v>
      </c>
      <c r="E75" s="180">
        <f t="shared" ref="E75:F75" si="71">SUM(E76,E83,E130,E164,E165,E172)</f>
        <v>-10732</v>
      </c>
      <c r="F75" s="181">
        <f t="shared" si="71"/>
        <v>157465</v>
      </c>
      <c r="G75" s="179">
        <f>SUM(G76,G83,G130,G164,G165,G172)</f>
        <v>0</v>
      </c>
      <c r="H75" s="180">
        <f t="shared" ref="H75:I75" si="72">SUM(H76,H83,H130,H164,H165,H172)</f>
        <v>0</v>
      </c>
      <c r="I75" s="181">
        <f t="shared" si="72"/>
        <v>0</v>
      </c>
      <c r="J75" s="179">
        <f>SUM(J76,J83,J130,J164,J165,J172)</f>
        <v>22286</v>
      </c>
      <c r="K75" s="180">
        <f t="shared" ref="K75:L75" si="73">SUM(K76,K83,K130,K164,K165,K172)</f>
        <v>9688</v>
      </c>
      <c r="L75" s="181">
        <f t="shared" si="73"/>
        <v>31974</v>
      </c>
      <c r="M75" s="179">
        <f>SUM(M76,M83,M130,M164,M165,M172)</f>
        <v>0</v>
      </c>
      <c r="N75" s="180">
        <f t="shared" ref="N75:O75" si="74">SUM(N76,N83,N130,N164,N165,N172)</f>
        <v>0</v>
      </c>
      <c r="O75" s="181">
        <f t="shared" si="74"/>
        <v>0</v>
      </c>
      <c r="P75" s="182"/>
    </row>
    <row r="76" spans="1:16" ht="24" hidden="1" x14ac:dyDescent="0.25">
      <c r="A76" s="69">
        <v>2100</v>
      </c>
      <c r="B76" s="183" t="s">
        <v>94</v>
      </c>
      <c r="C76" s="70">
        <f t="shared" si="22"/>
        <v>0</v>
      </c>
      <c r="D76" s="184">
        <f>SUM(D77,D80)</f>
        <v>0</v>
      </c>
      <c r="E76" s="185">
        <f t="shared" ref="E76:F76" si="75">SUM(E77,E80)</f>
        <v>0</v>
      </c>
      <c r="F76" s="73">
        <f t="shared" si="75"/>
        <v>0</v>
      </c>
      <c r="G76" s="184">
        <f>SUM(G77,G80)</f>
        <v>0</v>
      </c>
      <c r="H76" s="185">
        <f t="shared" ref="H76:I76" si="76">SUM(H77,H80)</f>
        <v>0</v>
      </c>
      <c r="I76" s="73">
        <f t="shared" si="76"/>
        <v>0</v>
      </c>
      <c r="J76" s="184">
        <f>SUM(J77,J80)</f>
        <v>0</v>
      </c>
      <c r="K76" s="185">
        <f t="shared" ref="K76:L76" si="77">SUM(K77,K80)</f>
        <v>0</v>
      </c>
      <c r="L76" s="73">
        <f t="shared" si="77"/>
        <v>0</v>
      </c>
      <c r="M76" s="184">
        <f>SUM(M77,M80)</f>
        <v>0</v>
      </c>
      <c r="N76" s="185">
        <f t="shared" ref="N76:O76" si="78">SUM(N77,N80)</f>
        <v>0</v>
      </c>
      <c r="O76" s="73">
        <f t="shared" si="78"/>
        <v>0</v>
      </c>
      <c r="P76" s="77"/>
    </row>
    <row r="77" spans="1:16" ht="24" hidden="1" x14ac:dyDescent="0.25">
      <c r="A77" s="1373">
        <v>2110</v>
      </c>
      <c r="B77" s="82" t="s">
        <v>95</v>
      </c>
      <c r="C77" s="83">
        <f t="shared" si="22"/>
        <v>0</v>
      </c>
      <c r="D77" s="194">
        <f>SUM(D78:D79)</f>
        <v>0</v>
      </c>
      <c r="E77" s="195">
        <f t="shared" ref="E77:F77" si="79">SUM(E78:E79)</f>
        <v>0</v>
      </c>
      <c r="F77" s="134">
        <f t="shared" si="79"/>
        <v>0</v>
      </c>
      <c r="G77" s="194">
        <f>SUM(G78:G79)</f>
        <v>0</v>
      </c>
      <c r="H77" s="195">
        <f t="shared" ref="H77:I77" si="80">SUM(H78:H79)</f>
        <v>0</v>
      </c>
      <c r="I77" s="134">
        <f t="shared" si="80"/>
        <v>0</v>
      </c>
      <c r="J77" s="194">
        <f>SUM(J78:J79)</f>
        <v>0</v>
      </c>
      <c r="K77" s="195">
        <f t="shared" ref="K77:L77" si="81">SUM(K78:K79)</f>
        <v>0</v>
      </c>
      <c r="L77" s="134">
        <f t="shared" si="81"/>
        <v>0</v>
      </c>
      <c r="M77" s="194">
        <f>SUM(M78:M79)</f>
        <v>0</v>
      </c>
      <c r="N77" s="195">
        <f t="shared" ref="N77:O77" si="82">SUM(N78:N79)</f>
        <v>0</v>
      </c>
      <c r="O77" s="134">
        <f t="shared" si="82"/>
        <v>0</v>
      </c>
      <c r="P77" s="49"/>
    </row>
    <row r="78" spans="1:16" ht="12" hidden="1" customHeight="1" x14ac:dyDescent="0.25">
      <c r="A78" s="51">
        <v>2111</v>
      </c>
      <c r="B78" s="89" t="s">
        <v>96</v>
      </c>
      <c r="C78" s="90">
        <f t="shared" si="22"/>
        <v>0</v>
      </c>
      <c r="D78" s="196"/>
      <c r="E78" s="197"/>
      <c r="F78" s="55">
        <f t="shared" ref="F78:F79" si="83">D78+E78</f>
        <v>0</v>
      </c>
      <c r="G78" s="53"/>
      <c r="H78" s="54"/>
      <c r="I78" s="55">
        <f t="shared" ref="I78:I79" si="84">G78+H78</f>
        <v>0</v>
      </c>
      <c r="J78" s="53"/>
      <c r="K78" s="54"/>
      <c r="L78" s="55">
        <f t="shared" ref="L78:L79" si="85">K78+J78</f>
        <v>0</v>
      </c>
      <c r="M78" s="53"/>
      <c r="N78" s="54"/>
      <c r="O78" s="55">
        <f t="shared" ref="O78:O79" si="86">N78+M78</f>
        <v>0</v>
      </c>
      <c r="P78" s="57"/>
    </row>
    <row r="79" spans="1:16" ht="24" hidden="1" customHeight="1" x14ac:dyDescent="0.25">
      <c r="A79" s="51">
        <v>2112</v>
      </c>
      <c r="B79" s="89" t="s">
        <v>97</v>
      </c>
      <c r="C79" s="90">
        <f t="shared" si="22"/>
        <v>0</v>
      </c>
      <c r="D79" s="196"/>
      <c r="E79" s="197"/>
      <c r="F79" s="55">
        <f t="shared" si="83"/>
        <v>0</v>
      </c>
      <c r="G79" s="53"/>
      <c r="H79" s="54"/>
      <c r="I79" s="55">
        <f t="shared" si="84"/>
        <v>0</v>
      </c>
      <c r="J79" s="53"/>
      <c r="K79" s="54"/>
      <c r="L79" s="55">
        <f t="shared" si="85"/>
        <v>0</v>
      </c>
      <c r="M79" s="53"/>
      <c r="N79" s="54"/>
      <c r="O79" s="55">
        <f t="shared" si="86"/>
        <v>0</v>
      </c>
      <c r="P79" s="57"/>
    </row>
    <row r="80" spans="1:16" ht="24" hidden="1" x14ac:dyDescent="0.25">
      <c r="A80" s="189">
        <v>2120</v>
      </c>
      <c r="B80" s="89" t="s">
        <v>98</v>
      </c>
      <c r="C80" s="90">
        <f t="shared" si="22"/>
        <v>0</v>
      </c>
      <c r="D80" s="190">
        <f>SUM(D81:D82)</f>
        <v>0</v>
      </c>
      <c r="E80" s="191">
        <f t="shared" ref="E80:F80" si="87">SUM(E81:E82)</f>
        <v>0</v>
      </c>
      <c r="F80" s="55">
        <f t="shared" si="87"/>
        <v>0</v>
      </c>
      <c r="G80" s="190">
        <f>SUM(G81:G82)</f>
        <v>0</v>
      </c>
      <c r="H80" s="191">
        <f t="shared" ref="H80:I80" si="88">SUM(H81:H82)</f>
        <v>0</v>
      </c>
      <c r="I80" s="55">
        <f t="shared" si="88"/>
        <v>0</v>
      </c>
      <c r="J80" s="190">
        <f>SUM(J81:J82)</f>
        <v>0</v>
      </c>
      <c r="K80" s="191">
        <f t="shared" ref="K80:L80" si="89">SUM(K81:K82)</f>
        <v>0</v>
      </c>
      <c r="L80" s="55">
        <f t="shared" si="89"/>
        <v>0</v>
      </c>
      <c r="M80" s="190">
        <f>SUM(M81:M82)</f>
        <v>0</v>
      </c>
      <c r="N80" s="191">
        <f t="shared" ref="N80:O80" si="90">SUM(N81:N82)</f>
        <v>0</v>
      </c>
      <c r="O80" s="55">
        <f t="shared" si="90"/>
        <v>0</v>
      </c>
      <c r="P80" s="57"/>
    </row>
    <row r="81" spans="1:16" ht="12" hidden="1" customHeight="1" x14ac:dyDescent="0.25">
      <c r="A81" s="51">
        <v>2121</v>
      </c>
      <c r="B81" s="89" t="s">
        <v>96</v>
      </c>
      <c r="C81" s="90">
        <f t="shared" si="22"/>
        <v>0</v>
      </c>
      <c r="D81" s="196"/>
      <c r="E81" s="197"/>
      <c r="F81" s="55">
        <f t="shared" ref="F81:F82" si="91">D81+E81</f>
        <v>0</v>
      </c>
      <c r="G81" s="53"/>
      <c r="H81" s="54"/>
      <c r="I81" s="55">
        <f t="shared" ref="I81:I82" si="92">G81+H81</f>
        <v>0</v>
      </c>
      <c r="J81" s="53"/>
      <c r="K81" s="54"/>
      <c r="L81" s="55">
        <f t="shared" ref="L81:L82" si="93">K81+J81</f>
        <v>0</v>
      </c>
      <c r="M81" s="53"/>
      <c r="N81" s="54"/>
      <c r="O81" s="55">
        <f t="shared" ref="O81:O82" si="94">N81+M81</f>
        <v>0</v>
      </c>
      <c r="P81" s="57"/>
    </row>
    <row r="82" spans="1:16" ht="24" hidden="1" customHeight="1" x14ac:dyDescent="0.25">
      <c r="A82" s="51">
        <v>2122</v>
      </c>
      <c r="B82" s="89" t="s">
        <v>97</v>
      </c>
      <c r="C82" s="90">
        <f t="shared" si="22"/>
        <v>0</v>
      </c>
      <c r="D82" s="196"/>
      <c r="E82" s="197"/>
      <c r="F82" s="55">
        <f t="shared" si="91"/>
        <v>0</v>
      </c>
      <c r="G82" s="53"/>
      <c r="H82" s="54"/>
      <c r="I82" s="55">
        <f t="shared" si="92"/>
        <v>0</v>
      </c>
      <c r="J82" s="53"/>
      <c r="K82" s="54"/>
      <c r="L82" s="55">
        <f t="shared" si="93"/>
        <v>0</v>
      </c>
      <c r="M82" s="53"/>
      <c r="N82" s="54"/>
      <c r="O82" s="55">
        <f t="shared" si="94"/>
        <v>0</v>
      </c>
      <c r="P82" s="57"/>
    </row>
    <row r="83" spans="1:16" x14ac:dyDescent="0.25">
      <c r="A83" s="69">
        <v>2200</v>
      </c>
      <c r="B83" s="183" t="s">
        <v>99</v>
      </c>
      <c r="C83" s="70">
        <f t="shared" si="22"/>
        <v>160873</v>
      </c>
      <c r="D83" s="184">
        <f>SUM(D84,D89,D95,D103,D112,D116,D122,D128)</f>
        <v>148540</v>
      </c>
      <c r="E83" s="185">
        <f t="shared" ref="E83:F83" si="95">SUM(E84,E89,E95,E103,E112,E116,E122,E128)</f>
        <v>-10732</v>
      </c>
      <c r="F83" s="73">
        <f t="shared" si="95"/>
        <v>137808</v>
      </c>
      <c r="G83" s="184">
        <f>SUM(G84,G89,G95,G103,G112,G116,G122,G128)</f>
        <v>0</v>
      </c>
      <c r="H83" s="185">
        <f t="shared" ref="H83:I83" si="96">SUM(H84,H89,H95,H103,H112,H116,H122,H128)</f>
        <v>0</v>
      </c>
      <c r="I83" s="73">
        <f t="shared" si="96"/>
        <v>0</v>
      </c>
      <c r="J83" s="184">
        <f>SUM(J84,J89,J95,J103,J112,J116,J122,J128)</f>
        <v>13377</v>
      </c>
      <c r="K83" s="185">
        <f t="shared" ref="K83:L83" si="97">SUM(K84,K89,K95,K103,K112,K116,K122,K128)</f>
        <v>9688</v>
      </c>
      <c r="L83" s="73">
        <f t="shared" si="97"/>
        <v>23065</v>
      </c>
      <c r="M83" s="184">
        <f>SUM(M84,M89,M95,M103,M112,M116,M122,M128)</f>
        <v>0</v>
      </c>
      <c r="N83" s="185">
        <f t="shared" ref="N83:O83" si="98">SUM(N84,N89,N95,N103,N112,N116,N122,N128)</f>
        <v>0</v>
      </c>
      <c r="O83" s="73">
        <f t="shared" si="98"/>
        <v>0</v>
      </c>
      <c r="P83" s="77"/>
    </row>
    <row r="84" spans="1:16" x14ac:dyDescent="0.25">
      <c r="A84" s="186">
        <v>2210</v>
      </c>
      <c r="B84" s="138" t="s">
        <v>100</v>
      </c>
      <c r="C84" s="143">
        <f t="shared" si="22"/>
        <v>3892</v>
      </c>
      <c r="D84" s="187">
        <f>SUM(D85:D88)</f>
        <v>3032</v>
      </c>
      <c r="E84" s="188">
        <f t="shared" ref="E84:F84" si="99">SUM(E85:E88)</f>
        <v>0</v>
      </c>
      <c r="F84" s="141">
        <f t="shared" si="99"/>
        <v>3032</v>
      </c>
      <c r="G84" s="187">
        <f>SUM(G85:G88)</f>
        <v>0</v>
      </c>
      <c r="H84" s="188">
        <f t="shared" ref="H84:I84" si="100">SUM(H85:H88)</f>
        <v>0</v>
      </c>
      <c r="I84" s="141">
        <f t="shared" si="100"/>
        <v>0</v>
      </c>
      <c r="J84" s="187">
        <f>SUM(J85:J88)</f>
        <v>860</v>
      </c>
      <c r="K84" s="188">
        <f t="shared" ref="K84:L84" si="101">SUM(K85:K88)</f>
        <v>0</v>
      </c>
      <c r="L84" s="141">
        <f t="shared" si="101"/>
        <v>860</v>
      </c>
      <c r="M84" s="187">
        <f>SUM(M85:M88)</f>
        <v>0</v>
      </c>
      <c r="N84" s="188">
        <f t="shared" ref="N84:O84" si="102">SUM(N85:N88)</f>
        <v>0</v>
      </c>
      <c r="O84" s="141">
        <f t="shared" si="102"/>
        <v>0</v>
      </c>
      <c r="P84" s="129"/>
    </row>
    <row r="85" spans="1:16" ht="24" hidden="1" customHeight="1" x14ac:dyDescent="0.25">
      <c r="A85" s="44">
        <v>2211</v>
      </c>
      <c r="B85" s="82" t="s">
        <v>101</v>
      </c>
      <c r="C85" s="83">
        <f t="shared" si="22"/>
        <v>0</v>
      </c>
      <c r="D85" s="199"/>
      <c r="E85" s="200"/>
      <c r="F85" s="134">
        <f t="shared" ref="F85:F88" si="103">D85+E85</f>
        <v>0</v>
      </c>
      <c r="G85" s="46"/>
      <c r="H85" s="47"/>
      <c r="I85" s="134">
        <f t="shared" ref="I85:I88" si="104">G85+H85</f>
        <v>0</v>
      </c>
      <c r="J85" s="46"/>
      <c r="K85" s="47"/>
      <c r="L85" s="134">
        <f t="shared" ref="L85:L88" si="105">K85+J85</f>
        <v>0</v>
      </c>
      <c r="M85" s="46"/>
      <c r="N85" s="47"/>
      <c r="O85" s="134">
        <f t="shared" ref="O85:O88" si="106">N85+M85</f>
        <v>0</v>
      </c>
      <c r="P85" s="49"/>
    </row>
    <row r="86" spans="1:16" ht="36" hidden="1" customHeight="1" x14ac:dyDescent="0.25">
      <c r="A86" s="51">
        <v>2212</v>
      </c>
      <c r="B86" s="89" t="s">
        <v>102</v>
      </c>
      <c r="C86" s="90">
        <f t="shared" si="22"/>
        <v>0</v>
      </c>
      <c r="D86" s="196"/>
      <c r="E86" s="197"/>
      <c r="F86" s="55">
        <f t="shared" si="103"/>
        <v>0</v>
      </c>
      <c r="G86" s="53"/>
      <c r="H86" s="54"/>
      <c r="I86" s="55">
        <f t="shared" si="104"/>
        <v>0</v>
      </c>
      <c r="J86" s="53"/>
      <c r="K86" s="54"/>
      <c r="L86" s="55">
        <f t="shared" si="105"/>
        <v>0</v>
      </c>
      <c r="M86" s="53"/>
      <c r="N86" s="54"/>
      <c r="O86" s="55">
        <f t="shared" si="106"/>
        <v>0</v>
      </c>
      <c r="P86" s="57"/>
    </row>
    <row r="87" spans="1:16" ht="24" customHeight="1" x14ac:dyDescent="0.25">
      <c r="A87" s="51">
        <v>2214</v>
      </c>
      <c r="B87" s="89" t="s">
        <v>103</v>
      </c>
      <c r="C87" s="90">
        <f t="shared" si="22"/>
        <v>1239</v>
      </c>
      <c r="D87" s="196">
        <v>1032</v>
      </c>
      <c r="E87" s="197"/>
      <c r="F87" s="55">
        <f t="shared" si="103"/>
        <v>1032</v>
      </c>
      <c r="G87" s="53"/>
      <c r="H87" s="54"/>
      <c r="I87" s="55">
        <f t="shared" si="104"/>
        <v>0</v>
      </c>
      <c r="J87" s="53">
        <v>207</v>
      </c>
      <c r="K87" s="54"/>
      <c r="L87" s="55">
        <f t="shared" si="105"/>
        <v>207</v>
      </c>
      <c r="M87" s="53"/>
      <c r="N87" s="54"/>
      <c r="O87" s="55">
        <f t="shared" si="106"/>
        <v>0</v>
      </c>
      <c r="P87" s="57"/>
    </row>
    <row r="88" spans="1:16" ht="12" customHeight="1" x14ac:dyDescent="0.25">
      <c r="A88" s="51">
        <v>2219</v>
      </c>
      <c r="B88" s="89" t="s">
        <v>104</v>
      </c>
      <c r="C88" s="90">
        <f t="shared" si="22"/>
        <v>2653</v>
      </c>
      <c r="D88" s="196">
        <v>2000</v>
      </c>
      <c r="E88" s="197"/>
      <c r="F88" s="55">
        <f t="shared" si="103"/>
        <v>2000</v>
      </c>
      <c r="G88" s="53"/>
      <c r="H88" s="54"/>
      <c r="I88" s="55">
        <f t="shared" si="104"/>
        <v>0</v>
      </c>
      <c r="J88" s="53">
        <v>653</v>
      </c>
      <c r="K88" s="54"/>
      <c r="L88" s="55">
        <f t="shared" si="105"/>
        <v>653</v>
      </c>
      <c r="M88" s="53"/>
      <c r="N88" s="54"/>
      <c r="O88" s="55">
        <f t="shared" si="106"/>
        <v>0</v>
      </c>
      <c r="P88" s="57"/>
    </row>
    <row r="89" spans="1:16" ht="24" x14ac:dyDescent="0.25">
      <c r="A89" s="189">
        <v>2220</v>
      </c>
      <c r="B89" s="89" t="s">
        <v>105</v>
      </c>
      <c r="C89" s="90">
        <f t="shared" si="22"/>
        <v>74872</v>
      </c>
      <c r="D89" s="190">
        <f>SUM(D90:D94)</f>
        <v>73326</v>
      </c>
      <c r="E89" s="191">
        <f t="shared" ref="E89:F89" si="107">SUM(E90:E94)</f>
        <v>-10732</v>
      </c>
      <c r="F89" s="55">
        <f t="shared" si="107"/>
        <v>62594</v>
      </c>
      <c r="G89" s="190">
        <f>SUM(G90:G94)</f>
        <v>0</v>
      </c>
      <c r="H89" s="191">
        <f t="shared" ref="H89:I89" si="108">SUM(H90:H94)</f>
        <v>0</v>
      </c>
      <c r="I89" s="55">
        <f t="shared" si="108"/>
        <v>0</v>
      </c>
      <c r="J89" s="190">
        <f>SUM(J90:J94)</f>
        <v>2590</v>
      </c>
      <c r="K89" s="191">
        <f t="shared" ref="K89:L89" si="109">SUM(K90:K94)</f>
        <v>9688</v>
      </c>
      <c r="L89" s="55">
        <f t="shared" si="109"/>
        <v>12278</v>
      </c>
      <c r="M89" s="190">
        <f>SUM(M90:M94)</f>
        <v>0</v>
      </c>
      <c r="N89" s="191">
        <f t="shared" ref="N89:O89" si="110">SUM(N90:N94)</f>
        <v>0</v>
      </c>
      <c r="O89" s="55">
        <f t="shared" si="110"/>
        <v>0</v>
      </c>
      <c r="P89" s="57"/>
    </row>
    <row r="90" spans="1:16" ht="24" hidden="1" customHeight="1" x14ac:dyDescent="0.25">
      <c r="A90" s="51">
        <v>2221</v>
      </c>
      <c r="B90" s="89" t="s">
        <v>106</v>
      </c>
      <c r="C90" s="90">
        <f t="shared" si="22"/>
        <v>0</v>
      </c>
      <c r="D90" s="196"/>
      <c r="E90" s="197"/>
      <c r="F90" s="55">
        <f t="shared" ref="F90:F94" si="111">D90+E90</f>
        <v>0</v>
      </c>
      <c r="G90" s="53"/>
      <c r="H90" s="54"/>
      <c r="I90" s="55">
        <f t="shared" ref="I90:I94" si="112">G90+H90</f>
        <v>0</v>
      </c>
      <c r="J90" s="53"/>
      <c r="K90" s="54"/>
      <c r="L90" s="55">
        <f t="shared" ref="L90:L94" si="113">K90+J90</f>
        <v>0</v>
      </c>
      <c r="M90" s="53"/>
      <c r="N90" s="54"/>
      <c r="O90" s="55">
        <f t="shared" ref="O90:O94" si="114">N90+M90</f>
        <v>0</v>
      </c>
      <c r="P90" s="57"/>
    </row>
    <row r="91" spans="1:16" ht="12" customHeight="1" x14ac:dyDescent="0.25">
      <c r="A91" s="51">
        <v>2222</v>
      </c>
      <c r="B91" s="89" t="s">
        <v>107</v>
      </c>
      <c r="C91" s="90">
        <f t="shared" si="22"/>
        <v>157</v>
      </c>
      <c r="D91" s="196">
        <v>141</v>
      </c>
      <c r="E91" s="197"/>
      <c r="F91" s="55">
        <f t="shared" si="111"/>
        <v>141</v>
      </c>
      <c r="G91" s="53"/>
      <c r="H91" s="54"/>
      <c r="I91" s="55">
        <f t="shared" si="112"/>
        <v>0</v>
      </c>
      <c r="J91" s="53">
        <v>16</v>
      </c>
      <c r="K91" s="54"/>
      <c r="L91" s="55">
        <f t="shared" si="113"/>
        <v>16</v>
      </c>
      <c r="M91" s="53"/>
      <c r="N91" s="54"/>
      <c r="O91" s="55">
        <f t="shared" si="114"/>
        <v>0</v>
      </c>
      <c r="P91" s="57"/>
    </row>
    <row r="92" spans="1:16" ht="24.75" customHeight="1" x14ac:dyDescent="0.25">
      <c r="A92" s="51">
        <v>2223</v>
      </c>
      <c r="B92" s="89" t="s">
        <v>108</v>
      </c>
      <c r="C92" s="90">
        <f t="shared" si="22"/>
        <v>7561</v>
      </c>
      <c r="D92" s="196">
        <v>5487</v>
      </c>
      <c r="E92" s="197">
        <v>-1000</v>
      </c>
      <c r="F92" s="55">
        <f t="shared" si="111"/>
        <v>4487</v>
      </c>
      <c r="G92" s="53"/>
      <c r="H92" s="54"/>
      <c r="I92" s="55">
        <f t="shared" si="112"/>
        <v>0</v>
      </c>
      <c r="J92" s="53">
        <v>2074</v>
      </c>
      <c r="K92" s="54">
        <v>1000</v>
      </c>
      <c r="L92" s="55">
        <f t="shared" si="113"/>
        <v>3074</v>
      </c>
      <c r="M92" s="53"/>
      <c r="N92" s="54"/>
      <c r="O92" s="55">
        <f t="shared" si="114"/>
        <v>0</v>
      </c>
      <c r="P92" s="129" t="s">
        <v>1918</v>
      </c>
    </row>
    <row r="93" spans="1:16" ht="59.25" customHeight="1" x14ac:dyDescent="0.25">
      <c r="A93" s="51">
        <v>2224</v>
      </c>
      <c r="B93" s="89" t="s">
        <v>109</v>
      </c>
      <c r="C93" s="90">
        <f t="shared" si="22"/>
        <v>67154</v>
      </c>
      <c r="D93" s="196">
        <v>67698</v>
      </c>
      <c r="E93" s="197">
        <v>-9732</v>
      </c>
      <c r="F93" s="55">
        <f t="shared" si="111"/>
        <v>57966</v>
      </c>
      <c r="G93" s="53"/>
      <c r="H93" s="54"/>
      <c r="I93" s="55">
        <f t="shared" si="112"/>
        <v>0</v>
      </c>
      <c r="J93" s="53">
        <v>500</v>
      </c>
      <c r="K93" s="54">
        <v>8688</v>
      </c>
      <c r="L93" s="55">
        <f t="shared" si="113"/>
        <v>9188</v>
      </c>
      <c r="M93" s="53"/>
      <c r="N93" s="54"/>
      <c r="O93" s="55">
        <f t="shared" si="114"/>
        <v>0</v>
      </c>
      <c r="P93" s="129" t="s">
        <v>1919</v>
      </c>
    </row>
    <row r="94" spans="1:16" ht="24" hidden="1" customHeight="1" x14ac:dyDescent="0.25">
      <c r="A94" s="51">
        <v>2229</v>
      </c>
      <c r="B94" s="89" t="s">
        <v>110</v>
      </c>
      <c r="C94" s="90">
        <f t="shared" si="22"/>
        <v>0</v>
      </c>
      <c r="D94" s="196"/>
      <c r="E94" s="197"/>
      <c r="F94" s="55">
        <f t="shared" si="111"/>
        <v>0</v>
      </c>
      <c r="G94" s="53"/>
      <c r="H94" s="54"/>
      <c r="I94" s="55">
        <f t="shared" si="112"/>
        <v>0</v>
      </c>
      <c r="J94" s="53"/>
      <c r="K94" s="54"/>
      <c r="L94" s="55">
        <f t="shared" si="113"/>
        <v>0</v>
      </c>
      <c r="M94" s="53"/>
      <c r="N94" s="54"/>
      <c r="O94" s="55">
        <f t="shared" si="114"/>
        <v>0</v>
      </c>
      <c r="P94" s="57"/>
    </row>
    <row r="95" spans="1:16" ht="36" x14ac:dyDescent="0.25">
      <c r="A95" s="189">
        <v>2230</v>
      </c>
      <c r="B95" s="89" t="s">
        <v>111</v>
      </c>
      <c r="C95" s="90">
        <f t="shared" si="22"/>
        <v>16110</v>
      </c>
      <c r="D95" s="190">
        <f>SUM(D96:D102)</f>
        <v>14914</v>
      </c>
      <c r="E95" s="191">
        <f t="shared" ref="E95:F95" si="115">SUM(E96:E102)</f>
        <v>0</v>
      </c>
      <c r="F95" s="55">
        <f t="shared" si="115"/>
        <v>14914</v>
      </c>
      <c r="G95" s="190">
        <f>SUM(G96:G102)</f>
        <v>0</v>
      </c>
      <c r="H95" s="191">
        <f t="shared" ref="H95:I95" si="116">SUM(H96:H102)</f>
        <v>0</v>
      </c>
      <c r="I95" s="55">
        <f t="shared" si="116"/>
        <v>0</v>
      </c>
      <c r="J95" s="190">
        <f>SUM(J96:J102)</f>
        <v>1196</v>
      </c>
      <c r="K95" s="191">
        <f t="shared" ref="K95:L95" si="117">SUM(K96:K102)</f>
        <v>0</v>
      </c>
      <c r="L95" s="55">
        <f t="shared" si="117"/>
        <v>1196</v>
      </c>
      <c r="M95" s="190">
        <f>SUM(M96:M102)</f>
        <v>0</v>
      </c>
      <c r="N95" s="191">
        <f t="shared" ref="N95:O95" si="118">SUM(N96:N102)</f>
        <v>0</v>
      </c>
      <c r="O95" s="55">
        <f t="shared" si="118"/>
        <v>0</v>
      </c>
      <c r="P95" s="57"/>
    </row>
    <row r="96" spans="1:16" ht="24" hidden="1" customHeight="1" x14ac:dyDescent="0.25">
      <c r="A96" s="51">
        <v>2231</v>
      </c>
      <c r="B96" s="89" t="s">
        <v>112</v>
      </c>
      <c r="C96" s="90">
        <f t="shared" si="22"/>
        <v>0</v>
      </c>
      <c r="D96" s="196"/>
      <c r="E96" s="197"/>
      <c r="F96" s="55">
        <f t="shared" ref="F96:F102" si="119">D96+E96</f>
        <v>0</v>
      </c>
      <c r="G96" s="53"/>
      <c r="H96" s="54"/>
      <c r="I96" s="55">
        <f t="shared" ref="I96:I102" si="120">G96+H96</f>
        <v>0</v>
      </c>
      <c r="J96" s="53"/>
      <c r="K96" s="54"/>
      <c r="L96" s="55">
        <f t="shared" ref="L96:L102" si="121">K96+J96</f>
        <v>0</v>
      </c>
      <c r="M96" s="53"/>
      <c r="N96" s="54"/>
      <c r="O96" s="55">
        <f t="shared" ref="O96:O102" si="122">N96+M96</f>
        <v>0</v>
      </c>
      <c r="P96" s="57"/>
    </row>
    <row r="97" spans="1:16" ht="24.75" hidden="1" customHeight="1" x14ac:dyDescent="0.25">
      <c r="A97" s="51">
        <v>2232</v>
      </c>
      <c r="B97" s="89" t="s">
        <v>113</v>
      </c>
      <c r="C97" s="90">
        <f t="shared" si="22"/>
        <v>0</v>
      </c>
      <c r="D97" s="196"/>
      <c r="E97" s="197"/>
      <c r="F97" s="55">
        <f t="shared" si="119"/>
        <v>0</v>
      </c>
      <c r="G97" s="53"/>
      <c r="H97" s="54"/>
      <c r="I97" s="55">
        <f t="shared" si="120"/>
        <v>0</v>
      </c>
      <c r="J97" s="53"/>
      <c r="K97" s="54"/>
      <c r="L97" s="55">
        <f t="shared" si="121"/>
        <v>0</v>
      </c>
      <c r="M97" s="53"/>
      <c r="N97" s="54"/>
      <c r="O97" s="55">
        <f t="shared" si="122"/>
        <v>0</v>
      </c>
      <c r="P97" s="57"/>
    </row>
    <row r="98" spans="1:16" ht="24" hidden="1" customHeight="1" x14ac:dyDescent="0.25">
      <c r="A98" s="44">
        <v>2233</v>
      </c>
      <c r="B98" s="82" t="s">
        <v>114</v>
      </c>
      <c r="C98" s="83">
        <f t="shared" si="22"/>
        <v>0</v>
      </c>
      <c r="D98" s="199"/>
      <c r="E98" s="200"/>
      <c r="F98" s="134">
        <f t="shared" si="119"/>
        <v>0</v>
      </c>
      <c r="G98" s="46"/>
      <c r="H98" s="47"/>
      <c r="I98" s="134">
        <f t="shared" si="120"/>
        <v>0</v>
      </c>
      <c r="J98" s="46"/>
      <c r="K98" s="47"/>
      <c r="L98" s="134">
        <f t="shared" si="121"/>
        <v>0</v>
      </c>
      <c r="M98" s="46"/>
      <c r="N98" s="47"/>
      <c r="O98" s="134">
        <f t="shared" si="122"/>
        <v>0</v>
      </c>
      <c r="P98" s="49"/>
    </row>
    <row r="99" spans="1:16" ht="36" hidden="1" customHeight="1" x14ac:dyDescent="0.25">
      <c r="A99" s="51">
        <v>2234</v>
      </c>
      <c r="B99" s="89" t="s">
        <v>115</v>
      </c>
      <c r="C99" s="90">
        <f t="shared" si="22"/>
        <v>0</v>
      </c>
      <c r="D99" s="196"/>
      <c r="E99" s="197"/>
      <c r="F99" s="55">
        <f t="shared" si="119"/>
        <v>0</v>
      </c>
      <c r="G99" s="53"/>
      <c r="H99" s="54"/>
      <c r="I99" s="55">
        <f t="shared" si="120"/>
        <v>0</v>
      </c>
      <c r="J99" s="53"/>
      <c r="K99" s="54"/>
      <c r="L99" s="55">
        <f t="shared" si="121"/>
        <v>0</v>
      </c>
      <c r="M99" s="53"/>
      <c r="N99" s="54"/>
      <c r="O99" s="55">
        <f t="shared" si="122"/>
        <v>0</v>
      </c>
      <c r="P99" s="57"/>
    </row>
    <row r="100" spans="1:16" ht="24" customHeight="1" x14ac:dyDescent="0.25">
      <c r="A100" s="51">
        <v>2235</v>
      </c>
      <c r="B100" s="89" t="s">
        <v>116</v>
      </c>
      <c r="C100" s="90">
        <f t="shared" si="22"/>
        <v>292</v>
      </c>
      <c r="D100" s="196"/>
      <c r="E100" s="197"/>
      <c r="F100" s="55">
        <f t="shared" si="119"/>
        <v>0</v>
      </c>
      <c r="G100" s="53"/>
      <c r="H100" s="54"/>
      <c r="I100" s="55">
        <f t="shared" si="120"/>
        <v>0</v>
      </c>
      <c r="J100" s="53">
        <v>292</v>
      </c>
      <c r="K100" s="54"/>
      <c r="L100" s="55">
        <f t="shared" si="121"/>
        <v>292</v>
      </c>
      <c r="M100" s="53"/>
      <c r="N100" s="54"/>
      <c r="O100" s="55">
        <f t="shared" si="122"/>
        <v>0</v>
      </c>
      <c r="P100" s="57"/>
    </row>
    <row r="101" spans="1:16" ht="12" customHeight="1" x14ac:dyDescent="0.25">
      <c r="A101" s="51">
        <v>2236</v>
      </c>
      <c r="B101" s="89" t="s">
        <v>117</v>
      </c>
      <c r="C101" s="90">
        <f t="shared" si="22"/>
        <v>750</v>
      </c>
      <c r="D101" s="196"/>
      <c r="E101" s="197"/>
      <c r="F101" s="55">
        <f t="shared" si="119"/>
        <v>0</v>
      </c>
      <c r="G101" s="53"/>
      <c r="H101" s="54"/>
      <c r="I101" s="55">
        <f t="shared" si="120"/>
        <v>0</v>
      </c>
      <c r="J101" s="53">
        <v>750</v>
      </c>
      <c r="K101" s="54"/>
      <c r="L101" s="55">
        <f t="shared" si="121"/>
        <v>750</v>
      </c>
      <c r="M101" s="53"/>
      <c r="N101" s="54"/>
      <c r="O101" s="55">
        <f t="shared" si="122"/>
        <v>0</v>
      </c>
      <c r="P101" s="57"/>
    </row>
    <row r="102" spans="1:16" ht="24" customHeight="1" x14ac:dyDescent="0.25">
      <c r="A102" s="51">
        <v>2239</v>
      </c>
      <c r="B102" s="89" t="s">
        <v>118</v>
      </c>
      <c r="C102" s="90">
        <f t="shared" si="22"/>
        <v>15068</v>
      </c>
      <c r="D102" s="196">
        <v>14914</v>
      </c>
      <c r="E102" s="197"/>
      <c r="F102" s="55">
        <f t="shared" si="119"/>
        <v>14914</v>
      </c>
      <c r="G102" s="53"/>
      <c r="H102" s="54"/>
      <c r="I102" s="55">
        <f t="shared" si="120"/>
        <v>0</v>
      </c>
      <c r="J102" s="53">
        <v>154</v>
      </c>
      <c r="K102" s="54"/>
      <c r="L102" s="55">
        <f t="shared" si="121"/>
        <v>154</v>
      </c>
      <c r="M102" s="53"/>
      <c r="N102" s="54"/>
      <c r="O102" s="55">
        <f t="shared" si="122"/>
        <v>0</v>
      </c>
      <c r="P102" s="57"/>
    </row>
    <row r="103" spans="1:16" ht="36" x14ac:dyDescent="0.25">
      <c r="A103" s="189">
        <v>2240</v>
      </c>
      <c r="B103" s="89" t="s">
        <v>119</v>
      </c>
      <c r="C103" s="90">
        <f t="shared" si="22"/>
        <v>34895</v>
      </c>
      <c r="D103" s="190">
        <f>SUM(D104:D111)</f>
        <v>29378</v>
      </c>
      <c r="E103" s="191">
        <f t="shared" ref="E103:F103" si="123">SUM(E104:E111)</f>
        <v>0</v>
      </c>
      <c r="F103" s="55">
        <f t="shared" si="123"/>
        <v>29378</v>
      </c>
      <c r="G103" s="190">
        <f>SUM(G104:G111)</f>
        <v>0</v>
      </c>
      <c r="H103" s="191">
        <f t="shared" ref="H103:I103" si="124">SUM(H104:H111)</f>
        <v>0</v>
      </c>
      <c r="I103" s="55">
        <f t="shared" si="124"/>
        <v>0</v>
      </c>
      <c r="J103" s="190">
        <f>SUM(J104:J111)</f>
        <v>5517</v>
      </c>
      <c r="K103" s="191">
        <f t="shared" ref="K103:L103" si="125">SUM(K104:K111)</f>
        <v>0</v>
      </c>
      <c r="L103" s="55">
        <f t="shared" si="125"/>
        <v>5517</v>
      </c>
      <c r="M103" s="190">
        <f>SUM(M104:M111)</f>
        <v>0</v>
      </c>
      <c r="N103" s="191">
        <f t="shared" ref="N103:O103" si="126">SUM(N104:N111)</f>
        <v>0</v>
      </c>
      <c r="O103" s="55">
        <f t="shared" si="126"/>
        <v>0</v>
      </c>
      <c r="P103" s="57"/>
    </row>
    <row r="104" spans="1:16" ht="12" hidden="1" customHeight="1" x14ac:dyDescent="0.25">
      <c r="A104" s="51">
        <v>2241</v>
      </c>
      <c r="B104" s="89" t="s">
        <v>120</v>
      </c>
      <c r="C104" s="90">
        <f t="shared" si="22"/>
        <v>0</v>
      </c>
      <c r="D104" s="196"/>
      <c r="E104" s="197"/>
      <c r="F104" s="55">
        <f t="shared" ref="F104:F111" si="127">D104+E104</f>
        <v>0</v>
      </c>
      <c r="G104" s="53"/>
      <c r="H104" s="54"/>
      <c r="I104" s="55">
        <f t="shared" ref="I104:I111" si="128">G104+H104</f>
        <v>0</v>
      </c>
      <c r="J104" s="53"/>
      <c r="K104" s="54"/>
      <c r="L104" s="55">
        <f t="shared" ref="L104:L111" si="129">K104+J104</f>
        <v>0</v>
      </c>
      <c r="M104" s="53"/>
      <c r="N104" s="54"/>
      <c r="O104" s="55">
        <f t="shared" ref="O104:O111" si="130">N104+M104</f>
        <v>0</v>
      </c>
      <c r="P104" s="57"/>
    </row>
    <row r="105" spans="1:16" ht="24" customHeight="1" x14ac:dyDescent="0.25">
      <c r="A105" s="51">
        <v>2242</v>
      </c>
      <c r="B105" s="89" t="s">
        <v>121</v>
      </c>
      <c r="C105" s="90">
        <f t="shared" si="22"/>
        <v>3330</v>
      </c>
      <c r="D105" s="196">
        <v>2627</v>
      </c>
      <c r="E105" s="197"/>
      <c r="F105" s="55">
        <f t="shared" si="127"/>
        <v>2627</v>
      </c>
      <c r="G105" s="53"/>
      <c r="H105" s="54"/>
      <c r="I105" s="55">
        <f t="shared" si="128"/>
        <v>0</v>
      </c>
      <c r="J105" s="53">
        <v>703</v>
      </c>
      <c r="K105" s="54"/>
      <c r="L105" s="55">
        <f t="shared" si="129"/>
        <v>703</v>
      </c>
      <c r="M105" s="53"/>
      <c r="N105" s="54"/>
      <c r="O105" s="55">
        <f t="shared" si="130"/>
        <v>0</v>
      </c>
      <c r="P105" s="57"/>
    </row>
    <row r="106" spans="1:16" ht="24" customHeight="1" x14ac:dyDescent="0.25">
      <c r="A106" s="51">
        <v>2243</v>
      </c>
      <c r="B106" s="89" t="s">
        <v>122</v>
      </c>
      <c r="C106" s="90">
        <f t="shared" si="22"/>
        <v>3594</v>
      </c>
      <c r="D106" s="196">
        <v>3398</v>
      </c>
      <c r="E106" s="197"/>
      <c r="F106" s="55">
        <f t="shared" si="127"/>
        <v>3398</v>
      </c>
      <c r="G106" s="53"/>
      <c r="H106" s="54"/>
      <c r="I106" s="55">
        <f t="shared" si="128"/>
        <v>0</v>
      </c>
      <c r="J106" s="53">
        <v>196</v>
      </c>
      <c r="K106" s="54"/>
      <c r="L106" s="55">
        <f t="shared" si="129"/>
        <v>196</v>
      </c>
      <c r="M106" s="53"/>
      <c r="N106" s="54"/>
      <c r="O106" s="55">
        <f t="shared" si="130"/>
        <v>0</v>
      </c>
      <c r="P106" s="57"/>
    </row>
    <row r="107" spans="1:16" ht="12" customHeight="1" x14ac:dyDescent="0.25">
      <c r="A107" s="51">
        <v>2244</v>
      </c>
      <c r="B107" s="89" t="s">
        <v>123</v>
      </c>
      <c r="C107" s="90">
        <f t="shared" si="22"/>
        <v>27971</v>
      </c>
      <c r="D107" s="196">
        <v>23353</v>
      </c>
      <c r="E107" s="197"/>
      <c r="F107" s="55">
        <f t="shared" si="127"/>
        <v>23353</v>
      </c>
      <c r="G107" s="53"/>
      <c r="H107" s="54"/>
      <c r="I107" s="55">
        <f t="shared" si="128"/>
        <v>0</v>
      </c>
      <c r="J107" s="53">
        <v>4618</v>
      </c>
      <c r="K107" s="54"/>
      <c r="L107" s="55">
        <f t="shared" si="129"/>
        <v>4618</v>
      </c>
      <c r="M107" s="53"/>
      <c r="N107" s="54"/>
      <c r="O107" s="55">
        <f t="shared" si="130"/>
        <v>0</v>
      </c>
      <c r="P107" s="57"/>
    </row>
    <row r="108" spans="1:16" ht="24" hidden="1" customHeight="1" x14ac:dyDescent="0.25">
      <c r="A108" s="51">
        <v>2246</v>
      </c>
      <c r="B108" s="89" t="s">
        <v>124</v>
      </c>
      <c r="C108" s="90">
        <f t="shared" si="22"/>
        <v>0</v>
      </c>
      <c r="D108" s="196"/>
      <c r="E108" s="197"/>
      <c r="F108" s="55">
        <f t="shared" si="127"/>
        <v>0</v>
      </c>
      <c r="G108" s="53"/>
      <c r="H108" s="54"/>
      <c r="I108" s="55">
        <f t="shared" si="128"/>
        <v>0</v>
      </c>
      <c r="J108" s="53"/>
      <c r="K108" s="54"/>
      <c r="L108" s="55">
        <f t="shared" si="129"/>
        <v>0</v>
      </c>
      <c r="M108" s="53"/>
      <c r="N108" s="54"/>
      <c r="O108" s="55">
        <f t="shared" si="130"/>
        <v>0</v>
      </c>
      <c r="P108" s="57"/>
    </row>
    <row r="109" spans="1:16" ht="12" hidden="1" customHeight="1" x14ac:dyDescent="0.25">
      <c r="A109" s="51">
        <v>2247</v>
      </c>
      <c r="B109" s="89" t="s">
        <v>125</v>
      </c>
      <c r="C109" s="90">
        <f t="shared" si="22"/>
        <v>0</v>
      </c>
      <c r="D109" s="196"/>
      <c r="E109" s="197"/>
      <c r="F109" s="55">
        <f t="shared" si="127"/>
        <v>0</v>
      </c>
      <c r="G109" s="53"/>
      <c r="H109" s="54"/>
      <c r="I109" s="55">
        <f t="shared" si="128"/>
        <v>0</v>
      </c>
      <c r="J109" s="53"/>
      <c r="K109" s="54"/>
      <c r="L109" s="55">
        <f t="shared" si="129"/>
        <v>0</v>
      </c>
      <c r="M109" s="53"/>
      <c r="N109" s="54"/>
      <c r="O109" s="55">
        <f t="shared" si="130"/>
        <v>0</v>
      </c>
      <c r="P109" s="57"/>
    </row>
    <row r="110" spans="1:16" ht="24" hidden="1" customHeight="1" x14ac:dyDescent="0.25">
      <c r="A110" s="51">
        <v>2248</v>
      </c>
      <c r="B110" s="89" t="s">
        <v>126</v>
      </c>
      <c r="C110" s="90">
        <f t="shared" si="22"/>
        <v>0</v>
      </c>
      <c r="D110" s="196"/>
      <c r="E110" s="197"/>
      <c r="F110" s="55">
        <f t="shared" si="127"/>
        <v>0</v>
      </c>
      <c r="G110" s="53"/>
      <c r="H110" s="54"/>
      <c r="I110" s="55">
        <f t="shared" si="128"/>
        <v>0</v>
      </c>
      <c r="J110" s="53"/>
      <c r="K110" s="54"/>
      <c r="L110" s="55">
        <f t="shared" si="129"/>
        <v>0</v>
      </c>
      <c r="M110" s="53"/>
      <c r="N110" s="54"/>
      <c r="O110" s="55">
        <f t="shared" si="130"/>
        <v>0</v>
      </c>
      <c r="P110" s="57"/>
    </row>
    <row r="111" spans="1:16" ht="24" hidden="1" customHeight="1" x14ac:dyDescent="0.25">
      <c r="A111" s="51">
        <v>2249</v>
      </c>
      <c r="B111" s="89" t="s">
        <v>127</v>
      </c>
      <c r="C111" s="90">
        <f t="shared" si="22"/>
        <v>0</v>
      </c>
      <c r="D111" s="196"/>
      <c r="E111" s="197"/>
      <c r="F111" s="55">
        <f t="shared" si="127"/>
        <v>0</v>
      </c>
      <c r="G111" s="53"/>
      <c r="H111" s="54"/>
      <c r="I111" s="55">
        <f t="shared" si="128"/>
        <v>0</v>
      </c>
      <c r="J111" s="53"/>
      <c r="K111" s="54"/>
      <c r="L111" s="55">
        <f t="shared" si="129"/>
        <v>0</v>
      </c>
      <c r="M111" s="53"/>
      <c r="N111" s="54"/>
      <c r="O111" s="55">
        <f t="shared" si="130"/>
        <v>0</v>
      </c>
      <c r="P111" s="57"/>
    </row>
    <row r="112" spans="1:16" x14ac:dyDescent="0.25">
      <c r="A112" s="189">
        <v>2250</v>
      </c>
      <c r="B112" s="89" t="s">
        <v>128</v>
      </c>
      <c r="C112" s="90">
        <f t="shared" si="22"/>
        <v>7249</v>
      </c>
      <c r="D112" s="190">
        <f>SUM(D113:D115)</f>
        <v>6840</v>
      </c>
      <c r="E112" s="191">
        <f t="shared" ref="E112:F112" si="131">SUM(E113:E115)</f>
        <v>0</v>
      </c>
      <c r="F112" s="55">
        <f t="shared" si="131"/>
        <v>6840</v>
      </c>
      <c r="G112" s="190">
        <f>SUM(G113:G115)</f>
        <v>0</v>
      </c>
      <c r="H112" s="191">
        <f t="shared" ref="H112:I112" si="132">SUM(H113:H115)</f>
        <v>0</v>
      </c>
      <c r="I112" s="55">
        <f t="shared" si="132"/>
        <v>0</v>
      </c>
      <c r="J112" s="190">
        <f>SUM(J113:J115)</f>
        <v>409</v>
      </c>
      <c r="K112" s="191">
        <f t="shared" ref="K112:L112" si="133">SUM(K113:K115)</f>
        <v>0</v>
      </c>
      <c r="L112" s="55">
        <f t="shared" si="133"/>
        <v>409</v>
      </c>
      <c r="M112" s="190">
        <f>SUM(M113:M115)</f>
        <v>0</v>
      </c>
      <c r="N112" s="191">
        <f t="shared" ref="N112:O112" si="134">SUM(N113:N115)</f>
        <v>0</v>
      </c>
      <c r="O112" s="55">
        <f t="shared" si="134"/>
        <v>0</v>
      </c>
      <c r="P112" s="57"/>
    </row>
    <row r="113" spans="1:16" ht="12" customHeight="1" x14ac:dyDescent="0.25">
      <c r="A113" s="51">
        <v>2251</v>
      </c>
      <c r="B113" s="89" t="s">
        <v>129</v>
      </c>
      <c r="C113" s="90">
        <f t="shared" si="22"/>
        <v>6274</v>
      </c>
      <c r="D113" s="196">
        <v>6124</v>
      </c>
      <c r="E113" s="197"/>
      <c r="F113" s="55">
        <f t="shared" ref="F113:F115" si="135">D113+E113</f>
        <v>6124</v>
      </c>
      <c r="G113" s="53"/>
      <c r="H113" s="54"/>
      <c r="I113" s="55">
        <f t="shared" ref="I113:I115" si="136">G113+H113</f>
        <v>0</v>
      </c>
      <c r="J113" s="53">
        <v>150</v>
      </c>
      <c r="K113" s="54"/>
      <c r="L113" s="55">
        <f t="shared" ref="L113:L115" si="137">K113+J113</f>
        <v>150</v>
      </c>
      <c r="M113" s="53"/>
      <c r="N113" s="54"/>
      <c r="O113" s="55">
        <f t="shared" ref="O113:O115" si="138">N113+M113</f>
        <v>0</v>
      </c>
      <c r="P113" s="57"/>
    </row>
    <row r="114" spans="1:16" ht="24" hidden="1" customHeight="1" x14ac:dyDescent="0.25">
      <c r="A114" s="51">
        <v>2252</v>
      </c>
      <c r="B114" s="89" t="s">
        <v>130</v>
      </c>
      <c r="C114" s="90">
        <f t="shared" ref="C114:C177" si="139">F114+I114+L114+O114</f>
        <v>0</v>
      </c>
      <c r="D114" s="196"/>
      <c r="E114" s="197"/>
      <c r="F114" s="55">
        <f t="shared" si="135"/>
        <v>0</v>
      </c>
      <c r="G114" s="53"/>
      <c r="H114" s="54"/>
      <c r="I114" s="55">
        <f t="shared" si="136"/>
        <v>0</v>
      </c>
      <c r="J114" s="53"/>
      <c r="K114" s="54"/>
      <c r="L114" s="55">
        <f t="shared" si="137"/>
        <v>0</v>
      </c>
      <c r="M114" s="53"/>
      <c r="N114" s="54"/>
      <c r="O114" s="55">
        <f t="shared" si="138"/>
        <v>0</v>
      </c>
      <c r="P114" s="57"/>
    </row>
    <row r="115" spans="1:16" ht="24" customHeight="1" x14ac:dyDescent="0.25">
      <c r="A115" s="51">
        <v>2259</v>
      </c>
      <c r="B115" s="89" t="s">
        <v>131</v>
      </c>
      <c r="C115" s="90">
        <f t="shared" si="139"/>
        <v>975</v>
      </c>
      <c r="D115" s="196">
        <v>716</v>
      </c>
      <c r="E115" s="197"/>
      <c r="F115" s="55">
        <f t="shared" si="135"/>
        <v>716</v>
      </c>
      <c r="G115" s="53"/>
      <c r="H115" s="54"/>
      <c r="I115" s="55">
        <f t="shared" si="136"/>
        <v>0</v>
      </c>
      <c r="J115" s="53">
        <v>259</v>
      </c>
      <c r="K115" s="54"/>
      <c r="L115" s="55">
        <f t="shared" si="137"/>
        <v>259</v>
      </c>
      <c r="M115" s="53"/>
      <c r="N115" s="54"/>
      <c r="O115" s="55">
        <f t="shared" si="138"/>
        <v>0</v>
      </c>
      <c r="P115" s="57"/>
    </row>
    <row r="116" spans="1:16" x14ac:dyDescent="0.25">
      <c r="A116" s="189">
        <v>2260</v>
      </c>
      <c r="B116" s="89" t="s">
        <v>132</v>
      </c>
      <c r="C116" s="90">
        <f t="shared" si="139"/>
        <v>1248</v>
      </c>
      <c r="D116" s="190">
        <f>SUM(D117:D121)</f>
        <v>1248</v>
      </c>
      <c r="E116" s="191">
        <f t="shared" ref="E116:F116" si="140">SUM(E117:E121)</f>
        <v>0</v>
      </c>
      <c r="F116" s="55">
        <f t="shared" si="140"/>
        <v>1248</v>
      </c>
      <c r="G116" s="190">
        <f>SUM(G117:G121)</f>
        <v>0</v>
      </c>
      <c r="H116" s="191">
        <f t="shared" ref="H116:I116" si="141">SUM(H117:H121)</f>
        <v>0</v>
      </c>
      <c r="I116" s="55">
        <f t="shared" si="141"/>
        <v>0</v>
      </c>
      <c r="J116" s="190">
        <f>SUM(J117:J121)</f>
        <v>0</v>
      </c>
      <c r="K116" s="191">
        <f t="shared" ref="K116:L116" si="142">SUM(K117:K121)</f>
        <v>0</v>
      </c>
      <c r="L116" s="55">
        <f t="shared" si="142"/>
        <v>0</v>
      </c>
      <c r="M116" s="190">
        <f>SUM(M117:M121)</f>
        <v>0</v>
      </c>
      <c r="N116" s="191">
        <f t="shared" ref="N116:O116" si="143">SUM(N117:N121)</f>
        <v>0</v>
      </c>
      <c r="O116" s="55">
        <f t="shared" si="143"/>
        <v>0</v>
      </c>
      <c r="P116" s="57"/>
    </row>
    <row r="117" spans="1:16" ht="12" hidden="1" customHeight="1" x14ac:dyDescent="0.25">
      <c r="A117" s="51">
        <v>2261</v>
      </c>
      <c r="B117" s="89" t="s">
        <v>133</v>
      </c>
      <c r="C117" s="90">
        <f t="shared" si="139"/>
        <v>0</v>
      </c>
      <c r="D117" s="196"/>
      <c r="E117" s="197"/>
      <c r="F117" s="55">
        <f t="shared" ref="F117:F121" si="144">D117+E117</f>
        <v>0</v>
      </c>
      <c r="G117" s="53"/>
      <c r="H117" s="54"/>
      <c r="I117" s="55">
        <f t="shared" ref="I117:I121" si="145">G117+H117</f>
        <v>0</v>
      </c>
      <c r="J117" s="53"/>
      <c r="K117" s="54"/>
      <c r="L117" s="55">
        <f t="shared" ref="L117:L121" si="146">K117+J117</f>
        <v>0</v>
      </c>
      <c r="M117" s="53"/>
      <c r="N117" s="54"/>
      <c r="O117" s="55">
        <f t="shared" ref="O117:O121" si="147">N117+M117</f>
        <v>0</v>
      </c>
      <c r="P117" s="57"/>
    </row>
    <row r="118" spans="1:16" ht="12" hidden="1" customHeight="1" x14ac:dyDescent="0.25">
      <c r="A118" s="51">
        <v>2262</v>
      </c>
      <c r="B118" s="89" t="s">
        <v>134</v>
      </c>
      <c r="C118" s="90">
        <f t="shared" si="139"/>
        <v>0</v>
      </c>
      <c r="D118" s="196"/>
      <c r="E118" s="197"/>
      <c r="F118" s="55">
        <f t="shared" si="144"/>
        <v>0</v>
      </c>
      <c r="G118" s="53"/>
      <c r="H118" s="54"/>
      <c r="I118" s="55">
        <f t="shared" si="145"/>
        <v>0</v>
      </c>
      <c r="J118" s="53"/>
      <c r="K118" s="54"/>
      <c r="L118" s="55">
        <f t="shared" si="146"/>
        <v>0</v>
      </c>
      <c r="M118" s="53"/>
      <c r="N118" s="54"/>
      <c r="O118" s="55">
        <f t="shared" si="147"/>
        <v>0</v>
      </c>
      <c r="P118" s="57"/>
    </row>
    <row r="119" spans="1:16" ht="12" hidden="1" customHeight="1" x14ac:dyDescent="0.25">
      <c r="A119" s="51">
        <v>2263</v>
      </c>
      <c r="B119" s="89" t="s">
        <v>135</v>
      </c>
      <c r="C119" s="90">
        <f t="shared" si="139"/>
        <v>0</v>
      </c>
      <c r="D119" s="196"/>
      <c r="E119" s="197"/>
      <c r="F119" s="55">
        <f t="shared" si="144"/>
        <v>0</v>
      </c>
      <c r="G119" s="53"/>
      <c r="H119" s="54"/>
      <c r="I119" s="55">
        <f t="shared" si="145"/>
        <v>0</v>
      </c>
      <c r="J119" s="53"/>
      <c r="K119" s="54"/>
      <c r="L119" s="55">
        <f t="shared" si="146"/>
        <v>0</v>
      </c>
      <c r="M119" s="53"/>
      <c r="N119" s="54"/>
      <c r="O119" s="55">
        <f t="shared" si="147"/>
        <v>0</v>
      </c>
      <c r="P119" s="57"/>
    </row>
    <row r="120" spans="1:16" ht="24" hidden="1" customHeight="1" x14ac:dyDescent="0.25">
      <c r="A120" s="51">
        <v>2264</v>
      </c>
      <c r="B120" s="89" t="s">
        <v>136</v>
      </c>
      <c r="C120" s="90">
        <f t="shared" si="139"/>
        <v>0</v>
      </c>
      <c r="D120" s="196"/>
      <c r="E120" s="197"/>
      <c r="F120" s="55">
        <f t="shared" si="144"/>
        <v>0</v>
      </c>
      <c r="G120" s="53"/>
      <c r="H120" s="54"/>
      <c r="I120" s="55">
        <f t="shared" si="145"/>
        <v>0</v>
      </c>
      <c r="J120" s="53"/>
      <c r="K120" s="54"/>
      <c r="L120" s="55">
        <f t="shared" si="146"/>
        <v>0</v>
      </c>
      <c r="M120" s="53"/>
      <c r="N120" s="54"/>
      <c r="O120" s="55">
        <f t="shared" si="147"/>
        <v>0</v>
      </c>
      <c r="P120" s="57"/>
    </row>
    <row r="121" spans="1:16" ht="12" customHeight="1" x14ac:dyDescent="0.25">
      <c r="A121" s="51">
        <v>2269</v>
      </c>
      <c r="B121" s="89" t="s">
        <v>137</v>
      </c>
      <c r="C121" s="90">
        <f t="shared" si="139"/>
        <v>1248</v>
      </c>
      <c r="D121" s="196">
        <v>1248</v>
      </c>
      <c r="E121" s="197"/>
      <c r="F121" s="55">
        <f t="shared" si="144"/>
        <v>1248</v>
      </c>
      <c r="G121" s="53"/>
      <c r="H121" s="54"/>
      <c r="I121" s="55">
        <f t="shared" si="145"/>
        <v>0</v>
      </c>
      <c r="J121" s="53"/>
      <c r="K121" s="54"/>
      <c r="L121" s="55">
        <f t="shared" si="146"/>
        <v>0</v>
      </c>
      <c r="M121" s="53"/>
      <c r="N121" s="54"/>
      <c r="O121" s="55">
        <f t="shared" si="147"/>
        <v>0</v>
      </c>
      <c r="P121" s="57"/>
    </row>
    <row r="122" spans="1:16" x14ac:dyDescent="0.25">
      <c r="A122" s="189">
        <v>2270</v>
      </c>
      <c r="B122" s="89" t="s">
        <v>138</v>
      </c>
      <c r="C122" s="90">
        <f t="shared" si="139"/>
        <v>22607</v>
      </c>
      <c r="D122" s="190">
        <f>SUM(D123:D127)</f>
        <v>19802</v>
      </c>
      <c r="E122" s="191">
        <f t="shared" ref="E122:F122" si="148">SUM(E123:E127)</f>
        <v>0</v>
      </c>
      <c r="F122" s="55">
        <f t="shared" si="148"/>
        <v>19802</v>
      </c>
      <c r="G122" s="190">
        <f>SUM(G123:G127)</f>
        <v>0</v>
      </c>
      <c r="H122" s="191">
        <f t="shared" ref="H122:I122" si="149">SUM(H123:H127)</f>
        <v>0</v>
      </c>
      <c r="I122" s="55">
        <f t="shared" si="149"/>
        <v>0</v>
      </c>
      <c r="J122" s="190">
        <f>SUM(J123:J127)</f>
        <v>2805</v>
      </c>
      <c r="K122" s="191">
        <f t="shared" ref="K122:L122" si="150">SUM(K123:K127)</f>
        <v>0</v>
      </c>
      <c r="L122" s="55">
        <f t="shared" si="150"/>
        <v>2805</v>
      </c>
      <c r="M122" s="190">
        <f>SUM(M123:M127)</f>
        <v>0</v>
      </c>
      <c r="N122" s="191">
        <f t="shared" ref="N122:O122" si="151">SUM(N123:N127)</f>
        <v>0</v>
      </c>
      <c r="O122" s="55">
        <f t="shared" si="151"/>
        <v>0</v>
      </c>
      <c r="P122" s="57"/>
    </row>
    <row r="123" spans="1:16" ht="12" customHeight="1" x14ac:dyDescent="0.25">
      <c r="A123" s="51">
        <v>2272</v>
      </c>
      <c r="B123" s="201" t="s">
        <v>139</v>
      </c>
      <c r="C123" s="90">
        <f t="shared" si="139"/>
        <v>164</v>
      </c>
      <c r="D123" s="196">
        <v>164</v>
      </c>
      <c r="E123" s="197"/>
      <c r="F123" s="55">
        <f t="shared" ref="F123:F127" si="152">D123+E123</f>
        <v>164</v>
      </c>
      <c r="G123" s="53"/>
      <c r="H123" s="54"/>
      <c r="I123" s="55">
        <f t="shared" ref="I123:I127" si="153">G123+H123</f>
        <v>0</v>
      </c>
      <c r="J123" s="53"/>
      <c r="K123" s="54"/>
      <c r="L123" s="55">
        <f t="shared" ref="L123:L127" si="154">K123+J123</f>
        <v>0</v>
      </c>
      <c r="M123" s="53"/>
      <c r="N123" s="54"/>
      <c r="O123" s="55">
        <f t="shared" ref="O123:O127" si="155">N123+M123</f>
        <v>0</v>
      </c>
      <c r="P123" s="57"/>
    </row>
    <row r="124" spans="1:16" ht="24" hidden="1" customHeight="1" x14ac:dyDescent="0.25">
      <c r="A124" s="51">
        <v>2274</v>
      </c>
      <c r="B124" s="202" t="s">
        <v>140</v>
      </c>
      <c r="C124" s="90">
        <f t="shared" si="139"/>
        <v>0</v>
      </c>
      <c r="D124" s="196"/>
      <c r="E124" s="197"/>
      <c r="F124" s="55">
        <f t="shared" si="152"/>
        <v>0</v>
      </c>
      <c r="G124" s="53"/>
      <c r="H124" s="54"/>
      <c r="I124" s="55">
        <f t="shared" si="153"/>
        <v>0</v>
      </c>
      <c r="J124" s="53"/>
      <c r="K124" s="54"/>
      <c r="L124" s="55">
        <f t="shared" si="154"/>
        <v>0</v>
      </c>
      <c r="M124" s="53"/>
      <c r="N124" s="54"/>
      <c r="O124" s="55">
        <f t="shared" si="155"/>
        <v>0</v>
      </c>
      <c r="P124" s="57"/>
    </row>
    <row r="125" spans="1:16" ht="24" customHeight="1" x14ac:dyDescent="0.25">
      <c r="A125" s="51">
        <v>2275</v>
      </c>
      <c r="B125" s="89" t="s">
        <v>141</v>
      </c>
      <c r="C125" s="90">
        <f t="shared" si="139"/>
        <v>749</v>
      </c>
      <c r="D125" s="196">
        <v>749</v>
      </c>
      <c r="E125" s="197"/>
      <c r="F125" s="55">
        <f t="shared" si="152"/>
        <v>749</v>
      </c>
      <c r="G125" s="53"/>
      <c r="H125" s="54"/>
      <c r="I125" s="55">
        <f t="shared" si="153"/>
        <v>0</v>
      </c>
      <c r="J125" s="53"/>
      <c r="K125" s="54"/>
      <c r="L125" s="55">
        <f t="shared" si="154"/>
        <v>0</v>
      </c>
      <c r="M125" s="53"/>
      <c r="N125" s="54"/>
      <c r="O125" s="55">
        <f t="shared" si="155"/>
        <v>0</v>
      </c>
      <c r="P125" s="57"/>
    </row>
    <row r="126" spans="1:16" ht="36" hidden="1" customHeight="1" x14ac:dyDescent="0.25">
      <c r="A126" s="51">
        <v>2276</v>
      </c>
      <c r="B126" s="89" t="s">
        <v>142</v>
      </c>
      <c r="C126" s="90">
        <f t="shared" si="139"/>
        <v>0</v>
      </c>
      <c r="D126" s="196"/>
      <c r="E126" s="197"/>
      <c r="F126" s="55">
        <f t="shared" si="152"/>
        <v>0</v>
      </c>
      <c r="G126" s="53"/>
      <c r="H126" s="54"/>
      <c r="I126" s="55">
        <f t="shared" si="153"/>
        <v>0</v>
      </c>
      <c r="J126" s="53"/>
      <c r="K126" s="54"/>
      <c r="L126" s="55">
        <f t="shared" si="154"/>
        <v>0</v>
      </c>
      <c r="M126" s="53"/>
      <c r="N126" s="54"/>
      <c r="O126" s="55">
        <f t="shared" si="155"/>
        <v>0</v>
      </c>
      <c r="P126" s="57"/>
    </row>
    <row r="127" spans="1:16" ht="24" customHeight="1" x14ac:dyDescent="0.25">
      <c r="A127" s="51">
        <v>2279</v>
      </c>
      <c r="B127" s="89" t="s">
        <v>143</v>
      </c>
      <c r="C127" s="90">
        <f t="shared" si="139"/>
        <v>21694</v>
      </c>
      <c r="D127" s="196">
        <v>18889</v>
      </c>
      <c r="E127" s="197"/>
      <c r="F127" s="55">
        <f t="shared" si="152"/>
        <v>18889</v>
      </c>
      <c r="G127" s="53"/>
      <c r="H127" s="54"/>
      <c r="I127" s="55">
        <f t="shared" si="153"/>
        <v>0</v>
      </c>
      <c r="J127" s="53">
        <v>2805</v>
      </c>
      <c r="K127" s="54"/>
      <c r="L127" s="55">
        <f t="shared" si="154"/>
        <v>2805</v>
      </c>
      <c r="M127" s="53"/>
      <c r="N127" s="54"/>
      <c r="O127" s="55">
        <f t="shared" si="155"/>
        <v>0</v>
      </c>
      <c r="P127" s="57"/>
    </row>
    <row r="128" spans="1:16" ht="48" hidden="1" x14ac:dyDescent="0.25">
      <c r="A128" s="1373">
        <v>2280</v>
      </c>
      <c r="B128" s="82" t="s">
        <v>144</v>
      </c>
      <c r="C128" s="83">
        <f t="shared" si="139"/>
        <v>0</v>
      </c>
      <c r="D128" s="194">
        <f t="shared" ref="D128:O128" si="156">SUM(D129)</f>
        <v>0</v>
      </c>
      <c r="E128" s="195">
        <f t="shared" si="156"/>
        <v>0</v>
      </c>
      <c r="F128" s="134">
        <f t="shared" si="156"/>
        <v>0</v>
      </c>
      <c r="G128" s="194">
        <f t="shared" si="156"/>
        <v>0</v>
      </c>
      <c r="H128" s="195">
        <f t="shared" si="156"/>
        <v>0</v>
      </c>
      <c r="I128" s="134">
        <f t="shared" si="156"/>
        <v>0</v>
      </c>
      <c r="J128" s="194">
        <f t="shared" si="156"/>
        <v>0</v>
      </c>
      <c r="K128" s="195">
        <f t="shared" si="156"/>
        <v>0</v>
      </c>
      <c r="L128" s="134">
        <f t="shared" si="156"/>
        <v>0</v>
      </c>
      <c r="M128" s="194">
        <f t="shared" si="156"/>
        <v>0</v>
      </c>
      <c r="N128" s="195">
        <f t="shared" si="156"/>
        <v>0</v>
      </c>
      <c r="O128" s="134">
        <f t="shared" si="156"/>
        <v>0</v>
      </c>
      <c r="P128" s="49"/>
    </row>
    <row r="129" spans="1:16" ht="24" hidden="1" customHeight="1" x14ac:dyDescent="0.25">
      <c r="A129" s="51">
        <v>2283</v>
      </c>
      <c r="B129" s="89" t="s">
        <v>145</v>
      </c>
      <c r="C129" s="90">
        <f t="shared" si="139"/>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39"/>
        <v>23992</v>
      </c>
      <c r="D130" s="184">
        <f>SUM(D131,D136,D140,D141,D144,D151,D159,D160,D163)</f>
        <v>18958</v>
      </c>
      <c r="E130" s="185">
        <f t="shared" ref="E130:F130" si="157">SUM(E131,E136,E140,E141,E144,E151,E159,E160,E163)</f>
        <v>0</v>
      </c>
      <c r="F130" s="73">
        <f t="shared" si="157"/>
        <v>18958</v>
      </c>
      <c r="G130" s="184">
        <f>SUM(G131,G136,G140,G141,G144,G151,G159,G160,G163)</f>
        <v>0</v>
      </c>
      <c r="H130" s="185">
        <f t="shared" ref="H130:I130" si="158">SUM(H131,H136,H140,H141,H144,H151,H159,H160,H163)</f>
        <v>0</v>
      </c>
      <c r="I130" s="73">
        <f t="shared" si="158"/>
        <v>0</v>
      </c>
      <c r="J130" s="184">
        <f>SUM(J131,J136,J140,J141,J144,J151,J159,J160,J163)</f>
        <v>5034</v>
      </c>
      <c r="K130" s="185">
        <f t="shared" ref="K130:L130" si="159">SUM(K131,K136,K140,K141,K144,K151,K159,K160,K163)</f>
        <v>0</v>
      </c>
      <c r="L130" s="73">
        <f t="shared" si="159"/>
        <v>5034</v>
      </c>
      <c r="M130" s="184">
        <f>SUM(M131,M136,M140,M141,M144,M151,M159,M160,M163)</f>
        <v>0</v>
      </c>
      <c r="N130" s="185">
        <f t="shared" ref="N130:O130" si="160">SUM(N131,N136,N140,N141,N144,N151,N159,N160,N163)</f>
        <v>0</v>
      </c>
      <c r="O130" s="73">
        <f t="shared" si="160"/>
        <v>0</v>
      </c>
      <c r="P130" s="77"/>
    </row>
    <row r="131" spans="1:16" ht="24" x14ac:dyDescent="0.25">
      <c r="A131" s="1373">
        <v>2310</v>
      </c>
      <c r="B131" s="82" t="s">
        <v>147</v>
      </c>
      <c r="C131" s="83">
        <f t="shared" si="139"/>
        <v>3850</v>
      </c>
      <c r="D131" s="194">
        <f t="shared" ref="D131:O131" si="161">SUM(D132:D135)</f>
        <v>3224</v>
      </c>
      <c r="E131" s="195">
        <f t="shared" si="161"/>
        <v>0</v>
      </c>
      <c r="F131" s="134">
        <f t="shared" si="161"/>
        <v>3224</v>
      </c>
      <c r="G131" s="194">
        <f t="shared" si="161"/>
        <v>0</v>
      </c>
      <c r="H131" s="195">
        <f t="shared" si="161"/>
        <v>0</v>
      </c>
      <c r="I131" s="134">
        <f t="shared" si="161"/>
        <v>0</v>
      </c>
      <c r="J131" s="194">
        <f t="shared" si="161"/>
        <v>626</v>
      </c>
      <c r="K131" s="195">
        <f t="shared" si="161"/>
        <v>0</v>
      </c>
      <c r="L131" s="134">
        <f t="shared" si="161"/>
        <v>626</v>
      </c>
      <c r="M131" s="194">
        <f t="shared" si="161"/>
        <v>0</v>
      </c>
      <c r="N131" s="195">
        <f t="shared" si="161"/>
        <v>0</v>
      </c>
      <c r="O131" s="134">
        <f t="shared" si="161"/>
        <v>0</v>
      </c>
      <c r="P131" s="49"/>
    </row>
    <row r="132" spans="1:16" ht="12" customHeight="1" x14ac:dyDescent="0.25">
      <c r="A132" s="51">
        <v>2311</v>
      </c>
      <c r="B132" s="89" t="s">
        <v>148</v>
      </c>
      <c r="C132" s="90">
        <f t="shared" si="139"/>
        <v>1500</v>
      </c>
      <c r="D132" s="196">
        <v>1224</v>
      </c>
      <c r="E132" s="197"/>
      <c r="F132" s="55">
        <f t="shared" ref="F132:F135" si="162">D132+E132</f>
        <v>1224</v>
      </c>
      <c r="G132" s="53"/>
      <c r="H132" s="54"/>
      <c r="I132" s="55">
        <f t="shared" ref="I132:I135" si="163">G132+H132</f>
        <v>0</v>
      </c>
      <c r="J132" s="53">
        <v>276</v>
      </c>
      <c r="K132" s="54"/>
      <c r="L132" s="55">
        <f t="shared" ref="L132:L135" si="164">K132+J132</f>
        <v>276</v>
      </c>
      <c r="M132" s="53"/>
      <c r="N132" s="54"/>
      <c r="O132" s="55">
        <f t="shared" ref="O132:O135" si="165">N132+M132</f>
        <v>0</v>
      </c>
      <c r="P132" s="57"/>
    </row>
    <row r="133" spans="1:16" ht="12" customHeight="1" x14ac:dyDescent="0.25">
      <c r="A133" s="51">
        <v>2312</v>
      </c>
      <c r="B133" s="89" t="s">
        <v>149</v>
      </c>
      <c r="C133" s="90">
        <f t="shared" si="139"/>
        <v>2350</v>
      </c>
      <c r="D133" s="196">
        <v>2000</v>
      </c>
      <c r="E133" s="197"/>
      <c r="F133" s="55">
        <f t="shared" si="162"/>
        <v>2000</v>
      </c>
      <c r="G133" s="53"/>
      <c r="H133" s="54"/>
      <c r="I133" s="55">
        <f t="shared" si="163"/>
        <v>0</v>
      </c>
      <c r="J133" s="53">
        <v>350</v>
      </c>
      <c r="K133" s="54"/>
      <c r="L133" s="55">
        <f t="shared" si="164"/>
        <v>350</v>
      </c>
      <c r="M133" s="53"/>
      <c r="N133" s="54"/>
      <c r="O133" s="55">
        <f t="shared" si="165"/>
        <v>0</v>
      </c>
      <c r="P133" s="57"/>
    </row>
    <row r="134" spans="1:16" ht="12" hidden="1" customHeight="1" x14ac:dyDescent="0.25">
      <c r="A134" s="51">
        <v>2313</v>
      </c>
      <c r="B134" s="89" t="s">
        <v>150</v>
      </c>
      <c r="C134" s="90">
        <f t="shared" si="139"/>
        <v>0</v>
      </c>
      <c r="D134" s="196"/>
      <c r="E134" s="197"/>
      <c r="F134" s="55">
        <f t="shared" si="162"/>
        <v>0</v>
      </c>
      <c r="G134" s="53"/>
      <c r="H134" s="54"/>
      <c r="I134" s="55">
        <f t="shared" si="163"/>
        <v>0</v>
      </c>
      <c r="J134" s="53"/>
      <c r="K134" s="54"/>
      <c r="L134" s="55">
        <f t="shared" si="164"/>
        <v>0</v>
      </c>
      <c r="M134" s="53"/>
      <c r="N134" s="54"/>
      <c r="O134" s="55">
        <f t="shared" si="165"/>
        <v>0</v>
      </c>
      <c r="P134" s="57"/>
    </row>
    <row r="135" spans="1:16" ht="36" hidden="1" customHeight="1" x14ac:dyDescent="0.25">
      <c r="A135" s="51">
        <v>2314</v>
      </c>
      <c r="B135" s="89" t="s">
        <v>151</v>
      </c>
      <c r="C135" s="90">
        <f t="shared" si="139"/>
        <v>0</v>
      </c>
      <c r="D135" s="196"/>
      <c r="E135" s="197"/>
      <c r="F135" s="55">
        <f t="shared" si="162"/>
        <v>0</v>
      </c>
      <c r="G135" s="53"/>
      <c r="H135" s="54"/>
      <c r="I135" s="55">
        <f t="shared" si="163"/>
        <v>0</v>
      </c>
      <c r="J135" s="53"/>
      <c r="K135" s="54"/>
      <c r="L135" s="55">
        <f t="shared" si="164"/>
        <v>0</v>
      </c>
      <c r="M135" s="53"/>
      <c r="N135" s="54"/>
      <c r="O135" s="55">
        <f t="shared" si="165"/>
        <v>0</v>
      </c>
      <c r="P135" s="57"/>
    </row>
    <row r="136" spans="1:16" x14ac:dyDescent="0.25">
      <c r="A136" s="189">
        <v>2320</v>
      </c>
      <c r="B136" s="89" t="s">
        <v>152</v>
      </c>
      <c r="C136" s="90">
        <f t="shared" si="139"/>
        <v>14484</v>
      </c>
      <c r="D136" s="190">
        <f>SUM(D137:D139)</f>
        <v>11631</v>
      </c>
      <c r="E136" s="191">
        <f t="shared" ref="E136:F136" si="166">SUM(E137:E139)</f>
        <v>0</v>
      </c>
      <c r="F136" s="55">
        <f t="shared" si="166"/>
        <v>11631</v>
      </c>
      <c r="G136" s="190">
        <f>SUM(G137:G139)</f>
        <v>0</v>
      </c>
      <c r="H136" s="191">
        <f t="shared" ref="H136:I136" si="167">SUM(H137:H139)</f>
        <v>0</v>
      </c>
      <c r="I136" s="55">
        <f t="shared" si="167"/>
        <v>0</v>
      </c>
      <c r="J136" s="190">
        <f>SUM(J137:J139)</f>
        <v>2853</v>
      </c>
      <c r="K136" s="191">
        <f t="shared" ref="K136:L136" si="168">SUM(K137:K139)</f>
        <v>0</v>
      </c>
      <c r="L136" s="55">
        <f t="shared" si="168"/>
        <v>2853</v>
      </c>
      <c r="M136" s="190">
        <f>SUM(M137:M139)</f>
        <v>0</v>
      </c>
      <c r="N136" s="191">
        <f t="shared" ref="N136:O136" si="169">SUM(N137:N139)</f>
        <v>0</v>
      </c>
      <c r="O136" s="55">
        <f t="shared" si="169"/>
        <v>0</v>
      </c>
      <c r="P136" s="57"/>
    </row>
    <row r="137" spans="1:16" ht="12" hidden="1" customHeight="1" x14ac:dyDescent="0.25">
      <c r="A137" s="51">
        <v>2321</v>
      </c>
      <c r="B137" s="89" t="s">
        <v>153</v>
      </c>
      <c r="C137" s="90">
        <f t="shared" si="139"/>
        <v>0</v>
      </c>
      <c r="D137" s="196"/>
      <c r="E137" s="197"/>
      <c r="F137" s="55">
        <f t="shared" ref="F137:F140" si="170">D137+E137</f>
        <v>0</v>
      </c>
      <c r="G137" s="53"/>
      <c r="H137" s="54"/>
      <c r="I137" s="55">
        <f t="shared" ref="I137:I140" si="171">G137+H137</f>
        <v>0</v>
      </c>
      <c r="J137" s="53"/>
      <c r="K137" s="54"/>
      <c r="L137" s="55">
        <f t="shared" ref="L137:L140" si="172">K137+J137</f>
        <v>0</v>
      </c>
      <c r="M137" s="53"/>
      <c r="N137" s="54"/>
      <c r="O137" s="55">
        <f t="shared" ref="O137:O140" si="173">N137+M137</f>
        <v>0</v>
      </c>
      <c r="P137" s="57"/>
    </row>
    <row r="138" spans="1:16" ht="12" customHeight="1" x14ac:dyDescent="0.25">
      <c r="A138" s="51">
        <v>2322</v>
      </c>
      <c r="B138" s="89" t="s">
        <v>154</v>
      </c>
      <c r="C138" s="90">
        <f t="shared" si="139"/>
        <v>14484</v>
      </c>
      <c r="D138" s="196">
        <v>11631</v>
      </c>
      <c r="E138" s="197"/>
      <c r="F138" s="55">
        <f t="shared" si="170"/>
        <v>11631</v>
      </c>
      <c r="G138" s="53"/>
      <c r="H138" s="54"/>
      <c r="I138" s="55">
        <f t="shared" si="171"/>
        <v>0</v>
      </c>
      <c r="J138" s="53">
        <v>2853</v>
      </c>
      <c r="K138" s="54"/>
      <c r="L138" s="55">
        <f t="shared" si="172"/>
        <v>2853</v>
      </c>
      <c r="M138" s="53"/>
      <c r="N138" s="54"/>
      <c r="O138" s="55">
        <f t="shared" si="173"/>
        <v>0</v>
      </c>
      <c r="P138" s="57"/>
    </row>
    <row r="139" spans="1:16" ht="10.5" hidden="1" customHeight="1" x14ac:dyDescent="0.25">
      <c r="A139" s="51">
        <v>2329</v>
      </c>
      <c r="B139" s="89" t="s">
        <v>155</v>
      </c>
      <c r="C139" s="90">
        <f t="shared" si="139"/>
        <v>0</v>
      </c>
      <c r="D139" s="196"/>
      <c r="E139" s="197"/>
      <c r="F139" s="55">
        <f t="shared" si="170"/>
        <v>0</v>
      </c>
      <c r="G139" s="53"/>
      <c r="H139" s="54"/>
      <c r="I139" s="55">
        <f t="shared" si="171"/>
        <v>0</v>
      </c>
      <c r="J139" s="53"/>
      <c r="K139" s="54"/>
      <c r="L139" s="55">
        <f t="shared" si="172"/>
        <v>0</v>
      </c>
      <c r="M139" s="53"/>
      <c r="N139" s="54"/>
      <c r="O139" s="55">
        <f t="shared" si="173"/>
        <v>0</v>
      </c>
      <c r="P139" s="57"/>
    </row>
    <row r="140" spans="1:16" ht="12" hidden="1" customHeight="1" x14ac:dyDescent="0.25">
      <c r="A140" s="189">
        <v>2330</v>
      </c>
      <c r="B140" s="89" t="s">
        <v>156</v>
      </c>
      <c r="C140" s="90">
        <f t="shared" si="139"/>
        <v>0</v>
      </c>
      <c r="D140" s="196"/>
      <c r="E140" s="197"/>
      <c r="F140" s="55">
        <f t="shared" si="170"/>
        <v>0</v>
      </c>
      <c r="G140" s="53"/>
      <c r="H140" s="54"/>
      <c r="I140" s="55">
        <f t="shared" si="171"/>
        <v>0</v>
      </c>
      <c r="J140" s="53"/>
      <c r="K140" s="54"/>
      <c r="L140" s="55">
        <f t="shared" si="172"/>
        <v>0</v>
      </c>
      <c r="M140" s="53"/>
      <c r="N140" s="54"/>
      <c r="O140" s="55">
        <f t="shared" si="173"/>
        <v>0</v>
      </c>
      <c r="P140" s="57"/>
    </row>
    <row r="141" spans="1:16" ht="48" hidden="1" x14ac:dyDescent="0.25">
      <c r="A141" s="189">
        <v>2340</v>
      </c>
      <c r="B141" s="89" t="s">
        <v>157</v>
      </c>
      <c r="C141" s="90">
        <f t="shared" si="139"/>
        <v>0</v>
      </c>
      <c r="D141" s="190">
        <f>SUM(D142:D143)</f>
        <v>0</v>
      </c>
      <c r="E141" s="191">
        <f t="shared" ref="E141:F141" si="174">SUM(E142:E143)</f>
        <v>0</v>
      </c>
      <c r="F141" s="55">
        <f t="shared" si="174"/>
        <v>0</v>
      </c>
      <c r="G141" s="190">
        <f>SUM(G142:G143)</f>
        <v>0</v>
      </c>
      <c r="H141" s="191">
        <f t="shared" ref="H141:I141" si="175">SUM(H142:H143)</f>
        <v>0</v>
      </c>
      <c r="I141" s="55">
        <f t="shared" si="175"/>
        <v>0</v>
      </c>
      <c r="J141" s="190">
        <f>SUM(J142:J143)</f>
        <v>0</v>
      </c>
      <c r="K141" s="191">
        <f t="shared" ref="K141:L141" si="176">SUM(K142:K143)</f>
        <v>0</v>
      </c>
      <c r="L141" s="55">
        <f t="shared" si="176"/>
        <v>0</v>
      </c>
      <c r="M141" s="190">
        <f>SUM(M142:M143)</f>
        <v>0</v>
      </c>
      <c r="N141" s="191">
        <f t="shared" ref="N141:O141" si="177">SUM(N142:N143)</f>
        <v>0</v>
      </c>
      <c r="O141" s="55">
        <f t="shared" si="177"/>
        <v>0</v>
      </c>
      <c r="P141" s="57"/>
    </row>
    <row r="142" spans="1:16" ht="12" hidden="1" customHeight="1" x14ac:dyDescent="0.25">
      <c r="A142" s="51">
        <v>2341</v>
      </c>
      <c r="B142" s="89" t="s">
        <v>158</v>
      </c>
      <c r="C142" s="90">
        <f t="shared" si="139"/>
        <v>0</v>
      </c>
      <c r="D142" s="196"/>
      <c r="E142" s="197"/>
      <c r="F142" s="55">
        <f t="shared" ref="F142:F143" si="178">D142+E142</f>
        <v>0</v>
      </c>
      <c r="G142" s="53"/>
      <c r="H142" s="54"/>
      <c r="I142" s="55">
        <f t="shared" ref="I142:I143" si="179">G142+H142</f>
        <v>0</v>
      </c>
      <c r="J142" s="53"/>
      <c r="K142" s="54"/>
      <c r="L142" s="55">
        <f t="shared" ref="L142:L143" si="180">K142+J142</f>
        <v>0</v>
      </c>
      <c r="M142" s="53"/>
      <c r="N142" s="54"/>
      <c r="O142" s="55">
        <f t="shared" ref="O142:O143" si="181">N142+M142</f>
        <v>0</v>
      </c>
      <c r="P142" s="57"/>
    </row>
    <row r="143" spans="1:16" ht="24" hidden="1" customHeight="1" x14ac:dyDescent="0.25">
      <c r="A143" s="51">
        <v>2344</v>
      </c>
      <c r="B143" s="89" t="s">
        <v>159</v>
      </c>
      <c r="C143" s="90">
        <f t="shared" si="139"/>
        <v>0</v>
      </c>
      <c r="D143" s="196"/>
      <c r="E143" s="197"/>
      <c r="F143" s="55">
        <f t="shared" si="178"/>
        <v>0</v>
      </c>
      <c r="G143" s="53"/>
      <c r="H143" s="54"/>
      <c r="I143" s="55">
        <f t="shared" si="179"/>
        <v>0</v>
      </c>
      <c r="J143" s="53"/>
      <c r="K143" s="54"/>
      <c r="L143" s="55">
        <f t="shared" si="180"/>
        <v>0</v>
      </c>
      <c r="M143" s="53"/>
      <c r="N143" s="54"/>
      <c r="O143" s="55">
        <f t="shared" si="181"/>
        <v>0</v>
      </c>
      <c r="P143" s="57"/>
    </row>
    <row r="144" spans="1:16" ht="24" x14ac:dyDescent="0.25">
      <c r="A144" s="186">
        <v>2350</v>
      </c>
      <c r="B144" s="138" t="s">
        <v>160</v>
      </c>
      <c r="C144" s="143">
        <f t="shared" si="139"/>
        <v>5658</v>
      </c>
      <c r="D144" s="187">
        <f>SUM(D145:D150)</f>
        <v>4103</v>
      </c>
      <c r="E144" s="188">
        <f t="shared" ref="E144:F144" si="182">SUM(E145:E150)</f>
        <v>0</v>
      </c>
      <c r="F144" s="141">
        <f t="shared" si="182"/>
        <v>4103</v>
      </c>
      <c r="G144" s="187">
        <f>SUM(G145:G150)</f>
        <v>0</v>
      </c>
      <c r="H144" s="188">
        <f t="shared" ref="H144:I144" si="183">SUM(H145:H150)</f>
        <v>0</v>
      </c>
      <c r="I144" s="141">
        <f t="shared" si="183"/>
        <v>0</v>
      </c>
      <c r="J144" s="187">
        <f>SUM(J145:J150)</f>
        <v>1555</v>
      </c>
      <c r="K144" s="188">
        <f t="shared" ref="K144:L144" si="184">SUM(K145:K150)</f>
        <v>0</v>
      </c>
      <c r="L144" s="141">
        <f t="shared" si="184"/>
        <v>1555</v>
      </c>
      <c r="M144" s="187">
        <f>SUM(M145:M150)</f>
        <v>0</v>
      </c>
      <c r="N144" s="188">
        <f t="shared" ref="N144:O144" si="185">SUM(N145:N150)</f>
        <v>0</v>
      </c>
      <c r="O144" s="141">
        <f t="shared" si="185"/>
        <v>0</v>
      </c>
      <c r="P144" s="129"/>
    </row>
    <row r="145" spans="1:16" ht="12" customHeight="1" x14ac:dyDescent="0.25">
      <c r="A145" s="44">
        <v>2351</v>
      </c>
      <c r="B145" s="82" t="s">
        <v>161</v>
      </c>
      <c r="C145" s="83">
        <f t="shared" si="139"/>
        <v>250</v>
      </c>
      <c r="D145" s="199"/>
      <c r="E145" s="200"/>
      <c r="F145" s="134">
        <f t="shared" ref="F145:F150" si="186">D145+E145</f>
        <v>0</v>
      </c>
      <c r="G145" s="46"/>
      <c r="H145" s="47"/>
      <c r="I145" s="134">
        <f t="shared" ref="I145:I150" si="187">G145+H145</f>
        <v>0</v>
      </c>
      <c r="J145" s="46">
        <v>250</v>
      </c>
      <c r="K145" s="47"/>
      <c r="L145" s="134">
        <f t="shared" ref="L145:L150" si="188">K145+J145</f>
        <v>250</v>
      </c>
      <c r="M145" s="46"/>
      <c r="N145" s="47"/>
      <c r="O145" s="134">
        <f t="shared" ref="O145:O150" si="189">N145+M145</f>
        <v>0</v>
      </c>
      <c r="P145" s="49"/>
    </row>
    <row r="146" spans="1:16" ht="12" customHeight="1" x14ac:dyDescent="0.25">
      <c r="A146" s="51">
        <v>2352</v>
      </c>
      <c r="B146" s="89" t="s">
        <v>162</v>
      </c>
      <c r="C146" s="90">
        <f t="shared" si="139"/>
        <v>3969</v>
      </c>
      <c r="D146" s="196">
        <v>3238</v>
      </c>
      <c r="E146" s="197"/>
      <c r="F146" s="55">
        <f t="shared" si="186"/>
        <v>3238</v>
      </c>
      <c r="G146" s="53"/>
      <c r="H146" s="54"/>
      <c r="I146" s="55">
        <f t="shared" si="187"/>
        <v>0</v>
      </c>
      <c r="J146" s="53">
        <v>731</v>
      </c>
      <c r="K146" s="54"/>
      <c r="L146" s="55">
        <f t="shared" si="188"/>
        <v>731</v>
      </c>
      <c r="M146" s="53"/>
      <c r="N146" s="54"/>
      <c r="O146" s="55">
        <f t="shared" si="189"/>
        <v>0</v>
      </c>
      <c r="P146" s="57"/>
    </row>
    <row r="147" spans="1:16" ht="24" customHeight="1" x14ac:dyDescent="0.25">
      <c r="A147" s="51">
        <v>2353</v>
      </c>
      <c r="B147" s="89" t="s">
        <v>163</v>
      </c>
      <c r="C147" s="90">
        <f t="shared" si="139"/>
        <v>989</v>
      </c>
      <c r="D147" s="196">
        <v>700</v>
      </c>
      <c r="E147" s="197"/>
      <c r="F147" s="55">
        <f t="shared" si="186"/>
        <v>700</v>
      </c>
      <c r="G147" s="53"/>
      <c r="H147" s="54"/>
      <c r="I147" s="55">
        <f t="shared" si="187"/>
        <v>0</v>
      </c>
      <c r="J147" s="53">
        <v>289</v>
      </c>
      <c r="K147" s="54"/>
      <c r="L147" s="55">
        <f t="shared" si="188"/>
        <v>289</v>
      </c>
      <c r="M147" s="53"/>
      <c r="N147" s="54"/>
      <c r="O147" s="55">
        <f t="shared" si="189"/>
        <v>0</v>
      </c>
      <c r="P147" s="57"/>
    </row>
    <row r="148" spans="1:16" ht="24" customHeight="1" x14ac:dyDescent="0.25">
      <c r="A148" s="51">
        <v>2354</v>
      </c>
      <c r="B148" s="89" t="s">
        <v>164</v>
      </c>
      <c r="C148" s="90">
        <f t="shared" si="139"/>
        <v>450</v>
      </c>
      <c r="D148" s="196">
        <v>165</v>
      </c>
      <c r="E148" s="197"/>
      <c r="F148" s="55">
        <f t="shared" si="186"/>
        <v>165</v>
      </c>
      <c r="G148" s="53"/>
      <c r="H148" s="54"/>
      <c r="I148" s="55">
        <f t="shared" si="187"/>
        <v>0</v>
      </c>
      <c r="J148" s="53">
        <v>285</v>
      </c>
      <c r="K148" s="54"/>
      <c r="L148" s="55">
        <f t="shared" si="188"/>
        <v>285</v>
      </c>
      <c r="M148" s="53"/>
      <c r="N148" s="54"/>
      <c r="O148" s="55">
        <f t="shared" si="189"/>
        <v>0</v>
      </c>
      <c r="P148" s="57"/>
    </row>
    <row r="149" spans="1:16" ht="24" hidden="1" customHeight="1" x14ac:dyDescent="0.25">
      <c r="A149" s="51">
        <v>2355</v>
      </c>
      <c r="B149" s="89" t="s">
        <v>165</v>
      </c>
      <c r="C149" s="90">
        <f t="shared" si="139"/>
        <v>0</v>
      </c>
      <c r="D149" s="196"/>
      <c r="E149" s="197"/>
      <c r="F149" s="55">
        <f t="shared" si="186"/>
        <v>0</v>
      </c>
      <c r="G149" s="53"/>
      <c r="H149" s="54"/>
      <c r="I149" s="55">
        <f t="shared" si="187"/>
        <v>0</v>
      </c>
      <c r="J149" s="53"/>
      <c r="K149" s="54"/>
      <c r="L149" s="55">
        <f t="shared" si="188"/>
        <v>0</v>
      </c>
      <c r="M149" s="53"/>
      <c r="N149" s="54"/>
      <c r="O149" s="55">
        <f t="shared" si="189"/>
        <v>0</v>
      </c>
      <c r="P149" s="57"/>
    </row>
    <row r="150" spans="1:16" ht="24" hidden="1" customHeight="1" x14ac:dyDescent="0.25">
      <c r="A150" s="51">
        <v>2359</v>
      </c>
      <c r="B150" s="89" t="s">
        <v>166</v>
      </c>
      <c r="C150" s="90">
        <f t="shared" si="139"/>
        <v>0</v>
      </c>
      <c r="D150" s="196"/>
      <c r="E150" s="197"/>
      <c r="F150" s="55">
        <f t="shared" si="186"/>
        <v>0</v>
      </c>
      <c r="G150" s="53"/>
      <c r="H150" s="54"/>
      <c r="I150" s="55">
        <f t="shared" si="187"/>
        <v>0</v>
      </c>
      <c r="J150" s="53"/>
      <c r="K150" s="54"/>
      <c r="L150" s="55">
        <f t="shared" si="188"/>
        <v>0</v>
      </c>
      <c r="M150" s="53"/>
      <c r="N150" s="54"/>
      <c r="O150" s="55">
        <f t="shared" si="189"/>
        <v>0</v>
      </c>
      <c r="P150" s="57"/>
    </row>
    <row r="151" spans="1:16" ht="24.75" hidden="1" customHeight="1" x14ac:dyDescent="0.25">
      <c r="A151" s="189">
        <v>2360</v>
      </c>
      <c r="B151" s="89" t="s">
        <v>167</v>
      </c>
      <c r="C151" s="90">
        <f t="shared" si="139"/>
        <v>0</v>
      </c>
      <c r="D151" s="190">
        <f>SUM(D152:D158)</f>
        <v>0</v>
      </c>
      <c r="E151" s="191">
        <f t="shared" ref="E151:F151" si="190">SUM(E152:E158)</f>
        <v>0</v>
      </c>
      <c r="F151" s="55">
        <f t="shared" si="190"/>
        <v>0</v>
      </c>
      <c r="G151" s="190">
        <f>SUM(G152:G158)</f>
        <v>0</v>
      </c>
      <c r="H151" s="191">
        <f t="shared" ref="H151:I151" si="191">SUM(H152:H158)</f>
        <v>0</v>
      </c>
      <c r="I151" s="55">
        <f t="shared" si="191"/>
        <v>0</v>
      </c>
      <c r="J151" s="190">
        <f>SUM(J152:J158)</f>
        <v>0</v>
      </c>
      <c r="K151" s="191">
        <f t="shared" ref="K151:L151" si="192">SUM(K152:K158)</f>
        <v>0</v>
      </c>
      <c r="L151" s="55">
        <f t="shared" si="192"/>
        <v>0</v>
      </c>
      <c r="M151" s="190">
        <f>SUM(M152:M158)</f>
        <v>0</v>
      </c>
      <c r="N151" s="191">
        <f t="shared" ref="N151:O151" si="193">SUM(N152:N158)</f>
        <v>0</v>
      </c>
      <c r="O151" s="55">
        <f t="shared" si="193"/>
        <v>0</v>
      </c>
      <c r="P151" s="57"/>
    </row>
    <row r="152" spans="1:16" ht="12" hidden="1" customHeight="1" x14ac:dyDescent="0.25">
      <c r="A152" s="50">
        <v>2361</v>
      </c>
      <c r="B152" s="89" t="s">
        <v>168</v>
      </c>
      <c r="C152" s="90">
        <f t="shared" si="139"/>
        <v>0</v>
      </c>
      <c r="D152" s="196"/>
      <c r="E152" s="197"/>
      <c r="F152" s="55">
        <f t="shared" ref="F152:F159" si="194">D152+E152</f>
        <v>0</v>
      </c>
      <c r="G152" s="53"/>
      <c r="H152" s="54"/>
      <c r="I152" s="55">
        <f t="shared" ref="I152:I159" si="195">G152+H152</f>
        <v>0</v>
      </c>
      <c r="J152" s="53"/>
      <c r="K152" s="54"/>
      <c r="L152" s="55">
        <f t="shared" ref="L152:L159" si="196">K152+J152</f>
        <v>0</v>
      </c>
      <c r="M152" s="53"/>
      <c r="N152" s="54"/>
      <c r="O152" s="55">
        <f t="shared" ref="O152:O159" si="197">N152+M152</f>
        <v>0</v>
      </c>
      <c r="P152" s="57"/>
    </row>
    <row r="153" spans="1:16" ht="24" hidden="1" customHeight="1" x14ac:dyDescent="0.25">
      <c r="A153" s="50">
        <v>2362</v>
      </c>
      <c r="B153" s="89" t="s">
        <v>169</v>
      </c>
      <c r="C153" s="90">
        <f t="shared" si="139"/>
        <v>0</v>
      </c>
      <c r="D153" s="196"/>
      <c r="E153" s="197"/>
      <c r="F153" s="55">
        <f t="shared" si="194"/>
        <v>0</v>
      </c>
      <c r="G153" s="53"/>
      <c r="H153" s="54"/>
      <c r="I153" s="55">
        <f t="shared" si="195"/>
        <v>0</v>
      </c>
      <c r="J153" s="53"/>
      <c r="K153" s="54"/>
      <c r="L153" s="55">
        <f t="shared" si="196"/>
        <v>0</v>
      </c>
      <c r="M153" s="53"/>
      <c r="N153" s="54"/>
      <c r="O153" s="55">
        <f t="shared" si="197"/>
        <v>0</v>
      </c>
      <c r="P153" s="57"/>
    </row>
    <row r="154" spans="1:16" ht="12" hidden="1" customHeight="1" x14ac:dyDescent="0.25">
      <c r="A154" s="50">
        <v>2363</v>
      </c>
      <c r="B154" s="89" t="s">
        <v>170</v>
      </c>
      <c r="C154" s="90">
        <f t="shared" si="139"/>
        <v>0</v>
      </c>
      <c r="D154" s="196"/>
      <c r="E154" s="197"/>
      <c r="F154" s="55">
        <f t="shared" si="194"/>
        <v>0</v>
      </c>
      <c r="G154" s="53"/>
      <c r="H154" s="54"/>
      <c r="I154" s="55">
        <f t="shared" si="195"/>
        <v>0</v>
      </c>
      <c r="J154" s="53"/>
      <c r="K154" s="54"/>
      <c r="L154" s="55">
        <f t="shared" si="196"/>
        <v>0</v>
      </c>
      <c r="M154" s="53"/>
      <c r="N154" s="54"/>
      <c r="O154" s="55">
        <f t="shared" si="197"/>
        <v>0</v>
      </c>
      <c r="P154" s="57"/>
    </row>
    <row r="155" spans="1:16" ht="12" hidden="1" customHeight="1" x14ac:dyDescent="0.25">
      <c r="A155" s="50">
        <v>2364</v>
      </c>
      <c r="B155" s="89" t="s">
        <v>171</v>
      </c>
      <c r="C155" s="90">
        <f t="shared" si="139"/>
        <v>0</v>
      </c>
      <c r="D155" s="196"/>
      <c r="E155" s="197"/>
      <c r="F155" s="55">
        <f t="shared" si="194"/>
        <v>0</v>
      </c>
      <c r="G155" s="53"/>
      <c r="H155" s="54"/>
      <c r="I155" s="55">
        <f t="shared" si="195"/>
        <v>0</v>
      </c>
      <c r="J155" s="53"/>
      <c r="K155" s="54"/>
      <c r="L155" s="55">
        <f t="shared" si="196"/>
        <v>0</v>
      </c>
      <c r="M155" s="53"/>
      <c r="N155" s="54"/>
      <c r="O155" s="55">
        <f t="shared" si="197"/>
        <v>0</v>
      </c>
      <c r="P155" s="57"/>
    </row>
    <row r="156" spans="1:16" ht="12.75" hidden="1" customHeight="1" x14ac:dyDescent="0.25">
      <c r="A156" s="50">
        <v>2365</v>
      </c>
      <c r="B156" s="89" t="s">
        <v>172</v>
      </c>
      <c r="C156" s="90">
        <f t="shared" si="139"/>
        <v>0</v>
      </c>
      <c r="D156" s="196"/>
      <c r="E156" s="197"/>
      <c r="F156" s="55">
        <f t="shared" si="194"/>
        <v>0</v>
      </c>
      <c r="G156" s="53"/>
      <c r="H156" s="54"/>
      <c r="I156" s="55">
        <f t="shared" si="195"/>
        <v>0</v>
      </c>
      <c r="J156" s="53"/>
      <c r="K156" s="54"/>
      <c r="L156" s="55">
        <f t="shared" si="196"/>
        <v>0</v>
      </c>
      <c r="M156" s="53"/>
      <c r="N156" s="54"/>
      <c r="O156" s="55">
        <f t="shared" si="197"/>
        <v>0</v>
      </c>
      <c r="P156" s="57"/>
    </row>
    <row r="157" spans="1:16" ht="36" hidden="1" customHeight="1" x14ac:dyDescent="0.25">
      <c r="A157" s="50">
        <v>2366</v>
      </c>
      <c r="B157" s="89" t="s">
        <v>173</v>
      </c>
      <c r="C157" s="90">
        <f t="shared" si="139"/>
        <v>0</v>
      </c>
      <c r="D157" s="196"/>
      <c r="E157" s="197"/>
      <c r="F157" s="55">
        <f t="shared" si="194"/>
        <v>0</v>
      </c>
      <c r="G157" s="53"/>
      <c r="H157" s="54"/>
      <c r="I157" s="55">
        <f t="shared" si="195"/>
        <v>0</v>
      </c>
      <c r="J157" s="53"/>
      <c r="K157" s="54"/>
      <c r="L157" s="55">
        <f t="shared" si="196"/>
        <v>0</v>
      </c>
      <c r="M157" s="53"/>
      <c r="N157" s="54"/>
      <c r="O157" s="55">
        <f t="shared" si="197"/>
        <v>0</v>
      </c>
      <c r="P157" s="57"/>
    </row>
    <row r="158" spans="1:16" ht="48" hidden="1" customHeight="1" x14ac:dyDescent="0.25">
      <c r="A158" s="50">
        <v>2369</v>
      </c>
      <c r="B158" s="89" t="s">
        <v>174</v>
      </c>
      <c r="C158" s="90">
        <f t="shared" si="139"/>
        <v>0</v>
      </c>
      <c r="D158" s="196"/>
      <c r="E158" s="197"/>
      <c r="F158" s="55">
        <f t="shared" si="194"/>
        <v>0</v>
      </c>
      <c r="G158" s="53"/>
      <c r="H158" s="54"/>
      <c r="I158" s="55">
        <f t="shared" si="195"/>
        <v>0</v>
      </c>
      <c r="J158" s="53"/>
      <c r="K158" s="54"/>
      <c r="L158" s="55">
        <f t="shared" si="196"/>
        <v>0</v>
      </c>
      <c r="M158" s="53"/>
      <c r="N158" s="54"/>
      <c r="O158" s="55">
        <f t="shared" si="197"/>
        <v>0</v>
      </c>
      <c r="P158" s="57"/>
    </row>
    <row r="159" spans="1:16" ht="12" hidden="1" customHeight="1" x14ac:dyDescent="0.25">
      <c r="A159" s="186">
        <v>2370</v>
      </c>
      <c r="B159" s="138" t="s">
        <v>175</v>
      </c>
      <c r="C159" s="143">
        <f t="shared" si="139"/>
        <v>0</v>
      </c>
      <c r="D159" s="203"/>
      <c r="E159" s="204"/>
      <c r="F159" s="141">
        <f t="shared" si="194"/>
        <v>0</v>
      </c>
      <c r="G159" s="144"/>
      <c r="H159" s="145"/>
      <c r="I159" s="141">
        <f t="shared" si="195"/>
        <v>0</v>
      </c>
      <c r="J159" s="144"/>
      <c r="K159" s="145"/>
      <c r="L159" s="141">
        <f t="shared" si="196"/>
        <v>0</v>
      </c>
      <c r="M159" s="144"/>
      <c r="N159" s="145"/>
      <c r="O159" s="141">
        <f t="shared" si="197"/>
        <v>0</v>
      </c>
      <c r="P159" s="129"/>
    </row>
    <row r="160" spans="1:16" hidden="1" x14ac:dyDescent="0.25">
      <c r="A160" s="186">
        <v>2380</v>
      </c>
      <c r="B160" s="138" t="s">
        <v>176</v>
      </c>
      <c r="C160" s="143">
        <f t="shared" si="139"/>
        <v>0</v>
      </c>
      <c r="D160" s="187">
        <f>SUM(D161:D162)</f>
        <v>0</v>
      </c>
      <c r="E160" s="188">
        <f t="shared" ref="E160:F160" si="198">SUM(E161:E162)</f>
        <v>0</v>
      </c>
      <c r="F160" s="141">
        <f t="shared" si="198"/>
        <v>0</v>
      </c>
      <c r="G160" s="187">
        <f>SUM(G161:G162)</f>
        <v>0</v>
      </c>
      <c r="H160" s="188">
        <f t="shared" ref="H160:I160" si="199">SUM(H161:H162)</f>
        <v>0</v>
      </c>
      <c r="I160" s="141">
        <f t="shared" si="199"/>
        <v>0</v>
      </c>
      <c r="J160" s="187">
        <f>SUM(J161:J162)</f>
        <v>0</v>
      </c>
      <c r="K160" s="188">
        <f t="shared" ref="K160:L160" si="200">SUM(K161:K162)</f>
        <v>0</v>
      </c>
      <c r="L160" s="141">
        <f t="shared" si="200"/>
        <v>0</v>
      </c>
      <c r="M160" s="187">
        <f>SUM(M161:M162)</f>
        <v>0</v>
      </c>
      <c r="N160" s="188">
        <f t="shared" ref="N160:O160" si="201">SUM(N161:N162)</f>
        <v>0</v>
      </c>
      <c r="O160" s="141">
        <f t="shared" si="201"/>
        <v>0</v>
      </c>
      <c r="P160" s="129"/>
    </row>
    <row r="161" spans="1:16" ht="12" hidden="1" customHeight="1" x14ac:dyDescent="0.25">
      <c r="A161" s="43">
        <v>2381</v>
      </c>
      <c r="B161" s="82" t="s">
        <v>177</v>
      </c>
      <c r="C161" s="83">
        <f t="shared" si="139"/>
        <v>0</v>
      </c>
      <c r="D161" s="199"/>
      <c r="E161" s="200"/>
      <c r="F161" s="134">
        <f t="shared" ref="F161:F164" si="202">D161+E161</f>
        <v>0</v>
      </c>
      <c r="G161" s="46"/>
      <c r="H161" s="47"/>
      <c r="I161" s="134">
        <f t="shared" ref="I161:I164" si="203">G161+H161</f>
        <v>0</v>
      </c>
      <c r="J161" s="46"/>
      <c r="K161" s="47"/>
      <c r="L161" s="134">
        <f t="shared" ref="L161:L164" si="204">K161+J161</f>
        <v>0</v>
      </c>
      <c r="M161" s="46"/>
      <c r="N161" s="47"/>
      <c r="O161" s="134">
        <f t="shared" ref="O161:O164" si="205">N161+M161</f>
        <v>0</v>
      </c>
      <c r="P161" s="49"/>
    </row>
    <row r="162" spans="1:16" ht="24" hidden="1" customHeight="1" x14ac:dyDescent="0.25">
      <c r="A162" s="50">
        <v>2389</v>
      </c>
      <c r="B162" s="89" t="s">
        <v>178</v>
      </c>
      <c r="C162" s="90">
        <f t="shared" si="139"/>
        <v>0</v>
      </c>
      <c r="D162" s="196"/>
      <c r="E162" s="197"/>
      <c r="F162" s="55">
        <f t="shared" si="202"/>
        <v>0</v>
      </c>
      <c r="G162" s="53"/>
      <c r="H162" s="54"/>
      <c r="I162" s="55">
        <f t="shared" si="203"/>
        <v>0</v>
      </c>
      <c r="J162" s="53"/>
      <c r="K162" s="54"/>
      <c r="L162" s="55">
        <f t="shared" si="204"/>
        <v>0</v>
      </c>
      <c r="M162" s="53"/>
      <c r="N162" s="54"/>
      <c r="O162" s="55">
        <f t="shared" si="205"/>
        <v>0</v>
      </c>
      <c r="P162" s="57"/>
    </row>
    <row r="163" spans="1:16" ht="12" hidden="1" customHeight="1" x14ac:dyDescent="0.25">
      <c r="A163" s="186">
        <v>2390</v>
      </c>
      <c r="B163" s="138" t="s">
        <v>179</v>
      </c>
      <c r="C163" s="143">
        <f t="shared" si="139"/>
        <v>0</v>
      </c>
      <c r="D163" s="203"/>
      <c r="E163" s="204"/>
      <c r="F163" s="141">
        <f t="shared" si="202"/>
        <v>0</v>
      </c>
      <c r="G163" s="144"/>
      <c r="H163" s="145"/>
      <c r="I163" s="141">
        <f t="shared" si="203"/>
        <v>0</v>
      </c>
      <c r="J163" s="144"/>
      <c r="K163" s="145"/>
      <c r="L163" s="141">
        <f t="shared" si="204"/>
        <v>0</v>
      </c>
      <c r="M163" s="144"/>
      <c r="N163" s="145"/>
      <c r="O163" s="141">
        <f t="shared" si="205"/>
        <v>0</v>
      </c>
      <c r="P163" s="129"/>
    </row>
    <row r="164" spans="1:16" ht="12" hidden="1" customHeight="1" x14ac:dyDescent="0.25">
      <c r="A164" s="69">
        <v>2400</v>
      </c>
      <c r="B164" s="183" t="s">
        <v>180</v>
      </c>
      <c r="C164" s="70">
        <f t="shared" si="139"/>
        <v>0</v>
      </c>
      <c r="D164" s="205"/>
      <c r="E164" s="206"/>
      <c r="F164" s="73">
        <f t="shared" si="202"/>
        <v>0</v>
      </c>
      <c r="G164" s="71"/>
      <c r="H164" s="72"/>
      <c r="I164" s="73">
        <f t="shared" si="203"/>
        <v>0</v>
      </c>
      <c r="J164" s="71"/>
      <c r="K164" s="72"/>
      <c r="L164" s="73">
        <f t="shared" si="204"/>
        <v>0</v>
      </c>
      <c r="M164" s="71"/>
      <c r="N164" s="72"/>
      <c r="O164" s="73">
        <f t="shared" si="205"/>
        <v>0</v>
      </c>
      <c r="P164" s="77"/>
    </row>
    <row r="165" spans="1:16" ht="24" x14ac:dyDescent="0.25">
      <c r="A165" s="69">
        <v>2500</v>
      </c>
      <c r="B165" s="183" t="s">
        <v>181</v>
      </c>
      <c r="C165" s="70">
        <f t="shared" si="139"/>
        <v>4574</v>
      </c>
      <c r="D165" s="184">
        <f>SUM(D166,D171)</f>
        <v>699</v>
      </c>
      <c r="E165" s="185">
        <f t="shared" ref="E165:O165" si="206">SUM(E166,E171)</f>
        <v>0</v>
      </c>
      <c r="F165" s="73">
        <f t="shared" si="206"/>
        <v>699</v>
      </c>
      <c r="G165" s="184">
        <f t="shared" si="206"/>
        <v>0</v>
      </c>
      <c r="H165" s="185">
        <f t="shared" si="206"/>
        <v>0</v>
      </c>
      <c r="I165" s="73">
        <f t="shared" si="206"/>
        <v>0</v>
      </c>
      <c r="J165" s="184">
        <f t="shared" si="206"/>
        <v>3875</v>
      </c>
      <c r="K165" s="185">
        <f t="shared" si="206"/>
        <v>0</v>
      </c>
      <c r="L165" s="73">
        <f t="shared" si="206"/>
        <v>3875</v>
      </c>
      <c r="M165" s="184">
        <f t="shared" si="206"/>
        <v>0</v>
      </c>
      <c r="N165" s="185">
        <f t="shared" si="206"/>
        <v>0</v>
      </c>
      <c r="O165" s="73">
        <f t="shared" si="206"/>
        <v>0</v>
      </c>
      <c r="P165" s="77"/>
    </row>
    <row r="166" spans="1:16" ht="24" x14ac:dyDescent="0.25">
      <c r="A166" s="1373">
        <v>2510</v>
      </c>
      <c r="B166" s="82" t="s">
        <v>182</v>
      </c>
      <c r="C166" s="83">
        <f t="shared" si="139"/>
        <v>4574</v>
      </c>
      <c r="D166" s="194">
        <f>SUM(D167:D170)</f>
        <v>699</v>
      </c>
      <c r="E166" s="195">
        <f t="shared" ref="E166:O166" si="207">SUM(E167:E170)</f>
        <v>0</v>
      </c>
      <c r="F166" s="134">
        <f t="shared" si="207"/>
        <v>699</v>
      </c>
      <c r="G166" s="194">
        <f t="shared" si="207"/>
        <v>0</v>
      </c>
      <c r="H166" s="195">
        <f t="shared" si="207"/>
        <v>0</v>
      </c>
      <c r="I166" s="134">
        <f t="shared" si="207"/>
        <v>0</v>
      </c>
      <c r="J166" s="194">
        <f t="shared" si="207"/>
        <v>3875</v>
      </c>
      <c r="K166" s="195">
        <f t="shared" si="207"/>
        <v>0</v>
      </c>
      <c r="L166" s="134">
        <f t="shared" si="207"/>
        <v>3875</v>
      </c>
      <c r="M166" s="194">
        <f t="shared" si="207"/>
        <v>0</v>
      </c>
      <c r="N166" s="195">
        <f t="shared" si="207"/>
        <v>0</v>
      </c>
      <c r="O166" s="134">
        <f t="shared" si="207"/>
        <v>0</v>
      </c>
      <c r="P166" s="49"/>
    </row>
    <row r="167" spans="1:16" ht="24" customHeight="1" x14ac:dyDescent="0.25">
      <c r="A167" s="51">
        <v>2512</v>
      </c>
      <c r="B167" s="89" t="s">
        <v>183</v>
      </c>
      <c r="C167" s="90">
        <f t="shared" si="139"/>
        <v>3875</v>
      </c>
      <c r="D167" s="196"/>
      <c r="E167" s="197"/>
      <c r="F167" s="55">
        <f t="shared" ref="F167:F172" si="208">D167+E167</f>
        <v>0</v>
      </c>
      <c r="G167" s="53"/>
      <c r="H167" s="54"/>
      <c r="I167" s="55">
        <f t="shared" ref="I167:I172" si="209">G167+H167</f>
        <v>0</v>
      </c>
      <c r="J167" s="53">
        <v>3875</v>
      </c>
      <c r="K167" s="54"/>
      <c r="L167" s="55">
        <f t="shared" ref="L167:L172" si="210">K167+J167</f>
        <v>3875</v>
      </c>
      <c r="M167" s="53"/>
      <c r="N167" s="54"/>
      <c r="O167" s="55">
        <f t="shared" ref="O167:O172" si="211">N167+M167</f>
        <v>0</v>
      </c>
      <c r="P167" s="57"/>
    </row>
    <row r="168" spans="1:16" ht="36" hidden="1" customHeight="1" x14ac:dyDescent="0.25">
      <c r="A168" s="51">
        <v>2513</v>
      </c>
      <c r="B168" s="89" t="s">
        <v>184</v>
      </c>
      <c r="C168" s="90">
        <f t="shared" si="139"/>
        <v>0</v>
      </c>
      <c r="D168" s="196"/>
      <c r="E168" s="197"/>
      <c r="F168" s="55">
        <f t="shared" si="208"/>
        <v>0</v>
      </c>
      <c r="G168" s="53"/>
      <c r="H168" s="54"/>
      <c r="I168" s="55">
        <f t="shared" si="209"/>
        <v>0</v>
      </c>
      <c r="J168" s="53"/>
      <c r="K168" s="54"/>
      <c r="L168" s="55">
        <f t="shared" si="210"/>
        <v>0</v>
      </c>
      <c r="M168" s="53"/>
      <c r="N168" s="54"/>
      <c r="O168" s="55">
        <f t="shared" si="211"/>
        <v>0</v>
      </c>
      <c r="P168" s="57"/>
    </row>
    <row r="169" spans="1:16" ht="24" hidden="1" customHeight="1" x14ac:dyDescent="0.25">
      <c r="A169" s="51">
        <v>2515</v>
      </c>
      <c r="B169" s="89" t="s">
        <v>185</v>
      </c>
      <c r="C169" s="90">
        <f t="shared" si="139"/>
        <v>0</v>
      </c>
      <c r="D169" s="196"/>
      <c r="E169" s="197"/>
      <c r="F169" s="55">
        <f t="shared" si="208"/>
        <v>0</v>
      </c>
      <c r="G169" s="53"/>
      <c r="H169" s="54"/>
      <c r="I169" s="55">
        <f t="shared" si="209"/>
        <v>0</v>
      </c>
      <c r="J169" s="53"/>
      <c r="K169" s="54"/>
      <c r="L169" s="55">
        <f t="shared" si="210"/>
        <v>0</v>
      </c>
      <c r="M169" s="53"/>
      <c r="N169" s="54"/>
      <c r="O169" s="55">
        <f t="shared" si="211"/>
        <v>0</v>
      </c>
      <c r="P169" s="57"/>
    </row>
    <row r="170" spans="1:16" ht="24" customHeight="1" x14ac:dyDescent="0.25">
      <c r="A170" s="51">
        <v>2519</v>
      </c>
      <c r="B170" s="89" t="s">
        <v>186</v>
      </c>
      <c r="C170" s="90">
        <f t="shared" si="139"/>
        <v>699</v>
      </c>
      <c r="D170" s="196">
        <v>699</v>
      </c>
      <c r="E170" s="197"/>
      <c r="F170" s="55">
        <f t="shared" si="208"/>
        <v>699</v>
      </c>
      <c r="G170" s="53"/>
      <c r="H170" s="54"/>
      <c r="I170" s="55">
        <f t="shared" si="209"/>
        <v>0</v>
      </c>
      <c r="J170" s="53"/>
      <c r="K170" s="54"/>
      <c r="L170" s="55">
        <f t="shared" si="210"/>
        <v>0</v>
      </c>
      <c r="M170" s="53"/>
      <c r="N170" s="54"/>
      <c r="O170" s="55">
        <f t="shared" si="211"/>
        <v>0</v>
      </c>
      <c r="P170" s="57"/>
    </row>
    <row r="171" spans="1:16" ht="24" hidden="1" customHeight="1" x14ac:dyDescent="0.25">
      <c r="A171" s="189">
        <v>2520</v>
      </c>
      <c r="B171" s="89" t="s">
        <v>187</v>
      </c>
      <c r="C171" s="90">
        <f t="shared" si="139"/>
        <v>0</v>
      </c>
      <c r="D171" s="196"/>
      <c r="E171" s="197"/>
      <c r="F171" s="55">
        <f t="shared" si="208"/>
        <v>0</v>
      </c>
      <c r="G171" s="53"/>
      <c r="H171" s="54"/>
      <c r="I171" s="55">
        <f t="shared" si="209"/>
        <v>0</v>
      </c>
      <c r="J171" s="53"/>
      <c r="K171" s="54"/>
      <c r="L171" s="55">
        <f t="shared" si="210"/>
        <v>0</v>
      </c>
      <c r="M171" s="53"/>
      <c r="N171" s="54"/>
      <c r="O171" s="55">
        <f t="shared" si="211"/>
        <v>0</v>
      </c>
      <c r="P171" s="57"/>
    </row>
    <row r="172" spans="1:16" s="207" customFormat="1" ht="36" hidden="1" customHeight="1" x14ac:dyDescent="0.25">
      <c r="A172" s="23">
        <v>2800</v>
      </c>
      <c r="B172" s="82" t="s">
        <v>188</v>
      </c>
      <c r="C172" s="83">
        <f t="shared" si="139"/>
        <v>0</v>
      </c>
      <c r="D172" s="46"/>
      <c r="E172" s="47"/>
      <c r="F172" s="134">
        <f t="shared" si="208"/>
        <v>0</v>
      </c>
      <c r="G172" s="46"/>
      <c r="H172" s="47"/>
      <c r="I172" s="134">
        <f t="shared" si="209"/>
        <v>0</v>
      </c>
      <c r="J172" s="46"/>
      <c r="K172" s="47"/>
      <c r="L172" s="134">
        <f t="shared" si="210"/>
        <v>0</v>
      </c>
      <c r="M172" s="46"/>
      <c r="N172" s="47"/>
      <c r="O172" s="134">
        <f t="shared" si="211"/>
        <v>0</v>
      </c>
      <c r="P172" s="49"/>
    </row>
    <row r="173" spans="1:16" hidden="1" x14ac:dyDescent="0.25">
      <c r="A173" s="177">
        <v>3000</v>
      </c>
      <c r="B173" s="177" t="s">
        <v>189</v>
      </c>
      <c r="C173" s="178">
        <f t="shared" si="139"/>
        <v>0</v>
      </c>
      <c r="D173" s="179">
        <f>SUM(D174,D184)</f>
        <v>0</v>
      </c>
      <c r="E173" s="180">
        <f t="shared" ref="E173:F173" si="212">SUM(E174,E184)</f>
        <v>0</v>
      </c>
      <c r="F173" s="181">
        <f t="shared" si="212"/>
        <v>0</v>
      </c>
      <c r="G173" s="179">
        <f>SUM(G174,G184)</f>
        <v>0</v>
      </c>
      <c r="H173" s="180">
        <f t="shared" ref="H173:I173" si="213">SUM(H174,H184)</f>
        <v>0</v>
      </c>
      <c r="I173" s="181">
        <f t="shared" si="213"/>
        <v>0</v>
      </c>
      <c r="J173" s="179">
        <f>SUM(J174,J184)</f>
        <v>0</v>
      </c>
      <c r="K173" s="180">
        <f t="shared" ref="K173:L173" si="214">SUM(K174,K184)</f>
        <v>0</v>
      </c>
      <c r="L173" s="181">
        <f t="shared" si="214"/>
        <v>0</v>
      </c>
      <c r="M173" s="179">
        <f>SUM(M174,M184)</f>
        <v>0</v>
      </c>
      <c r="N173" s="180">
        <f t="shared" ref="N173:O173" si="215">SUM(N174,N184)</f>
        <v>0</v>
      </c>
      <c r="O173" s="181">
        <f t="shared" si="215"/>
        <v>0</v>
      </c>
      <c r="P173" s="182"/>
    </row>
    <row r="174" spans="1:16" ht="24" hidden="1" x14ac:dyDescent="0.25">
      <c r="A174" s="69">
        <v>3200</v>
      </c>
      <c r="B174" s="208" t="s">
        <v>190</v>
      </c>
      <c r="C174" s="70">
        <f t="shared" si="139"/>
        <v>0</v>
      </c>
      <c r="D174" s="184">
        <f>SUM(D175,D179)</f>
        <v>0</v>
      </c>
      <c r="E174" s="185">
        <f t="shared" ref="E174:O174" si="216">SUM(E175,E179)</f>
        <v>0</v>
      </c>
      <c r="F174" s="73">
        <f t="shared" si="216"/>
        <v>0</v>
      </c>
      <c r="G174" s="184">
        <f t="shared" si="216"/>
        <v>0</v>
      </c>
      <c r="H174" s="185">
        <f t="shared" si="216"/>
        <v>0</v>
      </c>
      <c r="I174" s="73">
        <f t="shared" si="216"/>
        <v>0</v>
      </c>
      <c r="J174" s="184">
        <f t="shared" si="216"/>
        <v>0</v>
      </c>
      <c r="K174" s="185">
        <f t="shared" si="216"/>
        <v>0</v>
      </c>
      <c r="L174" s="73">
        <f t="shared" si="216"/>
        <v>0</v>
      </c>
      <c r="M174" s="184">
        <f t="shared" si="216"/>
        <v>0</v>
      </c>
      <c r="N174" s="185">
        <f t="shared" si="216"/>
        <v>0</v>
      </c>
      <c r="O174" s="73">
        <f t="shared" si="216"/>
        <v>0</v>
      </c>
      <c r="P174" s="77"/>
    </row>
    <row r="175" spans="1:16" ht="36" hidden="1" x14ac:dyDescent="0.25">
      <c r="A175" s="1373">
        <v>3260</v>
      </c>
      <c r="B175" s="82" t="s">
        <v>191</v>
      </c>
      <c r="C175" s="83">
        <f t="shared" si="139"/>
        <v>0</v>
      </c>
      <c r="D175" s="194">
        <f>SUM(D176:D178)</f>
        <v>0</v>
      </c>
      <c r="E175" s="195">
        <f t="shared" ref="E175:F175" si="217">SUM(E176:E178)</f>
        <v>0</v>
      </c>
      <c r="F175" s="134">
        <f t="shared" si="217"/>
        <v>0</v>
      </c>
      <c r="G175" s="194">
        <f>SUM(G176:G178)</f>
        <v>0</v>
      </c>
      <c r="H175" s="195">
        <f t="shared" ref="H175:I175" si="218">SUM(H176:H178)</f>
        <v>0</v>
      </c>
      <c r="I175" s="134">
        <f t="shared" si="218"/>
        <v>0</v>
      </c>
      <c r="J175" s="194">
        <f>SUM(J176:J178)</f>
        <v>0</v>
      </c>
      <c r="K175" s="195">
        <f t="shared" ref="K175:L175" si="219">SUM(K176:K178)</f>
        <v>0</v>
      </c>
      <c r="L175" s="134">
        <f t="shared" si="219"/>
        <v>0</v>
      </c>
      <c r="M175" s="194">
        <f>SUM(M176:M178)</f>
        <v>0</v>
      </c>
      <c r="N175" s="195">
        <f t="shared" ref="N175:O175" si="220">SUM(N176:N178)</f>
        <v>0</v>
      </c>
      <c r="O175" s="134">
        <f t="shared" si="220"/>
        <v>0</v>
      </c>
      <c r="P175" s="49"/>
    </row>
    <row r="176" spans="1:16" ht="24" hidden="1" customHeight="1" x14ac:dyDescent="0.25">
      <c r="A176" s="51">
        <v>3261</v>
      </c>
      <c r="B176" s="89" t="s">
        <v>192</v>
      </c>
      <c r="C176" s="90">
        <f t="shared" si="139"/>
        <v>0</v>
      </c>
      <c r="D176" s="196"/>
      <c r="E176" s="197"/>
      <c r="F176" s="55">
        <f t="shared" ref="F176:F178" si="221">D176+E176</f>
        <v>0</v>
      </c>
      <c r="G176" s="53"/>
      <c r="H176" s="54"/>
      <c r="I176" s="55">
        <f t="shared" ref="I176:I178" si="222">G176+H176</f>
        <v>0</v>
      </c>
      <c r="J176" s="53"/>
      <c r="K176" s="54"/>
      <c r="L176" s="55">
        <f t="shared" ref="L176:L178" si="223">K176+J176</f>
        <v>0</v>
      </c>
      <c r="M176" s="53"/>
      <c r="N176" s="54"/>
      <c r="O176" s="55">
        <f t="shared" ref="O176:O178" si="224">N176+M176</f>
        <v>0</v>
      </c>
      <c r="P176" s="57"/>
    </row>
    <row r="177" spans="1:16" ht="36" hidden="1" customHeight="1" x14ac:dyDescent="0.25">
      <c r="A177" s="51">
        <v>3262</v>
      </c>
      <c r="B177" s="89" t="s">
        <v>193</v>
      </c>
      <c r="C177" s="90">
        <f t="shared" si="139"/>
        <v>0</v>
      </c>
      <c r="D177" s="196"/>
      <c r="E177" s="197"/>
      <c r="F177" s="55">
        <f t="shared" si="221"/>
        <v>0</v>
      </c>
      <c r="G177" s="53"/>
      <c r="H177" s="54"/>
      <c r="I177" s="55">
        <f t="shared" si="222"/>
        <v>0</v>
      </c>
      <c r="J177" s="53"/>
      <c r="K177" s="54"/>
      <c r="L177" s="55">
        <f t="shared" si="223"/>
        <v>0</v>
      </c>
      <c r="M177" s="53"/>
      <c r="N177" s="54"/>
      <c r="O177" s="55">
        <f t="shared" si="224"/>
        <v>0</v>
      </c>
      <c r="P177" s="57"/>
    </row>
    <row r="178" spans="1:16" ht="24" hidden="1" customHeight="1" x14ac:dyDescent="0.25">
      <c r="A178" s="51">
        <v>3263</v>
      </c>
      <c r="B178" s="89" t="s">
        <v>194</v>
      </c>
      <c r="C178" s="90">
        <f t="shared" ref="C178:C241" si="225">F178+I178+L178+O178</f>
        <v>0</v>
      </c>
      <c r="D178" s="196"/>
      <c r="E178" s="197"/>
      <c r="F178" s="55">
        <f t="shared" si="221"/>
        <v>0</v>
      </c>
      <c r="G178" s="53"/>
      <c r="H178" s="54"/>
      <c r="I178" s="55">
        <f t="shared" si="222"/>
        <v>0</v>
      </c>
      <c r="J178" s="53"/>
      <c r="K178" s="54"/>
      <c r="L178" s="55">
        <f t="shared" si="223"/>
        <v>0</v>
      </c>
      <c r="M178" s="53"/>
      <c r="N178" s="54"/>
      <c r="O178" s="55">
        <f t="shared" si="224"/>
        <v>0</v>
      </c>
      <c r="P178" s="57"/>
    </row>
    <row r="179" spans="1:16" ht="84" hidden="1" x14ac:dyDescent="0.25">
      <c r="A179" s="1373">
        <v>3290</v>
      </c>
      <c r="B179" s="82" t="s">
        <v>195</v>
      </c>
      <c r="C179" s="209">
        <f t="shared" si="225"/>
        <v>0</v>
      </c>
      <c r="D179" s="194">
        <f>SUM(D180:D183)</f>
        <v>0</v>
      </c>
      <c r="E179" s="195">
        <f t="shared" ref="E179:O179" si="226">SUM(E180:E183)</f>
        <v>0</v>
      </c>
      <c r="F179" s="134">
        <f t="shared" si="226"/>
        <v>0</v>
      </c>
      <c r="G179" s="194">
        <f t="shared" si="226"/>
        <v>0</v>
      </c>
      <c r="H179" s="195">
        <f t="shared" si="226"/>
        <v>0</v>
      </c>
      <c r="I179" s="134">
        <f t="shared" si="226"/>
        <v>0</v>
      </c>
      <c r="J179" s="194">
        <f t="shared" si="226"/>
        <v>0</v>
      </c>
      <c r="K179" s="195">
        <f t="shared" si="226"/>
        <v>0</v>
      </c>
      <c r="L179" s="134">
        <f t="shared" si="226"/>
        <v>0</v>
      </c>
      <c r="M179" s="194">
        <f t="shared" si="226"/>
        <v>0</v>
      </c>
      <c r="N179" s="195">
        <f t="shared" si="226"/>
        <v>0</v>
      </c>
      <c r="O179" s="134">
        <f t="shared" si="226"/>
        <v>0</v>
      </c>
      <c r="P179" s="49"/>
    </row>
    <row r="180" spans="1:16" ht="72" hidden="1" customHeight="1" x14ac:dyDescent="0.25">
      <c r="A180" s="51">
        <v>3291</v>
      </c>
      <c r="B180" s="89" t="s">
        <v>196</v>
      </c>
      <c r="C180" s="90">
        <f t="shared" si="225"/>
        <v>0</v>
      </c>
      <c r="D180" s="196"/>
      <c r="E180" s="197"/>
      <c r="F180" s="55">
        <f t="shared" ref="F180:F183" si="227">D180+E180</f>
        <v>0</v>
      </c>
      <c r="G180" s="53"/>
      <c r="H180" s="54"/>
      <c r="I180" s="55">
        <f t="shared" ref="I180:I183" si="228">G180+H180</f>
        <v>0</v>
      </c>
      <c r="J180" s="53"/>
      <c r="K180" s="54"/>
      <c r="L180" s="55">
        <f t="shared" ref="L180:L183" si="229">K180+J180</f>
        <v>0</v>
      </c>
      <c r="M180" s="53"/>
      <c r="N180" s="54"/>
      <c r="O180" s="55">
        <f t="shared" ref="O180:O183" si="230">N180+M180</f>
        <v>0</v>
      </c>
      <c r="P180" s="57"/>
    </row>
    <row r="181" spans="1:16" ht="72" hidden="1" customHeight="1" x14ac:dyDescent="0.25">
      <c r="A181" s="51">
        <v>3292</v>
      </c>
      <c r="B181" s="89" t="s">
        <v>197</v>
      </c>
      <c r="C181" s="90">
        <f t="shared" si="225"/>
        <v>0</v>
      </c>
      <c r="D181" s="196"/>
      <c r="E181" s="197"/>
      <c r="F181" s="55">
        <f t="shared" si="227"/>
        <v>0</v>
      </c>
      <c r="G181" s="53"/>
      <c r="H181" s="54"/>
      <c r="I181" s="55">
        <f t="shared" si="228"/>
        <v>0</v>
      </c>
      <c r="J181" s="53"/>
      <c r="K181" s="54"/>
      <c r="L181" s="55">
        <f t="shared" si="229"/>
        <v>0</v>
      </c>
      <c r="M181" s="53"/>
      <c r="N181" s="54"/>
      <c r="O181" s="55">
        <f t="shared" si="230"/>
        <v>0</v>
      </c>
      <c r="P181" s="57"/>
    </row>
    <row r="182" spans="1:16" ht="72" hidden="1" customHeight="1" x14ac:dyDescent="0.25">
      <c r="A182" s="51">
        <v>3293</v>
      </c>
      <c r="B182" s="89" t="s">
        <v>198</v>
      </c>
      <c r="C182" s="90">
        <f t="shared" si="225"/>
        <v>0</v>
      </c>
      <c r="D182" s="196"/>
      <c r="E182" s="197"/>
      <c r="F182" s="55">
        <f t="shared" si="227"/>
        <v>0</v>
      </c>
      <c r="G182" s="53"/>
      <c r="H182" s="54"/>
      <c r="I182" s="55">
        <f t="shared" si="228"/>
        <v>0</v>
      </c>
      <c r="J182" s="53"/>
      <c r="K182" s="54"/>
      <c r="L182" s="55">
        <f t="shared" si="229"/>
        <v>0</v>
      </c>
      <c r="M182" s="53"/>
      <c r="N182" s="54"/>
      <c r="O182" s="55">
        <f t="shared" si="230"/>
        <v>0</v>
      </c>
      <c r="P182" s="57"/>
    </row>
    <row r="183" spans="1:16" ht="60" hidden="1" customHeight="1" x14ac:dyDescent="0.25">
      <c r="A183" s="210">
        <v>3294</v>
      </c>
      <c r="B183" s="89" t="s">
        <v>199</v>
      </c>
      <c r="C183" s="209">
        <f t="shared" si="225"/>
        <v>0</v>
      </c>
      <c r="D183" s="211"/>
      <c r="E183" s="212"/>
      <c r="F183" s="213">
        <f t="shared" si="227"/>
        <v>0</v>
      </c>
      <c r="G183" s="214"/>
      <c r="H183" s="215"/>
      <c r="I183" s="213">
        <f t="shared" si="228"/>
        <v>0</v>
      </c>
      <c r="J183" s="214"/>
      <c r="K183" s="215"/>
      <c r="L183" s="213">
        <f t="shared" si="229"/>
        <v>0</v>
      </c>
      <c r="M183" s="214"/>
      <c r="N183" s="215"/>
      <c r="O183" s="213">
        <f t="shared" si="230"/>
        <v>0</v>
      </c>
      <c r="P183" s="216"/>
    </row>
    <row r="184" spans="1:16" ht="48" hidden="1" x14ac:dyDescent="0.25">
      <c r="A184" s="217">
        <v>3300</v>
      </c>
      <c r="B184" s="208" t="s">
        <v>200</v>
      </c>
      <c r="C184" s="218">
        <f t="shared" si="225"/>
        <v>0</v>
      </c>
      <c r="D184" s="219">
        <f>SUM(D185:D186)</f>
        <v>0</v>
      </c>
      <c r="E184" s="220">
        <f t="shared" ref="E184:O184" si="231">SUM(E185:E186)</f>
        <v>0</v>
      </c>
      <c r="F184" s="221">
        <f t="shared" si="231"/>
        <v>0</v>
      </c>
      <c r="G184" s="219">
        <f t="shared" si="231"/>
        <v>0</v>
      </c>
      <c r="H184" s="220">
        <f t="shared" si="231"/>
        <v>0</v>
      </c>
      <c r="I184" s="221">
        <f t="shared" si="231"/>
        <v>0</v>
      </c>
      <c r="J184" s="219">
        <f t="shared" si="231"/>
        <v>0</v>
      </c>
      <c r="K184" s="220">
        <f t="shared" si="231"/>
        <v>0</v>
      </c>
      <c r="L184" s="221">
        <f t="shared" si="231"/>
        <v>0</v>
      </c>
      <c r="M184" s="219">
        <f t="shared" si="231"/>
        <v>0</v>
      </c>
      <c r="N184" s="220">
        <f t="shared" si="231"/>
        <v>0</v>
      </c>
      <c r="O184" s="221">
        <f t="shared" si="231"/>
        <v>0</v>
      </c>
      <c r="P184" s="222"/>
    </row>
    <row r="185" spans="1:16" ht="48" hidden="1" customHeight="1" x14ac:dyDescent="0.25">
      <c r="A185" s="137">
        <v>3310</v>
      </c>
      <c r="B185" s="138" t="s">
        <v>201</v>
      </c>
      <c r="C185" s="143">
        <f t="shared" si="225"/>
        <v>0</v>
      </c>
      <c r="D185" s="203"/>
      <c r="E185" s="204"/>
      <c r="F185" s="141">
        <f t="shared" ref="F185:F186" si="232">D185+E185</f>
        <v>0</v>
      </c>
      <c r="G185" s="144"/>
      <c r="H185" s="145"/>
      <c r="I185" s="141">
        <f t="shared" ref="I185:I186" si="233">G185+H185</f>
        <v>0</v>
      </c>
      <c r="J185" s="144"/>
      <c r="K185" s="145"/>
      <c r="L185" s="141">
        <f t="shared" ref="L185:L186" si="234">K185+J185</f>
        <v>0</v>
      </c>
      <c r="M185" s="144"/>
      <c r="N185" s="145"/>
      <c r="O185" s="141">
        <f t="shared" ref="O185:O186" si="235">N185+M185</f>
        <v>0</v>
      </c>
      <c r="P185" s="129"/>
    </row>
    <row r="186" spans="1:16" ht="48.75" hidden="1" customHeight="1" x14ac:dyDescent="0.25">
      <c r="A186" s="44">
        <v>3320</v>
      </c>
      <c r="B186" s="82" t="s">
        <v>202</v>
      </c>
      <c r="C186" s="83">
        <f t="shared" si="225"/>
        <v>0</v>
      </c>
      <c r="D186" s="199"/>
      <c r="E186" s="200"/>
      <c r="F186" s="134">
        <f t="shared" si="232"/>
        <v>0</v>
      </c>
      <c r="G186" s="46"/>
      <c r="H186" s="47"/>
      <c r="I186" s="134">
        <f t="shared" si="233"/>
        <v>0</v>
      </c>
      <c r="J186" s="46"/>
      <c r="K186" s="47"/>
      <c r="L186" s="134">
        <f t="shared" si="234"/>
        <v>0</v>
      </c>
      <c r="M186" s="46"/>
      <c r="N186" s="47"/>
      <c r="O186" s="134">
        <f t="shared" si="235"/>
        <v>0</v>
      </c>
      <c r="P186" s="49"/>
    </row>
    <row r="187" spans="1:16" hidden="1" x14ac:dyDescent="0.25">
      <c r="A187" s="223">
        <v>4000</v>
      </c>
      <c r="B187" s="177" t="s">
        <v>203</v>
      </c>
      <c r="C187" s="178">
        <f t="shared" si="225"/>
        <v>0</v>
      </c>
      <c r="D187" s="179">
        <f>SUM(D188,D191)</f>
        <v>0</v>
      </c>
      <c r="E187" s="180">
        <f t="shared" ref="E187:F187" si="236">SUM(E188,E191)</f>
        <v>0</v>
      </c>
      <c r="F187" s="181">
        <f t="shared" si="236"/>
        <v>0</v>
      </c>
      <c r="G187" s="179">
        <f>SUM(G188,G191)</f>
        <v>0</v>
      </c>
      <c r="H187" s="180">
        <f t="shared" ref="H187:I187" si="237">SUM(H188,H191)</f>
        <v>0</v>
      </c>
      <c r="I187" s="181">
        <f t="shared" si="237"/>
        <v>0</v>
      </c>
      <c r="J187" s="179">
        <f>SUM(J188,J191)</f>
        <v>0</v>
      </c>
      <c r="K187" s="180">
        <f t="shared" ref="K187:L187" si="238">SUM(K188,K191)</f>
        <v>0</v>
      </c>
      <c r="L187" s="181">
        <f t="shared" si="238"/>
        <v>0</v>
      </c>
      <c r="M187" s="179">
        <f>SUM(M188,M191)</f>
        <v>0</v>
      </c>
      <c r="N187" s="180">
        <f t="shared" ref="N187:O187" si="239">SUM(N188,N191)</f>
        <v>0</v>
      </c>
      <c r="O187" s="181">
        <f t="shared" si="239"/>
        <v>0</v>
      </c>
      <c r="P187" s="182"/>
    </row>
    <row r="188" spans="1:16" ht="24" hidden="1" x14ac:dyDescent="0.25">
      <c r="A188" s="224">
        <v>4200</v>
      </c>
      <c r="B188" s="183" t="s">
        <v>204</v>
      </c>
      <c r="C188" s="70">
        <f t="shared" si="225"/>
        <v>0</v>
      </c>
      <c r="D188" s="184">
        <f>SUM(D189,D190)</f>
        <v>0</v>
      </c>
      <c r="E188" s="185">
        <f t="shared" ref="E188:F188" si="240">SUM(E189,E190)</f>
        <v>0</v>
      </c>
      <c r="F188" s="73">
        <f t="shared" si="240"/>
        <v>0</v>
      </c>
      <c r="G188" s="184">
        <f>SUM(G189,G190)</f>
        <v>0</v>
      </c>
      <c r="H188" s="185">
        <f t="shared" ref="H188:I188" si="241">SUM(H189,H190)</f>
        <v>0</v>
      </c>
      <c r="I188" s="73">
        <f t="shared" si="241"/>
        <v>0</v>
      </c>
      <c r="J188" s="184">
        <f>SUM(J189,J190)</f>
        <v>0</v>
      </c>
      <c r="K188" s="185">
        <f t="shared" ref="K188:L188" si="242">SUM(K189,K190)</f>
        <v>0</v>
      </c>
      <c r="L188" s="73">
        <f t="shared" si="242"/>
        <v>0</v>
      </c>
      <c r="M188" s="184">
        <f>SUM(M189,M190)</f>
        <v>0</v>
      </c>
      <c r="N188" s="185">
        <f t="shared" ref="N188:O188" si="243">SUM(N189,N190)</f>
        <v>0</v>
      </c>
      <c r="O188" s="73">
        <f t="shared" si="243"/>
        <v>0</v>
      </c>
      <c r="P188" s="77"/>
    </row>
    <row r="189" spans="1:16" ht="36" hidden="1" customHeight="1" x14ac:dyDescent="0.25">
      <c r="A189" s="1373">
        <v>4240</v>
      </c>
      <c r="B189" s="82" t="s">
        <v>205</v>
      </c>
      <c r="C189" s="83">
        <f t="shared" si="225"/>
        <v>0</v>
      </c>
      <c r="D189" s="199"/>
      <c r="E189" s="200"/>
      <c r="F189" s="134">
        <f t="shared" ref="F189:F190" si="244">D189+E189</f>
        <v>0</v>
      </c>
      <c r="G189" s="46"/>
      <c r="H189" s="47"/>
      <c r="I189" s="134">
        <f t="shared" ref="I189:I190" si="245">G189+H189</f>
        <v>0</v>
      </c>
      <c r="J189" s="46"/>
      <c r="K189" s="47"/>
      <c r="L189" s="134">
        <f t="shared" ref="L189:L190" si="246">K189+J189</f>
        <v>0</v>
      </c>
      <c r="M189" s="46"/>
      <c r="N189" s="47"/>
      <c r="O189" s="134">
        <f t="shared" ref="O189:O190" si="247">N189+M189</f>
        <v>0</v>
      </c>
      <c r="P189" s="49"/>
    </row>
    <row r="190" spans="1:16" ht="24" hidden="1" customHeight="1" x14ac:dyDescent="0.25">
      <c r="A190" s="189">
        <v>4250</v>
      </c>
      <c r="B190" s="89" t="s">
        <v>206</v>
      </c>
      <c r="C190" s="90">
        <f t="shared" si="225"/>
        <v>0</v>
      </c>
      <c r="D190" s="196"/>
      <c r="E190" s="197"/>
      <c r="F190" s="55">
        <f t="shared" si="244"/>
        <v>0</v>
      </c>
      <c r="G190" s="53"/>
      <c r="H190" s="54"/>
      <c r="I190" s="55">
        <f t="shared" si="245"/>
        <v>0</v>
      </c>
      <c r="J190" s="53"/>
      <c r="K190" s="54"/>
      <c r="L190" s="55">
        <f t="shared" si="246"/>
        <v>0</v>
      </c>
      <c r="M190" s="53"/>
      <c r="N190" s="54"/>
      <c r="O190" s="55">
        <f t="shared" si="247"/>
        <v>0</v>
      </c>
      <c r="P190" s="57"/>
    </row>
    <row r="191" spans="1:16" hidden="1" x14ac:dyDescent="0.25">
      <c r="A191" s="69">
        <v>4300</v>
      </c>
      <c r="B191" s="183" t="s">
        <v>207</v>
      </c>
      <c r="C191" s="70">
        <f t="shared" si="225"/>
        <v>0</v>
      </c>
      <c r="D191" s="184">
        <f>SUM(D192)</f>
        <v>0</v>
      </c>
      <c r="E191" s="185">
        <f t="shared" ref="E191:F191" si="248">SUM(E192)</f>
        <v>0</v>
      </c>
      <c r="F191" s="73">
        <f t="shared" si="248"/>
        <v>0</v>
      </c>
      <c r="G191" s="184">
        <f>SUM(G192)</f>
        <v>0</v>
      </c>
      <c r="H191" s="185">
        <f t="shared" ref="H191:I191" si="249">SUM(H192)</f>
        <v>0</v>
      </c>
      <c r="I191" s="73">
        <f t="shared" si="249"/>
        <v>0</v>
      </c>
      <c r="J191" s="184">
        <f>SUM(J192)</f>
        <v>0</v>
      </c>
      <c r="K191" s="185">
        <f t="shared" ref="K191:L191" si="250">SUM(K192)</f>
        <v>0</v>
      </c>
      <c r="L191" s="73">
        <f t="shared" si="250"/>
        <v>0</v>
      </c>
      <c r="M191" s="184">
        <f>SUM(M192)</f>
        <v>0</v>
      </c>
      <c r="N191" s="185">
        <f t="shared" ref="N191:O191" si="251">SUM(N192)</f>
        <v>0</v>
      </c>
      <c r="O191" s="73">
        <f t="shared" si="251"/>
        <v>0</v>
      </c>
      <c r="P191" s="77"/>
    </row>
    <row r="192" spans="1:16" ht="24" hidden="1" x14ac:dyDescent="0.25">
      <c r="A192" s="1373">
        <v>4310</v>
      </c>
      <c r="B192" s="82" t="s">
        <v>208</v>
      </c>
      <c r="C192" s="83">
        <f t="shared" si="225"/>
        <v>0</v>
      </c>
      <c r="D192" s="194">
        <f>SUM(D193:D193)</f>
        <v>0</v>
      </c>
      <c r="E192" s="195">
        <f t="shared" ref="E192:F192" si="252">SUM(E193:E193)</f>
        <v>0</v>
      </c>
      <c r="F192" s="134">
        <f t="shared" si="252"/>
        <v>0</v>
      </c>
      <c r="G192" s="194">
        <f>SUM(G193:G193)</f>
        <v>0</v>
      </c>
      <c r="H192" s="195">
        <f t="shared" ref="H192:I192" si="253">SUM(H193:H193)</f>
        <v>0</v>
      </c>
      <c r="I192" s="134">
        <f t="shared" si="253"/>
        <v>0</v>
      </c>
      <c r="J192" s="194">
        <f>SUM(J193:J193)</f>
        <v>0</v>
      </c>
      <c r="K192" s="195">
        <f t="shared" ref="K192:L192" si="254">SUM(K193:K193)</f>
        <v>0</v>
      </c>
      <c r="L192" s="134">
        <f t="shared" si="254"/>
        <v>0</v>
      </c>
      <c r="M192" s="194">
        <f>SUM(M193:M193)</f>
        <v>0</v>
      </c>
      <c r="N192" s="195">
        <f t="shared" ref="N192:O192" si="255">SUM(N193:N193)</f>
        <v>0</v>
      </c>
      <c r="O192" s="134">
        <f t="shared" si="255"/>
        <v>0</v>
      </c>
      <c r="P192" s="49"/>
    </row>
    <row r="193" spans="1:16" ht="36" hidden="1" customHeight="1" x14ac:dyDescent="0.25">
      <c r="A193" s="51">
        <v>4311</v>
      </c>
      <c r="B193" s="89" t="s">
        <v>209</v>
      </c>
      <c r="C193" s="90">
        <f t="shared" si="225"/>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225"/>
        <v>3538</v>
      </c>
      <c r="D194" s="173">
        <f t="shared" ref="D194:O194" si="256">SUM(D195,D230,D269,D283)</f>
        <v>2500</v>
      </c>
      <c r="E194" s="174">
        <f t="shared" si="256"/>
        <v>0</v>
      </c>
      <c r="F194" s="175">
        <f t="shared" si="256"/>
        <v>2500</v>
      </c>
      <c r="G194" s="173">
        <f t="shared" si="256"/>
        <v>0</v>
      </c>
      <c r="H194" s="174">
        <f t="shared" si="256"/>
        <v>0</v>
      </c>
      <c r="I194" s="175">
        <f t="shared" si="256"/>
        <v>0</v>
      </c>
      <c r="J194" s="173">
        <f t="shared" si="256"/>
        <v>1038</v>
      </c>
      <c r="K194" s="174">
        <f t="shared" si="256"/>
        <v>0</v>
      </c>
      <c r="L194" s="175">
        <f t="shared" si="256"/>
        <v>1038</v>
      </c>
      <c r="M194" s="173">
        <f t="shared" si="256"/>
        <v>0</v>
      </c>
      <c r="N194" s="174">
        <f t="shared" si="256"/>
        <v>0</v>
      </c>
      <c r="O194" s="175">
        <f t="shared" si="256"/>
        <v>0</v>
      </c>
      <c r="P194" s="176"/>
    </row>
    <row r="195" spans="1:16" x14ac:dyDescent="0.25">
      <c r="A195" s="177">
        <v>5000</v>
      </c>
      <c r="B195" s="177" t="s">
        <v>211</v>
      </c>
      <c r="C195" s="178">
        <f t="shared" si="225"/>
        <v>2500</v>
      </c>
      <c r="D195" s="179">
        <f>D196+D204</f>
        <v>2500</v>
      </c>
      <c r="E195" s="180">
        <f t="shared" ref="E195:F195" si="257">E196+E204</f>
        <v>0</v>
      </c>
      <c r="F195" s="181">
        <f t="shared" si="257"/>
        <v>2500</v>
      </c>
      <c r="G195" s="179">
        <f>G196+G204</f>
        <v>0</v>
      </c>
      <c r="H195" s="180">
        <f t="shared" ref="H195:I195" si="258">H196+H204</f>
        <v>0</v>
      </c>
      <c r="I195" s="181">
        <f t="shared" si="258"/>
        <v>0</v>
      </c>
      <c r="J195" s="179">
        <f>J196+J204</f>
        <v>0</v>
      </c>
      <c r="K195" s="180">
        <f t="shared" ref="K195:L195" si="259">K196+K204</f>
        <v>0</v>
      </c>
      <c r="L195" s="181">
        <f t="shared" si="259"/>
        <v>0</v>
      </c>
      <c r="M195" s="179">
        <f>M196+M204</f>
        <v>0</v>
      </c>
      <c r="N195" s="180">
        <f t="shared" ref="N195:O195" si="260">N196+N204</f>
        <v>0</v>
      </c>
      <c r="O195" s="181">
        <f t="shared" si="260"/>
        <v>0</v>
      </c>
      <c r="P195" s="182"/>
    </row>
    <row r="196" spans="1:16" hidden="1" x14ac:dyDescent="0.25">
      <c r="A196" s="69">
        <v>5100</v>
      </c>
      <c r="B196" s="183" t="s">
        <v>212</v>
      </c>
      <c r="C196" s="70">
        <f t="shared" si="225"/>
        <v>0</v>
      </c>
      <c r="D196" s="184">
        <f>D197+D198+D201+D202+D203</f>
        <v>0</v>
      </c>
      <c r="E196" s="185">
        <f t="shared" ref="E196:F196" si="261">E197+E198+E201+E202+E203</f>
        <v>0</v>
      </c>
      <c r="F196" s="73">
        <f t="shared" si="261"/>
        <v>0</v>
      </c>
      <c r="G196" s="184">
        <f>G197+G198+G201+G202+G203</f>
        <v>0</v>
      </c>
      <c r="H196" s="185">
        <f t="shared" ref="H196:I196" si="262">H197+H198+H201+H202+H203</f>
        <v>0</v>
      </c>
      <c r="I196" s="73">
        <f t="shared" si="262"/>
        <v>0</v>
      </c>
      <c r="J196" s="184">
        <f>J197+J198+J201+J202+J203</f>
        <v>0</v>
      </c>
      <c r="K196" s="185">
        <f t="shared" ref="K196:L196" si="263">K197+K198+K201+K202+K203</f>
        <v>0</v>
      </c>
      <c r="L196" s="73">
        <f t="shared" si="263"/>
        <v>0</v>
      </c>
      <c r="M196" s="184">
        <f>M197+M198+M201+M202+M203</f>
        <v>0</v>
      </c>
      <c r="N196" s="185">
        <f t="shared" ref="N196:O196" si="264">N197+N198+N201+N202+N203</f>
        <v>0</v>
      </c>
      <c r="O196" s="73">
        <f t="shared" si="264"/>
        <v>0</v>
      </c>
      <c r="P196" s="77"/>
    </row>
    <row r="197" spans="1:16" ht="12" hidden="1" customHeight="1" x14ac:dyDescent="0.25">
      <c r="A197" s="1373">
        <v>5110</v>
      </c>
      <c r="B197" s="82" t="s">
        <v>213</v>
      </c>
      <c r="C197" s="83">
        <f t="shared" si="225"/>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225"/>
        <v>0</v>
      </c>
      <c r="D198" s="190">
        <f>D199+D200</f>
        <v>0</v>
      </c>
      <c r="E198" s="191">
        <f t="shared" ref="E198:F198" si="265">E199+E200</f>
        <v>0</v>
      </c>
      <c r="F198" s="55">
        <f t="shared" si="265"/>
        <v>0</v>
      </c>
      <c r="G198" s="190">
        <f>G199+G200</f>
        <v>0</v>
      </c>
      <c r="H198" s="191">
        <f t="shared" ref="H198:I198" si="266">H199+H200</f>
        <v>0</v>
      </c>
      <c r="I198" s="55">
        <f t="shared" si="266"/>
        <v>0</v>
      </c>
      <c r="J198" s="190">
        <f>J199+J200</f>
        <v>0</v>
      </c>
      <c r="K198" s="191">
        <f t="shared" ref="K198:L198" si="267">K199+K200</f>
        <v>0</v>
      </c>
      <c r="L198" s="55">
        <f t="shared" si="267"/>
        <v>0</v>
      </c>
      <c r="M198" s="190">
        <f>M199+M200</f>
        <v>0</v>
      </c>
      <c r="N198" s="191">
        <f t="shared" ref="N198:O198" si="268">N199+N200</f>
        <v>0</v>
      </c>
      <c r="O198" s="55">
        <f t="shared" si="268"/>
        <v>0</v>
      </c>
      <c r="P198" s="57"/>
    </row>
    <row r="199" spans="1:16" ht="12" hidden="1" customHeight="1" x14ac:dyDescent="0.25">
      <c r="A199" s="51">
        <v>5121</v>
      </c>
      <c r="B199" s="89" t="s">
        <v>215</v>
      </c>
      <c r="C199" s="90">
        <f t="shared" si="225"/>
        <v>0</v>
      </c>
      <c r="D199" s="196"/>
      <c r="E199" s="197"/>
      <c r="F199" s="55">
        <f t="shared" ref="F199:F203" si="269">D199+E199</f>
        <v>0</v>
      </c>
      <c r="G199" s="53"/>
      <c r="H199" s="54"/>
      <c r="I199" s="55">
        <f t="shared" ref="I199:I203" si="270">G199+H199</f>
        <v>0</v>
      </c>
      <c r="J199" s="53"/>
      <c r="K199" s="54"/>
      <c r="L199" s="55">
        <f t="shared" ref="L199:L203" si="271">K199+J199</f>
        <v>0</v>
      </c>
      <c r="M199" s="53"/>
      <c r="N199" s="54"/>
      <c r="O199" s="55">
        <f t="shared" ref="O199:O203" si="272">N199+M199</f>
        <v>0</v>
      </c>
      <c r="P199" s="57"/>
    </row>
    <row r="200" spans="1:16" ht="24" hidden="1" customHeight="1" x14ac:dyDescent="0.25">
      <c r="A200" s="51">
        <v>5129</v>
      </c>
      <c r="B200" s="89" t="s">
        <v>216</v>
      </c>
      <c r="C200" s="90">
        <f t="shared" si="225"/>
        <v>0</v>
      </c>
      <c r="D200" s="196"/>
      <c r="E200" s="197"/>
      <c r="F200" s="55">
        <f t="shared" si="269"/>
        <v>0</v>
      </c>
      <c r="G200" s="53"/>
      <c r="H200" s="54"/>
      <c r="I200" s="55">
        <f t="shared" si="270"/>
        <v>0</v>
      </c>
      <c r="J200" s="53"/>
      <c r="K200" s="54"/>
      <c r="L200" s="55">
        <f t="shared" si="271"/>
        <v>0</v>
      </c>
      <c r="M200" s="53"/>
      <c r="N200" s="54"/>
      <c r="O200" s="55">
        <f t="shared" si="272"/>
        <v>0</v>
      </c>
      <c r="P200" s="57"/>
    </row>
    <row r="201" spans="1:16" ht="12" hidden="1" customHeight="1" x14ac:dyDescent="0.25">
      <c r="A201" s="189">
        <v>5130</v>
      </c>
      <c r="B201" s="89" t="s">
        <v>217</v>
      </c>
      <c r="C201" s="90">
        <f t="shared" si="225"/>
        <v>0</v>
      </c>
      <c r="D201" s="196"/>
      <c r="E201" s="197"/>
      <c r="F201" s="55">
        <f t="shared" si="269"/>
        <v>0</v>
      </c>
      <c r="G201" s="53"/>
      <c r="H201" s="54"/>
      <c r="I201" s="55">
        <f t="shared" si="270"/>
        <v>0</v>
      </c>
      <c r="J201" s="53"/>
      <c r="K201" s="54"/>
      <c r="L201" s="55">
        <f t="shared" si="271"/>
        <v>0</v>
      </c>
      <c r="M201" s="53"/>
      <c r="N201" s="54"/>
      <c r="O201" s="55">
        <f t="shared" si="272"/>
        <v>0</v>
      </c>
      <c r="P201" s="57"/>
    </row>
    <row r="202" spans="1:16" ht="12" hidden="1" customHeight="1" x14ac:dyDescent="0.25">
      <c r="A202" s="189">
        <v>5140</v>
      </c>
      <c r="B202" s="89" t="s">
        <v>218</v>
      </c>
      <c r="C202" s="90">
        <f t="shared" si="225"/>
        <v>0</v>
      </c>
      <c r="D202" s="196"/>
      <c r="E202" s="197"/>
      <c r="F202" s="55">
        <f t="shared" si="269"/>
        <v>0</v>
      </c>
      <c r="G202" s="53"/>
      <c r="H202" s="54"/>
      <c r="I202" s="55">
        <f t="shared" si="270"/>
        <v>0</v>
      </c>
      <c r="J202" s="53"/>
      <c r="K202" s="54"/>
      <c r="L202" s="55">
        <f t="shared" si="271"/>
        <v>0</v>
      </c>
      <c r="M202" s="53"/>
      <c r="N202" s="54"/>
      <c r="O202" s="55">
        <f t="shared" si="272"/>
        <v>0</v>
      </c>
      <c r="P202" s="57"/>
    </row>
    <row r="203" spans="1:16" ht="24" hidden="1" customHeight="1" x14ac:dyDescent="0.25">
      <c r="A203" s="189">
        <v>5170</v>
      </c>
      <c r="B203" s="89" t="s">
        <v>219</v>
      </c>
      <c r="C203" s="90">
        <f t="shared" si="225"/>
        <v>0</v>
      </c>
      <c r="D203" s="196"/>
      <c r="E203" s="197"/>
      <c r="F203" s="55">
        <f t="shared" si="269"/>
        <v>0</v>
      </c>
      <c r="G203" s="53"/>
      <c r="H203" s="54"/>
      <c r="I203" s="55">
        <f t="shared" si="270"/>
        <v>0</v>
      </c>
      <c r="J203" s="53"/>
      <c r="K203" s="54"/>
      <c r="L203" s="55">
        <f t="shared" si="271"/>
        <v>0</v>
      </c>
      <c r="M203" s="53"/>
      <c r="N203" s="54"/>
      <c r="O203" s="55">
        <f t="shared" si="272"/>
        <v>0</v>
      </c>
      <c r="P203" s="57"/>
    </row>
    <row r="204" spans="1:16" x14ac:dyDescent="0.25">
      <c r="A204" s="69">
        <v>5200</v>
      </c>
      <c r="B204" s="183" t="s">
        <v>220</v>
      </c>
      <c r="C204" s="70">
        <f t="shared" si="225"/>
        <v>2500</v>
      </c>
      <c r="D204" s="184">
        <f>D205+D215+D216+D225+D226+D227+D229</f>
        <v>2500</v>
      </c>
      <c r="E204" s="185">
        <f t="shared" ref="E204:F204" si="273">E205+E215+E216+E225+E226+E227+E229</f>
        <v>0</v>
      </c>
      <c r="F204" s="73">
        <f t="shared" si="273"/>
        <v>2500</v>
      </c>
      <c r="G204" s="184">
        <f>G205+G215+G216+G225+G226+G227+G229</f>
        <v>0</v>
      </c>
      <c r="H204" s="185">
        <f t="shared" ref="H204:I204" si="274">H205+H215+H216+H225+H226+H227+H229</f>
        <v>0</v>
      </c>
      <c r="I204" s="73">
        <f t="shared" si="274"/>
        <v>0</v>
      </c>
      <c r="J204" s="184">
        <f>J205+J215+J216+J225+J226+J227+J229</f>
        <v>0</v>
      </c>
      <c r="K204" s="185">
        <f t="shared" ref="K204:L204" si="275">K205+K215+K216+K225+K226+K227+K229</f>
        <v>0</v>
      </c>
      <c r="L204" s="73">
        <f t="shared" si="275"/>
        <v>0</v>
      </c>
      <c r="M204" s="184">
        <f>M205+M215+M216+M225+M226+M227+M229</f>
        <v>0</v>
      </c>
      <c r="N204" s="185">
        <f t="shared" ref="N204:O204" si="276">N205+N215+N216+N225+N226+N227+N229</f>
        <v>0</v>
      </c>
      <c r="O204" s="73">
        <f t="shared" si="276"/>
        <v>0</v>
      </c>
      <c r="P204" s="77"/>
    </row>
    <row r="205" spans="1:16" hidden="1" x14ac:dyDescent="0.25">
      <c r="A205" s="186">
        <v>5210</v>
      </c>
      <c r="B205" s="138" t="s">
        <v>221</v>
      </c>
      <c r="C205" s="143">
        <f t="shared" si="225"/>
        <v>0</v>
      </c>
      <c r="D205" s="187">
        <f>SUM(D206:D214)</f>
        <v>0</v>
      </c>
      <c r="E205" s="188">
        <f t="shared" ref="E205:F205" si="277">SUM(E206:E214)</f>
        <v>0</v>
      </c>
      <c r="F205" s="141">
        <f t="shared" si="277"/>
        <v>0</v>
      </c>
      <c r="G205" s="187">
        <f>SUM(G206:G214)</f>
        <v>0</v>
      </c>
      <c r="H205" s="188">
        <f t="shared" ref="H205:I205" si="278">SUM(H206:H214)</f>
        <v>0</v>
      </c>
      <c r="I205" s="141">
        <f t="shared" si="278"/>
        <v>0</v>
      </c>
      <c r="J205" s="187">
        <f>SUM(J206:J214)</f>
        <v>0</v>
      </c>
      <c r="K205" s="188">
        <f t="shared" ref="K205:L205" si="279">SUM(K206:K214)</f>
        <v>0</v>
      </c>
      <c r="L205" s="141">
        <f t="shared" si="279"/>
        <v>0</v>
      </c>
      <c r="M205" s="187">
        <f>SUM(M206:M214)</f>
        <v>0</v>
      </c>
      <c r="N205" s="188">
        <f t="shared" ref="N205:O205" si="280">SUM(N206:N214)</f>
        <v>0</v>
      </c>
      <c r="O205" s="141">
        <f t="shared" si="280"/>
        <v>0</v>
      </c>
      <c r="P205" s="129"/>
    </row>
    <row r="206" spans="1:16" ht="12" hidden="1" customHeight="1" x14ac:dyDescent="0.25">
      <c r="A206" s="44">
        <v>5211</v>
      </c>
      <c r="B206" s="82" t="s">
        <v>222</v>
      </c>
      <c r="C206" s="83">
        <f t="shared" si="225"/>
        <v>0</v>
      </c>
      <c r="D206" s="199"/>
      <c r="E206" s="200"/>
      <c r="F206" s="134">
        <f t="shared" ref="F206:F215" si="281">D206+E206</f>
        <v>0</v>
      </c>
      <c r="G206" s="46"/>
      <c r="H206" s="47"/>
      <c r="I206" s="134">
        <f t="shared" ref="I206:I215" si="282">G206+H206</f>
        <v>0</v>
      </c>
      <c r="J206" s="46"/>
      <c r="K206" s="47"/>
      <c r="L206" s="134">
        <f t="shared" ref="L206:L215" si="283">K206+J206</f>
        <v>0</v>
      </c>
      <c r="M206" s="46"/>
      <c r="N206" s="47"/>
      <c r="O206" s="134">
        <f t="shared" ref="O206:O215" si="284">N206+M206</f>
        <v>0</v>
      </c>
      <c r="P206" s="49"/>
    </row>
    <row r="207" spans="1:16" ht="12" hidden="1" customHeight="1" x14ac:dyDescent="0.25">
      <c r="A207" s="51">
        <v>5212</v>
      </c>
      <c r="B207" s="89" t="s">
        <v>223</v>
      </c>
      <c r="C207" s="90">
        <f t="shared" si="225"/>
        <v>0</v>
      </c>
      <c r="D207" s="196"/>
      <c r="E207" s="197"/>
      <c r="F207" s="55">
        <f t="shared" si="281"/>
        <v>0</v>
      </c>
      <c r="G207" s="53"/>
      <c r="H207" s="54"/>
      <c r="I207" s="55">
        <f t="shared" si="282"/>
        <v>0</v>
      </c>
      <c r="J207" s="53"/>
      <c r="K207" s="54"/>
      <c r="L207" s="55">
        <f t="shared" si="283"/>
        <v>0</v>
      </c>
      <c r="M207" s="53"/>
      <c r="N207" s="54"/>
      <c r="O207" s="55">
        <f t="shared" si="284"/>
        <v>0</v>
      </c>
      <c r="P207" s="57"/>
    </row>
    <row r="208" spans="1:16" ht="12" hidden="1" customHeight="1" x14ac:dyDescent="0.25">
      <c r="A208" s="51">
        <v>5213</v>
      </c>
      <c r="B208" s="89" t="s">
        <v>224</v>
      </c>
      <c r="C208" s="90">
        <f t="shared" si="225"/>
        <v>0</v>
      </c>
      <c r="D208" s="196"/>
      <c r="E208" s="197"/>
      <c r="F208" s="55">
        <f t="shared" si="281"/>
        <v>0</v>
      </c>
      <c r="G208" s="53"/>
      <c r="H208" s="54"/>
      <c r="I208" s="55">
        <f t="shared" si="282"/>
        <v>0</v>
      </c>
      <c r="J208" s="53"/>
      <c r="K208" s="54"/>
      <c r="L208" s="55">
        <f t="shared" si="283"/>
        <v>0</v>
      </c>
      <c r="M208" s="53"/>
      <c r="N208" s="54"/>
      <c r="O208" s="55">
        <f t="shared" si="284"/>
        <v>0</v>
      </c>
      <c r="P208" s="57"/>
    </row>
    <row r="209" spans="1:16" ht="12" hidden="1" customHeight="1" x14ac:dyDescent="0.25">
      <c r="A209" s="51">
        <v>5214</v>
      </c>
      <c r="B209" s="89" t="s">
        <v>225</v>
      </c>
      <c r="C209" s="90">
        <f t="shared" si="225"/>
        <v>0</v>
      </c>
      <c r="D209" s="196"/>
      <c r="E209" s="197"/>
      <c r="F209" s="55">
        <f t="shared" si="281"/>
        <v>0</v>
      </c>
      <c r="G209" s="53"/>
      <c r="H209" s="54"/>
      <c r="I209" s="55">
        <f t="shared" si="282"/>
        <v>0</v>
      </c>
      <c r="J209" s="53"/>
      <c r="K209" s="54"/>
      <c r="L209" s="55">
        <f t="shared" si="283"/>
        <v>0</v>
      </c>
      <c r="M209" s="53"/>
      <c r="N209" s="54"/>
      <c r="O209" s="55">
        <f t="shared" si="284"/>
        <v>0</v>
      </c>
      <c r="P209" s="57"/>
    </row>
    <row r="210" spans="1:16" ht="12" hidden="1" customHeight="1" x14ac:dyDescent="0.25">
      <c r="A210" s="51">
        <v>5215</v>
      </c>
      <c r="B210" s="89" t="s">
        <v>226</v>
      </c>
      <c r="C210" s="90">
        <f t="shared" si="225"/>
        <v>0</v>
      </c>
      <c r="D210" s="196"/>
      <c r="E210" s="197"/>
      <c r="F210" s="55">
        <f t="shared" si="281"/>
        <v>0</v>
      </c>
      <c r="G210" s="53"/>
      <c r="H210" s="54"/>
      <c r="I210" s="55">
        <f t="shared" si="282"/>
        <v>0</v>
      </c>
      <c r="J210" s="53"/>
      <c r="K210" s="54"/>
      <c r="L210" s="55">
        <f t="shared" si="283"/>
        <v>0</v>
      </c>
      <c r="M210" s="53"/>
      <c r="N210" s="54"/>
      <c r="O210" s="55">
        <f t="shared" si="284"/>
        <v>0</v>
      </c>
      <c r="P210" s="57"/>
    </row>
    <row r="211" spans="1:16" ht="14.25" hidden="1" customHeight="1" x14ac:dyDescent="0.25">
      <c r="A211" s="51">
        <v>5216</v>
      </c>
      <c r="B211" s="89" t="s">
        <v>227</v>
      </c>
      <c r="C211" s="90">
        <f t="shared" si="225"/>
        <v>0</v>
      </c>
      <c r="D211" s="196"/>
      <c r="E211" s="197"/>
      <c r="F211" s="55">
        <f t="shared" si="281"/>
        <v>0</v>
      </c>
      <c r="G211" s="53"/>
      <c r="H211" s="54"/>
      <c r="I211" s="55">
        <f t="shared" si="282"/>
        <v>0</v>
      </c>
      <c r="J211" s="53"/>
      <c r="K211" s="54"/>
      <c r="L211" s="55">
        <f t="shared" si="283"/>
        <v>0</v>
      </c>
      <c r="M211" s="53"/>
      <c r="N211" s="54"/>
      <c r="O211" s="55">
        <f t="shared" si="284"/>
        <v>0</v>
      </c>
      <c r="P211" s="57"/>
    </row>
    <row r="212" spans="1:16" ht="12" hidden="1" customHeight="1" x14ac:dyDescent="0.25">
      <c r="A212" s="51">
        <v>5217</v>
      </c>
      <c r="B212" s="89" t="s">
        <v>228</v>
      </c>
      <c r="C212" s="90">
        <f t="shared" si="225"/>
        <v>0</v>
      </c>
      <c r="D212" s="196"/>
      <c r="E212" s="197"/>
      <c r="F212" s="55">
        <f t="shared" si="281"/>
        <v>0</v>
      </c>
      <c r="G212" s="53"/>
      <c r="H212" s="54"/>
      <c r="I212" s="55">
        <f t="shared" si="282"/>
        <v>0</v>
      </c>
      <c r="J212" s="53"/>
      <c r="K212" s="54"/>
      <c r="L212" s="55">
        <f t="shared" si="283"/>
        <v>0</v>
      </c>
      <c r="M212" s="53"/>
      <c r="N212" s="54"/>
      <c r="O212" s="55">
        <f t="shared" si="284"/>
        <v>0</v>
      </c>
      <c r="P212" s="57"/>
    </row>
    <row r="213" spans="1:16" ht="12" hidden="1" customHeight="1" x14ac:dyDescent="0.25">
      <c r="A213" s="51">
        <v>5218</v>
      </c>
      <c r="B213" s="89" t="s">
        <v>229</v>
      </c>
      <c r="C213" s="90">
        <f t="shared" si="225"/>
        <v>0</v>
      </c>
      <c r="D213" s="196"/>
      <c r="E213" s="197"/>
      <c r="F213" s="55">
        <f t="shared" si="281"/>
        <v>0</v>
      </c>
      <c r="G213" s="53"/>
      <c r="H213" s="54"/>
      <c r="I213" s="55">
        <f t="shared" si="282"/>
        <v>0</v>
      </c>
      <c r="J213" s="53"/>
      <c r="K213" s="54"/>
      <c r="L213" s="55">
        <f t="shared" si="283"/>
        <v>0</v>
      </c>
      <c r="M213" s="53"/>
      <c r="N213" s="54"/>
      <c r="O213" s="55">
        <f t="shared" si="284"/>
        <v>0</v>
      </c>
      <c r="P213" s="57"/>
    </row>
    <row r="214" spans="1:16" ht="12" hidden="1" customHeight="1" x14ac:dyDescent="0.25">
      <c r="A214" s="51">
        <v>5219</v>
      </c>
      <c r="B214" s="89" t="s">
        <v>230</v>
      </c>
      <c r="C214" s="90">
        <f t="shared" si="225"/>
        <v>0</v>
      </c>
      <c r="D214" s="196"/>
      <c r="E214" s="197"/>
      <c r="F214" s="55">
        <f t="shared" si="281"/>
        <v>0</v>
      </c>
      <c r="G214" s="53"/>
      <c r="H214" s="54"/>
      <c r="I214" s="55">
        <f t="shared" si="282"/>
        <v>0</v>
      </c>
      <c r="J214" s="53"/>
      <c r="K214" s="54"/>
      <c r="L214" s="55">
        <f t="shared" si="283"/>
        <v>0</v>
      </c>
      <c r="M214" s="53"/>
      <c r="N214" s="54"/>
      <c r="O214" s="55">
        <f t="shared" si="284"/>
        <v>0</v>
      </c>
      <c r="P214" s="57"/>
    </row>
    <row r="215" spans="1:16" ht="13.5" hidden="1" customHeight="1" x14ac:dyDescent="0.25">
      <c r="A215" s="189">
        <v>5220</v>
      </c>
      <c r="B215" s="89" t="s">
        <v>231</v>
      </c>
      <c r="C215" s="90">
        <f t="shared" si="225"/>
        <v>0</v>
      </c>
      <c r="D215" s="196"/>
      <c r="E215" s="197"/>
      <c r="F215" s="55">
        <f t="shared" si="281"/>
        <v>0</v>
      </c>
      <c r="G215" s="53"/>
      <c r="H215" s="54"/>
      <c r="I215" s="55">
        <f t="shared" si="282"/>
        <v>0</v>
      </c>
      <c r="J215" s="53"/>
      <c r="K215" s="54"/>
      <c r="L215" s="55">
        <f t="shared" si="283"/>
        <v>0</v>
      </c>
      <c r="M215" s="53"/>
      <c r="N215" s="54"/>
      <c r="O215" s="55">
        <f t="shared" si="284"/>
        <v>0</v>
      </c>
      <c r="P215" s="57"/>
    </row>
    <row r="216" spans="1:16" hidden="1" x14ac:dyDescent="0.25">
      <c r="A216" s="189">
        <v>5230</v>
      </c>
      <c r="B216" s="89" t="s">
        <v>232</v>
      </c>
      <c r="C216" s="90">
        <f t="shared" si="225"/>
        <v>0</v>
      </c>
      <c r="D216" s="190">
        <f>SUM(D217:D224)</f>
        <v>0</v>
      </c>
      <c r="E216" s="191">
        <f t="shared" ref="E216:F216" si="285">SUM(E217:E224)</f>
        <v>0</v>
      </c>
      <c r="F216" s="55">
        <f t="shared" si="285"/>
        <v>0</v>
      </c>
      <c r="G216" s="190">
        <f>SUM(G217:G224)</f>
        <v>0</v>
      </c>
      <c r="H216" s="191">
        <f t="shared" ref="H216:I216" si="286">SUM(H217:H224)</f>
        <v>0</v>
      </c>
      <c r="I216" s="55">
        <f t="shared" si="286"/>
        <v>0</v>
      </c>
      <c r="J216" s="190">
        <f>SUM(J217:J224)</f>
        <v>0</v>
      </c>
      <c r="K216" s="191">
        <f t="shared" ref="K216:L216" si="287">SUM(K217:K224)</f>
        <v>0</v>
      </c>
      <c r="L216" s="55">
        <f t="shared" si="287"/>
        <v>0</v>
      </c>
      <c r="M216" s="190">
        <f>SUM(M217:M224)</f>
        <v>0</v>
      </c>
      <c r="N216" s="191">
        <f t="shared" ref="N216:O216" si="288">SUM(N217:N224)</f>
        <v>0</v>
      </c>
      <c r="O216" s="55">
        <f t="shared" si="288"/>
        <v>0</v>
      </c>
      <c r="P216" s="57"/>
    </row>
    <row r="217" spans="1:16" ht="12" hidden="1" customHeight="1" x14ac:dyDescent="0.25">
      <c r="A217" s="51">
        <v>5231</v>
      </c>
      <c r="B217" s="89" t="s">
        <v>233</v>
      </c>
      <c r="C217" s="90">
        <f t="shared" si="225"/>
        <v>0</v>
      </c>
      <c r="D217" s="196"/>
      <c r="E217" s="197"/>
      <c r="F217" s="55">
        <f t="shared" ref="F217:F226" si="289">D217+E217</f>
        <v>0</v>
      </c>
      <c r="G217" s="53"/>
      <c r="H217" s="54"/>
      <c r="I217" s="55">
        <f t="shared" ref="I217:I226" si="290">G217+H217</f>
        <v>0</v>
      </c>
      <c r="J217" s="53"/>
      <c r="K217" s="54"/>
      <c r="L217" s="55">
        <f t="shared" ref="L217:L226" si="291">K217+J217</f>
        <v>0</v>
      </c>
      <c r="M217" s="53"/>
      <c r="N217" s="54"/>
      <c r="O217" s="55">
        <f t="shared" ref="O217:O226" si="292">N217+M217</f>
        <v>0</v>
      </c>
      <c r="P217" s="57"/>
    </row>
    <row r="218" spans="1:16" ht="12" hidden="1" customHeight="1" x14ac:dyDescent="0.25">
      <c r="A218" s="51">
        <v>5232</v>
      </c>
      <c r="B218" s="89" t="s">
        <v>234</v>
      </c>
      <c r="C218" s="90">
        <f t="shared" si="225"/>
        <v>0</v>
      </c>
      <c r="D218" s="196"/>
      <c r="E218" s="197"/>
      <c r="F218" s="55">
        <f t="shared" si="289"/>
        <v>0</v>
      </c>
      <c r="G218" s="53"/>
      <c r="H218" s="54"/>
      <c r="I218" s="55">
        <f t="shared" si="290"/>
        <v>0</v>
      </c>
      <c r="J218" s="53"/>
      <c r="K218" s="54"/>
      <c r="L218" s="55">
        <f t="shared" si="291"/>
        <v>0</v>
      </c>
      <c r="M218" s="53"/>
      <c r="N218" s="54"/>
      <c r="O218" s="55">
        <f t="shared" si="292"/>
        <v>0</v>
      </c>
      <c r="P218" s="57"/>
    </row>
    <row r="219" spans="1:16" ht="12" hidden="1" customHeight="1" x14ac:dyDescent="0.25">
      <c r="A219" s="51">
        <v>5233</v>
      </c>
      <c r="B219" s="89" t="s">
        <v>235</v>
      </c>
      <c r="C219" s="90">
        <f t="shared" si="225"/>
        <v>0</v>
      </c>
      <c r="D219" s="196"/>
      <c r="E219" s="197"/>
      <c r="F219" s="55">
        <f t="shared" si="289"/>
        <v>0</v>
      </c>
      <c r="G219" s="53"/>
      <c r="H219" s="54"/>
      <c r="I219" s="55">
        <f t="shared" si="290"/>
        <v>0</v>
      </c>
      <c r="J219" s="53"/>
      <c r="K219" s="54"/>
      <c r="L219" s="55">
        <f t="shared" si="291"/>
        <v>0</v>
      </c>
      <c r="M219" s="53"/>
      <c r="N219" s="54"/>
      <c r="O219" s="55">
        <f t="shared" si="292"/>
        <v>0</v>
      </c>
      <c r="P219" s="57"/>
    </row>
    <row r="220" spans="1:16" ht="24" hidden="1" customHeight="1" x14ac:dyDescent="0.25">
      <c r="A220" s="51">
        <v>5234</v>
      </c>
      <c r="B220" s="89" t="s">
        <v>236</v>
      </c>
      <c r="C220" s="90">
        <f t="shared" si="225"/>
        <v>0</v>
      </c>
      <c r="D220" s="196"/>
      <c r="E220" s="197"/>
      <c r="F220" s="55">
        <f t="shared" si="289"/>
        <v>0</v>
      </c>
      <c r="G220" s="53"/>
      <c r="H220" s="54"/>
      <c r="I220" s="55">
        <f t="shared" si="290"/>
        <v>0</v>
      </c>
      <c r="J220" s="53"/>
      <c r="K220" s="54"/>
      <c r="L220" s="55">
        <f t="shared" si="291"/>
        <v>0</v>
      </c>
      <c r="M220" s="53"/>
      <c r="N220" s="54"/>
      <c r="O220" s="55">
        <f t="shared" si="292"/>
        <v>0</v>
      </c>
      <c r="P220" s="57"/>
    </row>
    <row r="221" spans="1:16" ht="14.25" hidden="1" customHeight="1" x14ac:dyDescent="0.25">
      <c r="A221" s="51">
        <v>5236</v>
      </c>
      <c r="B221" s="89" t="s">
        <v>237</v>
      </c>
      <c r="C221" s="90">
        <f t="shared" si="225"/>
        <v>0</v>
      </c>
      <c r="D221" s="196"/>
      <c r="E221" s="197"/>
      <c r="F221" s="55">
        <f t="shared" si="289"/>
        <v>0</v>
      </c>
      <c r="G221" s="53"/>
      <c r="H221" s="54"/>
      <c r="I221" s="55">
        <f t="shared" si="290"/>
        <v>0</v>
      </c>
      <c r="J221" s="53"/>
      <c r="K221" s="54"/>
      <c r="L221" s="55">
        <f t="shared" si="291"/>
        <v>0</v>
      </c>
      <c r="M221" s="53"/>
      <c r="N221" s="54"/>
      <c r="O221" s="55">
        <f t="shared" si="292"/>
        <v>0</v>
      </c>
      <c r="P221" s="57"/>
    </row>
    <row r="222" spans="1:16" ht="14.25" hidden="1" customHeight="1" x14ac:dyDescent="0.25">
      <c r="A222" s="51">
        <v>5237</v>
      </c>
      <c r="B222" s="89" t="s">
        <v>238</v>
      </c>
      <c r="C222" s="90">
        <f t="shared" si="225"/>
        <v>0</v>
      </c>
      <c r="D222" s="196"/>
      <c r="E222" s="197"/>
      <c r="F222" s="55">
        <f t="shared" si="289"/>
        <v>0</v>
      </c>
      <c r="G222" s="53"/>
      <c r="H222" s="54"/>
      <c r="I222" s="55">
        <f t="shared" si="290"/>
        <v>0</v>
      </c>
      <c r="J222" s="53"/>
      <c r="K222" s="54"/>
      <c r="L222" s="55">
        <f t="shared" si="291"/>
        <v>0</v>
      </c>
      <c r="M222" s="53"/>
      <c r="N222" s="54"/>
      <c r="O222" s="55">
        <f t="shared" si="292"/>
        <v>0</v>
      </c>
      <c r="P222" s="57"/>
    </row>
    <row r="223" spans="1:16" ht="24" hidden="1" customHeight="1" x14ac:dyDescent="0.25">
      <c r="A223" s="51">
        <v>5238</v>
      </c>
      <c r="B223" s="89" t="s">
        <v>239</v>
      </c>
      <c r="C223" s="90">
        <f t="shared" si="225"/>
        <v>0</v>
      </c>
      <c r="D223" s="196"/>
      <c r="E223" s="197"/>
      <c r="F223" s="55">
        <f t="shared" si="289"/>
        <v>0</v>
      </c>
      <c r="G223" s="53"/>
      <c r="H223" s="54"/>
      <c r="I223" s="55">
        <f t="shared" si="290"/>
        <v>0</v>
      </c>
      <c r="J223" s="53"/>
      <c r="K223" s="54"/>
      <c r="L223" s="55">
        <f t="shared" si="291"/>
        <v>0</v>
      </c>
      <c r="M223" s="53"/>
      <c r="N223" s="54"/>
      <c r="O223" s="55">
        <f t="shared" si="292"/>
        <v>0</v>
      </c>
      <c r="P223" s="57"/>
    </row>
    <row r="224" spans="1:16" ht="24" hidden="1" customHeight="1" x14ac:dyDescent="0.25">
      <c r="A224" s="51">
        <v>5239</v>
      </c>
      <c r="B224" s="89" t="s">
        <v>240</v>
      </c>
      <c r="C224" s="90">
        <f t="shared" si="225"/>
        <v>0</v>
      </c>
      <c r="D224" s="196"/>
      <c r="E224" s="197"/>
      <c r="F224" s="55">
        <f t="shared" si="289"/>
        <v>0</v>
      </c>
      <c r="G224" s="53"/>
      <c r="H224" s="54"/>
      <c r="I224" s="55">
        <f t="shared" si="290"/>
        <v>0</v>
      </c>
      <c r="J224" s="53"/>
      <c r="K224" s="54"/>
      <c r="L224" s="55">
        <f t="shared" si="291"/>
        <v>0</v>
      </c>
      <c r="M224" s="53"/>
      <c r="N224" s="54"/>
      <c r="O224" s="55">
        <f t="shared" si="292"/>
        <v>0</v>
      </c>
      <c r="P224" s="57"/>
    </row>
    <row r="225" spans="1:16" ht="24" hidden="1" customHeight="1" x14ac:dyDescent="0.25">
      <c r="A225" s="189">
        <v>5240</v>
      </c>
      <c r="B225" s="89" t="s">
        <v>241</v>
      </c>
      <c r="C225" s="90">
        <f t="shared" si="225"/>
        <v>0</v>
      </c>
      <c r="D225" s="196"/>
      <c r="E225" s="197"/>
      <c r="F225" s="55">
        <f t="shared" si="289"/>
        <v>0</v>
      </c>
      <c r="G225" s="53"/>
      <c r="H225" s="54"/>
      <c r="I225" s="55">
        <f t="shared" si="290"/>
        <v>0</v>
      </c>
      <c r="J225" s="53"/>
      <c r="K225" s="54"/>
      <c r="L225" s="55">
        <f t="shared" si="291"/>
        <v>0</v>
      </c>
      <c r="M225" s="53"/>
      <c r="N225" s="54"/>
      <c r="O225" s="55">
        <f t="shared" si="292"/>
        <v>0</v>
      </c>
      <c r="P225" s="57"/>
    </row>
    <row r="226" spans="1:16" ht="12" hidden="1" customHeight="1" x14ac:dyDescent="0.25">
      <c r="A226" s="189">
        <v>5250</v>
      </c>
      <c r="B226" s="89" t="s">
        <v>242</v>
      </c>
      <c r="C226" s="90">
        <f t="shared" si="225"/>
        <v>0</v>
      </c>
      <c r="D226" s="196"/>
      <c r="E226" s="197"/>
      <c r="F226" s="55">
        <f t="shared" si="289"/>
        <v>0</v>
      </c>
      <c r="G226" s="53"/>
      <c r="H226" s="54"/>
      <c r="I226" s="55">
        <f t="shared" si="290"/>
        <v>0</v>
      </c>
      <c r="J226" s="53"/>
      <c r="K226" s="54"/>
      <c r="L226" s="55">
        <f t="shared" si="291"/>
        <v>0</v>
      </c>
      <c r="M226" s="53"/>
      <c r="N226" s="54"/>
      <c r="O226" s="55">
        <f t="shared" si="292"/>
        <v>0</v>
      </c>
      <c r="P226" s="57"/>
    </row>
    <row r="227" spans="1:16" x14ac:dyDescent="0.25">
      <c r="A227" s="189">
        <v>5260</v>
      </c>
      <c r="B227" s="89" t="s">
        <v>243</v>
      </c>
      <c r="C227" s="90">
        <f t="shared" si="225"/>
        <v>2500</v>
      </c>
      <c r="D227" s="190">
        <f>SUM(D228)</f>
        <v>2500</v>
      </c>
      <c r="E227" s="191">
        <f t="shared" ref="E227:F227" si="293">SUM(E228)</f>
        <v>0</v>
      </c>
      <c r="F227" s="55">
        <f t="shared" si="293"/>
        <v>2500</v>
      </c>
      <c r="G227" s="190">
        <f>SUM(G228)</f>
        <v>0</v>
      </c>
      <c r="H227" s="191">
        <f t="shared" ref="H227:I227" si="294">SUM(H228)</f>
        <v>0</v>
      </c>
      <c r="I227" s="55">
        <f t="shared" si="294"/>
        <v>0</v>
      </c>
      <c r="J227" s="190">
        <f>SUM(J228)</f>
        <v>0</v>
      </c>
      <c r="K227" s="191">
        <f t="shared" ref="K227:L227" si="295">SUM(K228)</f>
        <v>0</v>
      </c>
      <c r="L227" s="55">
        <f t="shared" si="295"/>
        <v>0</v>
      </c>
      <c r="M227" s="190">
        <f>SUM(M228)</f>
        <v>0</v>
      </c>
      <c r="N227" s="191">
        <f t="shared" ref="N227:O227" si="296">SUM(N228)</f>
        <v>0</v>
      </c>
      <c r="O227" s="55">
        <f t="shared" si="296"/>
        <v>0</v>
      </c>
      <c r="P227" s="57"/>
    </row>
    <row r="228" spans="1:16" ht="24" customHeight="1" x14ac:dyDescent="0.25">
      <c r="A228" s="51">
        <v>5269</v>
      </c>
      <c r="B228" s="89" t="s">
        <v>244</v>
      </c>
      <c r="C228" s="90">
        <f t="shared" si="225"/>
        <v>2500</v>
      </c>
      <c r="D228" s="196">
        <v>2500</v>
      </c>
      <c r="E228" s="197"/>
      <c r="F228" s="55">
        <f t="shared" ref="F228:F229" si="297">D228+E228</f>
        <v>2500</v>
      </c>
      <c r="G228" s="53"/>
      <c r="H228" s="54"/>
      <c r="I228" s="55">
        <f t="shared" ref="I228:I229" si="298">G228+H228</f>
        <v>0</v>
      </c>
      <c r="J228" s="53"/>
      <c r="K228" s="54"/>
      <c r="L228" s="55">
        <f t="shared" ref="L228:L229" si="299">K228+J228</f>
        <v>0</v>
      </c>
      <c r="M228" s="53"/>
      <c r="N228" s="54"/>
      <c r="O228" s="55">
        <f t="shared" ref="O228:O229" si="300">N228+M228</f>
        <v>0</v>
      </c>
      <c r="P228" s="57"/>
    </row>
    <row r="229" spans="1:16" ht="24" hidden="1" customHeight="1" x14ac:dyDescent="0.25">
      <c r="A229" s="186">
        <v>5270</v>
      </c>
      <c r="B229" s="138" t="s">
        <v>245</v>
      </c>
      <c r="C229" s="143">
        <f t="shared" si="225"/>
        <v>0</v>
      </c>
      <c r="D229" s="203"/>
      <c r="E229" s="204"/>
      <c r="F229" s="141">
        <f t="shared" si="297"/>
        <v>0</v>
      </c>
      <c r="G229" s="144"/>
      <c r="H229" s="145"/>
      <c r="I229" s="141">
        <f t="shared" si="298"/>
        <v>0</v>
      </c>
      <c r="J229" s="144"/>
      <c r="K229" s="145"/>
      <c r="L229" s="141">
        <f t="shared" si="299"/>
        <v>0</v>
      </c>
      <c r="M229" s="144"/>
      <c r="N229" s="145"/>
      <c r="O229" s="141">
        <f t="shared" si="300"/>
        <v>0</v>
      </c>
      <c r="P229" s="129"/>
    </row>
    <row r="230" spans="1:16" hidden="1" x14ac:dyDescent="0.25">
      <c r="A230" s="177">
        <v>6000</v>
      </c>
      <c r="B230" s="177" t="s">
        <v>246</v>
      </c>
      <c r="C230" s="178">
        <f t="shared" si="225"/>
        <v>0</v>
      </c>
      <c r="D230" s="179">
        <f>D231+D251+D259</f>
        <v>0</v>
      </c>
      <c r="E230" s="180">
        <f t="shared" ref="E230:F230" si="301">E231+E251+E259</f>
        <v>0</v>
      </c>
      <c r="F230" s="181">
        <f t="shared" si="301"/>
        <v>0</v>
      </c>
      <c r="G230" s="179">
        <f>G231+G251+G259</f>
        <v>0</v>
      </c>
      <c r="H230" s="180">
        <f t="shared" ref="H230:I230" si="302">H231+H251+H259</f>
        <v>0</v>
      </c>
      <c r="I230" s="181">
        <f t="shared" si="302"/>
        <v>0</v>
      </c>
      <c r="J230" s="179">
        <f>J231+J251+J259</f>
        <v>0</v>
      </c>
      <c r="K230" s="180">
        <f t="shared" ref="K230:L230" si="303">K231+K251+K259</f>
        <v>0</v>
      </c>
      <c r="L230" s="181">
        <f t="shared" si="303"/>
        <v>0</v>
      </c>
      <c r="M230" s="179">
        <f>M231+M251+M259</f>
        <v>0</v>
      </c>
      <c r="N230" s="180">
        <f t="shared" ref="N230:O230" si="304">N231+N251+N259</f>
        <v>0</v>
      </c>
      <c r="O230" s="181">
        <f t="shared" si="304"/>
        <v>0</v>
      </c>
      <c r="P230" s="182"/>
    </row>
    <row r="231" spans="1:16" ht="14.25" hidden="1" customHeight="1" x14ac:dyDescent="0.25">
      <c r="A231" s="217">
        <v>6200</v>
      </c>
      <c r="B231" s="208" t="s">
        <v>247</v>
      </c>
      <c r="C231" s="218">
        <f t="shared" si="225"/>
        <v>0</v>
      </c>
      <c r="D231" s="219">
        <f>SUM(D232,D233,D235,D238,D244,D245,D246)</f>
        <v>0</v>
      </c>
      <c r="E231" s="220">
        <f t="shared" ref="E231:F231" si="305">SUM(E232,E233,E235,E238,E244,E245,E246)</f>
        <v>0</v>
      </c>
      <c r="F231" s="221">
        <f t="shared" si="305"/>
        <v>0</v>
      </c>
      <c r="G231" s="219">
        <f>SUM(G232,G233,G235,G238,G244,G245,G246)</f>
        <v>0</v>
      </c>
      <c r="H231" s="220">
        <f t="shared" ref="H231:I231" si="306">SUM(H232,H233,H235,H238,H244,H245,H246)</f>
        <v>0</v>
      </c>
      <c r="I231" s="221">
        <f t="shared" si="306"/>
        <v>0</v>
      </c>
      <c r="J231" s="219">
        <f>SUM(J232,J233,J235,J238,J244,J245,J246)</f>
        <v>0</v>
      </c>
      <c r="K231" s="220">
        <f t="shared" ref="K231:L231" si="307">SUM(K232,K233,K235,K238,K244,K245,K246)</f>
        <v>0</v>
      </c>
      <c r="L231" s="221">
        <f t="shared" si="307"/>
        <v>0</v>
      </c>
      <c r="M231" s="219">
        <f>SUM(M232,M233,M235,M238,M244,M245,M246)</f>
        <v>0</v>
      </c>
      <c r="N231" s="220">
        <f t="shared" ref="N231:O231" si="308">SUM(N232,N233,N235,N238,N244,N245,N246)</f>
        <v>0</v>
      </c>
      <c r="O231" s="221">
        <f t="shared" si="308"/>
        <v>0</v>
      </c>
      <c r="P231" s="222"/>
    </row>
    <row r="232" spans="1:16" ht="24" hidden="1" customHeight="1" x14ac:dyDescent="0.25">
      <c r="A232" s="1373">
        <v>6220</v>
      </c>
      <c r="B232" s="82" t="s">
        <v>248</v>
      </c>
      <c r="C232" s="83">
        <f t="shared" si="225"/>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25"/>
        <v>0</v>
      </c>
      <c r="D233" s="190">
        <f t="shared" ref="D233:O233" si="309">SUM(D234)</f>
        <v>0</v>
      </c>
      <c r="E233" s="191">
        <f t="shared" si="309"/>
        <v>0</v>
      </c>
      <c r="F233" s="55">
        <f t="shared" si="309"/>
        <v>0</v>
      </c>
      <c r="G233" s="190">
        <f t="shared" si="309"/>
        <v>0</v>
      </c>
      <c r="H233" s="191">
        <f t="shared" si="309"/>
        <v>0</v>
      </c>
      <c r="I233" s="55">
        <f t="shared" si="309"/>
        <v>0</v>
      </c>
      <c r="J233" s="190">
        <f t="shared" si="309"/>
        <v>0</v>
      </c>
      <c r="K233" s="191">
        <f t="shared" si="309"/>
        <v>0</v>
      </c>
      <c r="L233" s="55">
        <f t="shared" si="309"/>
        <v>0</v>
      </c>
      <c r="M233" s="190">
        <f t="shared" si="309"/>
        <v>0</v>
      </c>
      <c r="N233" s="191">
        <f t="shared" si="309"/>
        <v>0</v>
      </c>
      <c r="O233" s="55">
        <f t="shared" si="309"/>
        <v>0</v>
      </c>
      <c r="P233" s="57"/>
    </row>
    <row r="234" spans="1:16" ht="24" hidden="1" customHeight="1" x14ac:dyDescent="0.25">
      <c r="A234" s="51">
        <v>6239</v>
      </c>
      <c r="B234" s="82" t="s">
        <v>250</v>
      </c>
      <c r="C234" s="90">
        <f t="shared" si="225"/>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25"/>
        <v>0</v>
      </c>
      <c r="D235" s="190">
        <f>SUM(D236:D237)</f>
        <v>0</v>
      </c>
      <c r="E235" s="191">
        <f t="shared" ref="E235:F235" si="310">SUM(E236:E237)</f>
        <v>0</v>
      </c>
      <c r="F235" s="55">
        <f t="shared" si="310"/>
        <v>0</v>
      </c>
      <c r="G235" s="190">
        <f>SUM(G236:G237)</f>
        <v>0</v>
      </c>
      <c r="H235" s="191">
        <f t="shared" ref="H235:I235" si="311">SUM(H236:H237)</f>
        <v>0</v>
      </c>
      <c r="I235" s="55">
        <f t="shared" si="311"/>
        <v>0</v>
      </c>
      <c r="J235" s="190">
        <f>SUM(J236:J237)</f>
        <v>0</v>
      </c>
      <c r="K235" s="191">
        <f t="shared" ref="K235:L235" si="312">SUM(K236:K237)</f>
        <v>0</v>
      </c>
      <c r="L235" s="55">
        <f t="shared" si="312"/>
        <v>0</v>
      </c>
      <c r="M235" s="190">
        <f>SUM(M236:M237)</f>
        <v>0</v>
      </c>
      <c r="N235" s="191">
        <f t="shared" ref="N235:O235" si="313">SUM(N236:N237)</f>
        <v>0</v>
      </c>
      <c r="O235" s="55">
        <f t="shared" si="313"/>
        <v>0</v>
      </c>
      <c r="P235" s="57"/>
    </row>
    <row r="236" spans="1:16" ht="12" hidden="1" customHeight="1" x14ac:dyDescent="0.25">
      <c r="A236" s="51">
        <v>6241</v>
      </c>
      <c r="B236" s="89" t="s">
        <v>252</v>
      </c>
      <c r="C236" s="90">
        <f t="shared" si="225"/>
        <v>0</v>
      </c>
      <c r="D236" s="196"/>
      <c r="E236" s="197"/>
      <c r="F236" s="55">
        <f t="shared" ref="F236:F237" si="314">D236+E236</f>
        <v>0</v>
      </c>
      <c r="G236" s="53"/>
      <c r="H236" s="54"/>
      <c r="I236" s="55">
        <f t="shared" ref="I236:I237" si="315">G236+H236</f>
        <v>0</v>
      </c>
      <c r="J236" s="53"/>
      <c r="K236" s="54"/>
      <c r="L236" s="55">
        <f t="shared" ref="L236:L237" si="316">K236+J236</f>
        <v>0</v>
      </c>
      <c r="M236" s="53"/>
      <c r="N236" s="54"/>
      <c r="O236" s="55">
        <f t="shared" ref="O236:O237" si="317">N236+M236</f>
        <v>0</v>
      </c>
      <c r="P236" s="57"/>
    </row>
    <row r="237" spans="1:16" ht="12" hidden="1" customHeight="1" x14ac:dyDescent="0.25">
      <c r="A237" s="51">
        <v>6242</v>
      </c>
      <c r="B237" s="89" t="s">
        <v>253</v>
      </c>
      <c r="C237" s="90">
        <f t="shared" si="225"/>
        <v>0</v>
      </c>
      <c r="D237" s="196"/>
      <c r="E237" s="197"/>
      <c r="F237" s="55">
        <f t="shared" si="314"/>
        <v>0</v>
      </c>
      <c r="G237" s="53"/>
      <c r="H237" s="54"/>
      <c r="I237" s="55">
        <f t="shared" si="315"/>
        <v>0</v>
      </c>
      <c r="J237" s="53"/>
      <c r="K237" s="54"/>
      <c r="L237" s="55">
        <f t="shared" si="316"/>
        <v>0</v>
      </c>
      <c r="M237" s="53"/>
      <c r="N237" s="54"/>
      <c r="O237" s="55">
        <f t="shared" si="317"/>
        <v>0</v>
      </c>
      <c r="P237" s="57"/>
    </row>
    <row r="238" spans="1:16" ht="25.5" hidden="1" customHeight="1" x14ac:dyDescent="0.25">
      <c r="A238" s="189">
        <v>6250</v>
      </c>
      <c r="B238" s="89" t="s">
        <v>254</v>
      </c>
      <c r="C238" s="90">
        <f t="shared" si="225"/>
        <v>0</v>
      </c>
      <c r="D238" s="190">
        <f>SUM(D239:D243)</f>
        <v>0</v>
      </c>
      <c r="E238" s="191">
        <f t="shared" ref="E238:F238" si="318">SUM(E239:E243)</f>
        <v>0</v>
      </c>
      <c r="F238" s="55">
        <f t="shared" si="318"/>
        <v>0</v>
      </c>
      <c r="G238" s="190">
        <f>SUM(G239:G243)</f>
        <v>0</v>
      </c>
      <c r="H238" s="191">
        <f t="shared" ref="H238:I238" si="319">SUM(H239:H243)</f>
        <v>0</v>
      </c>
      <c r="I238" s="55">
        <f t="shared" si="319"/>
        <v>0</v>
      </c>
      <c r="J238" s="190">
        <f>SUM(J239:J243)</f>
        <v>0</v>
      </c>
      <c r="K238" s="191">
        <f t="shared" ref="K238:L238" si="320">SUM(K239:K243)</f>
        <v>0</v>
      </c>
      <c r="L238" s="55">
        <f t="shared" si="320"/>
        <v>0</v>
      </c>
      <c r="M238" s="190">
        <f>SUM(M239:M243)</f>
        <v>0</v>
      </c>
      <c r="N238" s="191">
        <f t="shared" ref="N238:O238" si="321">SUM(N239:N243)</f>
        <v>0</v>
      </c>
      <c r="O238" s="55">
        <f t="shared" si="321"/>
        <v>0</v>
      </c>
      <c r="P238" s="57"/>
    </row>
    <row r="239" spans="1:16" ht="14.25" hidden="1" customHeight="1" x14ac:dyDescent="0.25">
      <c r="A239" s="51">
        <v>6252</v>
      </c>
      <c r="B239" s="89" t="s">
        <v>255</v>
      </c>
      <c r="C239" s="90">
        <f t="shared" si="225"/>
        <v>0</v>
      </c>
      <c r="D239" s="196"/>
      <c r="E239" s="197"/>
      <c r="F239" s="55">
        <f t="shared" ref="F239:F245" si="322">D239+E239</f>
        <v>0</v>
      </c>
      <c r="G239" s="53"/>
      <c r="H239" s="54"/>
      <c r="I239" s="55">
        <f t="shared" ref="I239:I245" si="323">G239+H239</f>
        <v>0</v>
      </c>
      <c r="J239" s="53"/>
      <c r="K239" s="54"/>
      <c r="L239" s="55">
        <f t="shared" ref="L239:L245" si="324">K239+J239</f>
        <v>0</v>
      </c>
      <c r="M239" s="53"/>
      <c r="N239" s="54"/>
      <c r="O239" s="55">
        <f t="shared" ref="O239:O245" si="325">N239+M239</f>
        <v>0</v>
      </c>
      <c r="P239" s="57"/>
    </row>
    <row r="240" spans="1:16" ht="14.25" hidden="1" customHeight="1" x14ac:dyDescent="0.25">
      <c r="A240" s="51">
        <v>6253</v>
      </c>
      <c r="B240" s="89" t="s">
        <v>256</v>
      </c>
      <c r="C240" s="90">
        <f t="shared" si="225"/>
        <v>0</v>
      </c>
      <c r="D240" s="196"/>
      <c r="E240" s="197"/>
      <c r="F240" s="55">
        <f t="shared" si="322"/>
        <v>0</v>
      </c>
      <c r="G240" s="53"/>
      <c r="H240" s="54"/>
      <c r="I240" s="55">
        <f t="shared" si="323"/>
        <v>0</v>
      </c>
      <c r="J240" s="53"/>
      <c r="K240" s="54"/>
      <c r="L240" s="55">
        <f t="shared" si="324"/>
        <v>0</v>
      </c>
      <c r="M240" s="53"/>
      <c r="N240" s="54"/>
      <c r="O240" s="55">
        <f t="shared" si="325"/>
        <v>0</v>
      </c>
      <c r="P240" s="57"/>
    </row>
    <row r="241" spans="1:16" ht="24" hidden="1" customHeight="1" x14ac:dyDescent="0.25">
      <c r="A241" s="51">
        <v>6254</v>
      </c>
      <c r="B241" s="89" t="s">
        <v>257</v>
      </c>
      <c r="C241" s="90">
        <f t="shared" si="225"/>
        <v>0</v>
      </c>
      <c r="D241" s="196"/>
      <c r="E241" s="197"/>
      <c r="F241" s="55">
        <f t="shared" si="322"/>
        <v>0</v>
      </c>
      <c r="G241" s="53"/>
      <c r="H241" s="54"/>
      <c r="I241" s="55">
        <f t="shared" si="323"/>
        <v>0</v>
      </c>
      <c r="J241" s="53"/>
      <c r="K241" s="54"/>
      <c r="L241" s="55">
        <f t="shared" si="324"/>
        <v>0</v>
      </c>
      <c r="M241" s="53"/>
      <c r="N241" s="54"/>
      <c r="O241" s="55">
        <f t="shared" si="325"/>
        <v>0</v>
      </c>
      <c r="P241" s="57"/>
    </row>
    <row r="242" spans="1:16" ht="24" hidden="1" customHeight="1" x14ac:dyDescent="0.25">
      <c r="A242" s="51">
        <v>6255</v>
      </c>
      <c r="B242" s="89" t="s">
        <v>258</v>
      </c>
      <c r="C242" s="90">
        <f t="shared" ref="C242:C301" si="326">F242+I242+L242+O242</f>
        <v>0</v>
      </c>
      <c r="D242" s="196"/>
      <c r="E242" s="197"/>
      <c r="F242" s="55">
        <f t="shared" si="322"/>
        <v>0</v>
      </c>
      <c r="G242" s="53"/>
      <c r="H242" s="54"/>
      <c r="I242" s="55">
        <f t="shared" si="323"/>
        <v>0</v>
      </c>
      <c r="J242" s="53"/>
      <c r="K242" s="54"/>
      <c r="L242" s="55">
        <f t="shared" si="324"/>
        <v>0</v>
      </c>
      <c r="M242" s="53"/>
      <c r="N242" s="54"/>
      <c r="O242" s="55">
        <f t="shared" si="325"/>
        <v>0</v>
      </c>
      <c r="P242" s="57"/>
    </row>
    <row r="243" spans="1:16" ht="12" hidden="1" customHeight="1" x14ac:dyDescent="0.25">
      <c r="A243" s="51">
        <v>6259</v>
      </c>
      <c r="B243" s="89" t="s">
        <v>259</v>
      </c>
      <c r="C243" s="90">
        <f t="shared" si="326"/>
        <v>0</v>
      </c>
      <c r="D243" s="196"/>
      <c r="E243" s="197"/>
      <c r="F243" s="55">
        <f t="shared" si="322"/>
        <v>0</v>
      </c>
      <c r="G243" s="53"/>
      <c r="H243" s="54"/>
      <c r="I243" s="55">
        <f t="shared" si="323"/>
        <v>0</v>
      </c>
      <c r="J243" s="53"/>
      <c r="K243" s="54"/>
      <c r="L243" s="55">
        <f t="shared" si="324"/>
        <v>0</v>
      </c>
      <c r="M243" s="53"/>
      <c r="N243" s="54"/>
      <c r="O243" s="55">
        <f t="shared" si="325"/>
        <v>0</v>
      </c>
      <c r="P243" s="57"/>
    </row>
    <row r="244" spans="1:16" ht="24" hidden="1" customHeight="1" x14ac:dyDescent="0.25">
      <c r="A244" s="189">
        <v>6260</v>
      </c>
      <c r="B244" s="89" t="s">
        <v>260</v>
      </c>
      <c r="C244" s="90">
        <f t="shared" si="326"/>
        <v>0</v>
      </c>
      <c r="D244" s="196"/>
      <c r="E244" s="197"/>
      <c r="F244" s="55">
        <f t="shared" si="322"/>
        <v>0</v>
      </c>
      <c r="G244" s="53"/>
      <c r="H244" s="54"/>
      <c r="I244" s="55">
        <f t="shared" si="323"/>
        <v>0</v>
      </c>
      <c r="J244" s="53"/>
      <c r="K244" s="54"/>
      <c r="L244" s="55">
        <f t="shared" si="324"/>
        <v>0</v>
      </c>
      <c r="M244" s="53"/>
      <c r="N244" s="54"/>
      <c r="O244" s="55">
        <f t="shared" si="325"/>
        <v>0</v>
      </c>
      <c r="P244" s="57"/>
    </row>
    <row r="245" spans="1:16" ht="12" hidden="1" customHeight="1" x14ac:dyDescent="0.25">
      <c r="A245" s="189">
        <v>6270</v>
      </c>
      <c r="B245" s="89" t="s">
        <v>261</v>
      </c>
      <c r="C245" s="90">
        <f t="shared" si="326"/>
        <v>0</v>
      </c>
      <c r="D245" s="196"/>
      <c r="E245" s="197"/>
      <c r="F245" s="55">
        <f t="shared" si="322"/>
        <v>0</v>
      </c>
      <c r="G245" s="53"/>
      <c r="H245" s="54"/>
      <c r="I245" s="55">
        <f t="shared" si="323"/>
        <v>0</v>
      </c>
      <c r="J245" s="53"/>
      <c r="K245" s="54"/>
      <c r="L245" s="55">
        <f t="shared" si="324"/>
        <v>0</v>
      </c>
      <c r="M245" s="53"/>
      <c r="N245" s="54"/>
      <c r="O245" s="55">
        <f t="shared" si="325"/>
        <v>0</v>
      </c>
      <c r="P245" s="57"/>
    </row>
    <row r="246" spans="1:16" ht="24" hidden="1" x14ac:dyDescent="0.25">
      <c r="A246" s="1373">
        <v>6290</v>
      </c>
      <c r="B246" s="82" t="s">
        <v>262</v>
      </c>
      <c r="C246" s="209">
        <f t="shared" si="326"/>
        <v>0</v>
      </c>
      <c r="D246" s="194">
        <f>SUM(D247:D250)</f>
        <v>0</v>
      </c>
      <c r="E246" s="195">
        <f t="shared" ref="E246:O246" si="327">SUM(E247:E250)</f>
        <v>0</v>
      </c>
      <c r="F246" s="134">
        <f t="shared" si="327"/>
        <v>0</v>
      </c>
      <c r="G246" s="194">
        <f t="shared" si="327"/>
        <v>0</v>
      </c>
      <c r="H246" s="195">
        <f t="shared" si="327"/>
        <v>0</v>
      </c>
      <c r="I246" s="134">
        <f t="shared" si="327"/>
        <v>0</v>
      </c>
      <c r="J246" s="194">
        <f t="shared" si="327"/>
        <v>0</v>
      </c>
      <c r="K246" s="195">
        <f t="shared" si="327"/>
        <v>0</v>
      </c>
      <c r="L246" s="134">
        <f t="shared" si="327"/>
        <v>0</v>
      </c>
      <c r="M246" s="194">
        <f t="shared" si="327"/>
        <v>0</v>
      </c>
      <c r="N246" s="195">
        <f t="shared" si="327"/>
        <v>0</v>
      </c>
      <c r="O246" s="134">
        <f t="shared" si="327"/>
        <v>0</v>
      </c>
      <c r="P246" s="49"/>
    </row>
    <row r="247" spans="1:16" ht="12" hidden="1" customHeight="1" x14ac:dyDescent="0.25">
      <c r="A247" s="51">
        <v>6291</v>
      </c>
      <c r="B247" s="89" t="s">
        <v>263</v>
      </c>
      <c r="C247" s="90">
        <f t="shared" si="326"/>
        <v>0</v>
      </c>
      <c r="D247" s="196"/>
      <c r="E247" s="197"/>
      <c r="F247" s="55">
        <f t="shared" ref="F247:F250" si="328">D247+E247</f>
        <v>0</v>
      </c>
      <c r="G247" s="53"/>
      <c r="H247" s="54"/>
      <c r="I247" s="55">
        <f t="shared" ref="I247:I250" si="329">G247+H247</f>
        <v>0</v>
      </c>
      <c r="J247" s="53"/>
      <c r="K247" s="54"/>
      <c r="L247" s="55">
        <f t="shared" ref="L247:L250" si="330">K247+J247</f>
        <v>0</v>
      </c>
      <c r="M247" s="53"/>
      <c r="N247" s="54"/>
      <c r="O247" s="55">
        <f t="shared" ref="O247:O250" si="331">N247+M247</f>
        <v>0</v>
      </c>
      <c r="P247" s="57"/>
    </row>
    <row r="248" spans="1:16" ht="12" hidden="1" customHeight="1" x14ac:dyDescent="0.25">
      <c r="A248" s="51">
        <v>6292</v>
      </c>
      <c r="B248" s="89" t="s">
        <v>264</v>
      </c>
      <c r="C248" s="90">
        <f t="shared" si="326"/>
        <v>0</v>
      </c>
      <c r="D248" s="196"/>
      <c r="E248" s="197"/>
      <c r="F248" s="55">
        <f t="shared" si="328"/>
        <v>0</v>
      </c>
      <c r="G248" s="53"/>
      <c r="H248" s="54"/>
      <c r="I248" s="55">
        <f t="shared" si="329"/>
        <v>0</v>
      </c>
      <c r="J248" s="53"/>
      <c r="K248" s="54"/>
      <c r="L248" s="55">
        <f t="shared" si="330"/>
        <v>0</v>
      </c>
      <c r="M248" s="53"/>
      <c r="N248" s="54"/>
      <c r="O248" s="55">
        <f t="shared" si="331"/>
        <v>0</v>
      </c>
      <c r="P248" s="57"/>
    </row>
    <row r="249" spans="1:16" ht="72" hidden="1" customHeight="1" x14ac:dyDescent="0.25">
      <c r="A249" s="51">
        <v>6296</v>
      </c>
      <c r="B249" s="89" t="s">
        <v>265</v>
      </c>
      <c r="C249" s="90">
        <f t="shared" si="326"/>
        <v>0</v>
      </c>
      <c r="D249" s="196"/>
      <c r="E249" s="197"/>
      <c r="F249" s="55">
        <f t="shared" si="328"/>
        <v>0</v>
      </c>
      <c r="G249" s="53"/>
      <c r="H249" s="54"/>
      <c r="I249" s="55">
        <f t="shared" si="329"/>
        <v>0</v>
      </c>
      <c r="J249" s="53"/>
      <c r="K249" s="54"/>
      <c r="L249" s="55">
        <f t="shared" si="330"/>
        <v>0</v>
      </c>
      <c r="M249" s="53"/>
      <c r="N249" s="54"/>
      <c r="O249" s="55">
        <f t="shared" si="331"/>
        <v>0</v>
      </c>
      <c r="P249" s="57"/>
    </row>
    <row r="250" spans="1:16" ht="39.75" hidden="1" customHeight="1" x14ac:dyDescent="0.25">
      <c r="A250" s="51">
        <v>6299</v>
      </c>
      <c r="B250" s="89" t="s">
        <v>266</v>
      </c>
      <c r="C250" s="90">
        <f t="shared" si="326"/>
        <v>0</v>
      </c>
      <c r="D250" s="196"/>
      <c r="E250" s="197"/>
      <c r="F250" s="55">
        <f t="shared" si="328"/>
        <v>0</v>
      </c>
      <c r="G250" s="53"/>
      <c r="H250" s="54"/>
      <c r="I250" s="55">
        <f t="shared" si="329"/>
        <v>0</v>
      </c>
      <c r="J250" s="53"/>
      <c r="K250" s="54"/>
      <c r="L250" s="55">
        <f t="shared" si="330"/>
        <v>0</v>
      </c>
      <c r="M250" s="53"/>
      <c r="N250" s="54"/>
      <c r="O250" s="55">
        <f t="shared" si="331"/>
        <v>0</v>
      </c>
      <c r="P250" s="57"/>
    </row>
    <row r="251" spans="1:16" hidden="1" x14ac:dyDescent="0.25">
      <c r="A251" s="69">
        <v>6300</v>
      </c>
      <c r="B251" s="183" t="s">
        <v>267</v>
      </c>
      <c r="C251" s="70">
        <f t="shared" si="326"/>
        <v>0</v>
      </c>
      <c r="D251" s="184">
        <f>SUM(D252,D257,D258)</f>
        <v>0</v>
      </c>
      <c r="E251" s="185">
        <f t="shared" ref="E251:O251" si="332">SUM(E252,E257,E258)</f>
        <v>0</v>
      </c>
      <c r="F251" s="73">
        <f t="shared" si="332"/>
        <v>0</v>
      </c>
      <c r="G251" s="184">
        <f t="shared" si="332"/>
        <v>0</v>
      </c>
      <c r="H251" s="185">
        <f t="shared" si="332"/>
        <v>0</v>
      </c>
      <c r="I251" s="73">
        <f t="shared" si="332"/>
        <v>0</v>
      </c>
      <c r="J251" s="184">
        <f t="shared" si="332"/>
        <v>0</v>
      </c>
      <c r="K251" s="185">
        <f t="shared" si="332"/>
        <v>0</v>
      </c>
      <c r="L251" s="73">
        <f t="shared" si="332"/>
        <v>0</v>
      </c>
      <c r="M251" s="184">
        <f t="shared" si="332"/>
        <v>0</v>
      </c>
      <c r="N251" s="185">
        <f t="shared" si="332"/>
        <v>0</v>
      </c>
      <c r="O251" s="73">
        <f t="shared" si="332"/>
        <v>0</v>
      </c>
      <c r="P251" s="77"/>
    </row>
    <row r="252" spans="1:16" ht="24" hidden="1" x14ac:dyDescent="0.25">
      <c r="A252" s="1373">
        <v>6320</v>
      </c>
      <c r="B252" s="82" t="s">
        <v>268</v>
      </c>
      <c r="C252" s="209">
        <f t="shared" si="326"/>
        <v>0</v>
      </c>
      <c r="D252" s="194">
        <f>SUM(D253:D256)</f>
        <v>0</v>
      </c>
      <c r="E252" s="195">
        <f t="shared" ref="E252:O252" si="333">SUM(E253:E256)</f>
        <v>0</v>
      </c>
      <c r="F252" s="134">
        <f t="shared" si="333"/>
        <v>0</v>
      </c>
      <c r="G252" s="194">
        <f t="shared" si="333"/>
        <v>0</v>
      </c>
      <c r="H252" s="195">
        <f t="shared" si="333"/>
        <v>0</v>
      </c>
      <c r="I252" s="134">
        <f t="shared" si="333"/>
        <v>0</v>
      </c>
      <c r="J252" s="194">
        <f t="shared" si="333"/>
        <v>0</v>
      </c>
      <c r="K252" s="195">
        <f t="shared" si="333"/>
        <v>0</v>
      </c>
      <c r="L252" s="134">
        <f t="shared" si="333"/>
        <v>0</v>
      </c>
      <c r="M252" s="194">
        <f t="shared" si="333"/>
        <v>0</v>
      </c>
      <c r="N252" s="195">
        <f t="shared" si="333"/>
        <v>0</v>
      </c>
      <c r="O252" s="134">
        <f t="shared" si="333"/>
        <v>0</v>
      </c>
      <c r="P252" s="49"/>
    </row>
    <row r="253" spans="1:16" ht="12" hidden="1" customHeight="1" x14ac:dyDescent="0.25">
      <c r="A253" s="51">
        <v>6322</v>
      </c>
      <c r="B253" s="89" t="s">
        <v>269</v>
      </c>
      <c r="C253" s="90">
        <f t="shared" si="326"/>
        <v>0</v>
      </c>
      <c r="D253" s="196"/>
      <c r="E253" s="197"/>
      <c r="F253" s="55">
        <f t="shared" ref="F253:F258" si="334">D253+E253</f>
        <v>0</v>
      </c>
      <c r="G253" s="53"/>
      <c r="H253" s="54"/>
      <c r="I253" s="55">
        <f t="shared" ref="I253:I258" si="335">G253+H253</f>
        <v>0</v>
      </c>
      <c r="J253" s="53"/>
      <c r="K253" s="54"/>
      <c r="L253" s="55">
        <f t="shared" ref="L253:L258" si="336">K253+J253</f>
        <v>0</v>
      </c>
      <c r="M253" s="53"/>
      <c r="N253" s="54"/>
      <c r="O253" s="55">
        <f t="shared" ref="O253:O258" si="337">N253+M253</f>
        <v>0</v>
      </c>
      <c r="P253" s="57"/>
    </row>
    <row r="254" spans="1:16" ht="24" hidden="1" customHeight="1" x14ac:dyDescent="0.25">
      <c r="A254" s="51">
        <v>6323</v>
      </c>
      <c r="B254" s="89" t="s">
        <v>270</v>
      </c>
      <c r="C254" s="90">
        <f t="shared" si="326"/>
        <v>0</v>
      </c>
      <c r="D254" s="196"/>
      <c r="E254" s="197"/>
      <c r="F254" s="55">
        <f t="shared" si="334"/>
        <v>0</v>
      </c>
      <c r="G254" s="53"/>
      <c r="H254" s="54"/>
      <c r="I254" s="55">
        <f t="shared" si="335"/>
        <v>0</v>
      </c>
      <c r="J254" s="53"/>
      <c r="K254" s="54"/>
      <c r="L254" s="55">
        <f t="shared" si="336"/>
        <v>0</v>
      </c>
      <c r="M254" s="53"/>
      <c r="N254" s="54"/>
      <c r="O254" s="55">
        <f t="shared" si="337"/>
        <v>0</v>
      </c>
      <c r="P254" s="57"/>
    </row>
    <row r="255" spans="1:16" ht="24" hidden="1" customHeight="1" x14ac:dyDescent="0.25">
      <c r="A255" s="51">
        <v>6324</v>
      </c>
      <c r="B255" s="89" t="s">
        <v>271</v>
      </c>
      <c r="C255" s="90">
        <f t="shared" si="326"/>
        <v>0</v>
      </c>
      <c r="D255" s="196"/>
      <c r="E255" s="197"/>
      <c r="F255" s="55">
        <f t="shared" si="334"/>
        <v>0</v>
      </c>
      <c r="G255" s="53"/>
      <c r="H255" s="54"/>
      <c r="I255" s="55">
        <f t="shared" si="335"/>
        <v>0</v>
      </c>
      <c r="J255" s="53"/>
      <c r="K255" s="54"/>
      <c r="L255" s="55">
        <f t="shared" si="336"/>
        <v>0</v>
      </c>
      <c r="M255" s="53"/>
      <c r="N255" s="54"/>
      <c r="O255" s="55">
        <f t="shared" si="337"/>
        <v>0</v>
      </c>
      <c r="P255" s="57"/>
    </row>
    <row r="256" spans="1:16" ht="12" hidden="1" customHeight="1" x14ac:dyDescent="0.25">
      <c r="A256" s="44">
        <v>6329</v>
      </c>
      <c r="B256" s="82" t="s">
        <v>272</v>
      </c>
      <c r="C256" s="83">
        <f t="shared" si="326"/>
        <v>0</v>
      </c>
      <c r="D256" s="199"/>
      <c r="E256" s="200"/>
      <c r="F256" s="134">
        <f t="shared" si="334"/>
        <v>0</v>
      </c>
      <c r="G256" s="46"/>
      <c r="H256" s="47"/>
      <c r="I256" s="134">
        <f t="shared" si="335"/>
        <v>0</v>
      </c>
      <c r="J256" s="46"/>
      <c r="K256" s="47"/>
      <c r="L256" s="134">
        <f t="shared" si="336"/>
        <v>0</v>
      </c>
      <c r="M256" s="46"/>
      <c r="N256" s="47"/>
      <c r="O256" s="134">
        <f t="shared" si="337"/>
        <v>0</v>
      </c>
      <c r="P256" s="49"/>
    </row>
    <row r="257" spans="1:16" ht="24" hidden="1" customHeight="1" x14ac:dyDescent="0.25">
      <c r="A257" s="226">
        <v>6330</v>
      </c>
      <c r="B257" s="227" t="s">
        <v>273</v>
      </c>
      <c r="C257" s="209">
        <f t="shared" si="326"/>
        <v>0</v>
      </c>
      <c r="D257" s="211"/>
      <c r="E257" s="212"/>
      <c r="F257" s="213">
        <f t="shared" si="334"/>
        <v>0</v>
      </c>
      <c r="G257" s="214"/>
      <c r="H257" s="215"/>
      <c r="I257" s="213">
        <f t="shared" si="335"/>
        <v>0</v>
      </c>
      <c r="J257" s="214"/>
      <c r="K257" s="215"/>
      <c r="L257" s="213">
        <f t="shared" si="336"/>
        <v>0</v>
      </c>
      <c r="M257" s="214"/>
      <c r="N257" s="215"/>
      <c r="O257" s="213">
        <f t="shared" si="337"/>
        <v>0</v>
      </c>
      <c r="P257" s="216"/>
    </row>
    <row r="258" spans="1:16" ht="12" hidden="1" customHeight="1" x14ac:dyDescent="0.25">
      <c r="A258" s="189">
        <v>6360</v>
      </c>
      <c r="B258" s="89" t="s">
        <v>274</v>
      </c>
      <c r="C258" s="90">
        <f t="shared" si="326"/>
        <v>0</v>
      </c>
      <c r="D258" s="196"/>
      <c r="E258" s="197"/>
      <c r="F258" s="55">
        <f t="shared" si="334"/>
        <v>0</v>
      </c>
      <c r="G258" s="53"/>
      <c r="H258" s="54"/>
      <c r="I258" s="55">
        <f t="shared" si="335"/>
        <v>0</v>
      </c>
      <c r="J258" s="53"/>
      <c r="K258" s="54"/>
      <c r="L258" s="55">
        <f t="shared" si="336"/>
        <v>0</v>
      </c>
      <c r="M258" s="53"/>
      <c r="N258" s="54"/>
      <c r="O258" s="55">
        <f t="shared" si="337"/>
        <v>0</v>
      </c>
      <c r="P258" s="57"/>
    </row>
    <row r="259" spans="1:16" ht="36" hidden="1" x14ac:dyDescent="0.25">
      <c r="A259" s="69">
        <v>6400</v>
      </c>
      <c r="B259" s="183" t="s">
        <v>275</v>
      </c>
      <c r="C259" s="70">
        <f t="shared" si="326"/>
        <v>0</v>
      </c>
      <c r="D259" s="184">
        <f>SUM(D260,D264)</f>
        <v>0</v>
      </c>
      <c r="E259" s="185">
        <f t="shared" ref="E259:O259" si="338">SUM(E260,E264)</f>
        <v>0</v>
      </c>
      <c r="F259" s="73">
        <f t="shared" si="338"/>
        <v>0</v>
      </c>
      <c r="G259" s="184">
        <f t="shared" si="338"/>
        <v>0</v>
      </c>
      <c r="H259" s="185">
        <f t="shared" si="338"/>
        <v>0</v>
      </c>
      <c r="I259" s="73">
        <f t="shared" si="338"/>
        <v>0</v>
      </c>
      <c r="J259" s="184">
        <f t="shared" si="338"/>
        <v>0</v>
      </c>
      <c r="K259" s="185">
        <f t="shared" si="338"/>
        <v>0</v>
      </c>
      <c r="L259" s="73">
        <f t="shared" si="338"/>
        <v>0</v>
      </c>
      <c r="M259" s="184">
        <f t="shared" si="338"/>
        <v>0</v>
      </c>
      <c r="N259" s="185">
        <f t="shared" si="338"/>
        <v>0</v>
      </c>
      <c r="O259" s="73">
        <f t="shared" si="338"/>
        <v>0</v>
      </c>
      <c r="P259" s="77"/>
    </row>
    <row r="260" spans="1:16" ht="24" hidden="1" x14ac:dyDescent="0.25">
      <c r="A260" s="1373">
        <v>6410</v>
      </c>
      <c r="B260" s="82" t="s">
        <v>276</v>
      </c>
      <c r="C260" s="83">
        <f t="shared" si="326"/>
        <v>0</v>
      </c>
      <c r="D260" s="194">
        <f>SUM(D261:D263)</f>
        <v>0</v>
      </c>
      <c r="E260" s="195">
        <f t="shared" ref="E260:O260" si="339">SUM(E261:E263)</f>
        <v>0</v>
      </c>
      <c r="F260" s="134">
        <f t="shared" si="339"/>
        <v>0</v>
      </c>
      <c r="G260" s="194">
        <f t="shared" si="339"/>
        <v>0</v>
      </c>
      <c r="H260" s="195">
        <f t="shared" si="339"/>
        <v>0</v>
      </c>
      <c r="I260" s="134">
        <f t="shared" si="339"/>
        <v>0</v>
      </c>
      <c r="J260" s="194">
        <f t="shared" si="339"/>
        <v>0</v>
      </c>
      <c r="K260" s="195">
        <f t="shared" si="339"/>
        <v>0</v>
      </c>
      <c r="L260" s="134">
        <f t="shared" si="339"/>
        <v>0</v>
      </c>
      <c r="M260" s="194">
        <f t="shared" si="339"/>
        <v>0</v>
      </c>
      <c r="N260" s="195">
        <f t="shared" si="339"/>
        <v>0</v>
      </c>
      <c r="O260" s="134">
        <f t="shared" si="339"/>
        <v>0</v>
      </c>
      <c r="P260" s="49"/>
    </row>
    <row r="261" spans="1:16" ht="12" hidden="1" customHeight="1" x14ac:dyDescent="0.25">
      <c r="A261" s="51">
        <v>6411</v>
      </c>
      <c r="B261" s="201" t="s">
        <v>277</v>
      </c>
      <c r="C261" s="90">
        <f t="shared" si="326"/>
        <v>0</v>
      </c>
      <c r="D261" s="196"/>
      <c r="E261" s="197"/>
      <c r="F261" s="55">
        <f t="shared" ref="F261:F263" si="340">D261+E261</f>
        <v>0</v>
      </c>
      <c r="G261" s="53"/>
      <c r="H261" s="54"/>
      <c r="I261" s="55">
        <f t="shared" ref="I261:I263" si="341">G261+H261</f>
        <v>0</v>
      </c>
      <c r="J261" s="53"/>
      <c r="K261" s="54"/>
      <c r="L261" s="55">
        <f t="shared" ref="L261:L263" si="342">K261+J261</f>
        <v>0</v>
      </c>
      <c r="M261" s="53"/>
      <c r="N261" s="54"/>
      <c r="O261" s="55">
        <f t="shared" ref="O261:O263" si="343">N261+M261</f>
        <v>0</v>
      </c>
      <c r="P261" s="57"/>
    </row>
    <row r="262" spans="1:16" ht="36" hidden="1" customHeight="1" x14ac:dyDescent="0.25">
      <c r="A262" s="51">
        <v>6412</v>
      </c>
      <c r="B262" s="89" t="s">
        <v>278</v>
      </c>
      <c r="C262" s="90">
        <f t="shared" si="326"/>
        <v>0</v>
      </c>
      <c r="D262" s="196"/>
      <c r="E262" s="197"/>
      <c r="F262" s="55">
        <f t="shared" si="340"/>
        <v>0</v>
      </c>
      <c r="G262" s="53"/>
      <c r="H262" s="54"/>
      <c r="I262" s="55">
        <f t="shared" si="341"/>
        <v>0</v>
      </c>
      <c r="J262" s="53"/>
      <c r="K262" s="54"/>
      <c r="L262" s="55">
        <f t="shared" si="342"/>
        <v>0</v>
      </c>
      <c r="M262" s="53"/>
      <c r="N262" s="54"/>
      <c r="O262" s="55">
        <f t="shared" si="343"/>
        <v>0</v>
      </c>
      <c r="P262" s="57"/>
    </row>
    <row r="263" spans="1:16" ht="36" hidden="1" customHeight="1" x14ac:dyDescent="0.25">
      <c r="A263" s="51">
        <v>6419</v>
      </c>
      <c r="B263" s="89" t="s">
        <v>279</v>
      </c>
      <c r="C263" s="90">
        <f t="shared" si="326"/>
        <v>0</v>
      </c>
      <c r="D263" s="196"/>
      <c r="E263" s="197"/>
      <c r="F263" s="55">
        <f t="shared" si="340"/>
        <v>0</v>
      </c>
      <c r="G263" s="53"/>
      <c r="H263" s="54"/>
      <c r="I263" s="55">
        <f t="shared" si="341"/>
        <v>0</v>
      </c>
      <c r="J263" s="53"/>
      <c r="K263" s="54"/>
      <c r="L263" s="55">
        <f t="shared" si="342"/>
        <v>0</v>
      </c>
      <c r="M263" s="53"/>
      <c r="N263" s="54"/>
      <c r="O263" s="55">
        <f t="shared" si="343"/>
        <v>0</v>
      </c>
      <c r="P263" s="57"/>
    </row>
    <row r="264" spans="1:16" ht="48" hidden="1" x14ac:dyDescent="0.25">
      <c r="A264" s="189">
        <v>6420</v>
      </c>
      <c r="B264" s="89" t="s">
        <v>280</v>
      </c>
      <c r="C264" s="90">
        <f t="shared" si="326"/>
        <v>0</v>
      </c>
      <c r="D264" s="190">
        <f>SUM(D265:D268)</f>
        <v>0</v>
      </c>
      <c r="E264" s="191">
        <f t="shared" ref="E264:F264" si="344">SUM(E265:E268)</f>
        <v>0</v>
      </c>
      <c r="F264" s="55">
        <f t="shared" si="344"/>
        <v>0</v>
      </c>
      <c r="G264" s="190">
        <f>SUM(G265:G268)</f>
        <v>0</v>
      </c>
      <c r="H264" s="191">
        <f t="shared" ref="H264:I264" si="345">SUM(H265:H268)</f>
        <v>0</v>
      </c>
      <c r="I264" s="55">
        <f t="shared" si="345"/>
        <v>0</v>
      </c>
      <c r="J264" s="190">
        <f>SUM(J265:J268)</f>
        <v>0</v>
      </c>
      <c r="K264" s="191">
        <f t="shared" ref="K264:L264" si="346">SUM(K265:K268)</f>
        <v>0</v>
      </c>
      <c r="L264" s="55">
        <f t="shared" si="346"/>
        <v>0</v>
      </c>
      <c r="M264" s="190">
        <f>SUM(M265:M268)</f>
        <v>0</v>
      </c>
      <c r="N264" s="191">
        <f t="shared" ref="N264:O264" si="347">SUM(N265:N268)</f>
        <v>0</v>
      </c>
      <c r="O264" s="55">
        <f t="shared" si="347"/>
        <v>0</v>
      </c>
      <c r="P264" s="57"/>
    </row>
    <row r="265" spans="1:16" ht="36" hidden="1" customHeight="1" x14ac:dyDescent="0.25">
      <c r="A265" s="51">
        <v>6421</v>
      </c>
      <c r="B265" s="89" t="s">
        <v>281</v>
      </c>
      <c r="C265" s="90">
        <f t="shared" si="326"/>
        <v>0</v>
      </c>
      <c r="D265" s="196"/>
      <c r="E265" s="197"/>
      <c r="F265" s="55">
        <f t="shared" ref="F265:F268" si="348">D265+E265</f>
        <v>0</v>
      </c>
      <c r="G265" s="53"/>
      <c r="H265" s="54"/>
      <c r="I265" s="55">
        <f t="shared" ref="I265:I268" si="349">G265+H265</f>
        <v>0</v>
      </c>
      <c r="J265" s="53"/>
      <c r="K265" s="54"/>
      <c r="L265" s="55">
        <f t="shared" ref="L265:L268" si="350">K265+J265</f>
        <v>0</v>
      </c>
      <c r="M265" s="53"/>
      <c r="N265" s="54"/>
      <c r="O265" s="55">
        <f t="shared" ref="O265:O268" si="351">N265+M265</f>
        <v>0</v>
      </c>
      <c r="P265" s="57"/>
    </row>
    <row r="266" spans="1:16" ht="12" hidden="1" customHeight="1" x14ac:dyDescent="0.25">
      <c r="A266" s="51">
        <v>6422</v>
      </c>
      <c r="B266" s="89" t="s">
        <v>282</v>
      </c>
      <c r="C266" s="90">
        <f t="shared" si="326"/>
        <v>0</v>
      </c>
      <c r="D266" s="196"/>
      <c r="E266" s="197"/>
      <c r="F266" s="55">
        <f t="shared" si="348"/>
        <v>0</v>
      </c>
      <c r="G266" s="53"/>
      <c r="H266" s="54"/>
      <c r="I266" s="55">
        <f t="shared" si="349"/>
        <v>0</v>
      </c>
      <c r="J266" s="53"/>
      <c r="K266" s="54"/>
      <c r="L266" s="55">
        <f t="shared" si="350"/>
        <v>0</v>
      </c>
      <c r="M266" s="53"/>
      <c r="N266" s="54"/>
      <c r="O266" s="55">
        <f t="shared" si="351"/>
        <v>0</v>
      </c>
      <c r="P266" s="57"/>
    </row>
    <row r="267" spans="1:16" ht="13.5" hidden="1" customHeight="1" x14ac:dyDescent="0.25">
      <c r="A267" s="51">
        <v>6423</v>
      </c>
      <c r="B267" s="89" t="s">
        <v>283</v>
      </c>
      <c r="C267" s="90">
        <f t="shared" si="326"/>
        <v>0</v>
      </c>
      <c r="D267" s="196"/>
      <c r="E267" s="197"/>
      <c r="F267" s="55">
        <f t="shared" si="348"/>
        <v>0</v>
      </c>
      <c r="G267" s="53"/>
      <c r="H267" s="54"/>
      <c r="I267" s="55">
        <f t="shared" si="349"/>
        <v>0</v>
      </c>
      <c r="J267" s="53"/>
      <c r="K267" s="54"/>
      <c r="L267" s="55">
        <f t="shared" si="350"/>
        <v>0</v>
      </c>
      <c r="M267" s="53"/>
      <c r="N267" s="54"/>
      <c r="O267" s="55">
        <f t="shared" si="351"/>
        <v>0</v>
      </c>
      <c r="P267" s="57"/>
    </row>
    <row r="268" spans="1:16" ht="36" hidden="1" customHeight="1" x14ac:dyDescent="0.25">
      <c r="A268" s="51">
        <v>6424</v>
      </c>
      <c r="B268" s="89" t="s">
        <v>284</v>
      </c>
      <c r="C268" s="90">
        <f t="shared" si="326"/>
        <v>0</v>
      </c>
      <c r="D268" s="196"/>
      <c r="E268" s="197"/>
      <c r="F268" s="55">
        <f t="shared" si="348"/>
        <v>0</v>
      </c>
      <c r="G268" s="53"/>
      <c r="H268" s="54"/>
      <c r="I268" s="55">
        <f t="shared" si="349"/>
        <v>0</v>
      </c>
      <c r="J268" s="53"/>
      <c r="K268" s="54"/>
      <c r="L268" s="55">
        <f t="shared" si="350"/>
        <v>0</v>
      </c>
      <c r="M268" s="53"/>
      <c r="N268" s="54"/>
      <c r="O268" s="55">
        <f t="shared" si="351"/>
        <v>0</v>
      </c>
      <c r="P268" s="57"/>
    </row>
    <row r="269" spans="1:16" ht="48" x14ac:dyDescent="0.25">
      <c r="A269" s="228">
        <v>7000</v>
      </c>
      <c r="B269" s="228" t="s">
        <v>285</v>
      </c>
      <c r="C269" s="229">
        <f t="shared" si="326"/>
        <v>1038</v>
      </c>
      <c r="D269" s="230">
        <f>SUM(D270,D281)</f>
        <v>0</v>
      </c>
      <c r="E269" s="231">
        <f t="shared" ref="E269:F269" si="352">SUM(E270,E281)</f>
        <v>0</v>
      </c>
      <c r="F269" s="232">
        <f t="shared" si="352"/>
        <v>0</v>
      </c>
      <c r="G269" s="230">
        <f>SUM(G270,G281)</f>
        <v>0</v>
      </c>
      <c r="H269" s="231">
        <f t="shared" ref="H269:I269" si="353">SUM(H270,H281)</f>
        <v>0</v>
      </c>
      <c r="I269" s="232">
        <f t="shared" si="353"/>
        <v>0</v>
      </c>
      <c r="J269" s="230">
        <f>SUM(J270,J281)</f>
        <v>1038</v>
      </c>
      <c r="K269" s="231">
        <f t="shared" ref="K269:L269" si="354">SUM(K270,K281)</f>
        <v>0</v>
      </c>
      <c r="L269" s="232">
        <f t="shared" si="354"/>
        <v>1038</v>
      </c>
      <c r="M269" s="230">
        <f>SUM(M270,M281)</f>
        <v>0</v>
      </c>
      <c r="N269" s="231">
        <f t="shared" ref="N269:O269" si="355">SUM(N270,N281)</f>
        <v>0</v>
      </c>
      <c r="O269" s="232">
        <f t="shared" si="355"/>
        <v>0</v>
      </c>
      <c r="P269" s="233"/>
    </row>
    <row r="270" spans="1:16" ht="24" x14ac:dyDescent="0.25">
      <c r="A270" s="69">
        <v>7200</v>
      </c>
      <c r="B270" s="183" t="s">
        <v>286</v>
      </c>
      <c r="C270" s="70">
        <f t="shared" si="326"/>
        <v>1038</v>
      </c>
      <c r="D270" s="184">
        <f>SUM(D271,D272,D275,D276,D280)</f>
        <v>0</v>
      </c>
      <c r="E270" s="185">
        <f t="shared" ref="E270:F270" si="356">SUM(E271,E272,E275,E276,E280)</f>
        <v>0</v>
      </c>
      <c r="F270" s="73">
        <f t="shared" si="356"/>
        <v>0</v>
      </c>
      <c r="G270" s="184">
        <f>SUM(G271,G272,G275,G276,G280)</f>
        <v>0</v>
      </c>
      <c r="H270" s="185">
        <f t="shared" ref="H270:I270" si="357">SUM(H271,H272,H275,H276,H280)</f>
        <v>0</v>
      </c>
      <c r="I270" s="73">
        <f t="shared" si="357"/>
        <v>0</v>
      </c>
      <c r="J270" s="184">
        <f>SUM(J271,J272,J275,J276,J280)</f>
        <v>1038</v>
      </c>
      <c r="K270" s="185">
        <f t="shared" ref="K270:L270" si="358">SUM(K271,K272,K275,K276,K280)</f>
        <v>0</v>
      </c>
      <c r="L270" s="73">
        <f t="shared" si="358"/>
        <v>1038</v>
      </c>
      <c r="M270" s="184">
        <f>SUM(M271,M272,M275,M276,M280)</f>
        <v>0</v>
      </c>
      <c r="N270" s="185">
        <f t="shared" ref="N270:O270" si="359">SUM(N271,N272,N275,N276,N280)</f>
        <v>0</v>
      </c>
      <c r="O270" s="73">
        <f t="shared" si="359"/>
        <v>0</v>
      </c>
      <c r="P270" s="77"/>
    </row>
    <row r="271" spans="1:16" ht="24" hidden="1" customHeight="1" x14ac:dyDescent="0.25">
      <c r="A271" s="1373">
        <v>7210</v>
      </c>
      <c r="B271" s="82" t="s">
        <v>287</v>
      </c>
      <c r="C271" s="83">
        <f t="shared" si="326"/>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326"/>
        <v>0</v>
      </c>
      <c r="D272" s="190">
        <f>SUM(D273:D274)</f>
        <v>0</v>
      </c>
      <c r="E272" s="191">
        <f t="shared" ref="E272:F272" si="360">SUM(E273:E274)</f>
        <v>0</v>
      </c>
      <c r="F272" s="55">
        <f t="shared" si="360"/>
        <v>0</v>
      </c>
      <c r="G272" s="190">
        <f>SUM(G273:G274)</f>
        <v>0</v>
      </c>
      <c r="H272" s="191">
        <f t="shared" ref="H272:I272" si="361">SUM(H273:H274)</f>
        <v>0</v>
      </c>
      <c r="I272" s="55">
        <f t="shared" si="361"/>
        <v>0</v>
      </c>
      <c r="J272" s="190">
        <f>SUM(J273:J274)</f>
        <v>0</v>
      </c>
      <c r="K272" s="191">
        <f t="shared" ref="K272:L272" si="362">SUM(K273:K274)</f>
        <v>0</v>
      </c>
      <c r="L272" s="55">
        <f t="shared" si="362"/>
        <v>0</v>
      </c>
      <c r="M272" s="190">
        <f>SUM(M273:M274)</f>
        <v>0</v>
      </c>
      <c r="N272" s="191">
        <f t="shared" ref="N272:O272" si="363">SUM(N273:N274)</f>
        <v>0</v>
      </c>
      <c r="O272" s="55">
        <f t="shared" si="363"/>
        <v>0</v>
      </c>
      <c r="P272" s="57"/>
    </row>
    <row r="273" spans="1:16" s="234" customFormat="1" ht="36" hidden="1" customHeight="1" x14ac:dyDescent="0.25">
      <c r="A273" s="51">
        <v>7221</v>
      </c>
      <c r="B273" s="89" t="s">
        <v>289</v>
      </c>
      <c r="C273" s="90">
        <f t="shared" si="326"/>
        <v>0</v>
      </c>
      <c r="D273" s="196"/>
      <c r="E273" s="197"/>
      <c r="F273" s="55">
        <f t="shared" ref="F273:F275" si="364">D273+E273</f>
        <v>0</v>
      </c>
      <c r="G273" s="53"/>
      <c r="H273" s="54"/>
      <c r="I273" s="55">
        <f t="shared" ref="I273:I275" si="365">G273+H273</f>
        <v>0</v>
      </c>
      <c r="J273" s="53"/>
      <c r="K273" s="54"/>
      <c r="L273" s="55">
        <f t="shared" ref="L273:L275" si="366">K273+J273</f>
        <v>0</v>
      </c>
      <c r="M273" s="53"/>
      <c r="N273" s="54"/>
      <c r="O273" s="55">
        <f t="shared" ref="O273:O275" si="367">N273+M273</f>
        <v>0</v>
      </c>
      <c r="P273" s="57"/>
    </row>
    <row r="274" spans="1:16" s="234" customFormat="1" ht="36" hidden="1" customHeight="1" x14ac:dyDescent="0.25">
      <c r="A274" s="51">
        <v>7222</v>
      </c>
      <c r="B274" s="89" t="s">
        <v>290</v>
      </c>
      <c r="C274" s="90">
        <f t="shared" si="326"/>
        <v>0</v>
      </c>
      <c r="D274" s="196"/>
      <c r="E274" s="197"/>
      <c r="F274" s="55">
        <f t="shared" si="364"/>
        <v>0</v>
      </c>
      <c r="G274" s="53"/>
      <c r="H274" s="54"/>
      <c r="I274" s="55">
        <f t="shared" si="365"/>
        <v>0</v>
      </c>
      <c r="J274" s="53"/>
      <c r="K274" s="54"/>
      <c r="L274" s="55">
        <f t="shared" si="366"/>
        <v>0</v>
      </c>
      <c r="M274" s="53"/>
      <c r="N274" s="54"/>
      <c r="O274" s="55">
        <f t="shared" si="367"/>
        <v>0</v>
      </c>
      <c r="P274" s="57"/>
    </row>
    <row r="275" spans="1:16" ht="24" customHeight="1" x14ac:dyDescent="0.25">
      <c r="A275" s="189">
        <v>7230</v>
      </c>
      <c r="B275" s="89" t="s">
        <v>291</v>
      </c>
      <c r="C275" s="90">
        <f t="shared" si="326"/>
        <v>1038</v>
      </c>
      <c r="D275" s="196"/>
      <c r="E275" s="197"/>
      <c r="F275" s="55">
        <f t="shared" si="364"/>
        <v>0</v>
      </c>
      <c r="G275" s="53"/>
      <c r="H275" s="54"/>
      <c r="I275" s="55">
        <f t="shared" si="365"/>
        <v>0</v>
      </c>
      <c r="J275" s="53">
        <v>1038</v>
      </c>
      <c r="K275" s="54">
        <f>650-650</f>
        <v>0</v>
      </c>
      <c r="L275" s="55">
        <f t="shared" si="366"/>
        <v>1038</v>
      </c>
      <c r="M275" s="53"/>
      <c r="N275" s="54"/>
      <c r="O275" s="55">
        <f t="shared" si="367"/>
        <v>0</v>
      </c>
      <c r="P275" s="57"/>
    </row>
    <row r="276" spans="1:16" ht="24" hidden="1" x14ac:dyDescent="0.25">
      <c r="A276" s="189">
        <v>7240</v>
      </c>
      <c r="B276" s="89" t="s">
        <v>292</v>
      </c>
      <c r="C276" s="90">
        <f t="shared" si="326"/>
        <v>0</v>
      </c>
      <c r="D276" s="190">
        <f t="shared" ref="D276:O276" si="368">SUM(D277:D279)</f>
        <v>0</v>
      </c>
      <c r="E276" s="191">
        <f t="shared" si="368"/>
        <v>0</v>
      </c>
      <c r="F276" s="55">
        <f t="shared" si="368"/>
        <v>0</v>
      </c>
      <c r="G276" s="190">
        <f t="shared" si="368"/>
        <v>0</v>
      </c>
      <c r="H276" s="191">
        <f t="shared" si="368"/>
        <v>0</v>
      </c>
      <c r="I276" s="55">
        <f t="shared" si="368"/>
        <v>0</v>
      </c>
      <c r="J276" s="190">
        <f>SUM(J277:J279)</f>
        <v>0</v>
      </c>
      <c r="K276" s="191">
        <f t="shared" ref="K276:L276" si="369">SUM(K277:K279)</f>
        <v>0</v>
      </c>
      <c r="L276" s="55">
        <f t="shared" si="369"/>
        <v>0</v>
      </c>
      <c r="M276" s="190">
        <f t="shared" si="368"/>
        <v>0</v>
      </c>
      <c r="N276" s="191">
        <f t="shared" si="368"/>
        <v>0</v>
      </c>
      <c r="O276" s="55">
        <f t="shared" si="368"/>
        <v>0</v>
      </c>
      <c r="P276" s="57"/>
    </row>
    <row r="277" spans="1:16" ht="48" hidden="1" customHeight="1" x14ac:dyDescent="0.25">
      <c r="A277" s="51">
        <v>7245</v>
      </c>
      <c r="B277" s="89" t="s">
        <v>293</v>
      </c>
      <c r="C277" s="90">
        <f t="shared" si="326"/>
        <v>0</v>
      </c>
      <c r="D277" s="196"/>
      <c r="E277" s="197"/>
      <c r="F277" s="55">
        <f t="shared" ref="F277:F280" si="370">D277+E277</f>
        <v>0</v>
      </c>
      <c r="G277" s="53"/>
      <c r="H277" s="54"/>
      <c r="I277" s="55">
        <f t="shared" ref="I277:I280" si="371">G277+H277</f>
        <v>0</v>
      </c>
      <c r="J277" s="53"/>
      <c r="K277" s="54"/>
      <c r="L277" s="55">
        <f t="shared" ref="L277:L280" si="372">K277+J277</f>
        <v>0</v>
      </c>
      <c r="M277" s="53"/>
      <c r="N277" s="54"/>
      <c r="O277" s="55">
        <f t="shared" ref="O277:O280" si="373">N277+M277</f>
        <v>0</v>
      </c>
      <c r="P277" s="57"/>
    </row>
    <row r="278" spans="1:16" ht="84.75" hidden="1" customHeight="1" x14ac:dyDescent="0.25">
      <c r="A278" s="51">
        <v>7246</v>
      </c>
      <c r="B278" s="89" t="s">
        <v>294</v>
      </c>
      <c r="C278" s="90">
        <f t="shared" si="326"/>
        <v>0</v>
      </c>
      <c r="D278" s="196"/>
      <c r="E278" s="197"/>
      <c r="F278" s="55">
        <f t="shared" si="370"/>
        <v>0</v>
      </c>
      <c r="G278" s="53"/>
      <c r="H278" s="54"/>
      <c r="I278" s="55">
        <f t="shared" si="371"/>
        <v>0</v>
      </c>
      <c r="J278" s="53"/>
      <c r="K278" s="54"/>
      <c r="L278" s="55">
        <f t="shared" si="372"/>
        <v>0</v>
      </c>
      <c r="M278" s="53"/>
      <c r="N278" s="54"/>
      <c r="O278" s="55">
        <f t="shared" si="373"/>
        <v>0</v>
      </c>
      <c r="P278" s="57"/>
    </row>
    <row r="279" spans="1:16" ht="36" hidden="1" customHeight="1" x14ac:dyDescent="0.25">
      <c r="A279" s="51">
        <v>7247</v>
      </c>
      <c r="B279" s="89" t="s">
        <v>295</v>
      </c>
      <c r="C279" s="90">
        <f t="shared" si="326"/>
        <v>0</v>
      </c>
      <c r="D279" s="196"/>
      <c r="E279" s="197"/>
      <c r="F279" s="55">
        <f t="shared" si="370"/>
        <v>0</v>
      </c>
      <c r="G279" s="53"/>
      <c r="H279" s="54"/>
      <c r="I279" s="55">
        <f t="shared" si="371"/>
        <v>0</v>
      </c>
      <c r="J279" s="53"/>
      <c r="K279" s="54"/>
      <c r="L279" s="55">
        <f t="shared" si="372"/>
        <v>0</v>
      </c>
      <c r="M279" s="53"/>
      <c r="N279" s="54"/>
      <c r="O279" s="55">
        <f t="shared" si="373"/>
        <v>0</v>
      </c>
      <c r="P279" s="57"/>
    </row>
    <row r="280" spans="1:16" ht="24" hidden="1" customHeight="1" x14ac:dyDescent="0.25">
      <c r="A280" s="1373">
        <v>7260</v>
      </c>
      <c r="B280" s="82" t="s">
        <v>296</v>
      </c>
      <c r="C280" s="83">
        <f t="shared" si="326"/>
        <v>0</v>
      </c>
      <c r="D280" s="199"/>
      <c r="E280" s="200"/>
      <c r="F280" s="134">
        <f t="shared" si="370"/>
        <v>0</v>
      </c>
      <c r="G280" s="46"/>
      <c r="H280" s="47"/>
      <c r="I280" s="134">
        <f t="shared" si="371"/>
        <v>0</v>
      </c>
      <c r="J280" s="46"/>
      <c r="K280" s="47"/>
      <c r="L280" s="134">
        <f t="shared" si="372"/>
        <v>0</v>
      </c>
      <c r="M280" s="46"/>
      <c r="N280" s="47"/>
      <c r="O280" s="134">
        <f t="shared" si="373"/>
        <v>0</v>
      </c>
      <c r="P280" s="49"/>
    </row>
    <row r="281" spans="1:16" hidden="1" x14ac:dyDescent="0.25">
      <c r="A281" s="136">
        <v>7700</v>
      </c>
      <c r="B281" s="109" t="s">
        <v>297</v>
      </c>
      <c r="C281" s="110">
        <f t="shared" si="326"/>
        <v>0</v>
      </c>
      <c r="D281" s="235">
        <f t="shared" ref="D281:O281" si="374">D282</f>
        <v>0</v>
      </c>
      <c r="E281" s="236">
        <f t="shared" si="374"/>
        <v>0</v>
      </c>
      <c r="F281" s="131">
        <f t="shared" si="374"/>
        <v>0</v>
      </c>
      <c r="G281" s="235">
        <f t="shared" si="374"/>
        <v>0</v>
      </c>
      <c r="H281" s="236">
        <f t="shared" si="374"/>
        <v>0</v>
      </c>
      <c r="I281" s="131">
        <f t="shared" si="374"/>
        <v>0</v>
      </c>
      <c r="J281" s="235">
        <f t="shared" si="374"/>
        <v>0</v>
      </c>
      <c r="K281" s="236">
        <f t="shared" si="374"/>
        <v>0</v>
      </c>
      <c r="L281" s="131">
        <f t="shared" si="374"/>
        <v>0</v>
      </c>
      <c r="M281" s="235">
        <f t="shared" si="374"/>
        <v>0</v>
      </c>
      <c r="N281" s="236">
        <f t="shared" si="374"/>
        <v>0</v>
      </c>
      <c r="O281" s="131">
        <f t="shared" si="374"/>
        <v>0</v>
      </c>
      <c r="P281" s="119"/>
    </row>
    <row r="282" spans="1:16" ht="12" hidden="1" customHeight="1" x14ac:dyDescent="0.25">
      <c r="A282" s="186">
        <v>7720</v>
      </c>
      <c r="B282" s="82" t="s">
        <v>298</v>
      </c>
      <c r="C282" s="98">
        <f t="shared" si="326"/>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26"/>
        <v>0</v>
      </c>
      <c r="D283" s="243">
        <f t="shared" ref="D283:O284" si="375">D284</f>
        <v>0</v>
      </c>
      <c r="E283" s="244">
        <f t="shared" si="375"/>
        <v>0</v>
      </c>
      <c r="F283" s="245">
        <f t="shared" si="375"/>
        <v>0</v>
      </c>
      <c r="G283" s="243">
        <f>G284</f>
        <v>0</v>
      </c>
      <c r="H283" s="244">
        <f t="shared" ref="H283:I283" si="376">H284</f>
        <v>0</v>
      </c>
      <c r="I283" s="245">
        <f t="shared" si="376"/>
        <v>0</v>
      </c>
      <c r="J283" s="243">
        <f t="shared" si="375"/>
        <v>0</v>
      </c>
      <c r="K283" s="244">
        <f t="shared" si="375"/>
        <v>0</v>
      </c>
      <c r="L283" s="245">
        <f t="shared" si="375"/>
        <v>0</v>
      </c>
      <c r="M283" s="243">
        <f t="shared" si="375"/>
        <v>0</v>
      </c>
      <c r="N283" s="244">
        <f t="shared" si="375"/>
        <v>0</v>
      </c>
      <c r="O283" s="245">
        <f t="shared" si="375"/>
        <v>0</v>
      </c>
      <c r="P283" s="246"/>
    </row>
    <row r="284" spans="1:16" ht="24" hidden="1" x14ac:dyDescent="0.25">
      <c r="A284" s="247">
        <v>9200</v>
      </c>
      <c r="B284" s="89" t="s">
        <v>300</v>
      </c>
      <c r="C284" s="143">
        <f t="shared" si="326"/>
        <v>0</v>
      </c>
      <c r="D284" s="187">
        <f t="shared" si="375"/>
        <v>0</v>
      </c>
      <c r="E284" s="188">
        <f t="shared" si="375"/>
        <v>0</v>
      </c>
      <c r="F284" s="141">
        <f t="shared" si="375"/>
        <v>0</v>
      </c>
      <c r="G284" s="187">
        <f t="shared" si="375"/>
        <v>0</v>
      </c>
      <c r="H284" s="188">
        <f t="shared" si="375"/>
        <v>0</v>
      </c>
      <c r="I284" s="141">
        <f t="shared" si="375"/>
        <v>0</v>
      </c>
      <c r="J284" s="187">
        <f t="shared" si="375"/>
        <v>0</v>
      </c>
      <c r="K284" s="188">
        <f t="shared" si="375"/>
        <v>0</v>
      </c>
      <c r="L284" s="141">
        <f t="shared" si="375"/>
        <v>0</v>
      </c>
      <c r="M284" s="187">
        <f t="shared" si="375"/>
        <v>0</v>
      </c>
      <c r="N284" s="188">
        <f t="shared" si="375"/>
        <v>0</v>
      </c>
      <c r="O284" s="141">
        <f t="shared" si="375"/>
        <v>0</v>
      </c>
      <c r="P284" s="129"/>
    </row>
    <row r="285" spans="1:16" ht="24" hidden="1" customHeight="1" x14ac:dyDescent="0.25">
      <c r="A285" s="248">
        <v>9230</v>
      </c>
      <c r="B285" s="89" t="s">
        <v>301</v>
      </c>
      <c r="C285" s="143">
        <f t="shared" si="326"/>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26"/>
        <v>650</v>
      </c>
      <c r="D286" s="190">
        <f>SUM(D287:D288)</f>
        <v>0</v>
      </c>
      <c r="E286" s="191">
        <f t="shared" ref="E286:F286" si="377">SUM(E287:E288)</f>
        <v>0</v>
      </c>
      <c r="F286" s="55">
        <f t="shared" si="377"/>
        <v>0</v>
      </c>
      <c r="G286" s="190">
        <f>SUM(G287:G288)</f>
        <v>0</v>
      </c>
      <c r="H286" s="191">
        <f t="shared" ref="H286:I286" si="378">SUM(H287:H288)</f>
        <v>0</v>
      </c>
      <c r="I286" s="55">
        <f t="shared" si="378"/>
        <v>0</v>
      </c>
      <c r="J286" s="190">
        <f>SUM(J287:J288)</f>
        <v>0</v>
      </c>
      <c r="K286" s="191">
        <f t="shared" ref="K286:L286" si="379">SUM(K287:K288)</f>
        <v>650</v>
      </c>
      <c r="L286" s="55">
        <f t="shared" si="379"/>
        <v>650</v>
      </c>
      <c r="M286" s="190">
        <f>SUM(M287:M288)</f>
        <v>0</v>
      </c>
      <c r="N286" s="191">
        <f t="shared" ref="N286:O286" si="380">SUM(N287:N288)</f>
        <v>0</v>
      </c>
      <c r="O286" s="55">
        <f t="shared" si="380"/>
        <v>0</v>
      </c>
      <c r="P286" s="57"/>
    </row>
    <row r="287" spans="1:16" ht="12" hidden="1" customHeight="1" x14ac:dyDescent="0.25">
      <c r="A287" s="201" t="s">
        <v>303</v>
      </c>
      <c r="B287" s="51" t="s">
        <v>304</v>
      </c>
      <c r="C287" s="90">
        <f t="shared" si="326"/>
        <v>0</v>
      </c>
      <c r="D287" s="196"/>
      <c r="E287" s="197"/>
      <c r="F287" s="55">
        <f t="shared" ref="F287:F288" si="381">D287+E287</f>
        <v>0</v>
      </c>
      <c r="G287" s="53"/>
      <c r="H287" s="54"/>
      <c r="I287" s="55">
        <f t="shared" ref="I287:I288" si="382">G287+H287</f>
        <v>0</v>
      </c>
      <c r="J287" s="53"/>
      <c r="K287" s="54"/>
      <c r="L287" s="55">
        <f t="shared" ref="L287:L288" si="383">K287+J287</f>
        <v>0</v>
      </c>
      <c r="M287" s="53"/>
      <c r="N287" s="54"/>
      <c r="O287" s="55">
        <f t="shared" ref="O287:O288" si="384">N287+M287</f>
        <v>0</v>
      </c>
      <c r="P287" s="57"/>
    </row>
    <row r="288" spans="1:16" ht="24" customHeight="1" x14ac:dyDescent="0.25">
      <c r="A288" s="201" t="s">
        <v>305</v>
      </c>
      <c r="B288" s="249" t="s">
        <v>306</v>
      </c>
      <c r="C288" s="83">
        <f t="shared" si="326"/>
        <v>650</v>
      </c>
      <c r="D288" s="199"/>
      <c r="E288" s="200"/>
      <c r="F288" s="134">
        <f t="shared" si="381"/>
        <v>0</v>
      </c>
      <c r="G288" s="46"/>
      <c r="H288" s="47"/>
      <c r="I288" s="134">
        <f t="shared" si="382"/>
        <v>0</v>
      </c>
      <c r="J288" s="46"/>
      <c r="K288" s="47">
        <f>650</f>
        <v>650</v>
      </c>
      <c r="L288" s="134">
        <f t="shared" si="383"/>
        <v>650</v>
      </c>
      <c r="M288" s="46"/>
      <c r="N288" s="47"/>
      <c r="O288" s="134">
        <f t="shared" si="384"/>
        <v>0</v>
      </c>
      <c r="P288" s="49" t="s">
        <v>1920</v>
      </c>
    </row>
    <row r="289" spans="1:16" ht="12.75" thickBot="1" x14ac:dyDescent="0.3">
      <c r="A289" s="250"/>
      <c r="B289" s="250" t="s">
        <v>307</v>
      </c>
      <c r="C289" s="251">
        <f t="shared" si="326"/>
        <v>421011</v>
      </c>
      <c r="D289" s="252">
        <f t="shared" ref="D289:O289" si="385">SUM(D286,D269,D230,D195,D187,D173,D75,D53,D283)</f>
        <v>397037</v>
      </c>
      <c r="E289" s="253">
        <f t="shared" si="385"/>
        <v>-9688</v>
      </c>
      <c r="F289" s="254">
        <f t="shared" si="385"/>
        <v>387349</v>
      </c>
      <c r="G289" s="252">
        <f t="shared" si="385"/>
        <v>0</v>
      </c>
      <c r="H289" s="253">
        <f t="shared" si="385"/>
        <v>0</v>
      </c>
      <c r="I289" s="254">
        <f t="shared" si="385"/>
        <v>0</v>
      </c>
      <c r="J289" s="252">
        <f t="shared" si="385"/>
        <v>23324</v>
      </c>
      <c r="K289" s="253">
        <f t="shared" si="385"/>
        <v>10338</v>
      </c>
      <c r="L289" s="254">
        <f t="shared" si="385"/>
        <v>33662</v>
      </c>
      <c r="M289" s="252">
        <f t="shared" si="385"/>
        <v>0</v>
      </c>
      <c r="N289" s="253">
        <f t="shared" si="385"/>
        <v>0</v>
      </c>
      <c r="O289" s="254">
        <f t="shared" si="385"/>
        <v>0</v>
      </c>
      <c r="P289" s="255"/>
    </row>
    <row r="290" spans="1:16" s="28" customFormat="1" ht="13.5" thickTop="1" thickBot="1" x14ac:dyDescent="0.3">
      <c r="A290" s="1544" t="s">
        <v>308</v>
      </c>
      <c r="B290" s="1545"/>
      <c r="C290" s="256">
        <f t="shared" si="326"/>
        <v>-1349</v>
      </c>
      <c r="D290" s="257">
        <f>SUM(D24,D25,D41)-D51</f>
        <v>0</v>
      </c>
      <c r="E290" s="258">
        <f t="shared" ref="E290:F290" si="386">SUM(E24,E25,E41)-E51</f>
        <v>0</v>
      </c>
      <c r="F290" s="259">
        <f t="shared" si="386"/>
        <v>0</v>
      </c>
      <c r="G290" s="257">
        <f>SUM(G24,G25,G41)-G51</f>
        <v>0</v>
      </c>
      <c r="H290" s="258">
        <f t="shared" ref="H290:I290" si="387">SUM(H24,H25,H41)-H51</f>
        <v>0</v>
      </c>
      <c r="I290" s="259">
        <f t="shared" si="387"/>
        <v>0</v>
      </c>
      <c r="J290" s="257">
        <f>(J26+J43)-J51</f>
        <v>-1999</v>
      </c>
      <c r="K290" s="258">
        <f t="shared" ref="K290:L290" si="388">(K26+K43)-K51</f>
        <v>650</v>
      </c>
      <c r="L290" s="259">
        <f t="shared" si="388"/>
        <v>-1349</v>
      </c>
      <c r="M290" s="257">
        <f>M45-M51</f>
        <v>0</v>
      </c>
      <c r="N290" s="258">
        <f t="shared" ref="N290:O290" si="389">N45-N51</f>
        <v>0</v>
      </c>
      <c r="O290" s="259">
        <f t="shared" si="389"/>
        <v>0</v>
      </c>
      <c r="P290" s="260"/>
    </row>
    <row r="291" spans="1:16" s="28" customFormat="1" ht="12.75" thickTop="1" x14ac:dyDescent="0.25">
      <c r="A291" s="1546" t="s">
        <v>309</v>
      </c>
      <c r="B291" s="1547"/>
      <c r="C291" s="261">
        <f t="shared" si="326"/>
        <v>1349</v>
      </c>
      <c r="D291" s="262">
        <f t="shared" ref="D291:O291" si="390">SUM(D292,D293)-D300+D301</f>
        <v>0</v>
      </c>
      <c r="E291" s="263">
        <f t="shared" si="390"/>
        <v>0</v>
      </c>
      <c r="F291" s="264">
        <f t="shared" si="390"/>
        <v>0</v>
      </c>
      <c r="G291" s="262">
        <f t="shared" si="390"/>
        <v>0</v>
      </c>
      <c r="H291" s="263">
        <f t="shared" si="390"/>
        <v>0</v>
      </c>
      <c r="I291" s="264">
        <f t="shared" si="390"/>
        <v>0</v>
      </c>
      <c r="J291" s="262">
        <f t="shared" si="390"/>
        <v>1999</v>
      </c>
      <c r="K291" s="263">
        <f t="shared" si="390"/>
        <v>-650</v>
      </c>
      <c r="L291" s="264">
        <f t="shared" si="390"/>
        <v>1349</v>
      </c>
      <c r="M291" s="262">
        <f t="shared" si="390"/>
        <v>0</v>
      </c>
      <c r="N291" s="263">
        <f t="shared" si="390"/>
        <v>0</v>
      </c>
      <c r="O291" s="264">
        <f t="shared" si="390"/>
        <v>0</v>
      </c>
      <c r="P291" s="265"/>
    </row>
    <row r="292" spans="1:16" s="28" customFormat="1" ht="12.75" thickBot="1" x14ac:dyDescent="0.3">
      <c r="A292" s="157" t="s">
        <v>310</v>
      </c>
      <c r="B292" s="157" t="s">
        <v>311</v>
      </c>
      <c r="C292" s="158">
        <f t="shared" si="326"/>
        <v>1349</v>
      </c>
      <c r="D292" s="159">
        <f t="shared" ref="D292:O292" si="391">D21-D286</f>
        <v>0</v>
      </c>
      <c r="E292" s="160">
        <f t="shared" si="391"/>
        <v>0</v>
      </c>
      <c r="F292" s="161">
        <f t="shared" si="391"/>
        <v>0</v>
      </c>
      <c r="G292" s="159">
        <f t="shared" si="391"/>
        <v>0</v>
      </c>
      <c r="H292" s="160">
        <f t="shared" si="391"/>
        <v>0</v>
      </c>
      <c r="I292" s="161">
        <f t="shared" si="391"/>
        <v>0</v>
      </c>
      <c r="J292" s="159">
        <f t="shared" si="391"/>
        <v>1999</v>
      </c>
      <c r="K292" s="160">
        <f t="shared" si="391"/>
        <v>-650</v>
      </c>
      <c r="L292" s="161">
        <f t="shared" si="391"/>
        <v>1349</v>
      </c>
      <c r="M292" s="159">
        <f t="shared" si="391"/>
        <v>0</v>
      </c>
      <c r="N292" s="160">
        <f t="shared" si="391"/>
        <v>0</v>
      </c>
      <c r="O292" s="161">
        <f t="shared" si="391"/>
        <v>0</v>
      </c>
      <c r="P292" s="35"/>
    </row>
    <row r="293" spans="1:16" s="28" customFormat="1" ht="12.75" hidden="1" thickTop="1" x14ac:dyDescent="0.25">
      <c r="A293" s="266" t="s">
        <v>312</v>
      </c>
      <c r="B293" s="266" t="s">
        <v>313</v>
      </c>
      <c r="C293" s="261">
        <f t="shared" si="326"/>
        <v>0</v>
      </c>
      <c r="D293" s="262">
        <f t="shared" ref="D293:O293" si="392">SUM(D294,D296,D298)-SUM(D295,D297,D299)</f>
        <v>0</v>
      </c>
      <c r="E293" s="263">
        <f t="shared" si="392"/>
        <v>0</v>
      </c>
      <c r="F293" s="264">
        <f t="shared" si="392"/>
        <v>0</v>
      </c>
      <c r="G293" s="262">
        <f t="shared" si="392"/>
        <v>0</v>
      </c>
      <c r="H293" s="263">
        <f t="shared" si="392"/>
        <v>0</v>
      </c>
      <c r="I293" s="264">
        <f t="shared" si="392"/>
        <v>0</v>
      </c>
      <c r="J293" s="262">
        <f t="shared" si="392"/>
        <v>0</v>
      </c>
      <c r="K293" s="263">
        <f t="shared" si="392"/>
        <v>0</v>
      </c>
      <c r="L293" s="264">
        <f t="shared" si="392"/>
        <v>0</v>
      </c>
      <c r="M293" s="262">
        <f t="shared" si="392"/>
        <v>0</v>
      </c>
      <c r="N293" s="263">
        <f t="shared" si="392"/>
        <v>0</v>
      </c>
      <c r="O293" s="264">
        <f t="shared" si="392"/>
        <v>0</v>
      </c>
      <c r="P293" s="265"/>
    </row>
    <row r="294" spans="1:16" ht="12" hidden="1" customHeight="1" x14ac:dyDescent="0.25">
      <c r="A294" s="267" t="s">
        <v>314</v>
      </c>
      <c r="B294" s="142" t="s">
        <v>315</v>
      </c>
      <c r="C294" s="98">
        <f t="shared" si="326"/>
        <v>0</v>
      </c>
      <c r="D294" s="237"/>
      <c r="E294" s="238"/>
      <c r="F294" s="239">
        <f t="shared" ref="F294:F301" si="393">D294+E294</f>
        <v>0</v>
      </c>
      <c r="G294" s="102"/>
      <c r="H294" s="103"/>
      <c r="I294" s="239">
        <f t="shared" ref="I294:I301" si="394">G294+H294</f>
        <v>0</v>
      </c>
      <c r="J294" s="102"/>
      <c r="K294" s="103"/>
      <c r="L294" s="239">
        <f t="shared" ref="L294:L301" si="395">K294+J294</f>
        <v>0</v>
      </c>
      <c r="M294" s="102"/>
      <c r="N294" s="103"/>
      <c r="O294" s="239">
        <f t="shared" ref="O294:O301" si="396">N294+M294</f>
        <v>0</v>
      </c>
      <c r="P294" s="107"/>
    </row>
    <row r="295" spans="1:16" ht="24" hidden="1" customHeight="1" x14ac:dyDescent="0.25">
      <c r="A295" s="201" t="s">
        <v>316</v>
      </c>
      <c r="B295" s="50" t="s">
        <v>317</v>
      </c>
      <c r="C295" s="90">
        <f t="shared" si="326"/>
        <v>0</v>
      </c>
      <c r="D295" s="196"/>
      <c r="E295" s="197"/>
      <c r="F295" s="55">
        <f t="shared" si="393"/>
        <v>0</v>
      </c>
      <c r="G295" s="53"/>
      <c r="H295" s="54"/>
      <c r="I295" s="55">
        <f t="shared" si="394"/>
        <v>0</v>
      </c>
      <c r="J295" s="53"/>
      <c r="K295" s="54"/>
      <c r="L295" s="55">
        <f t="shared" si="395"/>
        <v>0</v>
      </c>
      <c r="M295" s="53"/>
      <c r="N295" s="54"/>
      <c r="O295" s="55">
        <f t="shared" si="396"/>
        <v>0</v>
      </c>
      <c r="P295" s="57"/>
    </row>
    <row r="296" spans="1:16" ht="12" hidden="1" customHeight="1" x14ac:dyDescent="0.25">
      <c r="A296" s="201" t="s">
        <v>318</v>
      </c>
      <c r="B296" s="50" t="s">
        <v>319</v>
      </c>
      <c r="C296" s="90">
        <f t="shared" si="326"/>
        <v>0</v>
      </c>
      <c r="D296" s="196"/>
      <c r="E296" s="197"/>
      <c r="F296" s="55">
        <f t="shared" si="393"/>
        <v>0</v>
      </c>
      <c r="G296" s="53"/>
      <c r="H296" s="54"/>
      <c r="I296" s="55">
        <f t="shared" si="394"/>
        <v>0</v>
      </c>
      <c r="J296" s="53"/>
      <c r="K296" s="54"/>
      <c r="L296" s="55">
        <f t="shared" si="395"/>
        <v>0</v>
      </c>
      <c r="M296" s="53"/>
      <c r="N296" s="54"/>
      <c r="O296" s="55">
        <f t="shared" si="396"/>
        <v>0</v>
      </c>
      <c r="P296" s="57"/>
    </row>
    <row r="297" spans="1:16" ht="24" hidden="1" customHeight="1" x14ac:dyDescent="0.25">
      <c r="A297" s="201" t="s">
        <v>320</v>
      </c>
      <c r="B297" s="50" t="s">
        <v>321</v>
      </c>
      <c r="C297" s="90">
        <f t="shared" si="326"/>
        <v>0</v>
      </c>
      <c r="D297" s="196"/>
      <c r="E297" s="197"/>
      <c r="F297" s="55">
        <f t="shared" si="393"/>
        <v>0</v>
      </c>
      <c r="G297" s="53"/>
      <c r="H297" s="54"/>
      <c r="I297" s="55">
        <f t="shared" si="394"/>
        <v>0</v>
      </c>
      <c r="J297" s="53"/>
      <c r="K297" s="54"/>
      <c r="L297" s="55">
        <f t="shared" si="395"/>
        <v>0</v>
      </c>
      <c r="M297" s="53"/>
      <c r="N297" s="54"/>
      <c r="O297" s="55">
        <f t="shared" si="396"/>
        <v>0</v>
      </c>
      <c r="P297" s="57"/>
    </row>
    <row r="298" spans="1:16" ht="12" hidden="1" customHeight="1" x14ac:dyDescent="0.25">
      <c r="A298" s="201" t="s">
        <v>322</v>
      </c>
      <c r="B298" s="50" t="s">
        <v>323</v>
      </c>
      <c r="C298" s="90">
        <f t="shared" si="326"/>
        <v>0</v>
      </c>
      <c r="D298" s="196"/>
      <c r="E298" s="197"/>
      <c r="F298" s="55">
        <f t="shared" si="393"/>
        <v>0</v>
      </c>
      <c r="G298" s="53"/>
      <c r="H298" s="54"/>
      <c r="I298" s="55">
        <f t="shared" si="394"/>
        <v>0</v>
      </c>
      <c r="J298" s="53"/>
      <c r="K298" s="54"/>
      <c r="L298" s="55">
        <f t="shared" si="395"/>
        <v>0</v>
      </c>
      <c r="M298" s="53"/>
      <c r="N298" s="54"/>
      <c r="O298" s="55">
        <f t="shared" si="396"/>
        <v>0</v>
      </c>
      <c r="P298" s="57"/>
    </row>
    <row r="299" spans="1:16" ht="24.75" hidden="1" customHeight="1" thickBot="1" x14ac:dyDescent="0.3">
      <c r="A299" s="268" t="s">
        <v>324</v>
      </c>
      <c r="B299" s="269" t="s">
        <v>325</v>
      </c>
      <c r="C299" s="209">
        <f t="shared" si="326"/>
        <v>0</v>
      </c>
      <c r="D299" s="211"/>
      <c r="E299" s="212"/>
      <c r="F299" s="213">
        <f t="shared" si="393"/>
        <v>0</v>
      </c>
      <c r="G299" s="214"/>
      <c r="H299" s="215"/>
      <c r="I299" s="213">
        <f t="shared" si="394"/>
        <v>0</v>
      </c>
      <c r="J299" s="214"/>
      <c r="K299" s="215"/>
      <c r="L299" s="213">
        <f t="shared" si="395"/>
        <v>0</v>
      </c>
      <c r="M299" s="214"/>
      <c r="N299" s="215"/>
      <c r="O299" s="213">
        <f t="shared" si="396"/>
        <v>0</v>
      </c>
      <c r="P299" s="216"/>
    </row>
    <row r="300" spans="1:16" s="28" customFormat="1" ht="13.5" hidden="1" customHeight="1" thickTop="1" thickBot="1" x14ac:dyDescent="0.3">
      <c r="A300" s="270" t="s">
        <v>326</v>
      </c>
      <c r="B300" s="270" t="s">
        <v>327</v>
      </c>
      <c r="C300" s="256">
        <f t="shared" si="326"/>
        <v>0</v>
      </c>
      <c r="D300" s="271"/>
      <c r="E300" s="272"/>
      <c r="F300" s="259">
        <f t="shared" si="393"/>
        <v>0</v>
      </c>
      <c r="G300" s="271"/>
      <c r="H300" s="272"/>
      <c r="I300" s="273">
        <f t="shared" si="394"/>
        <v>0</v>
      </c>
      <c r="J300" s="271"/>
      <c r="K300" s="272"/>
      <c r="L300" s="273">
        <f t="shared" si="395"/>
        <v>0</v>
      </c>
      <c r="M300" s="271"/>
      <c r="N300" s="272"/>
      <c r="O300" s="273">
        <f t="shared" si="396"/>
        <v>0</v>
      </c>
      <c r="P300" s="274"/>
    </row>
    <row r="301" spans="1:16" s="28" customFormat="1" ht="48.75" hidden="1" customHeight="1" thickTop="1" x14ac:dyDescent="0.25">
      <c r="A301" s="266" t="s">
        <v>328</v>
      </c>
      <c r="B301" s="275" t="s">
        <v>329</v>
      </c>
      <c r="C301" s="261">
        <f t="shared" si="326"/>
        <v>0</v>
      </c>
      <c r="D301" s="205"/>
      <c r="E301" s="206"/>
      <c r="F301" s="73">
        <f t="shared" si="393"/>
        <v>0</v>
      </c>
      <c r="G301" s="205"/>
      <c r="H301" s="206"/>
      <c r="I301" s="73">
        <f t="shared" si="394"/>
        <v>0</v>
      </c>
      <c r="J301" s="205"/>
      <c r="K301" s="206"/>
      <c r="L301" s="73">
        <f t="shared" si="395"/>
        <v>0</v>
      </c>
      <c r="M301" s="205"/>
      <c r="N301" s="206"/>
      <c r="O301" s="73">
        <f t="shared" si="396"/>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7pfXVhB1pKPa8DGG5TMMyek7nXAHNcvUStueWWLkKz5lfeYQOKRVCGUb3OIlRy66hd58IyScLbLLFsDoORPgzA==" saltValue="AXaQPZOBd8c9EHTxwuyc1Q==" spinCount="100000" sheet="1" objects="1" scenarios="1" formatCells="0" formatColumns="0" formatRows="0" deleteColumns="0"/>
  <autoFilter ref="A18:P301">
    <filterColumn colId="2">
      <filters>
        <filter val="1 038"/>
        <filter val="1 239"/>
        <filter val="1 248"/>
        <filter val="1 349"/>
        <filter val="-1 349"/>
        <filter val="1 500"/>
        <filter val="1 757"/>
        <filter val="1 784"/>
        <filter val="1 999"/>
        <filter val="12 067"/>
        <filter val="14 067"/>
        <filter val="14 484"/>
        <filter val="149 741"/>
        <filter val="15 068"/>
        <filter val="157"/>
        <filter val="16 110"/>
        <filter val="160 873"/>
        <filter val="164"/>
        <filter val="170 652"/>
        <filter val="189 439"/>
        <filter val="2 350"/>
        <filter val="2 500"/>
        <filter val="2 653"/>
        <filter val="2 975"/>
        <filter val="21 694"/>
        <filter val="215"/>
        <filter val="22 607"/>
        <filter val="227 384"/>
        <filter val="23 992"/>
        <filter val="250"/>
        <filter val="27 971"/>
        <filter val="28 688"/>
        <filter val="292"/>
        <filter val="3 237"/>
        <filter val="3 330"/>
        <filter val="3 538"/>
        <filter val="3 594"/>
        <filter val="3 850"/>
        <filter val="3 875"/>
        <filter val="3 892"/>
        <filter val="3 969"/>
        <filter val="34 895"/>
        <filter val="387 349"/>
        <filter val="4 056"/>
        <filter val="4 574"/>
        <filter val="416 823"/>
        <filter val="42 665"/>
        <filter val="420 361"/>
        <filter val="421 011"/>
        <filter val="450"/>
        <filter val="5 658"/>
        <filter val="56 732"/>
        <filter val="6 274"/>
        <filter val="650"/>
        <filter val="67 154"/>
        <filter val="699"/>
        <filter val="7 249"/>
        <filter val="7 561"/>
        <filter val="74 872"/>
        <filter val="749"/>
        <filter val="750"/>
        <filter val="8 254"/>
        <filter val="8 830"/>
        <filter val="8 844"/>
        <filter val="975"/>
        <filter val="98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56.pielikums Jūrmalas pilsētas domes
2019.gada 31.oktobra saistošajiem noteikumiem Nr.46
(protokols Nr.14, 28.punkts)
 </firstHeader>
    <firstFooter>&amp;L&amp;9&amp;D; &amp;T&amp;R&amp;9&amp;P (&amp;N)</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1699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511</v>
      </c>
      <c r="D6" s="1512"/>
      <c r="E6" s="1512"/>
      <c r="F6" s="1512"/>
      <c r="G6" s="1512"/>
      <c r="H6" s="1512"/>
      <c r="I6" s="1512"/>
      <c r="J6" s="1512"/>
      <c r="K6" s="1512"/>
      <c r="L6" s="1512"/>
      <c r="M6" s="1512"/>
      <c r="N6" s="1512"/>
      <c r="O6" s="1512"/>
      <c r="P6" s="1513"/>
      <c r="Q6" s="277"/>
    </row>
    <row r="7" spans="1:17" x14ac:dyDescent="0.25">
      <c r="A7" s="7" t="s">
        <v>10</v>
      </c>
      <c r="B7" s="8"/>
      <c r="C7" s="1517" t="s">
        <v>1700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988825</v>
      </c>
      <c r="D20" s="32">
        <f>SUM(D21,D24,D25,D41,D43)</f>
        <v>1000141</v>
      </c>
      <c r="E20" s="33">
        <f t="shared" ref="E20:F20" si="1">SUM(E21,E24,E25,E41,E43)</f>
        <v>-11316</v>
      </c>
      <c r="F20" s="34">
        <f t="shared" si="1"/>
        <v>988825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988825</v>
      </c>
      <c r="D24" s="60">
        <f>D51</f>
        <v>1000141</v>
      </c>
      <c r="E24" s="61">
        <f>471+24+363-858-11316</f>
        <v>-11316</v>
      </c>
      <c r="F24" s="62">
        <f t="shared" si="9"/>
        <v>988825</v>
      </c>
      <c r="G24" s="60">
        <f>G51</f>
        <v>0</v>
      </c>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988825</v>
      </c>
      <c r="D50" s="159">
        <f>SUM(D51,D286)</f>
        <v>1000141</v>
      </c>
      <c r="E50" s="160">
        <f t="shared" ref="E50:F50" si="26">SUM(E51,E286)</f>
        <v>-11316</v>
      </c>
      <c r="F50" s="161">
        <f t="shared" si="26"/>
        <v>988825</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988825</v>
      </c>
      <c r="D51" s="165">
        <f>SUM(D52,D194)</f>
        <v>1000141</v>
      </c>
      <c r="E51" s="166">
        <f t="shared" ref="E51:F51" si="30">SUM(E52,E194)</f>
        <v>-11316</v>
      </c>
      <c r="F51" s="167">
        <f t="shared" si="30"/>
        <v>988825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974185</v>
      </c>
      <c r="D52" s="173">
        <f>SUM(D53,D75,D173,D187)</f>
        <v>985501</v>
      </c>
      <c r="E52" s="174">
        <f t="shared" ref="E52:F52" si="34">SUM(E53,E75,E173,E187)</f>
        <v>-11316</v>
      </c>
      <c r="F52" s="175">
        <f t="shared" si="34"/>
        <v>974185</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84677</v>
      </c>
      <c r="D53" s="179">
        <f>SUM(D54,D67)</f>
        <v>84182</v>
      </c>
      <c r="E53" s="180">
        <f t="shared" ref="E53:F53" si="38">SUM(E54,E67)</f>
        <v>495</v>
      </c>
      <c r="F53" s="181">
        <f t="shared" si="38"/>
        <v>84677</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80286</v>
      </c>
      <c r="D54" s="184">
        <f>SUM(D55,D58,D66)</f>
        <v>79815</v>
      </c>
      <c r="E54" s="185">
        <f t="shared" ref="E54:F54" si="42">SUM(E55,E58,E66)</f>
        <v>471</v>
      </c>
      <c r="F54" s="73">
        <f t="shared" si="42"/>
        <v>80286</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80286</v>
      </c>
      <c r="D66" s="144">
        <v>79815</v>
      </c>
      <c r="E66" s="192">
        <v>471</v>
      </c>
      <c r="F66" s="141">
        <f t="shared" si="58"/>
        <v>80286</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4391</v>
      </c>
      <c r="D67" s="184">
        <f>SUM(D68:D69)</f>
        <v>4367</v>
      </c>
      <c r="E67" s="185">
        <f t="shared" ref="E67:F67" si="62">SUM(E68:E69)</f>
        <v>24</v>
      </c>
      <c r="F67" s="73">
        <f t="shared" si="62"/>
        <v>4391</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373">
        <v>1210</v>
      </c>
      <c r="B68" s="82" t="s">
        <v>86</v>
      </c>
      <c r="C68" s="83">
        <f t="shared" si="0"/>
        <v>4391</v>
      </c>
      <c r="D68" s="46">
        <v>4367</v>
      </c>
      <c r="E68" s="728">
        <v>24</v>
      </c>
      <c r="F68" s="134">
        <f>D68+E68</f>
        <v>4391</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680621</v>
      </c>
      <c r="D75" s="179">
        <f>SUM(D76,D83,D130,D164,D165,D172)</f>
        <v>692432</v>
      </c>
      <c r="E75" s="180">
        <f t="shared" ref="E75:F75" si="74">SUM(E76,E83,E130,E164,E165,E172)</f>
        <v>-11811</v>
      </c>
      <c r="F75" s="181">
        <f t="shared" si="74"/>
        <v>680621</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679060</v>
      </c>
      <c r="D83" s="184">
        <f>SUM(D84,D89,D95,D103,D112,D116,D122,D128)</f>
        <v>691234</v>
      </c>
      <c r="E83" s="185">
        <f t="shared" ref="E83:F83" si="98">SUM(E84,E89,E95,E103,E112,E116,E122,E128)</f>
        <v>-12174</v>
      </c>
      <c r="F83" s="73">
        <f t="shared" si="98"/>
        <v>679060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v>0</v>
      </c>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7041</v>
      </c>
      <c r="D95" s="190">
        <f>SUM(D96:D102)</f>
        <v>7041</v>
      </c>
      <c r="E95" s="191">
        <f t="shared" ref="E95:F95" si="119">SUM(E96:E102)</f>
        <v>0</v>
      </c>
      <c r="F95" s="55">
        <f t="shared" si="119"/>
        <v>7041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7041</v>
      </c>
      <c r="D96" s="196">
        <v>7041</v>
      </c>
      <c r="E96" s="197"/>
      <c r="F96" s="55">
        <f t="shared" ref="F96:F102" si="123">D96+E96</f>
        <v>7041</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v>0</v>
      </c>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115</v>
      </c>
      <c r="D103" s="190">
        <f>SUM(D104:D111)</f>
        <v>115</v>
      </c>
      <c r="E103" s="191">
        <f t="shared" ref="E103:F103" si="127">SUM(E104:E111)</f>
        <v>0</v>
      </c>
      <c r="F103" s="55">
        <f t="shared" si="127"/>
        <v>115</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customHeight="1" x14ac:dyDescent="0.25">
      <c r="A110" s="51">
        <v>2248</v>
      </c>
      <c r="B110" s="89" t="s">
        <v>126</v>
      </c>
      <c r="C110" s="90">
        <f t="shared" si="102"/>
        <v>115</v>
      </c>
      <c r="D110" s="196">
        <v>115</v>
      </c>
      <c r="E110" s="197"/>
      <c r="F110" s="55">
        <f t="shared" si="131"/>
        <v>115</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7794</v>
      </c>
      <c r="D116" s="190">
        <f>SUM(D117:D121)</f>
        <v>7794</v>
      </c>
      <c r="E116" s="191">
        <f t="shared" ref="E116:F116" si="143">SUM(E117:E121)</f>
        <v>0</v>
      </c>
      <c r="F116" s="55">
        <f t="shared" si="143"/>
        <v>7794</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customHeight="1" x14ac:dyDescent="0.25">
      <c r="A117" s="51">
        <v>2261</v>
      </c>
      <c r="B117" s="89" t="s">
        <v>133</v>
      </c>
      <c r="C117" s="90">
        <f t="shared" si="102"/>
        <v>1807</v>
      </c>
      <c r="D117" s="196">
        <v>1807</v>
      </c>
      <c r="E117" s="197"/>
      <c r="F117" s="55">
        <f t="shared" ref="F117:F121" si="147">D117+E117</f>
        <v>1807</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551</v>
      </c>
      <c r="D118" s="196">
        <v>551</v>
      </c>
      <c r="E118" s="197"/>
      <c r="F118" s="55">
        <f t="shared" si="147"/>
        <v>551</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5436</v>
      </c>
      <c r="D120" s="196">
        <v>5436</v>
      </c>
      <c r="E120" s="197"/>
      <c r="F120" s="55">
        <f t="shared" si="147"/>
        <v>5436</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664110</v>
      </c>
      <c r="D122" s="190">
        <f>SUM(D123:D127)</f>
        <v>676284</v>
      </c>
      <c r="E122" s="191">
        <f t="shared" ref="E122:F122" si="151">SUM(E123:E127)</f>
        <v>-12174</v>
      </c>
      <c r="F122" s="55">
        <f t="shared" si="151"/>
        <v>664110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9" t="s">
        <v>141</v>
      </c>
      <c r="C125" s="90">
        <f t="shared" si="102"/>
        <v>55575</v>
      </c>
      <c r="D125" s="196">
        <v>66891</v>
      </c>
      <c r="E125" s="198">
        <v>-11316</v>
      </c>
      <c r="F125" s="55">
        <f t="shared" si="155"/>
        <v>55575</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608535</v>
      </c>
      <c r="D127" s="196">
        <v>609393</v>
      </c>
      <c r="E127" s="198">
        <v>-858</v>
      </c>
      <c r="F127" s="55">
        <f t="shared" si="155"/>
        <v>608535</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1561</v>
      </c>
      <c r="D130" s="184">
        <f>SUM(D131,D136,D140,D141,D144,D151,D159,D160,D163)</f>
        <v>1198</v>
      </c>
      <c r="E130" s="185">
        <f t="shared" ref="E130:F130" si="160">SUM(E131,E136,E140,E141,E144,E151,E159,E160,E163)</f>
        <v>363</v>
      </c>
      <c r="F130" s="73">
        <f t="shared" si="160"/>
        <v>1561</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1561</v>
      </c>
      <c r="D131" s="194">
        <f t="shared" ref="D131:O131" si="164">SUM(D132:D135)</f>
        <v>1198</v>
      </c>
      <c r="E131" s="195">
        <f t="shared" si="164"/>
        <v>363</v>
      </c>
      <c r="F131" s="134">
        <f t="shared" si="164"/>
        <v>1561</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1561</v>
      </c>
      <c r="D135" s="196">
        <v>1198</v>
      </c>
      <c r="E135" s="198">
        <v>363</v>
      </c>
      <c r="F135" s="55">
        <f t="shared" si="165"/>
        <v>1561</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v>0</v>
      </c>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v>0</v>
      </c>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v>0</v>
      </c>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v>0</v>
      </c>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v>0</v>
      </c>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189</v>
      </c>
      <c r="C173" s="178">
        <f t="shared" si="193"/>
        <v>208887</v>
      </c>
      <c r="D173" s="179">
        <f>SUM(D174,D184)</f>
        <v>208887</v>
      </c>
      <c r="E173" s="180">
        <f t="shared" ref="E173:F173" si="216">SUM(E174,E184)</f>
        <v>0</v>
      </c>
      <c r="F173" s="181">
        <f t="shared" si="216"/>
        <v>208887</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x14ac:dyDescent="0.25">
      <c r="A174" s="69">
        <v>3200</v>
      </c>
      <c r="B174" s="208" t="s">
        <v>190</v>
      </c>
      <c r="C174" s="70">
        <f t="shared" si="193"/>
        <v>208887</v>
      </c>
      <c r="D174" s="184">
        <f>SUM(D175,D179)</f>
        <v>208887</v>
      </c>
      <c r="E174" s="185">
        <f t="shared" ref="E174:O174" si="220">SUM(E175,E179)</f>
        <v>0</v>
      </c>
      <c r="F174" s="73">
        <f t="shared" si="220"/>
        <v>208887</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x14ac:dyDescent="0.25">
      <c r="A175" s="1373">
        <v>3260</v>
      </c>
      <c r="B175" s="82" t="s">
        <v>191</v>
      </c>
      <c r="C175" s="83">
        <f t="shared" si="193"/>
        <v>208887</v>
      </c>
      <c r="D175" s="194">
        <f>SUM(D176:D178)</f>
        <v>208887</v>
      </c>
      <c r="E175" s="195">
        <f t="shared" ref="E175:F175" si="221">SUM(E176:E178)</f>
        <v>0</v>
      </c>
      <c r="F175" s="134">
        <f t="shared" si="221"/>
        <v>208887</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6.25" customHeight="1" x14ac:dyDescent="0.25">
      <c r="A176" s="51">
        <v>3261</v>
      </c>
      <c r="B176" s="89" t="s">
        <v>192</v>
      </c>
      <c r="C176" s="90">
        <f t="shared" si="193"/>
        <v>5000</v>
      </c>
      <c r="D176" s="196">
        <v>5000</v>
      </c>
      <c r="E176" s="197"/>
      <c r="F176" s="55">
        <f t="shared" ref="F176:F178" si="225">D176+E176</f>
        <v>5000</v>
      </c>
      <c r="G176" s="53"/>
      <c r="H176" s="54"/>
      <c r="I176" s="55">
        <f t="shared" ref="I176:I178" si="226">G176+H176</f>
        <v>0</v>
      </c>
      <c r="J176" s="53"/>
      <c r="K176" s="54"/>
      <c r="L176" s="55">
        <f t="shared" ref="L176:L178" si="227">K176+J176</f>
        <v>0</v>
      </c>
      <c r="M176" s="53"/>
      <c r="N176" s="54"/>
      <c r="O176" s="55">
        <f t="shared" ref="O176:O178" si="228">N176+M176</f>
        <v>0</v>
      </c>
      <c r="P176" s="57"/>
    </row>
    <row r="177" spans="1:16" ht="39.75" customHeight="1" x14ac:dyDescent="0.25">
      <c r="A177" s="51">
        <v>3262</v>
      </c>
      <c r="B177" s="89" t="s">
        <v>193</v>
      </c>
      <c r="C177" s="90">
        <f t="shared" si="193"/>
        <v>17699</v>
      </c>
      <c r="D177" s="196">
        <v>17699</v>
      </c>
      <c r="E177" s="197"/>
      <c r="F177" s="55">
        <f t="shared" si="225"/>
        <v>17699</v>
      </c>
      <c r="G177" s="53"/>
      <c r="H177" s="54"/>
      <c r="I177" s="55">
        <f t="shared" si="226"/>
        <v>0</v>
      </c>
      <c r="J177" s="53"/>
      <c r="K177" s="54"/>
      <c r="L177" s="55">
        <f t="shared" si="227"/>
        <v>0</v>
      </c>
      <c r="M177" s="53"/>
      <c r="N177" s="54"/>
      <c r="O177" s="55">
        <f t="shared" si="228"/>
        <v>0</v>
      </c>
      <c r="P177" s="57"/>
    </row>
    <row r="178" spans="1:16" ht="28.5" customHeight="1" x14ac:dyDescent="0.25">
      <c r="A178" s="51">
        <v>3263</v>
      </c>
      <c r="B178" s="89" t="s">
        <v>194</v>
      </c>
      <c r="C178" s="90">
        <f t="shared" si="193"/>
        <v>186188</v>
      </c>
      <c r="D178" s="196">
        <v>186188</v>
      </c>
      <c r="E178" s="197"/>
      <c r="F178" s="55">
        <f t="shared" si="225"/>
        <v>186188</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v>0</v>
      </c>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v>0</v>
      </c>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v>0</v>
      </c>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v>0</v>
      </c>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14640</v>
      </c>
      <c r="D194" s="173">
        <f>SUM(D195,D230,D269,D283)</f>
        <v>14640</v>
      </c>
      <c r="E194" s="174">
        <f t="shared" ref="E194:O194" si="259">SUM(E195,E230,E269,E283)</f>
        <v>0</v>
      </c>
      <c r="F194" s="175">
        <f t="shared" si="259"/>
        <v>14640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10843</v>
      </c>
      <c r="D195" s="179">
        <f>D196+D204</f>
        <v>10843</v>
      </c>
      <c r="E195" s="180">
        <f t="shared" ref="E195:F195" si="260">E196+E204</f>
        <v>0</v>
      </c>
      <c r="F195" s="181">
        <f t="shared" si="260"/>
        <v>10843</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v>0</v>
      </c>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ht="14.25" customHeight="1" x14ac:dyDescent="0.25">
      <c r="A204" s="69">
        <v>5200</v>
      </c>
      <c r="B204" s="183" t="s">
        <v>220</v>
      </c>
      <c r="C204" s="70">
        <f t="shared" si="193"/>
        <v>10843</v>
      </c>
      <c r="D204" s="184">
        <f>D205+D215+D216+D225+D226+D227+D229</f>
        <v>10843</v>
      </c>
      <c r="E204" s="185">
        <f t="shared" ref="E204:F204" si="276">E205+E215+E216+E225+E226+E227+E229</f>
        <v>0</v>
      </c>
      <c r="F204" s="73">
        <f t="shared" si="276"/>
        <v>10843</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v>0</v>
      </c>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v>0</v>
      </c>
      <c r="E224" s="197"/>
      <c r="F224" s="55">
        <f t="shared" si="293"/>
        <v>0</v>
      </c>
      <c r="G224" s="53"/>
      <c r="H224" s="54"/>
      <c r="I224" s="55">
        <f t="shared" si="294"/>
        <v>0</v>
      </c>
      <c r="J224" s="53"/>
      <c r="K224" s="54"/>
      <c r="L224" s="55">
        <f t="shared" si="295"/>
        <v>0</v>
      </c>
      <c r="M224" s="53"/>
      <c r="N224" s="54"/>
      <c r="O224" s="55">
        <f t="shared" si="296"/>
        <v>0</v>
      </c>
      <c r="P224" s="57"/>
    </row>
    <row r="225" spans="1:16" ht="27.75" customHeight="1" x14ac:dyDescent="0.25">
      <c r="A225" s="189">
        <v>5240</v>
      </c>
      <c r="B225" s="89" t="s">
        <v>241</v>
      </c>
      <c r="C225" s="90">
        <f t="shared" si="288"/>
        <v>10843</v>
      </c>
      <c r="D225" s="196">
        <v>10843</v>
      </c>
      <c r="E225" s="197"/>
      <c r="F225" s="55">
        <f t="shared" si="293"/>
        <v>10843</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v>0</v>
      </c>
      <c r="E229" s="204"/>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246</v>
      </c>
      <c r="C230" s="178">
        <f t="shared" si="288"/>
        <v>3797</v>
      </c>
      <c r="D230" s="179">
        <f>D231+D251+D259</f>
        <v>3797</v>
      </c>
      <c r="E230" s="180">
        <f t="shared" ref="E230:F230" si="305">E231+E251+E259</f>
        <v>0</v>
      </c>
      <c r="F230" s="181">
        <f t="shared" si="305"/>
        <v>3797</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v>0</v>
      </c>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v>0</v>
      </c>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v>0</v>
      </c>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v>0</v>
      </c>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275</v>
      </c>
      <c r="C259" s="70">
        <f t="shared" si="288"/>
        <v>3797</v>
      </c>
      <c r="D259" s="184">
        <f>SUM(D260,D264)</f>
        <v>3797</v>
      </c>
      <c r="E259" s="185">
        <f t="shared" ref="E259:O259" si="341">SUM(E260,E264)</f>
        <v>0</v>
      </c>
      <c r="F259" s="73">
        <f t="shared" si="341"/>
        <v>3797</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x14ac:dyDescent="0.25">
      <c r="A264" s="189">
        <v>6420</v>
      </c>
      <c r="B264" s="89" t="s">
        <v>280</v>
      </c>
      <c r="C264" s="90">
        <f t="shared" si="288"/>
        <v>3797</v>
      </c>
      <c r="D264" s="190">
        <f>SUM(D265:D268)</f>
        <v>3797</v>
      </c>
      <c r="E264" s="191">
        <f t="shared" ref="E264:F264" si="347">SUM(E265:E268)</f>
        <v>0</v>
      </c>
      <c r="F264" s="55">
        <f t="shared" si="347"/>
        <v>3797</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9" t="s">
        <v>282</v>
      </c>
      <c r="C266" s="90">
        <f t="shared" si="288"/>
        <v>3508</v>
      </c>
      <c r="D266" s="196">
        <v>3508</v>
      </c>
      <c r="E266" s="197"/>
      <c r="F266" s="55">
        <f t="shared" si="351"/>
        <v>3508</v>
      </c>
      <c r="G266" s="53"/>
      <c r="H266" s="54"/>
      <c r="I266" s="55">
        <f t="shared" si="352"/>
        <v>0</v>
      </c>
      <c r="J266" s="53"/>
      <c r="K266" s="54"/>
      <c r="L266" s="55">
        <f t="shared" si="353"/>
        <v>0</v>
      </c>
      <c r="M266" s="53"/>
      <c r="N266" s="54"/>
      <c r="O266" s="55">
        <f t="shared" si="354"/>
        <v>0</v>
      </c>
      <c r="P266" s="57"/>
    </row>
    <row r="267" spans="1:16" ht="13.5" customHeight="1" x14ac:dyDescent="0.25">
      <c r="A267" s="51">
        <v>6423</v>
      </c>
      <c r="B267" s="89" t="s">
        <v>283</v>
      </c>
      <c r="C267" s="90">
        <f t="shared" si="288"/>
        <v>289</v>
      </c>
      <c r="D267" s="196">
        <v>289</v>
      </c>
      <c r="E267" s="197"/>
      <c r="F267" s="55">
        <f t="shared" si="351"/>
        <v>289</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v>0</v>
      </c>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v>0</v>
      </c>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v>0</v>
      </c>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v>0</v>
      </c>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v>0</v>
      </c>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988825</v>
      </c>
      <c r="D289" s="252">
        <f t="shared" ref="D289:O289" si="389">SUM(D286,D269,D230,D195,D187,D173,D75,D53,D283)</f>
        <v>1000141</v>
      </c>
      <c r="E289" s="253">
        <f t="shared" si="389"/>
        <v>-11316</v>
      </c>
      <c r="F289" s="254">
        <f t="shared" si="389"/>
        <v>988825</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mpFcMPQS3Gg+Zago0FAV70KAjJ90cXhjnGZcxcBofr5ZP3sI/Ea/18cHgI1RDLkaHvcSWWRPTb2imnFaaZC3w==" saltValue="zhyfzgr+TVo/HQNRljxaPQ==" spinCount="100000" sheet="1" objects="1" scenarios="1" formatCells="0" formatColumns="0" formatRows="0" deleteColumns="0"/>
  <autoFilter ref="A18:P301">
    <filterColumn colId="2">
      <filters>
        <filter val="1 000 141"/>
        <filter val="1 561"/>
        <filter val="1 807"/>
        <filter val="10 843"/>
        <filter val="115"/>
        <filter val="14 640"/>
        <filter val="17 699"/>
        <filter val="186 188"/>
        <filter val="208 887"/>
        <filter val="289"/>
        <filter val="3 508"/>
        <filter val="3 797"/>
        <filter val="4 391"/>
        <filter val="5 000"/>
        <filter val="5 436"/>
        <filter val="551"/>
        <filter val="608 535"/>
        <filter val="66 891"/>
        <filter val="675 426"/>
        <filter val="690 376"/>
        <filter val="691 937"/>
        <filter val="7 041"/>
        <filter val="7 794"/>
        <filter val="80 286"/>
        <filter val="84 677"/>
        <filter val="985 50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57.pielikums Jūrmalas pilsētas domes
2019.gada 31.oktobra saistošajiem noteikumiem Nr.46
(protokols Nr.14, 28.punkts)
 </firstHeader>
    <firstFooter>&amp;L&amp;9&amp;D; &amp;T&amp;R&amp;9&amp;P (&amp;N)</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1655</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436</v>
      </c>
      <c r="D3" s="1517"/>
      <c r="E3" s="1517"/>
      <c r="F3" s="1517"/>
      <c r="G3" s="1517"/>
      <c r="H3" s="1517"/>
      <c r="I3" s="1517"/>
      <c r="J3" s="1517"/>
      <c r="K3" s="1517"/>
      <c r="L3" s="1517"/>
      <c r="M3" s="1517"/>
      <c r="N3" s="1517"/>
      <c r="O3" s="1517"/>
      <c r="P3" s="1518"/>
      <c r="Q3" s="277"/>
    </row>
    <row r="4" spans="1:17" ht="12.75" customHeight="1" x14ac:dyDescent="0.25">
      <c r="A4" s="5" t="s">
        <v>4</v>
      </c>
      <c r="B4" s="6"/>
      <c r="C4" s="1517" t="s">
        <v>1656</v>
      </c>
      <c r="D4" s="1517"/>
      <c r="E4" s="1517"/>
      <c r="F4" s="1517"/>
      <c r="G4" s="1517"/>
      <c r="H4" s="1517"/>
      <c r="I4" s="1517"/>
      <c r="J4" s="1517"/>
      <c r="K4" s="1517"/>
      <c r="L4" s="1517"/>
      <c r="M4" s="1517"/>
      <c r="N4" s="1517"/>
      <c r="O4" s="1517"/>
      <c r="P4" s="1518"/>
      <c r="Q4" s="277"/>
    </row>
    <row r="5" spans="1:17" ht="12.75" customHeight="1" x14ac:dyDescent="0.25">
      <c r="A5" s="7" t="s">
        <v>6</v>
      </c>
      <c r="B5" s="8"/>
      <c r="C5" s="1512" t="s">
        <v>1657</v>
      </c>
      <c r="D5" s="1512"/>
      <c r="E5" s="1512"/>
      <c r="F5" s="1512"/>
      <c r="G5" s="1512"/>
      <c r="H5" s="1512"/>
      <c r="I5" s="1512"/>
      <c r="J5" s="1512"/>
      <c r="K5" s="1512"/>
      <c r="L5" s="1512"/>
      <c r="M5" s="1512"/>
      <c r="N5" s="1512"/>
      <c r="O5" s="1512"/>
      <c r="P5" s="1513"/>
      <c r="Q5" s="277"/>
    </row>
    <row r="6" spans="1:17" ht="12.75" customHeight="1" x14ac:dyDescent="0.25">
      <c r="A6" s="7" t="s">
        <v>8</v>
      </c>
      <c r="B6" s="8"/>
      <c r="C6" s="1512" t="s">
        <v>430</v>
      </c>
      <c r="D6" s="1512"/>
      <c r="E6" s="1512"/>
      <c r="F6" s="1512"/>
      <c r="G6" s="1512"/>
      <c r="H6" s="1512"/>
      <c r="I6" s="1512"/>
      <c r="J6" s="1512"/>
      <c r="K6" s="1512"/>
      <c r="L6" s="1512"/>
      <c r="M6" s="1512"/>
      <c r="N6" s="1512"/>
      <c r="O6" s="1512"/>
      <c r="P6" s="1513"/>
      <c r="Q6" s="277"/>
    </row>
    <row r="7" spans="1:17" x14ac:dyDescent="0.25">
      <c r="A7" s="7" t="s">
        <v>10</v>
      </c>
      <c r="B7" s="8"/>
      <c r="C7" s="1517" t="s">
        <v>550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1658</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1659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693133</v>
      </c>
      <c r="D20" s="32">
        <f>SUM(D21,D24,D25,D41,D43)</f>
        <v>668348</v>
      </c>
      <c r="E20" s="33">
        <f t="shared" ref="E20:F20" si="1">SUM(E21,E24,E25,E41,E43)</f>
        <v>0</v>
      </c>
      <c r="F20" s="34">
        <f t="shared" si="1"/>
        <v>668348</v>
      </c>
      <c r="G20" s="32">
        <f>SUM(G21,G24,G43)</f>
        <v>0</v>
      </c>
      <c r="H20" s="33">
        <f t="shared" ref="H20:I20" si="2">SUM(H21,H24,H43)</f>
        <v>0</v>
      </c>
      <c r="I20" s="34">
        <f t="shared" si="2"/>
        <v>0</v>
      </c>
      <c r="J20" s="32">
        <f>SUM(J21,J26,J43)</f>
        <v>24711</v>
      </c>
      <c r="K20" s="33">
        <f t="shared" ref="K20:L20" si="3">SUM(K21,K26,K43)</f>
        <v>74</v>
      </c>
      <c r="L20" s="34">
        <f t="shared" si="3"/>
        <v>24785</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668348</v>
      </c>
      <c r="D24" s="60">
        <v>668348</v>
      </c>
      <c r="E24" s="63"/>
      <c r="F24" s="62">
        <f t="shared" si="9"/>
        <v>668348</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24611</v>
      </c>
      <c r="D26" s="74" t="s">
        <v>43</v>
      </c>
      <c r="E26" s="75" t="s">
        <v>43</v>
      </c>
      <c r="F26" s="76" t="s">
        <v>43</v>
      </c>
      <c r="G26" s="74" t="s">
        <v>43</v>
      </c>
      <c r="H26" s="75" t="s">
        <v>43</v>
      </c>
      <c r="I26" s="76" t="s">
        <v>43</v>
      </c>
      <c r="J26" s="78">
        <f>SUM(J27,J31,J33,J36)</f>
        <v>24611</v>
      </c>
      <c r="K26" s="79">
        <f t="shared" ref="K26:L26" si="11">SUM(K27,K31,K33,K36)</f>
        <v>0</v>
      </c>
      <c r="L26" s="80">
        <f t="shared" si="11"/>
        <v>24611</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24611</v>
      </c>
      <c r="D33" s="74" t="s">
        <v>43</v>
      </c>
      <c r="E33" s="75" t="s">
        <v>43</v>
      </c>
      <c r="F33" s="76" t="s">
        <v>43</v>
      </c>
      <c r="G33" s="74" t="s">
        <v>43</v>
      </c>
      <c r="H33" s="75" t="s">
        <v>43</v>
      </c>
      <c r="I33" s="76" t="s">
        <v>43</v>
      </c>
      <c r="J33" s="78">
        <f>SUM(J34:J35)</f>
        <v>24611</v>
      </c>
      <c r="K33" s="79">
        <f t="shared" ref="K33:L33" si="17">SUM(K34:K35)</f>
        <v>0</v>
      </c>
      <c r="L33" s="80">
        <f t="shared" si="17"/>
        <v>24611</v>
      </c>
      <c r="M33" s="78" t="s">
        <v>43</v>
      </c>
      <c r="N33" s="79" t="s">
        <v>43</v>
      </c>
      <c r="O33" s="80" t="s">
        <v>43</v>
      </c>
      <c r="P33" s="77"/>
    </row>
    <row r="34" spans="1:16" ht="12" customHeight="1" x14ac:dyDescent="0.25">
      <c r="A34" s="44">
        <v>21381</v>
      </c>
      <c r="B34" s="82" t="s">
        <v>53</v>
      </c>
      <c r="C34" s="83">
        <f t="shared" si="16"/>
        <v>24611</v>
      </c>
      <c r="D34" s="84" t="s">
        <v>43</v>
      </c>
      <c r="E34" s="85" t="s">
        <v>43</v>
      </c>
      <c r="F34" s="86" t="s">
        <v>43</v>
      </c>
      <c r="G34" s="84" t="s">
        <v>43</v>
      </c>
      <c r="H34" s="85" t="s">
        <v>43</v>
      </c>
      <c r="I34" s="86" t="s">
        <v>43</v>
      </c>
      <c r="J34" s="46">
        <v>24611</v>
      </c>
      <c r="K34" s="47"/>
      <c r="L34" s="48">
        <f t="shared" ref="L34:L35" si="18">K34+J34</f>
        <v>24611</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174</v>
      </c>
      <c r="D43" s="78">
        <f>D44</f>
        <v>0</v>
      </c>
      <c r="E43" s="79">
        <f t="shared" ref="E43:L43" si="22">E44</f>
        <v>0</v>
      </c>
      <c r="F43" s="80">
        <f t="shared" si="22"/>
        <v>0</v>
      </c>
      <c r="G43" s="78">
        <f t="shared" si="22"/>
        <v>0</v>
      </c>
      <c r="H43" s="79">
        <f t="shared" si="22"/>
        <v>0</v>
      </c>
      <c r="I43" s="80">
        <f t="shared" si="22"/>
        <v>0</v>
      </c>
      <c r="J43" s="78">
        <f t="shared" si="22"/>
        <v>100</v>
      </c>
      <c r="K43" s="79">
        <f t="shared" si="22"/>
        <v>74</v>
      </c>
      <c r="L43" s="80">
        <f t="shared" si="22"/>
        <v>174</v>
      </c>
      <c r="M43" s="78" t="s">
        <v>43</v>
      </c>
      <c r="N43" s="79" t="s">
        <v>43</v>
      </c>
      <c r="O43" s="80" t="s">
        <v>43</v>
      </c>
      <c r="P43" s="77"/>
    </row>
    <row r="44" spans="1:16" s="28" customFormat="1" ht="36" customHeight="1" x14ac:dyDescent="0.2">
      <c r="A44" s="51">
        <v>21499</v>
      </c>
      <c r="B44" s="89" t="s">
        <v>63</v>
      </c>
      <c r="C44" s="133">
        <f>F44+I44+L44</f>
        <v>174</v>
      </c>
      <c r="D44" s="46"/>
      <c r="E44" s="47"/>
      <c r="F44" s="134">
        <f>D44+E44</f>
        <v>0</v>
      </c>
      <c r="G44" s="46"/>
      <c r="H44" s="47"/>
      <c r="I44" s="134">
        <f>G44+H44</f>
        <v>0</v>
      </c>
      <c r="J44" s="46">
        <v>100</v>
      </c>
      <c r="K44" s="47">
        <v>74</v>
      </c>
      <c r="L44" s="48">
        <f>K44+J44</f>
        <v>174</v>
      </c>
      <c r="M44" s="87" t="s">
        <v>43</v>
      </c>
      <c r="N44" s="88" t="s">
        <v>43</v>
      </c>
      <c r="O44" s="48" t="s">
        <v>43</v>
      </c>
      <c r="P44" s="1404" t="s">
        <v>1660</v>
      </c>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693133</v>
      </c>
      <c r="D50" s="159">
        <f>SUM(D51,D286)</f>
        <v>668348</v>
      </c>
      <c r="E50" s="160">
        <f t="shared" ref="E50:F50" si="26">SUM(E51,E286)</f>
        <v>0</v>
      </c>
      <c r="F50" s="161">
        <f t="shared" si="26"/>
        <v>668348</v>
      </c>
      <c r="G50" s="159">
        <f>SUM(G51,G286)</f>
        <v>0</v>
      </c>
      <c r="H50" s="160">
        <f>SUM(H51,H286)</f>
        <v>0</v>
      </c>
      <c r="I50" s="161">
        <f t="shared" ref="I50" si="27">SUM(I51,I286)</f>
        <v>0</v>
      </c>
      <c r="J50" s="32">
        <f>SUM(J51,J286)</f>
        <v>24711</v>
      </c>
      <c r="K50" s="33">
        <f t="shared" ref="K50:L50" si="28">SUM(K51,K286)</f>
        <v>74</v>
      </c>
      <c r="L50" s="34">
        <f t="shared" si="28"/>
        <v>24785</v>
      </c>
      <c r="M50" s="32">
        <f>SUM(M51,M286)</f>
        <v>0</v>
      </c>
      <c r="N50" s="33">
        <f t="shared" ref="N50:O50" si="29">SUM(N51,N286)</f>
        <v>0</v>
      </c>
      <c r="O50" s="34">
        <f t="shared" si="29"/>
        <v>0</v>
      </c>
      <c r="P50" s="35"/>
    </row>
    <row r="51" spans="1:16" s="28" customFormat="1" ht="36.75" thickTop="1" x14ac:dyDescent="0.25">
      <c r="A51" s="162"/>
      <c r="B51" s="163" t="s">
        <v>69</v>
      </c>
      <c r="C51" s="164">
        <f t="shared" si="0"/>
        <v>693133</v>
      </c>
      <c r="D51" s="165">
        <f>SUM(D52,D194)</f>
        <v>668348</v>
      </c>
      <c r="E51" s="166">
        <f t="shared" ref="E51:F51" si="30">SUM(E52,E194)</f>
        <v>0</v>
      </c>
      <c r="F51" s="167">
        <f t="shared" si="30"/>
        <v>668348</v>
      </c>
      <c r="G51" s="165">
        <f>SUM(G52,G194)</f>
        <v>0</v>
      </c>
      <c r="H51" s="166">
        <f t="shared" ref="H51:I51" si="31">SUM(H52,H194)</f>
        <v>0</v>
      </c>
      <c r="I51" s="167">
        <f t="shared" si="31"/>
        <v>0</v>
      </c>
      <c r="J51" s="168">
        <f>SUM(J52,J194)</f>
        <v>24711</v>
      </c>
      <c r="K51" s="169">
        <f t="shared" ref="K51:L51" si="32">SUM(K52,K194)</f>
        <v>74</v>
      </c>
      <c r="L51" s="170">
        <f t="shared" si="32"/>
        <v>24785</v>
      </c>
      <c r="M51" s="168">
        <f>SUM(M52,M194)</f>
        <v>0</v>
      </c>
      <c r="N51" s="169">
        <f t="shared" ref="N51:O51" si="33">SUM(N52,N194)</f>
        <v>0</v>
      </c>
      <c r="O51" s="170">
        <f t="shared" si="33"/>
        <v>0</v>
      </c>
      <c r="P51" s="171"/>
    </row>
    <row r="52" spans="1:16" s="28" customFormat="1" ht="24" x14ac:dyDescent="0.25">
      <c r="A52" s="24"/>
      <c r="B52" s="22" t="s">
        <v>70</v>
      </c>
      <c r="C52" s="172">
        <f t="shared" si="0"/>
        <v>679533</v>
      </c>
      <c r="D52" s="173">
        <f>SUM(D53,D75,D173,D187)</f>
        <v>654748</v>
      </c>
      <c r="E52" s="174">
        <f t="shared" ref="E52:F52" si="34">SUM(E53,E75,E173,E187)</f>
        <v>0</v>
      </c>
      <c r="F52" s="175">
        <f t="shared" si="34"/>
        <v>654748</v>
      </c>
      <c r="G52" s="173">
        <f>SUM(G53,G75,G173,G187)</f>
        <v>0</v>
      </c>
      <c r="H52" s="174">
        <f t="shared" ref="H52:I52" si="35">SUM(H53,H75,H173,H187)</f>
        <v>0</v>
      </c>
      <c r="I52" s="175">
        <f t="shared" si="35"/>
        <v>0</v>
      </c>
      <c r="J52" s="173">
        <f>SUM(J53,J75,J173,J187)</f>
        <v>24711</v>
      </c>
      <c r="K52" s="174">
        <f t="shared" ref="K52:L52" si="36">SUM(K53,K75,K173,K187)</f>
        <v>74</v>
      </c>
      <c r="L52" s="175">
        <f t="shared" si="36"/>
        <v>24785</v>
      </c>
      <c r="M52" s="173">
        <f>SUM(M53,M75,M173,M187)</f>
        <v>0</v>
      </c>
      <c r="N52" s="174">
        <f t="shared" ref="N52:O52" si="37">SUM(N53,N75,N173,N187)</f>
        <v>0</v>
      </c>
      <c r="O52" s="175">
        <f t="shared" si="37"/>
        <v>0</v>
      </c>
      <c r="P52" s="176"/>
    </row>
    <row r="53" spans="1:16" s="28" customFormat="1" x14ac:dyDescent="0.25">
      <c r="A53" s="177">
        <v>1000</v>
      </c>
      <c r="B53" s="177" t="s">
        <v>71</v>
      </c>
      <c r="C53" s="178">
        <f t="shared" si="0"/>
        <v>642839</v>
      </c>
      <c r="D53" s="179">
        <f>SUM(D54,D67)</f>
        <v>642377</v>
      </c>
      <c r="E53" s="180">
        <f t="shared" ref="E53:F53" si="38">SUM(E54,E67)</f>
        <v>0</v>
      </c>
      <c r="F53" s="181">
        <f t="shared" si="38"/>
        <v>642377</v>
      </c>
      <c r="G53" s="179">
        <f>SUM(G54,G67)</f>
        <v>0</v>
      </c>
      <c r="H53" s="180">
        <f t="shared" ref="H53:I53" si="39">SUM(H54,H67)</f>
        <v>0</v>
      </c>
      <c r="I53" s="181">
        <f t="shared" si="39"/>
        <v>0</v>
      </c>
      <c r="J53" s="179">
        <f>SUM(J54,J67)</f>
        <v>462</v>
      </c>
      <c r="K53" s="180">
        <f t="shared" ref="K53:L53" si="40">SUM(K54,K67)</f>
        <v>0</v>
      </c>
      <c r="L53" s="181">
        <f t="shared" si="40"/>
        <v>462</v>
      </c>
      <c r="M53" s="179">
        <f>SUM(M54,M67)</f>
        <v>0</v>
      </c>
      <c r="N53" s="180">
        <f t="shared" ref="N53:O53" si="41">SUM(N54,N67)</f>
        <v>0</v>
      </c>
      <c r="O53" s="181">
        <f t="shared" si="41"/>
        <v>0</v>
      </c>
      <c r="P53" s="182"/>
    </row>
    <row r="54" spans="1:16" x14ac:dyDescent="0.25">
      <c r="A54" s="69">
        <v>1100</v>
      </c>
      <c r="B54" s="183" t="s">
        <v>72</v>
      </c>
      <c r="C54" s="70">
        <f t="shared" si="0"/>
        <v>490882</v>
      </c>
      <c r="D54" s="184">
        <f>SUM(D55,D58,D66)</f>
        <v>490882</v>
      </c>
      <c r="E54" s="185">
        <f t="shared" ref="E54:F54" si="42">SUM(E55,E58,E66)</f>
        <v>0</v>
      </c>
      <c r="F54" s="73">
        <f t="shared" si="42"/>
        <v>490882</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432133</v>
      </c>
      <c r="D55" s="187">
        <f>SUM(D56:D57)</f>
        <v>436219</v>
      </c>
      <c r="E55" s="188">
        <f t="shared" ref="E55:F55" si="46">SUM(E56:E57)</f>
        <v>-4086</v>
      </c>
      <c r="F55" s="141">
        <f t="shared" si="46"/>
        <v>432133</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58">
        <v>1111</v>
      </c>
      <c r="B56" s="468" t="s">
        <v>74</v>
      </c>
      <c r="C56" s="469">
        <f t="shared" si="0"/>
        <v>0</v>
      </c>
      <c r="D56" s="460"/>
      <c r="E56" s="461"/>
      <c r="F56" s="491">
        <f t="shared" ref="F56:F57" si="50">D56+E56</f>
        <v>0</v>
      </c>
      <c r="G56" s="460"/>
      <c r="H56" s="461"/>
      <c r="I56" s="491">
        <f t="shared" ref="I56:I57" si="51">G56+H56</f>
        <v>0</v>
      </c>
      <c r="J56" s="460"/>
      <c r="K56" s="461"/>
      <c r="L56" s="491">
        <f t="shared" ref="L56:L57" si="52">K56+J56</f>
        <v>0</v>
      </c>
      <c r="M56" s="460"/>
      <c r="N56" s="461"/>
      <c r="O56" s="491">
        <f t="shared" ref="O56:O57" si="53">N56+M56</f>
        <v>0</v>
      </c>
      <c r="P56" s="463"/>
    </row>
    <row r="57" spans="1:16" ht="34.5" customHeight="1" x14ac:dyDescent="0.25">
      <c r="A57" s="51">
        <v>1119</v>
      </c>
      <c r="B57" s="89" t="s">
        <v>75</v>
      </c>
      <c r="C57" s="90">
        <f t="shared" si="0"/>
        <v>432133</v>
      </c>
      <c r="D57" s="53">
        <v>436219</v>
      </c>
      <c r="E57" s="54">
        <v>-4086</v>
      </c>
      <c r="F57" s="55">
        <f t="shared" si="50"/>
        <v>432133</v>
      </c>
      <c r="G57" s="53"/>
      <c r="H57" s="54"/>
      <c r="I57" s="55">
        <f t="shared" si="51"/>
        <v>0</v>
      </c>
      <c r="J57" s="53"/>
      <c r="K57" s="54"/>
      <c r="L57" s="55">
        <f t="shared" si="52"/>
        <v>0</v>
      </c>
      <c r="M57" s="53"/>
      <c r="N57" s="54"/>
      <c r="O57" s="55">
        <f t="shared" si="53"/>
        <v>0</v>
      </c>
      <c r="P57" s="454" t="s">
        <v>1661</v>
      </c>
    </row>
    <row r="58" spans="1:16" x14ac:dyDescent="0.25">
      <c r="A58" s="189">
        <v>1140</v>
      </c>
      <c r="B58" s="89" t="s">
        <v>76</v>
      </c>
      <c r="C58" s="90">
        <f t="shared" si="0"/>
        <v>55155</v>
      </c>
      <c r="D58" s="190">
        <f>SUM(D59:D65)</f>
        <v>51069</v>
      </c>
      <c r="E58" s="191">
        <f>SUM(E59:E65)</f>
        <v>4086</v>
      </c>
      <c r="F58" s="55">
        <f t="shared" ref="F58" si="54">SUM(F59:F65)</f>
        <v>55155</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6496</v>
      </c>
      <c r="D59" s="53">
        <v>6496</v>
      </c>
      <c r="E59" s="54"/>
      <c r="F59" s="55">
        <f t="shared" ref="F59:F66" si="58">D59+E59</f>
        <v>6496</v>
      </c>
      <c r="G59" s="53"/>
      <c r="H59" s="54"/>
      <c r="I59" s="55">
        <f t="shared" ref="I59:I66" si="59">G59+H59</f>
        <v>0</v>
      </c>
      <c r="J59" s="53"/>
      <c r="K59" s="54"/>
      <c r="L59" s="55">
        <f t="shared" ref="L59:L66" si="60">K59+J59</f>
        <v>0</v>
      </c>
      <c r="M59" s="53"/>
      <c r="N59" s="54"/>
      <c r="O59" s="55">
        <f t="shared" ref="O59:O66" si="61">N59+M59</f>
        <v>0</v>
      </c>
      <c r="P59" s="57"/>
    </row>
    <row r="60" spans="1:16" ht="28.5" customHeight="1" x14ac:dyDescent="0.25">
      <c r="A60" s="51">
        <v>1142</v>
      </c>
      <c r="B60" s="89" t="s">
        <v>78</v>
      </c>
      <c r="C60" s="90">
        <f t="shared" si="0"/>
        <v>11916</v>
      </c>
      <c r="D60" s="53">
        <v>11156</v>
      </c>
      <c r="E60" s="54">
        <f>414+346</f>
        <v>760</v>
      </c>
      <c r="F60" s="55">
        <f t="shared" si="58"/>
        <v>11916</v>
      </c>
      <c r="G60" s="53"/>
      <c r="H60" s="54"/>
      <c r="I60" s="55">
        <f t="shared" si="59"/>
        <v>0</v>
      </c>
      <c r="J60" s="53"/>
      <c r="K60" s="54"/>
      <c r="L60" s="55">
        <f t="shared" si="60"/>
        <v>0</v>
      </c>
      <c r="M60" s="53"/>
      <c r="N60" s="54"/>
      <c r="O60" s="55">
        <f t="shared" si="61"/>
        <v>0</v>
      </c>
      <c r="P60" s="57" t="s">
        <v>1662</v>
      </c>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8.75" customHeight="1" x14ac:dyDescent="0.2">
      <c r="A63" s="51">
        <v>1147</v>
      </c>
      <c r="B63" s="89" t="s">
        <v>81</v>
      </c>
      <c r="C63" s="90">
        <f t="shared" si="0"/>
        <v>11238</v>
      </c>
      <c r="D63" s="53">
        <v>9086</v>
      </c>
      <c r="E63" s="54">
        <v>2152</v>
      </c>
      <c r="F63" s="55">
        <f t="shared" si="58"/>
        <v>11238</v>
      </c>
      <c r="G63" s="53"/>
      <c r="H63" s="54"/>
      <c r="I63" s="55">
        <f t="shared" si="59"/>
        <v>0</v>
      </c>
      <c r="J63" s="53"/>
      <c r="K63" s="54"/>
      <c r="L63" s="55">
        <f t="shared" si="60"/>
        <v>0</v>
      </c>
      <c r="M63" s="53"/>
      <c r="N63" s="54"/>
      <c r="O63" s="55">
        <f t="shared" si="61"/>
        <v>0</v>
      </c>
      <c r="P63" s="1405" t="s">
        <v>1663</v>
      </c>
    </row>
    <row r="64" spans="1:16" ht="19.5" customHeight="1" x14ac:dyDescent="0.25">
      <c r="A64" s="51">
        <v>1148</v>
      </c>
      <c r="B64" s="89" t="s">
        <v>82</v>
      </c>
      <c r="C64" s="90">
        <f t="shared" si="0"/>
        <v>25505</v>
      </c>
      <c r="D64" s="53">
        <v>24331</v>
      </c>
      <c r="E64" s="54">
        <v>1174</v>
      </c>
      <c r="F64" s="55">
        <f t="shared" si="58"/>
        <v>25505</v>
      </c>
      <c r="G64" s="53"/>
      <c r="H64" s="54"/>
      <c r="I64" s="55">
        <f t="shared" si="59"/>
        <v>0</v>
      </c>
      <c r="J64" s="53"/>
      <c r="K64" s="54"/>
      <c r="L64" s="55">
        <f t="shared" si="60"/>
        <v>0</v>
      </c>
      <c r="M64" s="53"/>
      <c r="N64" s="54"/>
      <c r="O64" s="55">
        <f t="shared" si="61"/>
        <v>0</v>
      </c>
      <c r="P64" s="454" t="s">
        <v>1664</v>
      </c>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3594</v>
      </c>
      <c r="D66" s="144">
        <v>3594</v>
      </c>
      <c r="E66" s="145"/>
      <c r="F66" s="141">
        <f t="shared" si="58"/>
        <v>3594</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151957</v>
      </c>
      <c r="D67" s="184">
        <f>SUM(D68:D69)</f>
        <v>151495</v>
      </c>
      <c r="E67" s="185">
        <f t="shared" ref="E67:F67" si="62">SUM(E68:E69)</f>
        <v>0</v>
      </c>
      <c r="F67" s="73">
        <f t="shared" si="62"/>
        <v>151495</v>
      </c>
      <c r="G67" s="184">
        <f>SUM(G68:G69)</f>
        <v>0</v>
      </c>
      <c r="H67" s="185">
        <f t="shared" ref="H67:I67" si="63">SUM(H68:H69)</f>
        <v>0</v>
      </c>
      <c r="I67" s="73">
        <f t="shared" si="63"/>
        <v>0</v>
      </c>
      <c r="J67" s="184">
        <f>SUM(J68:J69)</f>
        <v>462</v>
      </c>
      <c r="K67" s="185">
        <f t="shared" ref="K67:L67" si="64">SUM(K68:K69)</f>
        <v>0</v>
      </c>
      <c r="L67" s="73">
        <f t="shared" si="64"/>
        <v>462</v>
      </c>
      <c r="M67" s="184">
        <f>SUM(M68:M69)</f>
        <v>0</v>
      </c>
      <c r="N67" s="185">
        <f t="shared" ref="N67:O67" si="65">SUM(N68:N69)</f>
        <v>0</v>
      </c>
      <c r="O67" s="73">
        <f t="shared" si="65"/>
        <v>0</v>
      </c>
      <c r="P67" s="77"/>
    </row>
    <row r="68" spans="1:16" ht="24" customHeight="1" x14ac:dyDescent="0.25">
      <c r="A68" s="1372">
        <v>1210</v>
      </c>
      <c r="B68" s="82" t="s">
        <v>86</v>
      </c>
      <c r="C68" s="83">
        <f t="shared" si="0"/>
        <v>122704</v>
      </c>
      <c r="D68" s="46">
        <v>122704</v>
      </c>
      <c r="E68" s="47"/>
      <c r="F68" s="134">
        <f>D68+E68</f>
        <v>122704</v>
      </c>
      <c r="G68" s="46"/>
      <c r="H68" s="47"/>
      <c r="I68" s="134">
        <f>G68+H68</f>
        <v>0</v>
      </c>
      <c r="J68" s="46"/>
      <c r="K68" s="47"/>
      <c r="L68" s="134">
        <f>K68+J68</f>
        <v>0</v>
      </c>
      <c r="M68" s="46"/>
      <c r="N68" s="47"/>
      <c r="O68" s="134">
        <f>N68+M68</f>
        <v>0</v>
      </c>
      <c r="P68" s="49"/>
    </row>
    <row r="69" spans="1:16" ht="24" x14ac:dyDescent="0.25">
      <c r="A69" s="189">
        <v>1220</v>
      </c>
      <c r="B69" s="89" t="s">
        <v>87</v>
      </c>
      <c r="C69" s="90">
        <f t="shared" si="0"/>
        <v>29253</v>
      </c>
      <c r="D69" s="190">
        <f>SUM(D70:D74)</f>
        <v>28791</v>
      </c>
      <c r="E69" s="191">
        <f t="shared" ref="E69:F69" si="66">SUM(E70:E74)</f>
        <v>0</v>
      </c>
      <c r="F69" s="55">
        <f t="shared" si="66"/>
        <v>28791</v>
      </c>
      <c r="G69" s="190">
        <f>SUM(G70:G74)</f>
        <v>0</v>
      </c>
      <c r="H69" s="191">
        <f t="shared" ref="H69:I69" si="67">SUM(H70:H74)</f>
        <v>0</v>
      </c>
      <c r="I69" s="55">
        <f t="shared" si="67"/>
        <v>0</v>
      </c>
      <c r="J69" s="190">
        <f>SUM(J70:J74)</f>
        <v>462</v>
      </c>
      <c r="K69" s="191">
        <f t="shared" ref="K69:L69" si="68">SUM(K70:K74)</f>
        <v>0</v>
      </c>
      <c r="L69" s="55">
        <f t="shared" si="68"/>
        <v>462</v>
      </c>
      <c r="M69" s="190">
        <f>SUM(M70:M74)</f>
        <v>0</v>
      </c>
      <c r="N69" s="191">
        <f t="shared" ref="N69:O69" si="69">SUM(N70:N74)</f>
        <v>0</v>
      </c>
      <c r="O69" s="55">
        <f t="shared" si="69"/>
        <v>0</v>
      </c>
      <c r="P69" s="57"/>
    </row>
    <row r="70" spans="1:16" ht="48" customHeight="1" x14ac:dyDescent="0.25">
      <c r="A70" s="51">
        <v>1221</v>
      </c>
      <c r="B70" s="89" t="s">
        <v>88</v>
      </c>
      <c r="C70" s="90">
        <f t="shared" si="0"/>
        <v>18473</v>
      </c>
      <c r="D70" s="53">
        <v>18473</v>
      </c>
      <c r="E70" s="54"/>
      <c r="F70" s="55">
        <f t="shared" ref="F70:F74" si="70">D70+E70</f>
        <v>18473</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9818</v>
      </c>
      <c r="D73" s="53">
        <v>9818</v>
      </c>
      <c r="E73" s="54"/>
      <c r="F73" s="55">
        <f t="shared" si="70"/>
        <v>9818</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962</v>
      </c>
      <c r="D74" s="53">
        <v>500</v>
      </c>
      <c r="E74" s="54"/>
      <c r="F74" s="55">
        <f t="shared" si="70"/>
        <v>500</v>
      </c>
      <c r="G74" s="53"/>
      <c r="H74" s="54"/>
      <c r="I74" s="55">
        <f t="shared" si="71"/>
        <v>0</v>
      </c>
      <c r="J74" s="53">
        <v>462</v>
      </c>
      <c r="K74" s="54"/>
      <c r="L74" s="55">
        <f t="shared" si="72"/>
        <v>462</v>
      </c>
      <c r="M74" s="53"/>
      <c r="N74" s="54"/>
      <c r="O74" s="55">
        <f t="shared" si="73"/>
        <v>0</v>
      </c>
      <c r="P74" s="57"/>
    </row>
    <row r="75" spans="1:16" x14ac:dyDescent="0.25">
      <c r="A75" s="177">
        <v>2000</v>
      </c>
      <c r="B75" s="177" t="s">
        <v>93</v>
      </c>
      <c r="C75" s="178">
        <f t="shared" si="0"/>
        <v>36694</v>
      </c>
      <c r="D75" s="179">
        <f>SUM(D76,D83,D130,D164,D165,D172)</f>
        <v>12371</v>
      </c>
      <c r="E75" s="180">
        <f t="shared" ref="E75:F75" si="74">SUM(E76,E83,E130,E164,E165,E172)</f>
        <v>0</v>
      </c>
      <c r="F75" s="181">
        <f t="shared" si="74"/>
        <v>12371</v>
      </c>
      <c r="G75" s="179">
        <f>SUM(G76,G83,G130,G164,G165,G172)</f>
        <v>0</v>
      </c>
      <c r="H75" s="180">
        <f t="shared" ref="H75:I75" si="75">SUM(H76,H83,H130,H164,H165,H172)</f>
        <v>0</v>
      </c>
      <c r="I75" s="181">
        <f t="shared" si="75"/>
        <v>0</v>
      </c>
      <c r="J75" s="179">
        <f>SUM(J76,J83,J130,J164,J165,J172)</f>
        <v>24249</v>
      </c>
      <c r="K75" s="180">
        <f t="shared" ref="K75:L75" si="76">SUM(K76,K83,K130,K164,K165,K172)</f>
        <v>74</v>
      </c>
      <c r="L75" s="181">
        <f t="shared" si="76"/>
        <v>24323</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12004</v>
      </c>
      <c r="D83" s="184">
        <f>SUM(D84,D89,D95,D103,D112,D116,D122,D128)</f>
        <v>8381</v>
      </c>
      <c r="E83" s="185">
        <f t="shared" ref="E83:F83" si="98">SUM(E84,E89,E95,E103,E112,E116,E122,E128)</f>
        <v>0</v>
      </c>
      <c r="F83" s="73">
        <f t="shared" si="98"/>
        <v>8381</v>
      </c>
      <c r="G83" s="184">
        <f>SUM(G84,G89,G95,G103,G112,G116,G122,G128)</f>
        <v>0</v>
      </c>
      <c r="H83" s="185">
        <f t="shared" ref="H83:I83" si="99">SUM(H84,H89,H95,H103,H112,H116,H122,H128)</f>
        <v>0</v>
      </c>
      <c r="I83" s="73">
        <f t="shared" si="99"/>
        <v>0</v>
      </c>
      <c r="J83" s="184">
        <f>SUM(J84,J89,J95,J103,J112,J116,J122,J128)</f>
        <v>3549</v>
      </c>
      <c r="K83" s="185">
        <f t="shared" ref="K83:L83" si="100">SUM(K84,K89,K95,K103,K112,K116,K122,K128)</f>
        <v>74</v>
      </c>
      <c r="L83" s="73">
        <f t="shared" si="100"/>
        <v>3623</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4614</v>
      </c>
      <c r="D84" s="187">
        <f>SUM(D85:D88)</f>
        <v>3523</v>
      </c>
      <c r="E84" s="188">
        <f t="shared" ref="E84:F84" si="103">SUM(E85:E88)</f>
        <v>0</v>
      </c>
      <c r="F84" s="141">
        <f t="shared" si="103"/>
        <v>3523</v>
      </c>
      <c r="G84" s="187">
        <f>SUM(G85:G88)</f>
        <v>0</v>
      </c>
      <c r="H84" s="188">
        <f t="shared" ref="H84:I84" si="104">SUM(H85:H88)</f>
        <v>0</v>
      </c>
      <c r="I84" s="141">
        <f t="shared" si="104"/>
        <v>0</v>
      </c>
      <c r="J84" s="187">
        <f>SUM(J85:J88)</f>
        <v>1017</v>
      </c>
      <c r="K84" s="188">
        <f t="shared" ref="K84:L84" si="105">SUM(K85:K88)</f>
        <v>74</v>
      </c>
      <c r="L84" s="141">
        <f t="shared" si="105"/>
        <v>1091</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3803</v>
      </c>
      <c r="D86" s="196">
        <v>3268</v>
      </c>
      <c r="E86" s="197"/>
      <c r="F86" s="55">
        <f t="shared" si="107"/>
        <v>3268</v>
      </c>
      <c r="G86" s="53"/>
      <c r="H86" s="54"/>
      <c r="I86" s="55">
        <f t="shared" si="108"/>
        <v>0</v>
      </c>
      <c r="J86" s="53">
        <v>535</v>
      </c>
      <c r="K86" s="54"/>
      <c r="L86" s="55">
        <f t="shared" si="109"/>
        <v>535</v>
      </c>
      <c r="M86" s="53"/>
      <c r="N86" s="54"/>
      <c r="O86" s="55">
        <f t="shared" si="110"/>
        <v>0</v>
      </c>
      <c r="P86" s="57"/>
    </row>
    <row r="87" spans="1:16" ht="24" customHeight="1" x14ac:dyDescent="0.25">
      <c r="A87" s="51">
        <v>2214</v>
      </c>
      <c r="B87" s="89" t="s">
        <v>103</v>
      </c>
      <c r="C87" s="90">
        <f t="shared" si="102"/>
        <v>468</v>
      </c>
      <c r="D87" s="196">
        <v>255</v>
      </c>
      <c r="E87" s="197"/>
      <c r="F87" s="55">
        <f t="shared" si="107"/>
        <v>255</v>
      </c>
      <c r="G87" s="53"/>
      <c r="H87" s="54"/>
      <c r="I87" s="55">
        <f t="shared" si="108"/>
        <v>0</v>
      </c>
      <c r="J87" s="53">
        <v>139</v>
      </c>
      <c r="K87" s="54">
        <v>74</v>
      </c>
      <c r="L87" s="55">
        <f t="shared" si="109"/>
        <v>213</v>
      </c>
      <c r="M87" s="53"/>
      <c r="N87" s="54"/>
      <c r="O87" s="55">
        <f t="shared" si="110"/>
        <v>0</v>
      </c>
      <c r="P87" s="57"/>
    </row>
    <row r="88" spans="1:16" ht="12" customHeight="1" x14ac:dyDescent="0.25">
      <c r="A88" s="51">
        <v>2219</v>
      </c>
      <c r="B88" s="89" t="s">
        <v>104</v>
      </c>
      <c r="C88" s="90">
        <f t="shared" si="102"/>
        <v>343</v>
      </c>
      <c r="D88" s="196"/>
      <c r="E88" s="197"/>
      <c r="F88" s="55">
        <f t="shared" si="107"/>
        <v>0</v>
      </c>
      <c r="G88" s="53"/>
      <c r="H88" s="54"/>
      <c r="I88" s="55">
        <f t="shared" si="108"/>
        <v>0</v>
      </c>
      <c r="J88" s="53">
        <v>343</v>
      </c>
      <c r="K88" s="54"/>
      <c r="L88" s="55">
        <f t="shared" si="109"/>
        <v>343</v>
      </c>
      <c r="M88" s="53"/>
      <c r="N88" s="54"/>
      <c r="O88" s="55">
        <f t="shared" si="110"/>
        <v>0</v>
      </c>
      <c r="P88" s="57"/>
    </row>
    <row r="89" spans="1:16" ht="24" x14ac:dyDescent="0.25">
      <c r="A89" s="189">
        <v>2220</v>
      </c>
      <c r="B89" s="89" t="s">
        <v>105</v>
      </c>
      <c r="C89" s="90">
        <f t="shared" si="102"/>
        <v>3778</v>
      </c>
      <c r="D89" s="190">
        <f>SUM(D90:D94)</f>
        <v>3778</v>
      </c>
      <c r="E89" s="191">
        <f t="shared" ref="E89:F89" si="111">SUM(E90:E94)</f>
        <v>0</v>
      </c>
      <c r="F89" s="55">
        <f t="shared" si="111"/>
        <v>3778</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90">
        <f t="shared" si="102"/>
        <v>2117</v>
      </c>
      <c r="D90" s="196">
        <v>2117</v>
      </c>
      <c r="E90" s="197"/>
      <c r="F90" s="55">
        <f t="shared" ref="F90:F94" si="115">D90+E90</f>
        <v>2117</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90">
        <f t="shared" si="102"/>
        <v>189</v>
      </c>
      <c r="D91" s="196">
        <v>189</v>
      </c>
      <c r="E91" s="197"/>
      <c r="F91" s="55">
        <f t="shared" si="115"/>
        <v>189</v>
      </c>
      <c r="G91" s="53"/>
      <c r="H91" s="54"/>
      <c r="I91" s="55">
        <f t="shared" si="116"/>
        <v>0</v>
      </c>
      <c r="J91" s="53"/>
      <c r="K91" s="54"/>
      <c r="L91" s="55">
        <f t="shared" si="117"/>
        <v>0</v>
      </c>
      <c r="M91" s="53"/>
      <c r="N91" s="54"/>
      <c r="O91" s="55">
        <f t="shared" si="118"/>
        <v>0</v>
      </c>
      <c r="P91" s="57"/>
    </row>
    <row r="92" spans="1:16" ht="21" customHeight="1" x14ac:dyDescent="0.25">
      <c r="A92" s="51">
        <v>2223</v>
      </c>
      <c r="B92" s="89" t="s">
        <v>108</v>
      </c>
      <c r="C92" s="90">
        <f t="shared" si="102"/>
        <v>1326</v>
      </c>
      <c r="D92" s="196">
        <v>1326</v>
      </c>
      <c r="E92" s="197"/>
      <c r="F92" s="55">
        <f t="shared" si="115"/>
        <v>1326</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90">
        <f t="shared" si="102"/>
        <v>146</v>
      </c>
      <c r="D93" s="196">
        <v>146</v>
      </c>
      <c r="E93" s="197"/>
      <c r="F93" s="55">
        <f t="shared" si="115"/>
        <v>146</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1921</v>
      </c>
      <c r="D95" s="190">
        <f>SUM(D96:D102)</f>
        <v>319</v>
      </c>
      <c r="E95" s="191">
        <f t="shared" ref="E95:F95" si="119">SUM(E96:E102)</f>
        <v>0</v>
      </c>
      <c r="F95" s="55">
        <f t="shared" si="119"/>
        <v>319</v>
      </c>
      <c r="G95" s="190">
        <f>SUM(G96:G102)</f>
        <v>0</v>
      </c>
      <c r="H95" s="191">
        <f t="shared" ref="H95:I95" si="120">SUM(H96:H102)</f>
        <v>0</v>
      </c>
      <c r="I95" s="55">
        <f t="shared" si="120"/>
        <v>0</v>
      </c>
      <c r="J95" s="190">
        <f>SUM(J96:J102)</f>
        <v>1332</v>
      </c>
      <c r="K95" s="191">
        <f t="shared" ref="K95:L95" si="121">SUM(K96:K102)</f>
        <v>270</v>
      </c>
      <c r="L95" s="55">
        <f t="shared" si="121"/>
        <v>1602</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30.75" customHeight="1" x14ac:dyDescent="0.25">
      <c r="A100" s="51">
        <v>2235</v>
      </c>
      <c r="B100" s="89" t="s">
        <v>116</v>
      </c>
      <c r="C100" s="90">
        <f t="shared" si="102"/>
        <v>270</v>
      </c>
      <c r="D100" s="196"/>
      <c r="E100" s="197"/>
      <c r="F100" s="55">
        <f t="shared" si="123"/>
        <v>0</v>
      </c>
      <c r="G100" s="1402"/>
      <c r="H100" s="1403"/>
      <c r="I100" s="55">
        <f t="shared" si="124"/>
        <v>0</v>
      </c>
      <c r="J100" s="53"/>
      <c r="K100" s="54">
        <v>270</v>
      </c>
      <c r="L100" s="55">
        <f t="shared" si="125"/>
        <v>270</v>
      </c>
      <c r="M100" s="53"/>
      <c r="N100" s="54"/>
      <c r="O100" s="55">
        <f t="shared" si="126"/>
        <v>0</v>
      </c>
      <c r="P100" s="57" t="s">
        <v>1665</v>
      </c>
    </row>
    <row r="101" spans="1:16" ht="12" customHeight="1" x14ac:dyDescent="0.25">
      <c r="A101" s="51">
        <v>2236</v>
      </c>
      <c r="B101" s="89" t="s">
        <v>117</v>
      </c>
      <c r="C101" s="90">
        <f t="shared" si="102"/>
        <v>585</v>
      </c>
      <c r="D101" s="196">
        <v>119</v>
      </c>
      <c r="E101" s="197"/>
      <c r="F101" s="55">
        <f t="shared" si="123"/>
        <v>119</v>
      </c>
      <c r="G101" s="53"/>
      <c r="H101" s="54"/>
      <c r="I101" s="55">
        <f t="shared" si="124"/>
        <v>0</v>
      </c>
      <c r="J101" s="53">
        <v>466</v>
      </c>
      <c r="K101" s="54"/>
      <c r="L101" s="55">
        <f t="shared" si="125"/>
        <v>466</v>
      </c>
      <c r="M101" s="53"/>
      <c r="N101" s="54"/>
      <c r="O101" s="55">
        <f t="shared" si="126"/>
        <v>0</v>
      </c>
      <c r="P101" s="57"/>
    </row>
    <row r="102" spans="1:16" ht="24" customHeight="1" x14ac:dyDescent="0.25">
      <c r="A102" s="51">
        <v>2239</v>
      </c>
      <c r="B102" s="89" t="s">
        <v>118</v>
      </c>
      <c r="C102" s="90">
        <f t="shared" si="102"/>
        <v>1066</v>
      </c>
      <c r="D102" s="196">
        <v>200</v>
      </c>
      <c r="E102" s="197"/>
      <c r="F102" s="55">
        <f t="shared" si="123"/>
        <v>200</v>
      </c>
      <c r="G102" s="53"/>
      <c r="H102" s="54"/>
      <c r="I102" s="55">
        <f t="shared" si="124"/>
        <v>0</v>
      </c>
      <c r="J102" s="53">
        <v>866</v>
      </c>
      <c r="K102" s="54"/>
      <c r="L102" s="55">
        <f t="shared" si="125"/>
        <v>866</v>
      </c>
      <c r="M102" s="53"/>
      <c r="N102" s="54"/>
      <c r="O102" s="55">
        <f t="shared" si="126"/>
        <v>0</v>
      </c>
      <c r="P102" s="57"/>
    </row>
    <row r="103" spans="1:16" ht="36" x14ac:dyDescent="0.25">
      <c r="A103" s="189">
        <v>2240</v>
      </c>
      <c r="B103" s="89" t="s">
        <v>119</v>
      </c>
      <c r="C103" s="90">
        <f t="shared" si="102"/>
        <v>952</v>
      </c>
      <c r="D103" s="190">
        <f>SUM(D104:D111)</f>
        <v>752</v>
      </c>
      <c r="E103" s="191">
        <f t="shared" ref="E103:F103" si="127">SUM(E104:E111)</f>
        <v>0</v>
      </c>
      <c r="F103" s="55">
        <f t="shared" si="127"/>
        <v>752</v>
      </c>
      <c r="G103" s="190">
        <f>SUM(G104:G111)</f>
        <v>0</v>
      </c>
      <c r="H103" s="191">
        <f t="shared" ref="H103:I103" si="128">SUM(H104:H111)</f>
        <v>0</v>
      </c>
      <c r="I103" s="55">
        <f t="shared" si="128"/>
        <v>0</v>
      </c>
      <c r="J103" s="190">
        <f>SUM(J104:J111)</f>
        <v>200</v>
      </c>
      <c r="K103" s="191">
        <f t="shared" ref="K103:L103" si="129">SUM(K104:K111)</f>
        <v>0</v>
      </c>
      <c r="L103" s="55">
        <f t="shared" si="129"/>
        <v>200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200</v>
      </c>
      <c r="D106" s="196"/>
      <c r="E106" s="197"/>
      <c r="F106" s="55">
        <f t="shared" si="131"/>
        <v>0</v>
      </c>
      <c r="G106" s="53"/>
      <c r="H106" s="54"/>
      <c r="I106" s="55">
        <f t="shared" si="132"/>
        <v>0</v>
      </c>
      <c r="J106" s="53">
        <v>200</v>
      </c>
      <c r="K106" s="54"/>
      <c r="L106" s="55">
        <f t="shared" si="133"/>
        <v>200</v>
      </c>
      <c r="M106" s="53"/>
      <c r="N106" s="54"/>
      <c r="O106" s="55">
        <f t="shared" si="134"/>
        <v>0</v>
      </c>
      <c r="P106" s="57"/>
    </row>
    <row r="107" spans="1:16" ht="12" customHeight="1" x14ac:dyDescent="0.25">
      <c r="A107" s="51">
        <v>2244</v>
      </c>
      <c r="B107" s="89" t="s">
        <v>123</v>
      </c>
      <c r="C107" s="90">
        <f t="shared" si="102"/>
        <v>752</v>
      </c>
      <c r="D107" s="196">
        <v>752</v>
      </c>
      <c r="E107" s="197"/>
      <c r="F107" s="55">
        <f t="shared" si="131"/>
        <v>752</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155</v>
      </c>
      <c r="D116" s="190">
        <f>SUM(D117:D121)</f>
        <v>9</v>
      </c>
      <c r="E116" s="191">
        <f t="shared" ref="E116:F116" si="143">SUM(E117:E121)</f>
        <v>0</v>
      </c>
      <c r="F116" s="55">
        <f t="shared" si="143"/>
        <v>9</v>
      </c>
      <c r="G116" s="190">
        <f>SUM(G117:G121)</f>
        <v>0</v>
      </c>
      <c r="H116" s="191">
        <f t="shared" ref="H116:I116" si="144">SUM(H117:H121)</f>
        <v>0</v>
      </c>
      <c r="I116" s="55">
        <f t="shared" si="144"/>
        <v>0</v>
      </c>
      <c r="J116" s="190">
        <f>SUM(J117:J121)</f>
        <v>146</v>
      </c>
      <c r="K116" s="191">
        <f t="shared" ref="K116:L116" si="145">SUM(K117:K121)</f>
        <v>0</v>
      </c>
      <c r="L116" s="55">
        <f t="shared" si="145"/>
        <v>146</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146</v>
      </c>
      <c r="D120" s="196"/>
      <c r="E120" s="197"/>
      <c r="F120" s="55">
        <f t="shared" si="147"/>
        <v>0</v>
      </c>
      <c r="G120" s="53"/>
      <c r="H120" s="54"/>
      <c r="I120" s="55">
        <f t="shared" si="148"/>
        <v>0</v>
      </c>
      <c r="J120" s="53">
        <v>146</v>
      </c>
      <c r="K120" s="54"/>
      <c r="L120" s="55">
        <f t="shared" si="149"/>
        <v>146</v>
      </c>
      <c r="M120" s="53"/>
      <c r="N120" s="54"/>
      <c r="O120" s="55">
        <f t="shared" si="150"/>
        <v>0</v>
      </c>
      <c r="P120" s="57"/>
    </row>
    <row r="121" spans="1:16" ht="12" customHeight="1" x14ac:dyDescent="0.25">
      <c r="A121" s="51">
        <v>2269</v>
      </c>
      <c r="B121" s="89" t="s">
        <v>137</v>
      </c>
      <c r="C121" s="90">
        <f t="shared" si="102"/>
        <v>9</v>
      </c>
      <c r="D121" s="196">
        <v>9</v>
      </c>
      <c r="E121" s="197"/>
      <c r="F121" s="55">
        <f t="shared" si="147"/>
        <v>9</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584</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854</v>
      </c>
      <c r="K122" s="191">
        <f t="shared" ref="K122:L122" si="153">SUM(K123:K127)</f>
        <v>-270</v>
      </c>
      <c r="L122" s="55">
        <f t="shared" si="153"/>
        <v>584</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4.5" customHeight="1" x14ac:dyDescent="0.25">
      <c r="A127" s="51">
        <v>2279</v>
      </c>
      <c r="B127" s="89" t="s">
        <v>143</v>
      </c>
      <c r="C127" s="90">
        <f t="shared" si="102"/>
        <v>584</v>
      </c>
      <c r="D127" s="196"/>
      <c r="E127" s="197"/>
      <c r="F127" s="55">
        <f t="shared" si="155"/>
        <v>0</v>
      </c>
      <c r="G127" s="53"/>
      <c r="H127" s="54"/>
      <c r="I127" s="55">
        <f t="shared" si="156"/>
        <v>0</v>
      </c>
      <c r="J127" s="53">
        <v>854</v>
      </c>
      <c r="K127" s="54">
        <v>-270</v>
      </c>
      <c r="L127" s="55">
        <f t="shared" si="157"/>
        <v>584</v>
      </c>
      <c r="M127" s="53"/>
      <c r="N127" s="54"/>
      <c r="O127" s="55">
        <f t="shared" si="158"/>
        <v>0</v>
      </c>
      <c r="P127" s="57" t="s">
        <v>1666</v>
      </c>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17190</v>
      </c>
      <c r="D130" s="184">
        <f>SUM(D131,D136,D140,D141,D144,D151,D159,D160,D163)</f>
        <v>3990</v>
      </c>
      <c r="E130" s="185">
        <f t="shared" ref="E130:F130" si="160">SUM(E131,E136,E140,E141,E144,E151,E159,E160,E163)</f>
        <v>0</v>
      </c>
      <c r="F130" s="73">
        <f t="shared" si="160"/>
        <v>3990</v>
      </c>
      <c r="G130" s="184">
        <f>SUM(G131,G136,G140,G141,G144,G151,G159,G160,G163)</f>
        <v>0</v>
      </c>
      <c r="H130" s="185">
        <f t="shared" ref="H130:I130" si="161">SUM(H131,H136,H140,H141,H144,H151,H159,H160,H163)</f>
        <v>0</v>
      </c>
      <c r="I130" s="73">
        <f t="shared" si="161"/>
        <v>0</v>
      </c>
      <c r="J130" s="184">
        <f>SUM(J131,J136,J140,J141,J144,J151,J159,J160,J163)</f>
        <v>13200</v>
      </c>
      <c r="K130" s="185">
        <f t="shared" ref="K130:L130" si="162">SUM(K131,K136,K140,K141,K144,K151,K159,K160,K163)</f>
        <v>0</v>
      </c>
      <c r="L130" s="73">
        <f t="shared" si="162"/>
        <v>13200</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2230</v>
      </c>
      <c r="D131" s="194">
        <f t="shared" ref="D131:O131" si="164">SUM(D132:D135)</f>
        <v>914</v>
      </c>
      <c r="E131" s="195">
        <f t="shared" si="164"/>
        <v>0</v>
      </c>
      <c r="F131" s="134">
        <f t="shared" si="164"/>
        <v>914</v>
      </c>
      <c r="G131" s="194">
        <f t="shared" si="164"/>
        <v>0</v>
      </c>
      <c r="H131" s="195">
        <f t="shared" si="164"/>
        <v>0</v>
      </c>
      <c r="I131" s="134">
        <f t="shared" si="164"/>
        <v>0</v>
      </c>
      <c r="J131" s="194">
        <f t="shared" si="164"/>
        <v>1316</v>
      </c>
      <c r="K131" s="195">
        <f t="shared" si="164"/>
        <v>0</v>
      </c>
      <c r="L131" s="134">
        <f t="shared" si="164"/>
        <v>1316</v>
      </c>
      <c r="M131" s="194">
        <f t="shared" si="164"/>
        <v>0</v>
      </c>
      <c r="N131" s="195">
        <f t="shared" si="164"/>
        <v>0</v>
      </c>
      <c r="O131" s="134">
        <f t="shared" si="164"/>
        <v>0</v>
      </c>
      <c r="P131" s="49"/>
    </row>
    <row r="132" spans="1:16" ht="14.25" customHeight="1" x14ac:dyDescent="0.25">
      <c r="A132" s="51">
        <v>2311</v>
      </c>
      <c r="B132" s="89" t="s">
        <v>148</v>
      </c>
      <c r="C132" s="90">
        <f t="shared" si="102"/>
        <v>955</v>
      </c>
      <c r="D132" s="196">
        <v>414</v>
      </c>
      <c r="E132" s="197"/>
      <c r="F132" s="55">
        <f t="shared" ref="F132:F135" si="165">D132+E132</f>
        <v>414</v>
      </c>
      <c r="G132" s="53"/>
      <c r="H132" s="54"/>
      <c r="I132" s="55">
        <f t="shared" ref="I132:I135" si="166">G132+H132</f>
        <v>0</v>
      </c>
      <c r="J132" s="53">
        <v>541</v>
      </c>
      <c r="K132" s="54"/>
      <c r="L132" s="55">
        <f t="shared" ref="L132:L135" si="167">K132+J132</f>
        <v>541</v>
      </c>
      <c r="M132" s="53"/>
      <c r="N132" s="54"/>
      <c r="O132" s="55">
        <f t="shared" ref="O132:O135" si="168">N132+M132</f>
        <v>0</v>
      </c>
      <c r="P132" s="57"/>
    </row>
    <row r="133" spans="1:16" ht="18" customHeight="1" x14ac:dyDescent="0.25">
      <c r="A133" s="51">
        <v>2312</v>
      </c>
      <c r="B133" s="89" t="s">
        <v>149</v>
      </c>
      <c r="C133" s="90">
        <f t="shared" si="102"/>
        <v>1175</v>
      </c>
      <c r="D133" s="196">
        <v>500</v>
      </c>
      <c r="E133" s="197"/>
      <c r="F133" s="55">
        <f t="shared" si="165"/>
        <v>500</v>
      </c>
      <c r="G133" s="53"/>
      <c r="H133" s="54"/>
      <c r="I133" s="55">
        <f t="shared" si="166"/>
        <v>0</v>
      </c>
      <c r="J133" s="53">
        <v>675</v>
      </c>
      <c r="K133" s="363"/>
      <c r="L133" s="55">
        <f t="shared" si="167"/>
        <v>675</v>
      </c>
      <c r="M133" s="53"/>
      <c r="N133" s="54"/>
      <c r="O133" s="55">
        <f t="shared" si="168"/>
        <v>0</v>
      </c>
      <c r="P133" s="364"/>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100</v>
      </c>
      <c r="D135" s="196"/>
      <c r="E135" s="197"/>
      <c r="F135" s="55">
        <f t="shared" si="165"/>
        <v>0</v>
      </c>
      <c r="G135" s="53"/>
      <c r="H135" s="54"/>
      <c r="I135" s="55">
        <f t="shared" si="166"/>
        <v>0</v>
      </c>
      <c r="J135" s="53">
        <v>100</v>
      </c>
      <c r="K135" s="54"/>
      <c r="L135" s="55">
        <f t="shared" si="167"/>
        <v>100</v>
      </c>
      <c r="M135" s="53"/>
      <c r="N135" s="54"/>
      <c r="O135" s="55">
        <f t="shared" si="168"/>
        <v>0</v>
      </c>
      <c r="P135" s="57"/>
    </row>
    <row r="136" spans="1:16" x14ac:dyDescent="0.25">
      <c r="A136" s="189">
        <v>2320</v>
      </c>
      <c r="B136" s="89" t="s">
        <v>152</v>
      </c>
      <c r="C136" s="90">
        <f t="shared" si="102"/>
        <v>2693</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2693</v>
      </c>
      <c r="K136" s="191">
        <f t="shared" ref="K136:L136" si="171">SUM(K137:K139)</f>
        <v>0</v>
      </c>
      <c r="L136" s="55">
        <f t="shared" si="171"/>
        <v>2693</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2693</v>
      </c>
      <c r="D138" s="196"/>
      <c r="E138" s="197"/>
      <c r="F138" s="55">
        <f t="shared" si="173"/>
        <v>0</v>
      </c>
      <c r="G138" s="53"/>
      <c r="H138" s="54"/>
      <c r="I138" s="55">
        <f t="shared" si="174"/>
        <v>0</v>
      </c>
      <c r="J138" s="53">
        <v>2693</v>
      </c>
      <c r="K138" s="54"/>
      <c r="L138" s="55">
        <f t="shared" si="175"/>
        <v>2693</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150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150</v>
      </c>
      <c r="K141" s="191">
        <f t="shared" ref="K141:L141" si="179">SUM(K142:K143)</f>
        <v>0</v>
      </c>
      <c r="L141" s="55">
        <f t="shared" si="179"/>
        <v>150</v>
      </c>
      <c r="M141" s="190">
        <f>SUM(M142:M143)</f>
        <v>0</v>
      </c>
      <c r="N141" s="191">
        <f t="shared" ref="N141:O141" si="180">SUM(N142:N143)</f>
        <v>0</v>
      </c>
      <c r="O141" s="55">
        <f t="shared" si="180"/>
        <v>0</v>
      </c>
      <c r="P141" s="57"/>
    </row>
    <row r="142" spans="1:16" ht="12" customHeight="1" x14ac:dyDescent="0.25">
      <c r="A142" s="51">
        <v>2341</v>
      </c>
      <c r="B142" s="89" t="s">
        <v>158</v>
      </c>
      <c r="C142" s="90">
        <f t="shared" si="102"/>
        <v>150</v>
      </c>
      <c r="D142" s="196"/>
      <c r="E142" s="197"/>
      <c r="F142" s="55">
        <f t="shared" ref="F142:F143" si="181">D142+E142</f>
        <v>0</v>
      </c>
      <c r="G142" s="53"/>
      <c r="H142" s="54"/>
      <c r="I142" s="55">
        <f t="shared" ref="I142:I143" si="182">G142+H142</f>
        <v>0</v>
      </c>
      <c r="J142" s="53">
        <v>150</v>
      </c>
      <c r="K142" s="54"/>
      <c r="L142" s="55">
        <f t="shared" ref="L142:L143" si="183">K142+J142</f>
        <v>150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12117</v>
      </c>
      <c r="D144" s="187">
        <f>SUM(D145:D150)</f>
        <v>3076</v>
      </c>
      <c r="E144" s="188">
        <f t="shared" ref="E144:F144" si="185">SUM(E145:E150)</f>
        <v>0</v>
      </c>
      <c r="F144" s="141">
        <f t="shared" si="185"/>
        <v>3076</v>
      </c>
      <c r="G144" s="187">
        <f>SUM(G145:G150)</f>
        <v>0</v>
      </c>
      <c r="H144" s="188">
        <f t="shared" ref="H144:I144" si="186">SUM(H145:H150)</f>
        <v>0</v>
      </c>
      <c r="I144" s="141">
        <f t="shared" si="186"/>
        <v>0</v>
      </c>
      <c r="J144" s="187">
        <f>SUM(J145:J150)</f>
        <v>9041</v>
      </c>
      <c r="K144" s="188">
        <f t="shared" ref="K144:L144" si="187">SUM(K145:K150)</f>
        <v>0</v>
      </c>
      <c r="L144" s="141">
        <f t="shared" si="187"/>
        <v>9041</v>
      </c>
      <c r="M144" s="187">
        <f>SUM(M145:M150)</f>
        <v>0</v>
      </c>
      <c r="N144" s="188">
        <f t="shared" ref="N144:O144" si="188">SUM(N145:N150)</f>
        <v>0</v>
      </c>
      <c r="O144" s="141">
        <f t="shared" si="188"/>
        <v>0</v>
      </c>
      <c r="P144" s="129"/>
    </row>
    <row r="145" spans="1:16" ht="12" customHeight="1" x14ac:dyDescent="0.25">
      <c r="A145" s="44">
        <v>2351</v>
      </c>
      <c r="B145" s="82" t="s">
        <v>161</v>
      </c>
      <c r="C145" s="83">
        <f t="shared" si="102"/>
        <v>1050</v>
      </c>
      <c r="D145" s="199">
        <v>50</v>
      </c>
      <c r="E145" s="200"/>
      <c r="F145" s="134">
        <f t="shared" ref="F145:F150" si="189">D145+E145</f>
        <v>50</v>
      </c>
      <c r="G145" s="46"/>
      <c r="H145" s="47"/>
      <c r="I145" s="134">
        <f t="shared" ref="I145:I150" si="190">G145+H145</f>
        <v>0</v>
      </c>
      <c r="J145" s="46">
        <v>1000</v>
      </c>
      <c r="K145" s="47"/>
      <c r="L145" s="134">
        <f t="shared" ref="L145:L150" si="191">K145+J145</f>
        <v>1000</v>
      </c>
      <c r="M145" s="46"/>
      <c r="N145" s="47"/>
      <c r="O145" s="134">
        <f t="shared" ref="O145:O150" si="192">N145+M145</f>
        <v>0</v>
      </c>
      <c r="P145" s="49"/>
    </row>
    <row r="146" spans="1:16" ht="12" customHeight="1" x14ac:dyDescent="0.25">
      <c r="A146" s="51">
        <v>2352</v>
      </c>
      <c r="B146" s="89" t="s">
        <v>162</v>
      </c>
      <c r="C146" s="90">
        <f t="shared" si="102"/>
        <v>10467</v>
      </c>
      <c r="D146" s="196">
        <v>3026</v>
      </c>
      <c r="E146" s="197"/>
      <c r="F146" s="55">
        <f t="shared" si="189"/>
        <v>3026</v>
      </c>
      <c r="G146" s="53"/>
      <c r="H146" s="54"/>
      <c r="I146" s="55">
        <f t="shared" si="190"/>
        <v>0</v>
      </c>
      <c r="J146" s="53">
        <v>7441</v>
      </c>
      <c r="K146" s="54"/>
      <c r="L146" s="55">
        <f t="shared" si="191"/>
        <v>7441</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600</v>
      </c>
      <c r="D149" s="196"/>
      <c r="E149" s="197"/>
      <c r="F149" s="55">
        <f t="shared" si="189"/>
        <v>0</v>
      </c>
      <c r="G149" s="53"/>
      <c r="H149" s="54"/>
      <c r="I149" s="55">
        <f t="shared" si="190"/>
        <v>0</v>
      </c>
      <c r="J149" s="53">
        <v>600</v>
      </c>
      <c r="K149" s="54"/>
      <c r="L149" s="55">
        <f t="shared" si="191"/>
        <v>600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7500</v>
      </c>
      <c r="D165" s="184">
        <f>SUM(D166,D171)</f>
        <v>0</v>
      </c>
      <c r="E165" s="185">
        <f t="shared" ref="E165:O165" si="210">SUM(E166,E171)</f>
        <v>0</v>
      </c>
      <c r="F165" s="73">
        <f t="shared" si="210"/>
        <v>0</v>
      </c>
      <c r="G165" s="184">
        <f t="shared" si="210"/>
        <v>0</v>
      </c>
      <c r="H165" s="185">
        <f t="shared" si="210"/>
        <v>0</v>
      </c>
      <c r="I165" s="73">
        <f t="shared" si="210"/>
        <v>0</v>
      </c>
      <c r="J165" s="184">
        <f t="shared" si="210"/>
        <v>7500</v>
      </c>
      <c r="K165" s="185">
        <f t="shared" si="210"/>
        <v>0</v>
      </c>
      <c r="L165" s="73">
        <f t="shared" si="210"/>
        <v>7500</v>
      </c>
      <c r="M165" s="184">
        <f t="shared" si="210"/>
        <v>0</v>
      </c>
      <c r="N165" s="185">
        <f t="shared" si="210"/>
        <v>0</v>
      </c>
      <c r="O165" s="73">
        <f t="shared" si="210"/>
        <v>0</v>
      </c>
      <c r="P165" s="77"/>
    </row>
    <row r="166" spans="1:16" ht="24" x14ac:dyDescent="0.25">
      <c r="A166" s="1372">
        <v>2510</v>
      </c>
      <c r="B166" s="82" t="s">
        <v>182</v>
      </c>
      <c r="C166" s="83">
        <f t="shared" si="193"/>
        <v>7500</v>
      </c>
      <c r="D166" s="194">
        <f>SUM(D167:D170)</f>
        <v>0</v>
      </c>
      <c r="E166" s="195">
        <f t="shared" ref="E166:O166" si="211">SUM(E167:E170)</f>
        <v>0</v>
      </c>
      <c r="F166" s="134">
        <f t="shared" si="211"/>
        <v>0</v>
      </c>
      <c r="G166" s="194">
        <f t="shared" si="211"/>
        <v>0</v>
      </c>
      <c r="H166" s="195">
        <f t="shared" si="211"/>
        <v>0</v>
      </c>
      <c r="I166" s="134">
        <f t="shared" si="211"/>
        <v>0</v>
      </c>
      <c r="J166" s="194">
        <f t="shared" si="211"/>
        <v>7500</v>
      </c>
      <c r="K166" s="195">
        <f t="shared" si="211"/>
        <v>0</v>
      </c>
      <c r="L166" s="134">
        <f t="shared" si="211"/>
        <v>7500</v>
      </c>
      <c r="M166" s="194">
        <f t="shared" si="211"/>
        <v>0</v>
      </c>
      <c r="N166" s="195">
        <f t="shared" si="211"/>
        <v>0</v>
      </c>
      <c r="O166" s="134">
        <f t="shared" si="211"/>
        <v>0</v>
      </c>
      <c r="P166" s="49"/>
    </row>
    <row r="167" spans="1:16" ht="24" customHeight="1" x14ac:dyDescent="0.25">
      <c r="A167" s="51">
        <v>2512</v>
      </c>
      <c r="B167" s="89" t="s">
        <v>183</v>
      </c>
      <c r="C167" s="90">
        <f t="shared" si="193"/>
        <v>7500</v>
      </c>
      <c r="D167" s="196"/>
      <c r="E167" s="197"/>
      <c r="F167" s="55">
        <f t="shared" ref="F167:F172" si="212">D167+E167</f>
        <v>0</v>
      </c>
      <c r="G167" s="53"/>
      <c r="H167" s="54"/>
      <c r="I167" s="55">
        <f t="shared" ref="I167:I172" si="213">G167+H167</f>
        <v>0</v>
      </c>
      <c r="J167" s="53">
        <v>7500</v>
      </c>
      <c r="K167" s="54"/>
      <c r="L167" s="55">
        <f t="shared" ref="L167:L172" si="214">K167+J167</f>
        <v>7500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13600</v>
      </c>
      <c r="D194" s="173">
        <f t="shared" ref="D194:O194" si="259">SUM(D195,D230,D269,D283)</f>
        <v>13600</v>
      </c>
      <c r="E194" s="174">
        <f t="shared" si="259"/>
        <v>0</v>
      </c>
      <c r="F194" s="175">
        <f t="shared" si="259"/>
        <v>13600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13600</v>
      </c>
      <c r="D195" s="179">
        <f>D196+D204</f>
        <v>13600</v>
      </c>
      <c r="E195" s="180">
        <f t="shared" ref="E195:F195" si="260">E196+E204</f>
        <v>0</v>
      </c>
      <c r="F195" s="181">
        <f t="shared" si="260"/>
        <v>13600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1600</v>
      </c>
      <c r="D196" s="184">
        <f>D197+D198+D201+D202+D203</f>
        <v>1600</v>
      </c>
      <c r="E196" s="185">
        <f t="shared" ref="E196:F196" si="264">E197+E198+E201+E202+E203</f>
        <v>0</v>
      </c>
      <c r="F196" s="73">
        <f t="shared" si="264"/>
        <v>1600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1600</v>
      </c>
      <c r="D198" s="190">
        <f>D199+D200</f>
        <v>1600</v>
      </c>
      <c r="E198" s="191">
        <f t="shared" ref="E198:F198" si="268">E199+E200</f>
        <v>0</v>
      </c>
      <c r="F198" s="55">
        <f t="shared" si="268"/>
        <v>1600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1600</v>
      </c>
      <c r="D199" s="196">
        <v>1600</v>
      </c>
      <c r="E199" s="197"/>
      <c r="F199" s="55">
        <f t="shared" ref="F199:F203" si="272">D199+E199</f>
        <v>1600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12000</v>
      </c>
      <c r="D204" s="184">
        <f>D205+D215+D216+D225+D226+D227+D229</f>
        <v>12000</v>
      </c>
      <c r="E204" s="185">
        <f t="shared" ref="E204:F204" si="276">E205+E215+E216+E225+E226+E227+E229</f>
        <v>0</v>
      </c>
      <c r="F204" s="73">
        <f t="shared" si="276"/>
        <v>12000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12000</v>
      </c>
      <c r="D216" s="190">
        <f>SUM(D217:D224)</f>
        <v>12000</v>
      </c>
      <c r="E216" s="191">
        <f t="shared" ref="E216:F216" si="289">SUM(E217:E224)</f>
        <v>0</v>
      </c>
      <c r="F216" s="55">
        <f t="shared" si="289"/>
        <v>12000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12000</v>
      </c>
      <c r="D223" s="196">
        <v>12000</v>
      </c>
      <c r="E223" s="197"/>
      <c r="F223" s="55">
        <f t="shared" si="293"/>
        <v>12000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693133</v>
      </c>
      <c r="D289" s="252">
        <f t="shared" ref="D289:O289" si="389">SUM(D286,D269,D230,D195,D187,D173,D75,D53,D283)</f>
        <v>668348</v>
      </c>
      <c r="E289" s="253">
        <f t="shared" si="389"/>
        <v>0</v>
      </c>
      <c r="F289" s="254">
        <f t="shared" si="389"/>
        <v>668348</v>
      </c>
      <c r="G289" s="252">
        <f t="shared" si="389"/>
        <v>0</v>
      </c>
      <c r="H289" s="253">
        <f t="shared" si="389"/>
        <v>0</v>
      </c>
      <c r="I289" s="254">
        <f t="shared" si="389"/>
        <v>0</v>
      </c>
      <c r="J289" s="252">
        <f t="shared" si="389"/>
        <v>24711</v>
      </c>
      <c r="K289" s="253">
        <f t="shared" si="389"/>
        <v>74</v>
      </c>
      <c r="L289" s="254">
        <f t="shared" si="389"/>
        <v>24785</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qe0lA2klSZMzVt9pVQblhPdKI/uKtPWmZ6XDaoGJWi2jh+875WPDfUFp3BPUCr0IDuShKnpv+g3cDyhHNE8waQ==" saltValue="RaHFoSkmejXSLmreM2szew==" spinCount="100000" sheet="1" objects="1" scenarios="1" formatCells="0" formatColumns="0" formatRows="0" deleteColumns="0"/>
  <autoFilter ref="A18:P301">
    <filterColumn colId="2">
      <filters>
        <filter val="1 050"/>
        <filter val="1 066"/>
        <filter val="1 175"/>
        <filter val="1 326"/>
        <filter val="1 600"/>
        <filter val="1 921"/>
        <filter val="10 467"/>
        <filter val="100"/>
        <filter val="11 238"/>
        <filter val="11 916"/>
        <filter val="12 000"/>
        <filter val="12 004"/>
        <filter val="12 117"/>
        <filter val="122 704"/>
        <filter val="13 600"/>
        <filter val="146"/>
        <filter val="150"/>
        <filter val="151 957"/>
        <filter val="155"/>
        <filter val="17 190"/>
        <filter val="174"/>
        <filter val="18 473"/>
        <filter val="189"/>
        <filter val="2 117"/>
        <filter val="2 230"/>
        <filter val="2 693"/>
        <filter val="200"/>
        <filter val="24 611"/>
        <filter val="25 505"/>
        <filter val="270"/>
        <filter val="29 253"/>
        <filter val="3 594"/>
        <filter val="3 778"/>
        <filter val="3 803"/>
        <filter val="343"/>
        <filter val="36 694"/>
        <filter val="4 614"/>
        <filter val="432 133"/>
        <filter val="468"/>
        <filter val="490 882"/>
        <filter val="55 155"/>
        <filter val="584"/>
        <filter val="585"/>
        <filter val="6 496"/>
        <filter val="600"/>
        <filter val="642 839"/>
        <filter val="668 348"/>
        <filter val="679 533"/>
        <filter val="693 133"/>
        <filter val="7 500"/>
        <filter val="752"/>
        <filter val="9"/>
        <filter val="9 818"/>
        <filter val="952"/>
        <filter val="955"/>
        <filter val="96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58.pielikums Jūrmalas pilsētas domes
2019.gada 31.oktobra saistošajiem noteikumiem Nr.46
(protokols Nr.14, 28.punkts) </firstHeader>
    <firstFooter>&amp;L&amp;9&amp;D; &amp;T&amp;R&amp;9&amp;P (&amp;N)</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3" sqref="T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1667</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436</v>
      </c>
      <c r="D3" s="1517"/>
      <c r="E3" s="1517"/>
      <c r="F3" s="1517"/>
      <c r="G3" s="1517"/>
      <c r="H3" s="1517"/>
      <c r="I3" s="1517"/>
      <c r="J3" s="1517"/>
      <c r="K3" s="1517"/>
      <c r="L3" s="1517"/>
      <c r="M3" s="1517"/>
      <c r="N3" s="1517"/>
      <c r="O3" s="1517"/>
      <c r="P3" s="1518"/>
      <c r="Q3" s="277"/>
    </row>
    <row r="4" spans="1:17" ht="12.75" customHeight="1" x14ac:dyDescent="0.25">
      <c r="A4" s="5" t="s">
        <v>4</v>
      </c>
      <c r="B4" s="6"/>
      <c r="C4" s="1517" t="s">
        <v>1656</v>
      </c>
      <c r="D4" s="1517"/>
      <c r="E4" s="1517"/>
      <c r="F4" s="1517"/>
      <c r="G4" s="1517"/>
      <c r="H4" s="1517"/>
      <c r="I4" s="1517"/>
      <c r="J4" s="1517"/>
      <c r="K4" s="1517"/>
      <c r="L4" s="1517"/>
      <c r="M4" s="1517"/>
      <c r="N4" s="1517"/>
      <c r="O4" s="1517"/>
      <c r="P4" s="1518"/>
      <c r="Q4" s="277"/>
    </row>
    <row r="5" spans="1:17" ht="12.75" customHeight="1" x14ac:dyDescent="0.25">
      <c r="A5" s="7" t="s">
        <v>6</v>
      </c>
      <c r="B5" s="8"/>
      <c r="C5" s="1512" t="s">
        <v>1657</v>
      </c>
      <c r="D5" s="1512"/>
      <c r="E5" s="1512"/>
      <c r="F5" s="1512"/>
      <c r="G5" s="1512"/>
      <c r="H5" s="1512"/>
      <c r="I5" s="1512"/>
      <c r="J5" s="1512"/>
      <c r="K5" s="1512"/>
      <c r="L5" s="1512"/>
      <c r="M5" s="1512"/>
      <c r="N5" s="1512"/>
      <c r="O5" s="1512"/>
      <c r="P5" s="1513"/>
      <c r="Q5" s="277"/>
    </row>
    <row r="6" spans="1:17" ht="12.75" customHeight="1" x14ac:dyDescent="0.25">
      <c r="A6" s="7" t="s">
        <v>8</v>
      </c>
      <c r="B6" s="8"/>
      <c r="C6" s="1512" t="s">
        <v>430</v>
      </c>
      <c r="D6" s="1512"/>
      <c r="E6" s="1512"/>
      <c r="F6" s="1512"/>
      <c r="G6" s="1512"/>
      <c r="H6" s="1512"/>
      <c r="I6" s="1512"/>
      <c r="J6" s="1512"/>
      <c r="K6" s="1512"/>
      <c r="L6" s="1512"/>
      <c r="M6" s="1512"/>
      <c r="N6" s="1512"/>
      <c r="O6" s="1512"/>
      <c r="P6" s="1513"/>
      <c r="Q6" s="277"/>
    </row>
    <row r="7" spans="1:17" x14ac:dyDescent="0.25">
      <c r="A7" s="7" t="s">
        <v>10</v>
      </c>
      <c r="B7" s="8"/>
      <c r="C7" s="1517" t="s">
        <v>1682</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1658</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1659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108320</v>
      </c>
      <c r="D20" s="32">
        <f>SUM(D21,D24,D25,D41,D43)</f>
        <v>73405</v>
      </c>
      <c r="E20" s="33">
        <f t="shared" ref="E20:F20" si="1">SUM(E21,E24,E25,E41,E43)</f>
        <v>8266</v>
      </c>
      <c r="F20" s="34">
        <f t="shared" si="1"/>
        <v>81671</v>
      </c>
      <c r="G20" s="32">
        <f>SUM(G21,G24,G43)</f>
        <v>0</v>
      </c>
      <c r="H20" s="33">
        <f t="shared" ref="H20:I20" si="2">SUM(H21,H24,H43)</f>
        <v>0</v>
      </c>
      <c r="I20" s="34">
        <f t="shared" si="2"/>
        <v>0</v>
      </c>
      <c r="J20" s="32">
        <f>SUM(J21,J26,J43)</f>
        <v>26649</v>
      </c>
      <c r="K20" s="33">
        <f t="shared" ref="K20:L20" si="3">SUM(K21,K26,K43)</f>
        <v>0</v>
      </c>
      <c r="L20" s="34">
        <f t="shared" si="3"/>
        <v>26649</v>
      </c>
      <c r="M20" s="32">
        <f>SUM(M21,M45)</f>
        <v>0</v>
      </c>
      <c r="N20" s="33">
        <f t="shared" ref="N20:O20" si="4">SUM(N21,N45)</f>
        <v>0</v>
      </c>
      <c r="O20" s="34">
        <f t="shared" si="4"/>
        <v>0</v>
      </c>
      <c r="P20" s="35"/>
    </row>
    <row r="21" spans="1:16" ht="12.75" thickTop="1" x14ac:dyDescent="0.25">
      <c r="A21" s="36"/>
      <c r="B21" s="37" t="s">
        <v>39</v>
      </c>
      <c r="C21" s="38">
        <f t="shared" si="0"/>
        <v>1204</v>
      </c>
      <c r="D21" s="39">
        <f>SUM(D22:D23)</f>
        <v>0</v>
      </c>
      <c r="E21" s="40">
        <f t="shared" ref="E21:F21" si="5">SUM(E22:E23)</f>
        <v>0</v>
      </c>
      <c r="F21" s="41">
        <f t="shared" si="5"/>
        <v>0</v>
      </c>
      <c r="G21" s="39">
        <f>SUM(G22:G23)</f>
        <v>0</v>
      </c>
      <c r="H21" s="40">
        <f t="shared" ref="H21:I21" si="6">SUM(H22:H23)</f>
        <v>0</v>
      </c>
      <c r="I21" s="41">
        <f t="shared" si="6"/>
        <v>0</v>
      </c>
      <c r="J21" s="39">
        <f>SUM(J22:J23)</f>
        <v>1204</v>
      </c>
      <c r="K21" s="40">
        <f t="shared" ref="K21:L21" si="7">SUM(K22:K23)</f>
        <v>0</v>
      </c>
      <c r="L21" s="41">
        <f t="shared" si="7"/>
        <v>1204</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1204</v>
      </c>
      <c r="D23" s="53"/>
      <c r="E23" s="54"/>
      <c r="F23" s="55">
        <f t="shared" ref="F23:F25" si="9">D23+E23</f>
        <v>0</v>
      </c>
      <c r="G23" s="53"/>
      <c r="H23" s="54"/>
      <c r="I23" s="55">
        <f t="shared" ref="I23:I24" si="10">G23+H23</f>
        <v>0</v>
      </c>
      <c r="J23" s="53">
        <v>1204</v>
      </c>
      <c r="K23" s="54"/>
      <c r="L23" s="56">
        <f>K23+J23</f>
        <v>1204</v>
      </c>
      <c r="M23" s="53"/>
      <c r="N23" s="54"/>
      <c r="O23" s="55">
        <f>N23+M23</f>
        <v>0</v>
      </c>
      <c r="P23" s="57"/>
    </row>
    <row r="24" spans="1:16" s="28" customFormat="1" ht="24.75" customHeight="1" thickBot="1" x14ac:dyDescent="0.3">
      <c r="A24" s="58">
        <v>19300</v>
      </c>
      <c r="B24" s="58" t="s">
        <v>42</v>
      </c>
      <c r="C24" s="59">
        <f>F24+I24</f>
        <v>81671</v>
      </c>
      <c r="D24" s="60">
        <v>73405</v>
      </c>
      <c r="E24" s="63">
        <v>8266</v>
      </c>
      <c r="F24" s="62">
        <f t="shared" si="9"/>
        <v>81671</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25445</v>
      </c>
      <c r="D26" s="74" t="s">
        <v>43</v>
      </c>
      <c r="E26" s="75" t="s">
        <v>43</v>
      </c>
      <c r="F26" s="76" t="s">
        <v>43</v>
      </c>
      <c r="G26" s="74" t="s">
        <v>43</v>
      </c>
      <c r="H26" s="75" t="s">
        <v>43</v>
      </c>
      <c r="I26" s="76" t="s">
        <v>43</v>
      </c>
      <c r="J26" s="78">
        <f>SUM(J27,J31,J33,J36)</f>
        <v>25445</v>
      </c>
      <c r="K26" s="79">
        <f t="shared" ref="K26:L26" si="11">SUM(K27,K31,K33,K36)</f>
        <v>0</v>
      </c>
      <c r="L26" s="80">
        <f t="shared" si="11"/>
        <v>25445</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25445</v>
      </c>
      <c r="D33" s="74" t="s">
        <v>43</v>
      </c>
      <c r="E33" s="75" t="s">
        <v>43</v>
      </c>
      <c r="F33" s="76" t="s">
        <v>43</v>
      </c>
      <c r="G33" s="74" t="s">
        <v>43</v>
      </c>
      <c r="H33" s="75" t="s">
        <v>43</v>
      </c>
      <c r="I33" s="76" t="s">
        <v>43</v>
      </c>
      <c r="J33" s="78">
        <f>SUM(J34:J35)</f>
        <v>25445</v>
      </c>
      <c r="K33" s="79">
        <f t="shared" ref="K33:L33" si="17">SUM(K34:K35)</f>
        <v>0</v>
      </c>
      <c r="L33" s="80">
        <f t="shared" si="17"/>
        <v>25445</v>
      </c>
      <c r="M33" s="78" t="s">
        <v>43</v>
      </c>
      <c r="N33" s="79" t="s">
        <v>43</v>
      </c>
      <c r="O33" s="80" t="s">
        <v>43</v>
      </c>
      <c r="P33" s="77"/>
    </row>
    <row r="34" spans="1:16" ht="12" customHeight="1" x14ac:dyDescent="0.25">
      <c r="A34" s="44">
        <v>21381</v>
      </c>
      <c r="B34" s="82" t="s">
        <v>53</v>
      </c>
      <c r="C34" s="83">
        <f t="shared" si="16"/>
        <v>25445</v>
      </c>
      <c r="D34" s="84" t="s">
        <v>43</v>
      </c>
      <c r="E34" s="85" t="s">
        <v>43</v>
      </c>
      <c r="F34" s="86" t="s">
        <v>43</v>
      </c>
      <c r="G34" s="84" t="s">
        <v>43</v>
      </c>
      <c r="H34" s="85" t="s">
        <v>43</v>
      </c>
      <c r="I34" s="86" t="s">
        <v>43</v>
      </c>
      <c r="J34" s="46">
        <v>25445</v>
      </c>
      <c r="K34" s="47"/>
      <c r="L34" s="48">
        <f t="shared" ref="L34:L35" si="18">K34+J34</f>
        <v>25445</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108320</v>
      </c>
      <c r="D50" s="159">
        <f>SUM(D51,D286)</f>
        <v>73405</v>
      </c>
      <c r="E50" s="160">
        <f t="shared" ref="E50:F50" si="26">SUM(E51,E286)</f>
        <v>8266</v>
      </c>
      <c r="F50" s="161">
        <f t="shared" si="26"/>
        <v>81671</v>
      </c>
      <c r="G50" s="159">
        <f>SUM(G51,G286)</f>
        <v>0</v>
      </c>
      <c r="H50" s="160">
        <f>SUM(H51,H286)</f>
        <v>0</v>
      </c>
      <c r="I50" s="161">
        <f t="shared" ref="I50" si="27">SUM(I51,I286)</f>
        <v>0</v>
      </c>
      <c r="J50" s="32">
        <f>SUM(J51,J286)</f>
        <v>26649</v>
      </c>
      <c r="K50" s="33">
        <f t="shared" ref="K50:L50" si="28">SUM(K51,K286)</f>
        <v>0</v>
      </c>
      <c r="L50" s="34">
        <f t="shared" si="28"/>
        <v>26649</v>
      </c>
      <c r="M50" s="32">
        <f>SUM(M51,M286)</f>
        <v>0</v>
      </c>
      <c r="N50" s="33">
        <f t="shared" ref="N50:O50" si="29">SUM(N51,N286)</f>
        <v>0</v>
      </c>
      <c r="O50" s="34">
        <f t="shared" si="29"/>
        <v>0</v>
      </c>
      <c r="P50" s="35"/>
    </row>
    <row r="51" spans="1:16" s="28" customFormat="1" ht="36.75" thickTop="1" x14ac:dyDescent="0.25">
      <c r="A51" s="162"/>
      <c r="B51" s="163" t="s">
        <v>69</v>
      </c>
      <c r="C51" s="164">
        <f t="shared" si="0"/>
        <v>108320</v>
      </c>
      <c r="D51" s="165">
        <f>SUM(D52,D194)</f>
        <v>73405</v>
      </c>
      <c r="E51" s="166">
        <f t="shared" ref="E51:F51" si="30">SUM(E52,E194)</f>
        <v>8266</v>
      </c>
      <c r="F51" s="167">
        <f t="shared" si="30"/>
        <v>81671</v>
      </c>
      <c r="G51" s="165">
        <f>SUM(G52,G194)</f>
        <v>0</v>
      </c>
      <c r="H51" s="166">
        <f t="shared" ref="H51:I51" si="31">SUM(H52,H194)</f>
        <v>0</v>
      </c>
      <c r="I51" s="167">
        <f t="shared" si="31"/>
        <v>0</v>
      </c>
      <c r="J51" s="168">
        <f>SUM(J52,J194)</f>
        <v>26649</v>
      </c>
      <c r="K51" s="169">
        <f t="shared" ref="K51:L51" si="32">SUM(K52,K194)</f>
        <v>0</v>
      </c>
      <c r="L51" s="170">
        <f t="shared" si="32"/>
        <v>26649</v>
      </c>
      <c r="M51" s="168">
        <f>SUM(M52,M194)</f>
        <v>0</v>
      </c>
      <c r="N51" s="169">
        <f t="shared" ref="N51:O51" si="33">SUM(N52,N194)</f>
        <v>0</v>
      </c>
      <c r="O51" s="170">
        <f t="shared" si="33"/>
        <v>0</v>
      </c>
      <c r="P51" s="171"/>
    </row>
    <row r="52" spans="1:16" s="28" customFormat="1" ht="24" x14ac:dyDescent="0.25">
      <c r="A52" s="24"/>
      <c r="B52" s="22" t="s">
        <v>70</v>
      </c>
      <c r="C52" s="172">
        <f t="shared" si="0"/>
        <v>106420</v>
      </c>
      <c r="D52" s="173">
        <f>SUM(D53,D75,D173,D187)</f>
        <v>73405</v>
      </c>
      <c r="E52" s="174">
        <f t="shared" ref="E52:F52" si="34">SUM(E53,E75,E173,E187)</f>
        <v>8266</v>
      </c>
      <c r="F52" s="175">
        <f t="shared" si="34"/>
        <v>81671</v>
      </c>
      <c r="G52" s="173">
        <f>SUM(G53,G75,G173,G187)</f>
        <v>0</v>
      </c>
      <c r="H52" s="174">
        <f t="shared" ref="H52:I52" si="35">SUM(H53,H75,H173,H187)</f>
        <v>0</v>
      </c>
      <c r="I52" s="175">
        <f t="shared" si="35"/>
        <v>0</v>
      </c>
      <c r="J52" s="173">
        <f>SUM(J53,J75,J173,J187)</f>
        <v>24749</v>
      </c>
      <c r="K52" s="174">
        <f t="shared" ref="K52:L52" si="36">SUM(K53,K75,K173,K187)</f>
        <v>0</v>
      </c>
      <c r="L52" s="175">
        <f t="shared" si="36"/>
        <v>24749</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106420</v>
      </c>
      <c r="D75" s="179">
        <f>SUM(D76,D83,D130,D164,D165,D172)</f>
        <v>73405</v>
      </c>
      <c r="E75" s="180">
        <f t="shared" ref="E75:F75" si="74">SUM(E76,E83,E130,E164,E165,E172)</f>
        <v>8266</v>
      </c>
      <c r="F75" s="181">
        <f t="shared" si="74"/>
        <v>81671</v>
      </c>
      <c r="G75" s="179">
        <f>SUM(G76,G83,G130,G164,G165,G172)</f>
        <v>0</v>
      </c>
      <c r="H75" s="180">
        <f t="shared" ref="H75:I75" si="75">SUM(H76,H83,H130,H164,H165,H172)</f>
        <v>0</v>
      </c>
      <c r="I75" s="181">
        <f t="shared" si="75"/>
        <v>0</v>
      </c>
      <c r="J75" s="179">
        <f>SUM(J76,J83,J130,J164,J165,J172)</f>
        <v>24749</v>
      </c>
      <c r="K75" s="180">
        <f t="shared" ref="K75:L75" si="76">SUM(K76,K83,K130,K164,K165,K172)</f>
        <v>0</v>
      </c>
      <c r="L75" s="181">
        <f t="shared" si="76"/>
        <v>24749</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104398</v>
      </c>
      <c r="D83" s="184">
        <f>SUM(D84,D89,D95,D103,D112,D116,D122,D128)</f>
        <v>72932</v>
      </c>
      <c r="E83" s="185">
        <f t="shared" ref="E83:F83" si="98">SUM(E84,E89,E95,E103,E112,E116,E122,E128)</f>
        <v>8266</v>
      </c>
      <c r="F83" s="73">
        <f t="shared" si="98"/>
        <v>81198</v>
      </c>
      <c r="G83" s="184">
        <f>SUM(G84,G89,G95,G103,G112,G116,G122,G128)</f>
        <v>0</v>
      </c>
      <c r="H83" s="185">
        <f t="shared" ref="H83:I83" si="99">SUM(H84,H89,H95,H103,H112,H116,H122,H128)</f>
        <v>0</v>
      </c>
      <c r="I83" s="73">
        <f t="shared" si="99"/>
        <v>0</v>
      </c>
      <c r="J83" s="184">
        <f>SUM(J84,J89,J95,J103,J112,J116,J122,J128)</f>
        <v>23200</v>
      </c>
      <c r="K83" s="185">
        <f t="shared" ref="K83:L83" si="100">SUM(K84,K89,K95,K103,K112,K116,K122,K128)</f>
        <v>0</v>
      </c>
      <c r="L83" s="73">
        <f t="shared" si="100"/>
        <v>23200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47480</v>
      </c>
      <c r="D89" s="190">
        <f>SUM(D90:D94)</f>
        <v>24522</v>
      </c>
      <c r="E89" s="191">
        <f t="shared" ref="E89:F89" si="111">SUM(E90:E94)</f>
        <v>8266</v>
      </c>
      <c r="F89" s="55">
        <f t="shared" si="111"/>
        <v>32788</v>
      </c>
      <c r="G89" s="190">
        <f>SUM(G90:G94)</f>
        <v>0</v>
      </c>
      <c r="H89" s="191">
        <f t="shared" ref="H89:I89" si="112">SUM(H90:H94)</f>
        <v>0</v>
      </c>
      <c r="I89" s="55">
        <f t="shared" si="112"/>
        <v>0</v>
      </c>
      <c r="J89" s="190">
        <f>SUM(J90:J94)</f>
        <v>14692</v>
      </c>
      <c r="K89" s="191">
        <f t="shared" ref="K89:L89" si="113">SUM(K90:K94)</f>
        <v>0</v>
      </c>
      <c r="L89" s="55">
        <f t="shared" si="113"/>
        <v>14692</v>
      </c>
      <c r="M89" s="190">
        <f>SUM(M90:M94)</f>
        <v>0</v>
      </c>
      <c r="N89" s="191">
        <f t="shared" ref="N89:O89" si="114">SUM(N90:N94)</f>
        <v>0</v>
      </c>
      <c r="O89" s="55">
        <f t="shared" si="114"/>
        <v>0</v>
      </c>
      <c r="P89" s="57"/>
    </row>
    <row r="90" spans="1:16" ht="36" customHeight="1" x14ac:dyDescent="0.25">
      <c r="A90" s="51">
        <v>2221</v>
      </c>
      <c r="B90" s="89" t="s">
        <v>106</v>
      </c>
      <c r="C90" s="90">
        <f t="shared" si="102"/>
        <v>17080</v>
      </c>
      <c r="D90" s="196">
        <v>7042</v>
      </c>
      <c r="E90" s="197">
        <v>3666</v>
      </c>
      <c r="F90" s="55">
        <f t="shared" ref="F90:F94" si="115">D90+E90</f>
        <v>10708</v>
      </c>
      <c r="G90" s="53"/>
      <c r="H90" s="54"/>
      <c r="I90" s="55">
        <f t="shared" ref="I90:I94" si="116">G90+H90</f>
        <v>0</v>
      </c>
      <c r="J90" s="53">
        <v>6372</v>
      </c>
      <c r="K90" s="54"/>
      <c r="L90" s="55">
        <f t="shared" ref="L90:L94" si="117">K90+J90</f>
        <v>6372</v>
      </c>
      <c r="M90" s="53"/>
      <c r="N90" s="54"/>
      <c r="O90" s="55">
        <f t="shared" ref="O90:O94" si="118">N90+M90</f>
        <v>0</v>
      </c>
      <c r="P90" s="57" t="s">
        <v>1668</v>
      </c>
    </row>
    <row r="91" spans="1:16" ht="22.5" customHeight="1" x14ac:dyDescent="0.25">
      <c r="A91" s="51">
        <v>2222</v>
      </c>
      <c r="B91" s="89" t="s">
        <v>107</v>
      </c>
      <c r="C91" s="90">
        <f t="shared" si="102"/>
        <v>3049</v>
      </c>
      <c r="D91" s="196">
        <v>1701</v>
      </c>
      <c r="E91" s="197">
        <v>600</v>
      </c>
      <c r="F91" s="55">
        <f t="shared" si="115"/>
        <v>2301</v>
      </c>
      <c r="G91" s="53"/>
      <c r="H91" s="54"/>
      <c r="I91" s="55">
        <f t="shared" si="116"/>
        <v>0</v>
      </c>
      <c r="J91" s="53">
        <v>748</v>
      </c>
      <c r="K91" s="54"/>
      <c r="L91" s="55">
        <f t="shared" si="117"/>
        <v>748</v>
      </c>
      <c r="M91" s="53"/>
      <c r="N91" s="54"/>
      <c r="O91" s="55">
        <f t="shared" si="118"/>
        <v>0</v>
      </c>
      <c r="P91" s="57" t="s">
        <v>1669</v>
      </c>
    </row>
    <row r="92" spans="1:16" ht="18.75" customHeight="1" x14ac:dyDescent="0.25">
      <c r="A92" s="51">
        <v>2223</v>
      </c>
      <c r="B92" s="89" t="s">
        <v>108</v>
      </c>
      <c r="C92" s="90">
        <f t="shared" si="102"/>
        <v>26779</v>
      </c>
      <c r="D92" s="196">
        <v>15779</v>
      </c>
      <c r="E92" s="197">
        <v>4000</v>
      </c>
      <c r="F92" s="55">
        <f t="shared" si="115"/>
        <v>19779</v>
      </c>
      <c r="G92" s="53"/>
      <c r="H92" s="54"/>
      <c r="I92" s="55">
        <f t="shared" si="116"/>
        <v>0</v>
      </c>
      <c r="J92" s="53">
        <v>7000</v>
      </c>
      <c r="K92" s="54"/>
      <c r="L92" s="55">
        <f t="shared" si="117"/>
        <v>7000</v>
      </c>
      <c r="M92" s="53"/>
      <c r="N92" s="54"/>
      <c r="O92" s="55">
        <f t="shared" si="118"/>
        <v>0</v>
      </c>
      <c r="P92" s="57" t="s">
        <v>1670</v>
      </c>
    </row>
    <row r="93" spans="1:16" ht="48" customHeight="1" x14ac:dyDescent="0.25">
      <c r="A93" s="51">
        <v>2224</v>
      </c>
      <c r="B93" s="89" t="s">
        <v>109</v>
      </c>
      <c r="C93" s="90">
        <f t="shared" si="102"/>
        <v>572</v>
      </c>
      <c r="D93" s="196"/>
      <c r="E93" s="197"/>
      <c r="F93" s="55">
        <f t="shared" si="115"/>
        <v>0</v>
      </c>
      <c r="G93" s="53"/>
      <c r="H93" s="54"/>
      <c r="I93" s="55">
        <f t="shared" si="116"/>
        <v>0</v>
      </c>
      <c r="J93" s="53">
        <v>572</v>
      </c>
      <c r="K93" s="54"/>
      <c r="L93" s="55">
        <f t="shared" si="117"/>
        <v>572</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56866</v>
      </c>
      <c r="D103" s="190">
        <f>SUM(D104:D111)</f>
        <v>48358</v>
      </c>
      <c r="E103" s="191">
        <f t="shared" ref="E103:F103" si="127">SUM(E104:E111)</f>
        <v>0</v>
      </c>
      <c r="F103" s="55">
        <f t="shared" si="127"/>
        <v>48358</v>
      </c>
      <c r="G103" s="190">
        <f>SUM(G104:G111)</f>
        <v>0</v>
      </c>
      <c r="H103" s="191">
        <f t="shared" ref="H103:I103" si="128">SUM(H104:H111)</f>
        <v>0</v>
      </c>
      <c r="I103" s="55">
        <f t="shared" si="128"/>
        <v>0</v>
      </c>
      <c r="J103" s="190">
        <f>SUM(J104:J111)</f>
        <v>8508</v>
      </c>
      <c r="K103" s="191">
        <f t="shared" ref="K103:L103" si="129">SUM(K104:K111)</f>
        <v>0</v>
      </c>
      <c r="L103" s="55">
        <f t="shared" si="129"/>
        <v>8508</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56866</v>
      </c>
      <c r="D107" s="196">
        <v>48358</v>
      </c>
      <c r="E107" s="197"/>
      <c r="F107" s="55">
        <f t="shared" si="131"/>
        <v>48358</v>
      </c>
      <c r="G107" s="53"/>
      <c r="H107" s="54"/>
      <c r="I107" s="55">
        <f t="shared" si="132"/>
        <v>0</v>
      </c>
      <c r="J107" s="53">
        <v>8508</v>
      </c>
      <c r="K107" s="54"/>
      <c r="L107" s="55">
        <f t="shared" si="133"/>
        <v>8508</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52</v>
      </c>
      <c r="D116" s="190">
        <f>SUM(D117:D121)</f>
        <v>52</v>
      </c>
      <c r="E116" s="191">
        <f t="shared" ref="E116:F116" si="143">SUM(E117:E121)</f>
        <v>0</v>
      </c>
      <c r="F116" s="55">
        <f t="shared" si="143"/>
        <v>52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2022</v>
      </c>
      <c r="D130" s="184">
        <f>SUM(D131,D136,D140,D141,D144,D151,D159,D160,D163)</f>
        <v>473</v>
      </c>
      <c r="E130" s="185">
        <f t="shared" ref="E130:F130" si="160">SUM(E131,E136,E140,E141,E144,E151,E159,E160,E163)</f>
        <v>0</v>
      </c>
      <c r="F130" s="73">
        <f t="shared" si="160"/>
        <v>473</v>
      </c>
      <c r="G130" s="184">
        <f>SUM(G131,G136,G140,G141,G144,G151,G159,G160,G163)</f>
        <v>0</v>
      </c>
      <c r="H130" s="185">
        <f t="shared" ref="H130:I130" si="161">SUM(H131,H136,H140,H141,H144,H151,H159,H160,H163)</f>
        <v>0</v>
      </c>
      <c r="I130" s="73">
        <f t="shared" si="161"/>
        <v>0</v>
      </c>
      <c r="J130" s="184">
        <f>SUM(J131,J136,J140,J141,J144,J151,J159,J160,J163)</f>
        <v>1549</v>
      </c>
      <c r="K130" s="185">
        <f t="shared" ref="K130:L130" si="162">SUM(K131,K136,K140,K141,K144,K151,K159,K160,K163)</f>
        <v>0</v>
      </c>
      <c r="L130" s="73">
        <f t="shared" si="162"/>
        <v>1549</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2022</v>
      </c>
      <c r="D131" s="194">
        <f t="shared" ref="D131:O131" si="164">SUM(D132:D135)</f>
        <v>473</v>
      </c>
      <c r="E131" s="195">
        <f t="shared" si="164"/>
        <v>0</v>
      </c>
      <c r="F131" s="134">
        <f t="shared" si="164"/>
        <v>473</v>
      </c>
      <c r="G131" s="194">
        <f t="shared" si="164"/>
        <v>0</v>
      </c>
      <c r="H131" s="195">
        <f t="shared" si="164"/>
        <v>0</v>
      </c>
      <c r="I131" s="134">
        <f t="shared" si="164"/>
        <v>0</v>
      </c>
      <c r="J131" s="194">
        <f t="shared" si="164"/>
        <v>1549</v>
      </c>
      <c r="K131" s="195">
        <f t="shared" si="164"/>
        <v>0</v>
      </c>
      <c r="L131" s="134">
        <f t="shared" si="164"/>
        <v>1549</v>
      </c>
      <c r="M131" s="194">
        <f t="shared" si="164"/>
        <v>0</v>
      </c>
      <c r="N131" s="195">
        <f t="shared" si="164"/>
        <v>0</v>
      </c>
      <c r="O131" s="134">
        <f t="shared" si="164"/>
        <v>0</v>
      </c>
      <c r="P131" s="49"/>
    </row>
    <row r="132" spans="1:16" ht="26.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8.75" customHeight="1" x14ac:dyDescent="0.25">
      <c r="A133" s="345">
        <v>2312</v>
      </c>
      <c r="B133" s="346" t="s">
        <v>149</v>
      </c>
      <c r="C133" s="347">
        <f t="shared" si="102"/>
        <v>2022</v>
      </c>
      <c r="D133" s="352">
        <v>473</v>
      </c>
      <c r="E133" s="353"/>
      <c r="F133" s="350">
        <f t="shared" si="165"/>
        <v>473</v>
      </c>
      <c r="G133" s="348"/>
      <c r="H133" s="349"/>
      <c r="I133" s="350">
        <f t="shared" si="166"/>
        <v>0</v>
      </c>
      <c r="J133" s="348">
        <v>1549</v>
      </c>
      <c r="K133" s="349"/>
      <c r="L133" s="350">
        <f t="shared" si="167"/>
        <v>1549</v>
      </c>
      <c r="M133" s="348"/>
      <c r="N133" s="349"/>
      <c r="O133" s="350">
        <f t="shared" si="168"/>
        <v>0</v>
      </c>
      <c r="P133" s="354"/>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1900</v>
      </c>
      <c r="D194" s="173">
        <f t="shared" ref="D194:O194" si="259">SUM(D195,D230,D269,D283)</f>
        <v>0</v>
      </c>
      <c r="E194" s="174">
        <f t="shared" si="259"/>
        <v>0</v>
      </c>
      <c r="F194" s="175">
        <f t="shared" si="259"/>
        <v>0</v>
      </c>
      <c r="G194" s="173">
        <f t="shared" si="259"/>
        <v>0</v>
      </c>
      <c r="H194" s="174">
        <f t="shared" si="259"/>
        <v>0</v>
      </c>
      <c r="I194" s="175">
        <f t="shared" si="259"/>
        <v>0</v>
      </c>
      <c r="J194" s="173">
        <f t="shared" si="259"/>
        <v>1900</v>
      </c>
      <c r="K194" s="174">
        <f t="shared" si="259"/>
        <v>0</v>
      </c>
      <c r="L194" s="175">
        <f t="shared" si="259"/>
        <v>1900</v>
      </c>
      <c r="M194" s="173">
        <f t="shared" si="259"/>
        <v>0</v>
      </c>
      <c r="N194" s="174">
        <f t="shared" si="259"/>
        <v>0</v>
      </c>
      <c r="O194" s="175">
        <f t="shared" si="259"/>
        <v>0</v>
      </c>
      <c r="P194" s="176"/>
    </row>
    <row r="195" spans="1:16" x14ac:dyDescent="0.25">
      <c r="A195" s="177">
        <v>5000</v>
      </c>
      <c r="B195" s="177" t="s">
        <v>211</v>
      </c>
      <c r="C195" s="178">
        <f t="shared" si="193"/>
        <v>1900</v>
      </c>
      <c r="D195" s="179">
        <f>D196+D204</f>
        <v>0</v>
      </c>
      <c r="E195" s="180">
        <f t="shared" ref="E195:F195" si="260">E196+E204</f>
        <v>0</v>
      </c>
      <c r="F195" s="181">
        <f t="shared" si="260"/>
        <v>0</v>
      </c>
      <c r="G195" s="179">
        <f>G196+G204</f>
        <v>0</v>
      </c>
      <c r="H195" s="180">
        <f t="shared" ref="H195:I195" si="261">H196+H204</f>
        <v>0</v>
      </c>
      <c r="I195" s="181">
        <f t="shared" si="261"/>
        <v>0</v>
      </c>
      <c r="J195" s="179">
        <f>J196+J204</f>
        <v>1900</v>
      </c>
      <c r="K195" s="180">
        <f t="shared" ref="K195:L195" si="262">K196+K204</f>
        <v>0</v>
      </c>
      <c r="L195" s="181">
        <f t="shared" si="262"/>
        <v>1900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1900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1900</v>
      </c>
      <c r="K204" s="185">
        <f t="shared" ref="K204:L204" si="278">K205+K215+K216+K225+K226+K227+K229</f>
        <v>0</v>
      </c>
      <c r="L204" s="73">
        <f t="shared" si="278"/>
        <v>1900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1900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1900</v>
      </c>
      <c r="K216" s="191">
        <f t="shared" ref="K216:L216" si="291">SUM(K217:K224)</f>
        <v>0</v>
      </c>
      <c r="L216" s="55">
        <f t="shared" si="291"/>
        <v>1900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1900</v>
      </c>
      <c r="D224" s="196"/>
      <c r="E224" s="197"/>
      <c r="F224" s="55">
        <f t="shared" si="293"/>
        <v>0</v>
      </c>
      <c r="G224" s="53"/>
      <c r="H224" s="54"/>
      <c r="I224" s="55">
        <f t="shared" si="294"/>
        <v>0</v>
      </c>
      <c r="J224" s="53">
        <v>1900</v>
      </c>
      <c r="K224" s="54"/>
      <c r="L224" s="55">
        <f t="shared" si="295"/>
        <v>1900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108320</v>
      </c>
      <c r="D289" s="252">
        <f t="shared" ref="D289:O289" si="389">SUM(D286,D269,D230,D195,D187,D173,D75,D53,D283)</f>
        <v>73405</v>
      </c>
      <c r="E289" s="253">
        <f t="shared" si="389"/>
        <v>8266</v>
      </c>
      <c r="F289" s="254">
        <f t="shared" si="389"/>
        <v>81671</v>
      </c>
      <c r="G289" s="252">
        <f t="shared" si="389"/>
        <v>0</v>
      </c>
      <c r="H289" s="253">
        <f t="shared" si="389"/>
        <v>0</v>
      </c>
      <c r="I289" s="254">
        <f t="shared" si="389"/>
        <v>0</v>
      </c>
      <c r="J289" s="252">
        <f t="shared" si="389"/>
        <v>26649</v>
      </c>
      <c r="K289" s="253">
        <f t="shared" si="389"/>
        <v>0</v>
      </c>
      <c r="L289" s="254">
        <f t="shared" si="389"/>
        <v>26649</v>
      </c>
      <c r="M289" s="252">
        <f t="shared" si="389"/>
        <v>0</v>
      </c>
      <c r="N289" s="253">
        <f t="shared" si="389"/>
        <v>0</v>
      </c>
      <c r="O289" s="254">
        <f t="shared" si="389"/>
        <v>0</v>
      </c>
      <c r="P289" s="255"/>
    </row>
    <row r="290" spans="1:16" s="28" customFormat="1" ht="13.5" thickTop="1" thickBot="1" x14ac:dyDescent="0.3">
      <c r="A290" s="1544" t="s">
        <v>308</v>
      </c>
      <c r="B290" s="1545"/>
      <c r="C290" s="256">
        <f t="shared" si="371"/>
        <v>-1204</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-1204</v>
      </c>
      <c r="K290" s="258">
        <f t="shared" ref="K290:L290" si="392">(K26+K43)-K51</f>
        <v>0</v>
      </c>
      <c r="L290" s="259">
        <f t="shared" si="392"/>
        <v>-1204</v>
      </c>
      <c r="M290" s="257">
        <f>M45-M51</f>
        <v>0</v>
      </c>
      <c r="N290" s="258">
        <f t="shared" ref="N290:O290" si="393">N45-N51</f>
        <v>0</v>
      </c>
      <c r="O290" s="259">
        <f t="shared" si="393"/>
        <v>0</v>
      </c>
      <c r="P290" s="260"/>
    </row>
    <row r="291" spans="1:16" s="28" customFormat="1" ht="12.75" thickTop="1" x14ac:dyDescent="0.25">
      <c r="A291" s="1546" t="s">
        <v>309</v>
      </c>
      <c r="B291" s="1547"/>
      <c r="C291" s="261">
        <f t="shared" si="371"/>
        <v>1204</v>
      </c>
      <c r="D291" s="262">
        <f t="shared" ref="D291:O291" si="394">SUM(D292,D293)-D300+D301</f>
        <v>0</v>
      </c>
      <c r="E291" s="263">
        <f t="shared" si="394"/>
        <v>0</v>
      </c>
      <c r="F291" s="264">
        <f t="shared" si="394"/>
        <v>0</v>
      </c>
      <c r="G291" s="262">
        <f t="shared" si="394"/>
        <v>0</v>
      </c>
      <c r="H291" s="263">
        <f t="shared" si="394"/>
        <v>0</v>
      </c>
      <c r="I291" s="264">
        <f t="shared" si="394"/>
        <v>0</v>
      </c>
      <c r="J291" s="262">
        <f t="shared" si="394"/>
        <v>1204</v>
      </c>
      <c r="K291" s="263">
        <f t="shared" si="394"/>
        <v>0</v>
      </c>
      <c r="L291" s="264">
        <f t="shared" si="394"/>
        <v>1204</v>
      </c>
      <c r="M291" s="262">
        <f t="shared" si="394"/>
        <v>0</v>
      </c>
      <c r="N291" s="263">
        <f t="shared" si="394"/>
        <v>0</v>
      </c>
      <c r="O291" s="264">
        <f t="shared" si="394"/>
        <v>0</v>
      </c>
      <c r="P291" s="265"/>
    </row>
    <row r="292" spans="1:16" s="28" customFormat="1" ht="12.75" thickBot="1" x14ac:dyDescent="0.3">
      <c r="A292" s="157" t="s">
        <v>310</v>
      </c>
      <c r="B292" s="157" t="s">
        <v>311</v>
      </c>
      <c r="C292" s="158">
        <f t="shared" si="371"/>
        <v>1204</v>
      </c>
      <c r="D292" s="159">
        <f t="shared" ref="D292:O292" si="395">D21-D286</f>
        <v>0</v>
      </c>
      <c r="E292" s="160">
        <f t="shared" si="395"/>
        <v>0</v>
      </c>
      <c r="F292" s="161">
        <f t="shared" si="395"/>
        <v>0</v>
      </c>
      <c r="G292" s="159">
        <f t="shared" si="395"/>
        <v>0</v>
      </c>
      <c r="H292" s="160">
        <f t="shared" si="395"/>
        <v>0</v>
      </c>
      <c r="I292" s="161">
        <f t="shared" si="395"/>
        <v>0</v>
      </c>
      <c r="J292" s="159">
        <f t="shared" si="395"/>
        <v>1204</v>
      </c>
      <c r="K292" s="160">
        <f t="shared" si="395"/>
        <v>0</v>
      </c>
      <c r="L292" s="161">
        <f t="shared" si="395"/>
        <v>1204</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Y6zTiBQZEvnpzjJPTync3p1wJmILUZ+RngzPZZzgpAq60jb+2NMXiKPqobIQnClhfzUJJD7wxXIdE09+uNin4w==" saltValue="5TB+znMgtJ4eipDKrYEUAQ==" spinCount="100000" sheet="1" objects="1" scenarios="1" formatCells="0" formatColumns="0" formatRows="0" deleteColumns="0"/>
  <autoFilter ref="A18:P301">
    <filterColumn colId="2">
      <filters>
        <filter val="1 204"/>
        <filter val="-1 204"/>
        <filter val="1 900"/>
        <filter val="104 398"/>
        <filter val="106 420"/>
        <filter val="108 320"/>
        <filter val="17 080"/>
        <filter val="2 022"/>
        <filter val="25 445"/>
        <filter val="26 779"/>
        <filter val="3 049"/>
        <filter val="47 480"/>
        <filter val="52"/>
        <filter val="56 866"/>
        <filter val="572"/>
        <filter val="81 67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59.pielikums Jūrmalas pilsētas domes
2019.gada 31.oktobra saistošajiem noteikumiem Nr.46
(protokols Nr.14, 28.punkts)
 </firstHeader>
    <firstFooter>&amp;L&amp;9&amp;D; &amp;T&amp;R&amp;9&amp;P (&amp;N)</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10" workbookViewId="0">
      <selection activeCell="U4" sqref="U3:U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1671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436</v>
      </c>
      <c r="D3" s="1517"/>
      <c r="E3" s="1517"/>
      <c r="F3" s="1517"/>
      <c r="G3" s="1517"/>
      <c r="H3" s="1517"/>
      <c r="I3" s="1517"/>
      <c r="J3" s="1517"/>
      <c r="K3" s="1517"/>
      <c r="L3" s="1517"/>
      <c r="M3" s="1517"/>
      <c r="N3" s="1517"/>
      <c r="O3" s="1517"/>
      <c r="P3" s="1518"/>
      <c r="Q3" s="277"/>
    </row>
    <row r="4" spans="1:17" ht="12.75" customHeight="1" x14ac:dyDescent="0.25">
      <c r="A4" s="5" t="s">
        <v>4</v>
      </c>
      <c r="B4" s="6"/>
      <c r="C4" s="1517" t="s">
        <v>1656</v>
      </c>
      <c r="D4" s="1517"/>
      <c r="E4" s="1517"/>
      <c r="F4" s="1517"/>
      <c r="G4" s="1517"/>
      <c r="H4" s="1517"/>
      <c r="I4" s="1517"/>
      <c r="J4" s="1517"/>
      <c r="K4" s="1517"/>
      <c r="L4" s="1517"/>
      <c r="M4" s="1517"/>
      <c r="N4" s="1517"/>
      <c r="O4" s="1517"/>
      <c r="P4" s="1518"/>
      <c r="Q4" s="277"/>
    </row>
    <row r="5" spans="1:17" ht="12.75" customHeight="1" x14ac:dyDescent="0.25">
      <c r="A5" s="7" t="s">
        <v>6</v>
      </c>
      <c r="B5" s="8"/>
      <c r="C5" s="1512" t="s">
        <v>1657</v>
      </c>
      <c r="D5" s="1512"/>
      <c r="E5" s="1512"/>
      <c r="F5" s="1512"/>
      <c r="G5" s="1512"/>
      <c r="H5" s="1512"/>
      <c r="I5" s="1512"/>
      <c r="J5" s="1512"/>
      <c r="K5" s="1512"/>
      <c r="L5" s="1512"/>
      <c r="M5" s="1512"/>
      <c r="N5" s="1512"/>
      <c r="O5" s="1512"/>
      <c r="P5" s="1513"/>
      <c r="Q5" s="277"/>
    </row>
    <row r="6" spans="1:17" ht="12.75" customHeight="1" x14ac:dyDescent="0.25">
      <c r="A6" s="7" t="s">
        <v>8</v>
      </c>
      <c r="B6" s="8"/>
      <c r="C6" s="1512" t="s">
        <v>430</v>
      </c>
      <c r="D6" s="1512"/>
      <c r="E6" s="1512"/>
      <c r="F6" s="1512"/>
      <c r="G6" s="1512"/>
      <c r="H6" s="1512"/>
      <c r="I6" s="1512"/>
      <c r="J6" s="1512"/>
      <c r="K6" s="1512"/>
      <c r="L6" s="1512"/>
      <c r="M6" s="1512"/>
      <c r="N6" s="1512"/>
      <c r="O6" s="1512"/>
      <c r="P6" s="1513"/>
      <c r="Q6" s="277"/>
    </row>
    <row r="7" spans="1:17" x14ac:dyDescent="0.25">
      <c r="A7" s="7" t="s">
        <v>10</v>
      </c>
      <c r="B7" s="8"/>
      <c r="C7" s="1517" t="s">
        <v>1672</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1658</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1659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131617</v>
      </c>
      <c r="D20" s="32">
        <f>SUM(D21,D24,D25,D41,D43)</f>
        <v>74456</v>
      </c>
      <c r="E20" s="33">
        <f t="shared" ref="E20:F20" si="1">SUM(E21,E24,E25,E41,E43)</f>
        <v>0</v>
      </c>
      <c r="F20" s="34">
        <f t="shared" si="1"/>
        <v>74456</v>
      </c>
      <c r="G20" s="32">
        <f>SUM(G21,G24,G43)</f>
        <v>0</v>
      </c>
      <c r="H20" s="33">
        <f t="shared" ref="H20:I20" si="2">SUM(H21,H24,H43)</f>
        <v>0</v>
      </c>
      <c r="I20" s="34">
        <f t="shared" si="2"/>
        <v>0</v>
      </c>
      <c r="J20" s="32">
        <f>SUM(J21,J26,J43)</f>
        <v>57161</v>
      </c>
      <c r="K20" s="33">
        <f t="shared" ref="K20:L20" si="3">SUM(K21,K26,K43)</f>
        <v>0</v>
      </c>
      <c r="L20" s="34">
        <f t="shared" si="3"/>
        <v>57161</v>
      </c>
      <c r="M20" s="32">
        <f>SUM(M21,M45)</f>
        <v>0</v>
      </c>
      <c r="N20" s="33">
        <f t="shared" ref="N20:O20" si="4">SUM(N21,N45)</f>
        <v>0</v>
      </c>
      <c r="O20" s="34">
        <f t="shared" si="4"/>
        <v>0</v>
      </c>
      <c r="P20" s="35"/>
    </row>
    <row r="21" spans="1:16" ht="12.75" thickTop="1" x14ac:dyDescent="0.25">
      <c r="A21" s="36"/>
      <c r="B21" s="37" t="s">
        <v>39</v>
      </c>
      <c r="C21" s="38">
        <f t="shared" si="0"/>
        <v>200</v>
      </c>
      <c r="D21" s="39">
        <f>SUM(D22:D23)</f>
        <v>0</v>
      </c>
      <c r="E21" s="40">
        <f t="shared" ref="E21:F21" si="5">SUM(E22:E23)</f>
        <v>0</v>
      </c>
      <c r="F21" s="41">
        <f t="shared" si="5"/>
        <v>0</v>
      </c>
      <c r="G21" s="39">
        <f>SUM(G22:G23)</f>
        <v>0</v>
      </c>
      <c r="H21" s="40">
        <f t="shared" ref="H21:I21" si="6">SUM(H22:H23)</f>
        <v>0</v>
      </c>
      <c r="I21" s="41">
        <f t="shared" si="6"/>
        <v>0</v>
      </c>
      <c r="J21" s="39">
        <f>SUM(J22:J23)</f>
        <v>200</v>
      </c>
      <c r="K21" s="40">
        <f t="shared" ref="K21:L21" si="7">SUM(K22:K23)</f>
        <v>0</v>
      </c>
      <c r="L21" s="41">
        <f t="shared" si="7"/>
        <v>200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200</v>
      </c>
      <c r="D23" s="53"/>
      <c r="E23" s="54"/>
      <c r="F23" s="55">
        <f t="shared" ref="F23:F25" si="9">D23+E23</f>
        <v>0</v>
      </c>
      <c r="G23" s="53"/>
      <c r="H23" s="54"/>
      <c r="I23" s="55">
        <f t="shared" ref="I23:I24" si="10">G23+H23</f>
        <v>0</v>
      </c>
      <c r="J23" s="53">
        <v>200</v>
      </c>
      <c r="K23" s="54"/>
      <c r="L23" s="56">
        <f>K23+J23</f>
        <v>200</v>
      </c>
      <c r="M23" s="53"/>
      <c r="N23" s="54"/>
      <c r="O23" s="55">
        <f>N23+M23</f>
        <v>0</v>
      </c>
      <c r="P23" s="57"/>
    </row>
    <row r="24" spans="1:16" s="28" customFormat="1" ht="24.75" customHeight="1" thickBot="1" x14ac:dyDescent="0.3">
      <c r="A24" s="58">
        <v>19300</v>
      </c>
      <c r="B24" s="58" t="s">
        <v>42</v>
      </c>
      <c r="C24" s="59">
        <f>F24+I24</f>
        <v>74456</v>
      </c>
      <c r="D24" s="60">
        <v>74456</v>
      </c>
      <c r="E24" s="63"/>
      <c r="F24" s="62">
        <f t="shared" si="9"/>
        <v>74456</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56961</v>
      </c>
      <c r="D26" s="74" t="s">
        <v>43</v>
      </c>
      <c r="E26" s="75" t="s">
        <v>43</v>
      </c>
      <c r="F26" s="76" t="s">
        <v>43</v>
      </c>
      <c r="G26" s="74" t="s">
        <v>43</v>
      </c>
      <c r="H26" s="75" t="s">
        <v>43</v>
      </c>
      <c r="I26" s="76" t="s">
        <v>43</v>
      </c>
      <c r="J26" s="78">
        <f>SUM(J27,J31,J33,J36)</f>
        <v>56961</v>
      </c>
      <c r="K26" s="79">
        <f t="shared" ref="K26:L26" si="11">SUM(K27,K31,K33,K36)</f>
        <v>0</v>
      </c>
      <c r="L26" s="80">
        <f t="shared" si="11"/>
        <v>56961</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44698</v>
      </c>
      <c r="D33" s="74" t="s">
        <v>43</v>
      </c>
      <c r="E33" s="75" t="s">
        <v>43</v>
      </c>
      <c r="F33" s="76" t="s">
        <v>43</v>
      </c>
      <c r="G33" s="74" t="s">
        <v>43</v>
      </c>
      <c r="H33" s="75" t="s">
        <v>43</v>
      </c>
      <c r="I33" s="76" t="s">
        <v>43</v>
      </c>
      <c r="J33" s="78">
        <f>SUM(J34:J35)</f>
        <v>44698</v>
      </c>
      <c r="K33" s="79">
        <f t="shared" ref="K33:L33" si="17">SUM(K34:K35)</f>
        <v>0</v>
      </c>
      <c r="L33" s="80">
        <f t="shared" si="17"/>
        <v>44698</v>
      </c>
      <c r="M33" s="78" t="s">
        <v>43</v>
      </c>
      <c r="N33" s="79" t="s">
        <v>43</v>
      </c>
      <c r="O33" s="80" t="s">
        <v>43</v>
      </c>
      <c r="P33" s="77"/>
    </row>
    <row r="34" spans="1:16" ht="12" customHeight="1" x14ac:dyDescent="0.25">
      <c r="A34" s="44">
        <v>21381</v>
      </c>
      <c r="B34" s="82" t="s">
        <v>53</v>
      </c>
      <c r="C34" s="83">
        <f t="shared" si="16"/>
        <v>44698</v>
      </c>
      <c r="D34" s="84" t="s">
        <v>43</v>
      </c>
      <c r="E34" s="85" t="s">
        <v>43</v>
      </c>
      <c r="F34" s="86" t="s">
        <v>43</v>
      </c>
      <c r="G34" s="84" t="s">
        <v>43</v>
      </c>
      <c r="H34" s="85" t="s">
        <v>43</v>
      </c>
      <c r="I34" s="86" t="s">
        <v>43</v>
      </c>
      <c r="J34" s="46">
        <v>44698</v>
      </c>
      <c r="K34" s="47"/>
      <c r="L34" s="48">
        <f t="shared" ref="L34:L35" si="18">K34+J34</f>
        <v>44698</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12263</v>
      </c>
      <c r="D36" s="74" t="s">
        <v>43</v>
      </c>
      <c r="E36" s="75" t="s">
        <v>43</v>
      </c>
      <c r="F36" s="76" t="s">
        <v>43</v>
      </c>
      <c r="G36" s="74" t="s">
        <v>43</v>
      </c>
      <c r="H36" s="75" t="s">
        <v>43</v>
      </c>
      <c r="I36" s="76" t="s">
        <v>43</v>
      </c>
      <c r="J36" s="78">
        <f>SUM(J37:J40)</f>
        <v>12263</v>
      </c>
      <c r="K36" s="79">
        <f t="shared" ref="K36:L36" si="19">SUM(K37:K40)</f>
        <v>0</v>
      </c>
      <c r="L36" s="80">
        <f t="shared" si="19"/>
        <v>12263</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12263</v>
      </c>
      <c r="D40" s="111" t="s">
        <v>43</v>
      </c>
      <c r="E40" s="112" t="s">
        <v>43</v>
      </c>
      <c r="F40" s="113" t="s">
        <v>43</v>
      </c>
      <c r="G40" s="111" t="s">
        <v>43</v>
      </c>
      <c r="H40" s="112" t="s">
        <v>43</v>
      </c>
      <c r="I40" s="113" t="s">
        <v>43</v>
      </c>
      <c r="J40" s="114">
        <v>12263</v>
      </c>
      <c r="K40" s="115"/>
      <c r="L40" s="116">
        <f t="shared" si="20"/>
        <v>12263</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131617</v>
      </c>
      <c r="D50" s="159">
        <f>SUM(D51,D286)</f>
        <v>74456</v>
      </c>
      <c r="E50" s="160">
        <f t="shared" ref="E50:F50" si="26">SUM(E51,E286)</f>
        <v>0</v>
      </c>
      <c r="F50" s="161">
        <f t="shared" si="26"/>
        <v>74456</v>
      </c>
      <c r="G50" s="159">
        <f>SUM(G51,G286)</f>
        <v>0</v>
      </c>
      <c r="H50" s="160">
        <f>SUM(H51,H286)</f>
        <v>0</v>
      </c>
      <c r="I50" s="161">
        <f t="shared" ref="I50" si="27">SUM(I51,I286)</f>
        <v>0</v>
      </c>
      <c r="J50" s="32">
        <f>SUM(J51,J286)</f>
        <v>57161</v>
      </c>
      <c r="K50" s="33">
        <f t="shared" ref="K50:L50" si="28">SUM(K51,K286)</f>
        <v>0</v>
      </c>
      <c r="L50" s="34">
        <f t="shared" si="28"/>
        <v>57161</v>
      </c>
      <c r="M50" s="32">
        <f>SUM(M51,M286)</f>
        <v>0</v>
      </c>
      <c r="N50" s="33">
        <f t="shared" ref="N50:O50" si="29">SUM(N51,N286)</f>
        <v>0</v>
      </c>
      <c r="O50" s="34">
        <f t="shared" si="29"/>
        <v>0</v>
      </c>
      <c r="P50" s="35"/>
    </row>
    <row r="51" spans="1:16" s="28" customFormat="1" ht="36.75" thickTop="1" x14ac:dyDescent="0.25">
      <c r="A51" s="162"/>
      <c r="B51" s="163" t="s">
        <v>69</v>
      </c>
      <c r="C51" s="164">
        <f t="shared" si="0"/>
        <v>131617</v>
      </c>
      <c r="D51" s="165">
        <f>SUM(D52,D194)</f>
        <v>74456</v>
      </c>
      <c r="E51" s="166">
        <f t="shared" ref="E51:F51" si="30">SUM(E52,E194)</f>
        <v>0</v>
      </c>
      <c r="F51" s="167">
        <f t="shared" si="30"/>
        <v>74456</v>
      </c>
      <c r="G51" s="165">
        <f>SUM(G52,G194)</f>
        <v>0</v>
      </c>
      <c r="H51" s="166">
        <f t="shared" ref="H51:I51" si="31">SUM(H52,H194)</f>
        <v>0</v>
      </c>
      <c r="I51" s="167">
        <f t="shared" si="31"/>
        <v>0</v>
      </c>
      <c r="J51" s="168">
        <f>SUM(J52,J194)</f>
        <v>57161</v>
      </c>
      <c r="K51" s="169">
        <f t="shared" ref="K51:L51" si="32">SUM(K52,K194)</f>
        <v>0</v>
      </c>
      <c r="L51" s="170">
        <f t="shared" si="32"/>
        <v>57161</v>
      </c>
      <c r="M51" s="168">
        <f>SUM(M52,M194)</f>
        <v>0</v>
      </c>
      <c r="N51" s="169">
        <f t="shared" ref="N51:O51" si="33">SUM(N52,N194)</f>
        <v>0</v>
      </c>
      <c r="O51" s="170">
        <f t="shared" si="33"/>
        <v>0</v>
      </c>
      <c r="P51" s="171"/>
    </row>
    <row r="52" spans="1:16" s="28" customFormat="1" ht="24" x14ac:dyDescent="0.25">
      <c r="A52" s="24"/>
      <c r="B52" s="22" t="s">
        <v>70</v>
      </c>
      <c r="C52" s="172">
        <f t="shared" si="0"/>
        <v>131617</v>
      </c>
      <c r="D52" s="173">
        <f>SUM(D53,D75,D173,D187)</f>
        <v>74456</v>
      </c>
      <c r="E52" s="174">
        <f t="shared" ref="E52:F52" si="34">SUM(E53,E75,E173,E187)</f>
        <v>0</v>
      </c>
      <c r="F52" s="175">
        <f t="shared" si="34"/>
        <v>74456</v>
      </c>
      <c r="G52" s="173">
        <f>SUM(G53,G75,G173,G187)</f>
        <v>0</v>
      </c>
      <c r="H52" s="174">
        <f t="shared" ref="H52:I52" si="35">SUM(H53,H75,H173,H187)</f>
        <v>0</v>
      </c>
      <c r="I52" s="175">
        <f t="shared" si="35"/>
        <v>0</v>
      </c>
      <c r="J52" s="173">
        <f>SUM(J53,J75,J173,J187)</f>
        <v>57161</v>
      </c>
      <c r="K52" s="174">
        <f t="shared" ref="K52:L52" si="36">SUM(K53,K75,K173,K187)</f>
        <v>0</v>
      </c>
      <c r="L52" s="175">
        <f t="shared" si="36"/>
        <v>57161</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131617</v>
      </c>
      <c r="D75" s="179">
        <f>SUM(D76,D83,D130,D164,D165,D172)</f>
        <v>74456</v>
      </c>
      <c r="E75" s="180">
        <f t="shared" ref="E75:F75" si="74">SUM(E76,E83,E130,E164,E165,E172)</f>
        <v>0</v>
      </c>
      <c r="F75" s="181">
        <f t="shared" si="74"/>
        <v>74456</v>
      </c>
      <c r="G75" s="179">
        <f>SUM(G76,G83,G130,G164,G165,G172)</f>
        <v>0</v>
      </c>
      <c r="H75" s="180">
        <f t="shared" ref="H75:I75" si="75">SUM(H76,H83,H130,H164,H165,H172)</f>
        <v>0</v>
      </c>
      <c r="I75" s="181">
        <f t="shared" si="75"/>
        <v>0</v>
      </c>
      <c r="J75" s="179">
        <f>SUM(J76,J83,J130,J164,J165,J172)</f>
        <v>57161</v>
      </c>
      <c r="K75" s="180">
        <f t="shared" ref="K75:L75" si="76">SUM(K76,K83,K130,K164,K165,K172)</f>
        <v>0</v>
      </c>
      <c r="L75" s="181">
        <f t="shared" si="76"/>
        <v>57161</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116640</v>
      </c>
      <c r="D83" s="184">
        <f>SUM(D84,D89,D95,D103,D112,D116,D122,D128)</f>
        <v>65486</v>
      </c>
      <c r="E83" s="185">
        <f t="shared" ref="E83:F83" si="98">SUM(E84,E89,E95,E103,E112,E116,E122,E128)</f>
        <v>0</v>
      </c>
      <c r="F83" s="73">
        <f t="shared" si="98"/>
        <v>65486</v>
      </c>
      <c r="G83" s="184">
        <f>SUM(G84,G89,G95,G103,G112,G116,G122,G128)</f>
        <v>0</v>
      </c>
      <c r="H83" s="185">
        <f t="shared" ref="H83:I83" si="99">SUM(H84,H89,H95,H103,H112,H116,H122,H128)</f>
        <v>0</v>
      </c>
      <c r="I83" s="73">
        <f t="shared" si="99"/>
        <v>0</v>
      </c>
      <c r="J83" s="184">
        <f>SUM(J84,J89,J95,J103,J112,J116,J122,J128)</f>
        <v>51154</v>
      </c>
      <c r="K83" s="185">
        <f t="shared" ref="K83:L83" si="100">SUM(K84,K89,K95,K103,K112,K116,K122,K128)</f>
        <v>0</v>
      </c>
      <c r="L83" s="73">
        <f t="shared" si="100"/>
        <v>51154</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89178</v>
      </c>
      <c r="D89" s="190">
        <f>SUM(D90:D94)</f>
        <v>46325</v>
      </c>
      <c r="E89" s="191">
        <f t="shared" ref="E89:F89" si="111">SUM(E90:E94)</f>
        <v>0</v>
      </c>
      <c r="F89" s="55">
        <f t="shared" si="111"/>
        <v>46325</v>
      </c>
      <c r="G89" s="190">
        <f>SUM(G90:G94)</f>
        <v>0</v>
      </c>
      <c r="H89" s="191">
        <f t="shared" ref="H89:I89" si="112">SUM(H90:H94)</f>
        <v>0</v>
      </c>
      <c r="I89" s="55">
        <f t="shared" si="112"/>
        <v>0</v>
      </c>
      <c r="J89" s="190">
        <f>SUM(J90:J94)</f>
        <v>42771</v>
      </c>
      <c r="K89" s="191">
        <f t="shared" ref="K89:L89" si="113">SUM(K90:K94)</f>
        <v>82</v>
      </c>
      <c r="L89" s="55">
        <f t="shared" si="113"/>
        <v>42853</v>
      </c>
      <c r="M89" s="190">
        <f>SUM(M90:M94)</f>
        <v>0</v>
      </c>
      <c r="N89" s="191">
        <f t="shared" ref="N89:O89" si="114">SUM(N90:N94)</f>
        <v>0</v>
      </c>
      <c r="O89" s="55">
        <f t="shared" si="114"/>
        <v>0</v>
      </c>
      <c r="P89" s="57"/>
    </row>
    <row r="90" spans="1:16" ht="24" customHeight="1" x14ac:dyDescent="0.25">
      <c r="A90" s="51">
        <v>2221</v>
      </c>
      <c r="B90" s="89" t="s">
        <v>106</v>
      </c>
      <c r="C90" s="90">
        <f t="shared" si="102"/>
        <v>5821</v>
      </c>
      <c r="D90" s="196">
        <v>3841</v>
      </c>
      <c r="E90" s="197"/>
      <c r="F90" s="55">
        <f t="shared" ref="F90:F94" si="115">D90+E90</f>
        <v>3841</v>
      </c>
      <c r="G90" s="53"/>
      <c r="H90" s="54"/>
      <c r="I90" s="55">
        <f t="shared" ref="I90:I94" si="116">G90+H90</f>
        <v>0</v>
      </c>
      <c r="J90" s="53">
        <v>1980</v>
      </c>
      <c r="K90" s="54"/>
      <c r="L90" s="55">
        <f t="shared" ref="L90:L94" si="117">K90+J90</f>
        <v>1980</v>
      </c>
      <c r="M90" s="53"/>
      <c r="N90" s="54"/>
      <c r="O90" s="55">
        <f t="shared" ref="O90:O94" si="118">N90+M90</f>
        <v>0</v>
      </c>
      <c r="P90" s="57"/>
    </row>
    <row r="91" spans="1:16" ht="12" customHeight="1" x14ac:dyDescent="0.25">
      <c r="A91" s="51">
        <v>2222</v>
      </c>
      <c r="B91" s="89" t="s">
        <v>107</v>
      </c>
      <c r="C91" s="90">
        <f t="shared" si="102"/>
        <v>4017</v>
      </c>
      <c r="D91" s="196"/>
      <c r="E91" s="197"/>
      <c r="F91" s="55">
        <f t="shared" si="115"/>
        <v>0</v>
      </c>
      <c r="G91" s="53"/>
      <c r="H91" s="54"/>
      <c r="I91" s="55">
        <f t="shared" si="116"/>
        <v>0</v>
      </c>
      <c r="J91" s="53">
        <v>4017</v>
      </c>
      <c r="K91" s="54"/>
      <c r="L91" s="55">
        <f t="shared" si="117"/>
        <v>4017</v>
      </c>
      <c r="M91" s="53"/>
      <c r="N91" s="54"/>
      <c r="O91" s="55">
        <f t="shared" si="118"/>
        <v>0</v>
      </c>
      <c r="P91" s="57"/>
    </row>
    <row r="92" spans="1:16" ht="26.25" customHeight="1" x14ac:dyDescent="0.25">
      <c r="A92" s="51">
        <v>2223</v>
      </c>
      <c r="B92" s="89" t="s">
        <v>108</v>
      </c>
      <c r="C92" s="90">
        <f t="shared" si="102"/>
        <v>78684</v>
      </c>
      <c r="D92" s="196">
        <v>42484</v>
      </c>
      <c r="E92" s="197"/>
      <c r="F92" s="55">
        <f t="shared" si="115"/>
        <v>42484</v>
      </c>
      <c r="G92" s="53"/>
      <c r="H92" s="54"/>
      <c r="I92" s="55">
        <f t="shared" si="116"/>
        <v>0</v>
      </c>
      <c r="J92" s="53">
        <v>36200</v>
      </c>
      <c r="K92" s="54"/>
      <c r="L92" s="55">
        <f t="shared" si="117"/>
        <v>36200</v>
      </c>
      <c r="M92" s="53"/>
      <c r="N92" s="54"/>
      <c r="O92" s="55">
        <f t="shared" si="118"/>
        <v>0</v>
      </c>
      <c r="P92" s="57"/>
    </row>
    <row r="93" spans="1:16" ht="54" customHeight="1" x14ac:dyDescent="0.25">
      <c r="A93" s="51">
        <v>2224</v>
      </c>
      <c r="B93" s="89" t="s">
        <v>109</v>
      </c>
      <c r="C93" s="90">
        <f t="shared" si="102"/>
        <v>656</v>
      </c>
      <c r="D93" s="196"/>
      <c r="E93" s="197"/>
      <c r="F93" s="55">
        <f t="shared" si="115"/>
        <v>0</v>
      </c>
      <c r="G93" s="53"/>
      <c r="H93" s="54"/>
      <c r="I93" s="55">
        <f t="shared" si="116"/>
        <v>0</v>
      </c>
      <c r="J93" s="53">
        <v>574</v>
      </c>
      <c r="K93" s="54">
        <v>82</v>
      </c>
      <c r="L93" s="55">
        <f t="shared" si="117"/>
        <v>656</v>
      </c>
      <c r="M93" s="53"/>
      <c r="N93" s="54"/>
      <c r="O93" s="55">
        <f t="shared" si="118"/>
        <v>0</v>
      </c>
      <c r="P93" s="57" t="s">
        <v>1673</v>
      </c>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25161</v>
      </c>
      <c r="D103" s="190">
        <f>SUM(D104:D111)</f>
        <v>16911</v>
      </c>
      <c r="E103" s="191">
        <f t="shared" ref="E103:F103" si="127">SUM(E104:E111)</f>
        <v>0</v>
      </c>
      <c r="F103" s="55">
        <f t="shared" si="127"/>
        <v>16911</v>
      </c>
      <c r="G103" s="190">
        <f>SUM(G104:G111)</f>
        <v>0</v>
      </c>
      <c r="H103" s="191">
        <f t="shared" ref="H103:I103" si="128">SUM(H104:H111)</f>
        <v>0</v>
      </c>
      <c r="I103" s="55">
        <f t="shared" si="128"/>
        <v>0</v>
      </c>
      <c r="J103" s="190">
        <f>SUM(J104:J111)</f>
        <v>8332</v>
      </c>
      <c r="K103" s="191">
        <f t="shared" ref="K103:L103" si="129">SUM(K104:K111)</f>
        <v>-82</v>
      </c>
      <c r="L103" s="55">
        <f t="shared" si="129"/>
        <v>8250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345">
        <v>2243</v>
      </c>
      <c r="B106" s="346" t="s">
        <v>122</v>
      </c>
      <c r="C106" s="347">
        <f t="shared" si="102"/>
        <v>11651</v>
      </c>
      <c r="D106" s="352">
        <v>6951</v>
      </c>
      <c r="E106" s="353"/>
      <c r="F106" s="350">
        <f t="shared" si="131"/>
        <v>6951</v>
      </c>
      <c r="G106" s="348"/>
      <c r="H106" s="349"/>
      <c r="I106" s="350">
        <f t="shared" si="132"/>
        <v>0</v>
      </c>
      <c r="J106" s="348">
        <v>4700</v>
      </c>
      <c r="K106" s="349"/>
      <c r="L106" s="350">
        <f t="shared" si="133"/>
        <v>4700</v>
      </c>
      <c r="M106" s="348"/>
      <c r="N106" s="349"/>
      <c r="O106" s="350">
        <f t="shared" si="134"/>
        <v>0</v>
      </c>
      <c r="P106" s="354"/>
    </row>
    <row r="107" spans="1:16" ht="12" customHeight="1" x14ac:dyDescent="0.25">
      <c r="A107" s="51">
        <v>2244</v>
      </c>
      <c r="B107" s="89" t="s">
        <v>123</v>
      </c>
      <c r="C107" s="90">
        <f t="shared" si="102"/>
        <v>13510</v>
      </c>
      <c r="D107" s="196">
        <v>9960</v>
      </c>
      <c r="E107" s="197"/>
      <c r="F107" s="55">
        <f t="shared" si="131"/>
        <v>9960</v>
      </c>
      <c r="G107" s="53"/>
      <c r="H107" s="54"/>
      <c r="I107" s="55">
        <f t="shared" si="132"/>
        <v>0</v>
      </c>
      <c r="J107" s="53">
        <v>3632</v>
      </c>
      <c r="K107" s="54">
        <v>-82</v>
      </c>
      <c r="L107" s="55">
        <f t="shared" si="133"/>
        <v>3550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2301</v>
      </c>
      <c r="D116" s="190">
        <f>SUM(D117:D121)</f>
        <v>2250</v>
      </c>
      <c r="E116" s="191">
        <f t="shared" ref="E116:F116" si="143">SUM(E117:E121)</f>
        <v>0</v>
      </c>
      <c r="F116" s="55">
        <f t="shared" si="143"/>
        <v>2250</v>
      </c>
      <c r="G116" s="190">
        <f>SUM(G117:G121)</f>
        <v>0</v>
      </c>
      <c r="H116" s="191">
        <f t="shared" ref="H116:I116" si="144">SUM(H117:H121)</f>
        <v>0</v>
      </c>
      <c r="I116" s="55">
        <f t="shared" si="144"/>
        <v>0</v>
      </c>
      <c r="J116" s="190">
        <f>SUM(J117:J121)</f>
        <v>51</v>
      </c>
      <c r="K116" s="191">
        <f t="shared" ref="K116:L116" si="145">SUM(K117:K121)</f>
        <v>0</v>
      </c>
      <c r="L116" s="55">
        <f t="shared" si="145"/>
        <v>51</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2250</v>
      </c>
      <c r="D120" s="196">
        <v>2250</v>
      </c>
      <c r="E120" s="197"/>
      <c r="F120" s="55">
        <f t="shared" si="147"/>
        <v>2250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51</v>
      </c>
      <c r="D121" s="196"/>
      <c r="E121" s="197"/>
      <c r="F121" s="55">
        <f t="shared" si="147"/>
        <v>0</v>
      </c>
      <c r="G121" s="53"/>
      <c r="H121" s="54"/>
      <c r="I121" s="55">
        <f t="shared" si="148"/>
        <v>0</v>
      </c>
      <c r="J121" s="53">
        <v>51</v>
      </c>
      <c r="K121" s="54"/>
      <c r="L121" s="55">
        <f t="shared" si="149"/>
        <v>51</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63"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14977</v>
      </c>
      <c r="D130" s="184">
        <f>SUM(D131,D136,D140,D141,D144,D151,D159,D160,D163)</f>
        <v>8970</v>
      </c>
      <c r="E130" s="185">
        <f t="shared" ref="E130:F130" si="160">SUM(E131,E136,E140,E141,E144,E151,E159,E160,E163)</f>
        <v>0</v>
      </c>
      <c r="F130" s="73">
        <f t="shared" si="160"/>
        <v>8970</v>
      </c>
      <c r="G130" s="184">
        <f>SUM(G131,G136,G140,G141,G144,G151,G159,G160,G163)</f>
        <v>0</v>
      </c>
      <c r="H130" s="185">
        <f t="shared" ref="H130:I130" si="161">SUM(H131,H136,H140,H141,H144,H151,H159,H160,H163)</f>
        <v>0</v>
      </c>
      <c r="I130" s="73">
        <f t="shared" si="161"/>
        <v>0</v>
      </c>
      <c r="J130" s="184">
        <f>SUM(J131,J136,J140,J141,J144,J151,J159,J160,J163)</f>
        <v>6007</v>
      </c>
      <c r="K130" s="185">
        <f t="shared" ref="K130:L130" si="162">SUM(K131,K136,K140,K141,K144,K151,K159,K160,K163)</f>
        <v>0</v>
      </c>
      <c r="L130" s="73">
        <f t="shared" si="162"/>
        <v>6007</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2279</v>
      </c>
      <c r="D131" s="194">
        <f t="shared" ref="D131:O131" si="164">SUM(D132:D135)</f>
        <v>0</v>
      </c>
      <c r="E131" s="195">
        <f t="shared" si="164"/>
        <v>0</v>
      </c>
      <c r="F131" s="134">
        <f t="shared" si="164"/>
        <v>0</v>
      </c>
      <c r="G131" s="194">
        <f t="shared" si="164"/>
        <v>0</v>
      </c>
      <c r="H131" s="195">
        <f t="shared" si="164"/>
        <v>0</v>
      </c>
      <c r="I131" s="134">
        <f t="shared" si="164"/>
        <v>0</v>
      </c>
      <c r="J131" s="194">
        <f t="shared" si="164"/>
        <v>2279</v>
      </c>
      <c r="K131" s="195">
        <f t="shared" si="164"/>
        <v>0</v>
      </c>
      <c r="L131" s="134">
        <f t="shared" si="164"/>
        <v>2279</v>
      </c>
      <c r="M131" s="194">
        <f t="shared" si="164"/>
        <v>0</v>
      </c>
      <c r="N131" s="195">
        <f t="shared" si="164"/>
        <v>0</v>
      </c>
      <c r="O131" s="134">
        <f t="shared" si="164"/>
        <v>0</v>
      </c>
      <c r="P131" s="49"/>
    </row>
    <row r="132" spans="1:16" ht="14.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7.25" customHeight="1" x14ac:dyDescent="0.25">
      <c r="A133" s="345">
        <v>2312</v>
      </c>
      <c r="B133" s="346" t="s">
        <v>149</v>
      </c>
      <c r="C133" s="347">
        <f t="shared" si="102"/>
        <v>2104</v>
      </c>
      <c r="D133" s="352"/>
      <c r="E133" s="353"/>
      <c r="F133" s="350">
        <f t="shared" si="165"/>
        <v>0</v>
      </c>
      <c r="G133" s="348"/>
      <c r="H133" s="349"/>
      <c r="I133" s="350">
        <f t="shared" si="166"/>
        <v>0</v>
      </c>
      <c r="J133" s="348">
        <v>2104</v>
      </c>
      <c r="K133" s="349"/>
      <c r="L133" s="350">
        <f t="shared" si="167"/>
        <v>2104</v>
      </c>
      <c r="M133" s="348"/>
      <c r="N133" s="349"/>
      <c r="O133" s="350">
        <f t="shared" si="168"/>
        <v>0</v>
      </c>
      <c r="P133" s="354"/>
    </row>
    <row r="134" spans="1:16" ht="12" customHeight="1" x14ac:dyDescent="0.25">
      <c r="A134" s="51">
        <v>2313</v>
      </c>
      <c r="B134" s="89" t="s">
        <v>150</v>
      </c>
      <c r="C134" s="90">
        <f t="shared" si="102"/>
        <v>175</v>
      </c>
      <c r="D134" s="196"/>
      <c r="E134" s="197"/>
      <c r="F134" s="55">
        <f t="shared" si="165"/>
        <v>0</v>
      </c>
      <c r="G134" s="53"/>
      <c r="H134" s="54"/>
      <c r="I134" s="55">
        <f t="shared" si="166"/>
        <v>0</v>
      </c>
      <c r="J134" s="53">
        <v>175</v>
      </c>
      <c r="K134" s="54"/>
      <c r="L134" s="55">
        <f t="shared" si="167"/>
        <v>175</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12698</v>
      </c>
      <c r="D144" s="187">
        <f>SUM(D145:D150)</f>
        <v>8970</v>
      </c>
      <c r="E144" s="188">
        <f t="shared" ref="E144:F144" si="185">SUM(E145:E150)</f>
        <v>0</v>
      </c>
      <c r="F144" s="141">
        <f t="shared" si="185"/>
        <v>8970</v>
      </c>
      <c r="G144" s="187">
        <f>SUM(G145:G150)</f>
        <v>0</v>
      </c>
      <c r="H144" s="188">
        <f t="shared" ref="H144:I144" si="186">SUM(H145:H150)</f>
        <v>0</v>
      </c>
      <c r="I144" s="141">
        <f t="shared" si="186"/>
        <v>0</v>
      </c>
      <c r="J144" s="187">
        <f>SUM(J145:J150)</f>
        <v>3728</v>
      </c>
      <c r="K144" s="188">
        <f t="shared" ref="K144:L144" si="187">SUM(K145:K150)</f>
        <v>0</v>
      </c>
      <c r="L144" s="141">
        <f t="shared" si="187"/>
        <v>3728</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customHeight="1" x14ac:dyDescent="0.25">
      <c r="A147" s="51">
        <v>2353</v>
      </c>
      <c r="B147" s="89" t="s">
        <v>163</v>
      </c>
      <c r="C147" s="90">
        <f t="shared" si="102"/>
        <v>12698</v>
      </c>
      <c r="D147" s="196">
        <v>8970</v>
      </c>
      <c r="E147" s="197"/>
      <c r="F147" s="55">
        <f t="shared" si="189"/>
        <v>8970</v>
      </c>
      <c r="G147" s="53"/>
      <c r="H147" s="54"/>
      <c r="I147" s="55">
        <f t="shared" si="190"/>
        <v>0</v>
      </c>
      <c r="J147" s="53">
        <v>3728</v>
      </c>
      <c r="K147" s="54"/>
      <c r="L147" s="55">
        <f t="shared" si="191"/>
        <v>3728</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75.75"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131617</v>
      </c>
      <c r="D289" s="252">
        <f t="shared" ref="D289:O289" si="389">SUM(D286,D269,D230,D195,D187,D173,D75,D53,D283)</f>
        <v>74456</v>
      </c>
      <c r="E289" s="253">
        <f t="shared" si="389"/>
        <v>0</v>
      </c>
      <c r="F289" s="254">
        <f t="shared" si="389"/>
        <v>74456</v>
      </c>
      <c r="G289" s="252">
        <f t="shared" si="389"/>
        <v>0</v>
      </c>
      <c r="H289" s="253">
        <f t="shared" si="389"/>
        <v>0</v>
      </c>
      <c r="I289" s="254">
        <f t="shared" si="389"/>
        <v>0</v>
      </c>
      <c r="J289" s="252">
        <f t="shared" si="389"/>
        <v>57161</v>
      </c>
      <c r="K289" s="253">
        <f t="shared" si="389"/>
        <v>0</v>
      </c>
      <c r="L289" s="254">
        <f t="shared" si="389"/>
        <v>57161</v>
      </c>
      <c r="M289" s="252">
        <f t="shared" si="389"/>
        <v>0</v>
      </c>
      <c r="N289" s="253">
        <f t="shared" si="389"/>
        <v>0</v>
      </c>
      <c r="O289" s="254">
        <f t="shared" si="389"/>
        <v>0</v>
      </c>
      <c r="P289" s="255"/>
    </row>
    <row r="290" spans="1:16" s="28" customFormat="1" ht="13.5" thickTop="1" thickBot="1" x14ac:dyDescent="0.3">
      <c r="A290" s="1544" t="s">
        <v>308</v>
      </c>
      <c r="B290" s="1545"/>
      <c r="C290" s="256">
        <f t="shared" si="371"/>
        <v>-200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-200</v>
      </c>
      <c r="K290" s="258">
        <f t="shared" ref="K290:L290" si="392">(K26+K43)-K51</f>
        <v>0</v>
      </c>
      <c r="L290" s="259">
        <f t="shared" si="392"/>
        <v>-200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200</v>
      </c>
      <c r="D291" s="262">
        <f t="shared" ref="D291:O291" si="394">SUM(D292,D293)-D300+D301</f>
        <v>0</v>
      </c>
      <c r="E291" s="263">
        <f t="shared" si="394"/>
        <v>0</v>
      </c>
      <c r="F291" s="264">
        <f t="shared" si="394"/>
        <v>0</v>
      </c>
      <c r="G291" s="262">
        <f t="shared" si="394"/>
        <v>0</v>
      </c>
      <c r="H291" s="263">
        <f t="shared" si="394"/>
        <v>0</v>
      </c>
      <c r="I291" s="264">
        <f t="shared" si="394"/>
        <v>0</v>
      </c>
      <c r="J291" s="262">
        <f t="shared" si="394"/>
        <v>200</v>
      </c>
      <c r="K291" s="263">
        <f t="shared" si="394"/>
        <v>0</v>
      </c>
      <c r="L291" s="264">
        <f t="shared" si="394"/>
        <v>200</v>
      </c>
      <c r="M291" s="262">
        <f t="shared" si="394"/>
        <v>0</v>
      </c>
      <c r="N291" s="263">
        <f t="shared" si="394"/>
        <v>0</v>
      </c>
      <c r="O291" s="264">
        <f t="shared" si="394"/>
        <v>0</v>
      </c>
      <c r="P291" s="265"/>
    </row>
    <row r="292" spans="1:16" s="28" customFormat="1" ht="12.75" thickBot="1" x14ac:dyDescent="0.3">
      <c r="A292" s="157" t="s">
        <v>310</v>
      </c>
      <c r="B292" s="157" t="s">
        <v>311</v>
      </c>
      <c r="C292" s="158">
        <f t="shared" si="371"/>
        <v>200</v>
      </c>
      <c r="D292" s="159">
        <f t="shared" ref="D292:O292" si="395">D21-D286</f>
        <v>0</v>
      </c>
      <c r="E292" s="160">
        <f t="shared" si="395"/>
        <v>0</v>
      </c>
      <c r="F292" s="161">
        <f t="shared" si="395"/>
        <v>0</v>
      </c>
      <c r="G292" s="159">
        <f t="shared" si="395"/>
        <v>0</v>
      </c>
      <c r="H292" s="160">
        <f t="shared" si="395"/>
        <v>0</v>
      </c>
      <c r="I292" s="161">
        <f t="shared" si="395"/>
        <v>0</v>
      </c>
      <c r="J292" s="159">
        <f t="shared" si="395"/>
        <v>200</v>
      </c>
      <c r="K292" s="160">
        <f t="shared" si="395"/>
        <v>0</v>
      </c>
      <c r="L292" s="161">
        <f t="shared" si="395"/>
        <v>200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YvZVvzA9Wqu+TJavY9qQFe2JjwY5SnINxahbhSqK74/2icBr/gqUG4G6sJ1YYFHudQgN4L7QzsXBOvQ5L70ZXg==" saltValue="NHfHI37NyZcmJ+At47nlag==" spinCount="100000" sheet="1" objects="1" scenarios="1" formatCells="0" formatColumns="0" formatRows="0" deleteColumns="0"/>
  <autoFilter ref="A18:P301">
    <filterColumn colId="2">
      <filters>
        <filter val="11 651"/>
        <filter val="116 640"/>
        <filter val="12 263"/>
        <filter val="12 698"/>
        <filter val="13 510"/>
        <filter val="131 617"/>
        <filter val="14 977"/>
        <filter val="175"/>
        <filter val="2 104"/>
        <filter val="2 250"/>
        <filter val="2 279"/>
        <filter val="2 301"/>
        <filter val="200"/>
        <filter val="-200"/>
        <filter val="25 161"/>
        <filter val="4 017"/>
        <filter val="44 698"/>
        <filter val="5 821"/>
        <filter val="51"/>
        <filter val="56 961"/>
        <filter val="656"/>
        <filter val="74 456"/>
        <filter val="78 684"/>
        <filter val="89 17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60.pielikums Jūrmalas pilsētas domes
2019.gada 31.oktobra saistošajiem noteikumiem Nr.46
(protokols Nr.14, 28.punkts)
 </firstHeader>
    <firstFooter>&amp;L&amp;9&amp;D; &amp;T&amp;R&amp;9&amp;P (&amp;N)</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10" sqref="S10"/>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1674</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436</v>
      </c>
      <c r="D3" s="1517"/>
      <c r="E3" s="1517"/>
      <c r="F3" s="1517"/>
      <c r="G3" s="1517"/>
      <c r="H3" s="1517"/>
      <c r="I3" s="1517"/>
      <c r="J3" s="1517"/>
      <c r="K3" s="1517"/>
      <c r="L3" s="1517"/>
      <c r="M3" s="1517"/>
      <c r="N3" s="1517"/>
      <c r="O3" s="1517"/>
      <c r="P3" s="1518"/>
      <c r="Q3" s="853"/>
    </row>
    <row r="4" spans="1:17" ht="12.75" customHeight="1" x14ac:dyDescent="0.25">
      <c r="A4" s="5" t="s">
        <v>4</v>
      </c>
      <c r="B4" s="6"/>
      <c r="C4" s="1517" t="s">
        <v>1656</v>
      </c>
      <c r="D4" s="1517"/>
      <c r="E4" s="1517"/>
      <c r="F4" s="1517"/>
      <c r="G4" s="1517"/>
      <c r="H4" s="1517"/>
      <c r="I4" s="1517"/>
      <c r="J4" s="1517"/>
      <c r="K4" s="1517"/>
      <c r="L4" s="1517"/>
      <c r="M4" s="1517"/>
      <c r="N4" s="1517"/>
      <c r="O4" s="1517"/>
      <c r="P4" s="1518"/>
      <c r="Q4" s="853"/>
    </row>
    <row r="5" spans="1:17" ht="12.75" customHeight="1" x14ac:dyDescent="0.25">
      <c r="A5" s="7" t="s">
        <v>6</v>
      </c>
      <c r="B5" s="8"/>
      <c r="C5" s="1512" t="s">
        <v>1657</v>
      </c>
      <c r="D5" s="1512"/>
      <c r="E5" s="1512"/>
      <c r="F5" s="1512"/>
      <c r="G5" s="1512"/>
      <c r="H5" s="1512"/>
      <c r="I5" s="1512"/>
      <c r="J5" s="1512"/>
      <c r="K5" s="1512"/>
      <c r="L5" s="1512"/>
      <c r="M5" s="1512"/>
      <c r="N5" s="1512"/>
      <c r="O5" s="1512"/>
      <c r="P5" s="1513"/>
      <c r="Q5" s="853"/>
    </row>
    <row r="6" spans="1:17" ht="12.75" customHeight="1" x14ac:dyDescent="0.25">
      <c r="A6" s="7" t="s">
        <v>8</v>
      </c>
      <c r="B6" s="8"/>
      <c r="C6" s="1512" t="s">
        <v>430</v>
      </c>
      <c r="D6" s="1512"/>
      <c r="E6" s="1512"/>
      <c r="F6" s="1512"/>
      <c r="G6" s="1512"/>
      <c r="H6" s="1512"/>
      <c r="I6" s="1512"/>
      <c r="J6" s="1512"/>
      <c r="K6" s="1512"/>
      <c r="L6" s="1512"/>
      <c r="M6" s="1512"/>
      <c r="N6" s="1512"/>
      <c r="O6" s="1512"/>
      <c r="P6" s="1513"/>
      <c r="Q6" s="853"/>
    </row>
    <row r="7" spans="1:17" x14ac:dyDescent="0.25">
      <c r="A7" s="7" t="s">
        <v>10</v>
      </c>
      <c r="B7" s="8"/>
      <c r="C7" s="1517" t="s">
        <v>1675</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1658</v>
      </c>
      <c r="D9" s="1512"/>
      <c r="E9" s="1512"/>
      <c r="F9" s="1512"/>
      <c r="G9" s="1512"/>
      <c r="H9" s="1512"/>
      <c r="I9" s="1512"/>
      <c r="J9" s="1512"/>
      <c r="K9" s="1512"/>
      <c r="L9" s="1512"/>
      <c r="M9" s="1512"/>
      <c r="N9" s="1512"/>
      <c r="O9" s="1512"/>
      <c r="P9" s="1513"/>
      <c r="Q9" s="853"/>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t="s">
        <v>1659</v>
      </c>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33278</v>
      </c>
      <c r="D20" s="32">
        <f>SUM(D21,D24,D25,D41,D43)</f>
        <v>12458</v>
      </c>
      <c r="E20" s="33">
        <f t="shared" ref="E20:F20" si="1">SUM(E21,E24,E25,E41,E43)</f>
        <v>3852</v>
      </c>
      <c r="F20" s="34">
        <f t="shared" si="1"/>
        <v>16310</v>
      </c>
      <c r="G20" s="32">
        <f>SUM(G21,G24,G43)</f>
        <v>0</v>
      </c>
      <c r="H20" s="33">
        <f t="shared" ref="H20:I20" si="2">SUM(H21,H24,H43)</f>
        <v>0</v>
      </c>
      <c r="I20" s="34">
        <f t="shared" si="2"/>
        <v>0</v>
      </c>
      <c r="J20" s="32">
        <f>SUM(J21,J26,J43)</f>
        <v>16968</v>
      </c>
      <c r="K20" s="33">
        <f t="shared" ref="K20:L20" si="3">SUM(K21,K26,K43)</f>
        <v>0</v>
      </c>
      <c r="L20" s="34">
        <f t="shared" si="3"/>
        <v>16968</v>
      </c>
      <c r="M20" s="32">
        <f>SUM(M21,M45)</f>
        <v>0</v>
      </c>
      <c r="N20" s="33">
        <f t="shared" ref="N20:O20" si="4">SUM(N21,N45)</f>
        <v>0</v>
      </c>
      <c r="O20" s="34">
        <f t="shared" si="4"/>
        <v>0</v>
      </c>
      <c r="P20" s="35"/>
    </row>
    <row r="21" spans="1:16" ht="15.75" thickTop="1" x14ac:dyDescent="0.25">
      <c r="A21" s="36"/>
      <c r="B21" s="37" t="s">
        <v>39</v>
      </c>
      <c r="C21" s="38">
        <f t="shared" si="0"/>
        <v>2229</v>
      </c>
      <c r="D21" s="39">
        <f>SUM(D22:D23)</f>
        <v>0</v>
      </c>
      <c r="E21" s="40">
        <f t="shared" ref="E21:F21" si="5">SUM(E22:E23)</f>
        <v>0</v>
      </c>
      <c r="F21" s="41">
        <f t="shared" si="5"/>
        <v>0</v>
      </c>
      <c r="G21" s="39">
        <f>SUM(G22:G23)</f>
        <v>0</v>
      </c>
      <c r="H21" s="40">
        <f t="shared" ref="H21:I21" si="6">SUM(H22:H23)</f>
        <v>0</v>
      </c>
      <c r="I21" s="41">
        <f t="shared" si="6"/>
        <v>0</v>
      </c>
      <c r="J21" s="39">
        <f>SUM(J22:J23)</f>
        <v>2229</v>
      </c>
      <c r="K21" s="40">
        <f t="shared" ref="K21:L21" si="7">SUM(K22:K23)</f>
        <v>0</v>
      </c>
      <c r="L21" s="41">
        <f t="shared" si="7"/>
        <v>2229</v>
      </c>
      <c r="M21" s="39">
        <f>SUM(M22:M23)</f>
        <v>0</v>
      </c>
      <c r="N21" s="40">
        <f t="shared" ref="N21:O21" si="8">SUM(N22:N23)</f>
        <v>0</v>
      </c>
      <c r="O21" s="41">
        <f t="shared" si="8"/>
        <v>0</v>
      </c>
      <c r="P21" s="42"/>
    </row>
    <row r="22" spans="1:16" ht="12" customHeight="1" x14ac:dyDescent="0.25">
      <c r="A22" s="43"/>
      <c r="B22" s="44" t="s">
        <v>40</v>
      </c>
      <c r="C22" s="45">
        <f t="shared" si="0"/>
        <v>1814</v>
      </c>
      <c r="D22" s="46"/>
      <c r="E22" s="47"/>
      <c r="F22" s="48">
        <f>D22+E22</f>
        <v>0</v>
      </c>
      <c r="G22" s="46"/>
      <c r="H22" s="47"/>
      <c r="I22" s="48">
        <f>G22+H22</f>
        <v>0</v>
      </c>
      <c r="J22" s="46">
        <v>1814</v>
      </c>
      <c r="K22" s="47"/>
      <c r="L22" s="48">
        <f>K22+J22</f>
        <v>1814</v>
      </c>
      <c r="M22" s="46"/>
      <c r="N22" s="47"/>
      <c r="O22" s="48">
        <f>N22+M22</f>
        <v>0</v>
      </c>
      <c r="P22" s="49"/>
    </row>
    <row r="23" spans="1:16" x14ac:dyDescent="0.25">
      <c r="A23" s="50"/>
      <c r="B23" s="51" t="s">
        <v>41</v>
      </c>
      <c r="C23" s="52">
        <f t="shared" si="0"/>
        <v>415</v>
      </c>
      <c r="D23" s="53"/>
      <c r="E23" s="54"/>
      <c r="F23" s="55">
        <f t="shared" ref="F23:F25" si="9">D23+E23</f>
        <v>0</v>
      </c>
      <c r="G23" s="53"/>
      <c r="H23" s="54"/>
      <c r="I23" s="55">
        <f t="shared" ref="I23:I24" si="10">G23+H23</f>
        <v>0</v>
      </c>
      <c r="J23" s="53">
        <v>415</v>
      </c>
      <c r="K23" s="54"/>
      <c r="L23" s="56">
        <f>K23+J23</f>
        <v>415</v>
      </c>
      <c r="M23" s="53"/>
      <c r="N23" s="54"/>
      <c r="O23" s="55">
        <f>N23+M23</f>
        <v>0</v>
      </c>
      <c r="P23" s="57"/>
    </row>
    <row r="24" spans="1:16" s="28" customFormat="1" ht="24.75" customHeight="1" thickBot="1" x14ac:dyDescent="0.3">
      <c r="A24" s="58">
        <v>19300</v>
      </c>
      <c r="B24" s="58" t="s">
        <v>42</v>
      </c>
      <c r="C24" s="59">
        <f>F24+I24</f>
        <v>16310</v>
      </c>
      <c r="D24" s="60">
        <v>12458</v>
      </c>
      <c r="E24" s="63">
        <v>3852</v>
      </c>
      <c r="F24" s="62">
        <f t="shared" si="9"/>
        <v>16310</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14739</v>
      </c>
      <c r="D26" s="74" t="s">
        <v>43</v>
      </c>
      <c r="E26" s="75" t="s">
        <v>43</v>
      </c>
      <c r="F26" s="76" t="s">
        <v>43</v>
      </c>
      <c r="G26" s="74" t="s">
        <v>43</v>
      </c>
      <c r="H26" s="75" t="s">
        <v>43</v>
      </c>
      <c r="I26" s="76" t="s">
        <v>43</v>
      </c>
      <c r="J26" s="78">
        <f>SUM(J27,J31,J33,J36)</f>
        <v>14739</v>
      </c>
      <c r="K26" s="79">
        <f t="shared" ref="K26:L26" si="11">SUM(K27,K31,K33,K36)</f>
        <v>0</v>
      </c>
      <c r="L26" s="80">
        <f t="shared" si="11"/>
        <v>14739</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14739</v>
      </c>
      <c r="D33" s="74" t="s">
        <v>43</v>
      </c>
      <c r="E33" s="75" t="s">
        <v>43</v>
      </c>
      <c r="F33" s="76" t="s">
        <v>43</v>
      </c>
      <c r="G33" s="74" t="s">
        <v>43</v>
      </c>
      <c r="H33" s="75" t="s">
        <v>43</v>
      </c>
      <c r="I33" s="76" t="s">
        <v>43</v>
      </c>
      <c r="J33" s="78">
        <f>SUM(J34:J35)</f>
        <v>14739</v>
      </c>
      <c r="K33" s="79">
        <f t="shared" ref="K33:L33" si="17">SUM(K34:K35)</f>
        <v>0</v>
      </c>
      <c r="L33" s="80">
        <f t="shared" si="17"/>
        <v>14739</v>
      </c>
      <c r="M33" s="78" t="s">
        <v>43</v>
      </c>
      <c r="N33" s="79" t="s">
        <v>43</v>
      </c>
      <c r="O33" s="80" t="s">
        <v>43</v>
      </c>
      <c r="P33" s="77"/>
    </row>
    <row r="34" spans="1:16" ht="12" customHeight="1" x14ac:dyDescent="0.25">
      <c r="A34" s="44">
        <v>21381</v>
      </c>
      <c r="B34" s="82" t="s">
        <v>53</v>
      </c>
      <c r="C34" s="83">
        <f t="shared" si="16"/>
        <v>14739</v>
      </c>
      <c r="D34" s="84" t="s">
        <v>43</v>
      </c>
      <c r="E34" s="85" t="s">
        <v>43</v>
      </c>
      <c r="F34" s="86" t="s">
        <v>43</v>
      </c>
      <c r="G34" s="84" t="s">
        <v>43</v>
      </c>
      <c r="H34" s="85" t="s">
        <v>43</v>
      </c>
      <c r="I34" s="86" t="s">
        <v>43</v>
      </c>
      <c r="J34" s="46">
        <v>14739</v>
      </c>
      <c r="K34" s="47"/>
      <c r="L34" s="48">
        <f t="shared" ref="L34:L35" si="18">K34+J34</f>
        <v>14739</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33278</v>
      </c>
      <c r="D50" s="159">
        <f>SUM(D51,D286)</f>
        <v>12458</v>
      </c>
      <c r="E50" s="160">
        <f t="shared" ref="E50:F50" si="26">SUM(E51,E286)</f>
        <v>3852</v>
      </c>
      <c r="F50" s="161">
        <f t="shared" si="26"/>
        <v>16310</v>
      </c>
      <c r="G50" s="159">
        <f>SUM(G51,G286)</f>
        <v>0</v>
      </c>
      <c r="H50" s="160">
        <f>SUM(H51,H286)</f>
        <v>0</v>
      </c>
      <c r="I50" s="161">
        <f t="shared" ref="I50" si="27">SUM(I51,I286)</f>
        <v>0</v>
      </c>
      <c r="J50" s="32">
        <f>SUM(J51,J286)</f>
        <v>16968</v>
      </c>
      <c r="K50" s="33">
        <f t="shared" ref="K50:L50" si="28">SUM(K51,K286)</f>
        <v>0</v>
      </c>
      <c r="L50" s="34">
        <f t="shared" si="28"/>
        <v>16968</v>
      </c>
      <c r="M50" s="32">
        <f>SUM(M51,M286)</f>
        <v>0</v>
      </c>
      <c r="N50" s="33">
        <f t="shared" ref="N50:O50" si="29">SUM(N51,N286)</f>
        <v>0</v>
      </c>
      <c r="O50" s="34">
        <f t="shared" si="29"/>
        <v>0</v>
      </c>
      <c r="P50" s="35"/>
    </row>
    <row r="51" spans="1:16" s="28" customFormat="1" ht="36.75" thickTop="1" x14ac:dyDescent="0.25">
      <c r="A51" s="162"/>
      <c r="B51" s="163" t="s">
        <v>69</v>
      </c>
      <c r="C51" s="164">
        <f t="shared" si="0"/>
        <v>33278</v>
      </c>
      <c r="D51" s="165">
        <f>SUM(D52,D194)</f>
        <v>12458</v>
      </c>
      <c r="E51" s="166">
        <f t="shared" ref="E51:F51" si="30">SUM(E52,E194)</f>
        <v>3852</v>
      </c>
      <c r="F51" s="167">
        <f t="shared" si="30"/>
        <v>16310</v>
      </c>
      <c r="G51" s="165">
        <f>SUM(G52,G194)</f>
        <v>0</v>
      </c>
      <c r="H51" s="166">
        <f t="shared" ref="H51:I51" si="31">SUM(H52,H194)</f>
        <v>0</v>
      </c>
      <c r="I51" s="167">
        <f t="shared" si="31"/>
        <v>0</v>
      </c>
      <c r="J51" s="168">
        <f>SUM(J52,J194)</f>
        <v>16968</v>
      </c>
      <c r="K51" s="169">
        <f t="shared" ref="K51:L51" si="32">SUM(K52,K194)</f>
        <v>0</v>
      </c>
      <c r="L51" s="170">
        <f t="shared" si="32"/>
        <v>16968</v>
      </c>
      <c r="M51" s="168">
        <f>SUM(M52,M194)</f>
        <v>0</v>
      </c>
      <c r="N51" s="169">
        <f t="shared" ref="N51:O51" si="33">SUM(N52,N194)</f>
        <v>0</v>
      </c>
      <c r="O51" s="170">
        <f t="shared" si="33"/>
        <v>0</v>
      </c>
      <c r="P51" s="171"/>
    </row>
    <row r="52" spans="1:16" s="28" customFormat="1" ht="24" x14ac:dyDescent="0.25">
      <c r="A52" s="24"/>
      <c r="B52" s="22" t="s">
        <v>70</v>
      </c>
      <c r="C52" s="172">
        <f t="shared" si="0"/>
        <v>33278</v>
      </c>
      <c r="D52" s="173">
        <f>SUM(D53,D75,D173,D187)</f>
        <v>12458</v>
      </c>
      <c r="E52" s="174">
        <f t="shared" ref="E52:F52" si="34">SUM(E53,E75,E173,E187)</f>
        <v>3852</v>
      </c>
      <c r="F52" s="175">
        <f t="shared" si="34"/>
        <v>16310</v>
      </c>
      <c r="G52" s="173">
        <f>SUM(G53,G75,G173,G187)</f>
        <v>0</v>
      </c>
      <c r="H52" s="174">
        <f t="shared" ref="H52:I52" si="35">SUM(H53,H75,H173,H187)</f>
        <v>0</v>
      </c>
      <c r="I52" s="175">
        <f t="shared" si="35"/>
        <v>0</v>
      </c>
      <c r="J52" s="173">
        <f>SUM(J53,J75,J173,J187)</f>
        <v>16968</v>
      </c>
      <c r="K52" s="174">
        <f t="shared" ref="K52:L52" si="36">SUM(K53,K75,K173,K187)</f>
        <v>0</v>
      </c>
      <c r="L52" s="175">
        <f t="shared" si="36"/>
        <v>16968</v>
      </c>
      <c r="M52" s="173">
        <f>SUM(M53,M75,M173,M187)</f>
        <v>0</v>
      </c>
      <c r="N52" s="174">
        <f t="shared" ref="N52:O52" si="37">SUM(N53,N75,N173,N187)</f>
        <v>0</v>
      </c>
      <c r="O52" s="175">
        <f t="shared" si="37"/>
        <v>0</v>
      </c>
      <c r="P52" s="176"/>
    </row>
    <row r="53" spans="1:16" s="28" customFormat="1" ht="12"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33278</v>
      </c>
      <c r="D75" s="179">
        <f>SUM(D76,D83,D130,D164,D165,D172)</f>
        <v>12458</v>
      </c>
      <c r="E75" s="180">
        <f t="shared" ref="E75:F75" si="74">SUM(E76,E83,E130,E164,E165,E172)</f>
        <v>3852</v>
      </c>
      <c r="F75" s="181">
        <f t="shared" si="74"/>
        <v>16310</v>
      </c>
      <c r="G75" s="179">
        <f>SUM(G76,G83,G130,G164,G165,G172)</f>
        <v>0</v>
      </c>
      <c r="H75" s="180">
        <f t="shared" ref="H75:I75" si="75">SUM(H76,H83,H130,H164,H165,H172)</f>
        <v>0</v>
      </c>
      <c r="I75" s="181">
        <f t="shared" si="75"/>
        <v>0</v>
      </c>
      <c r="J75" s="179">
        <f>SUM(J76,J83,J130,J164,J165,J172)</f>
        <v>16968</v>
      </c>
      <c r="K75" s="180">
        <f t="shared" ref="K75:L75" si="76">SUM(K76,K83,K130,K164,K165,K172)</f>
        <v>0</v>
      </c>
      <c r="L75" s="181">
        <f t="shared" si="76"/>
        <v>16968</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33008</v>
      </c>
      <c r="D83" s="184">
        <f>SUM(D84,D89,D95,D103,D112,D116,D122,D128)</f>
        <v>12458</v>
      </c>
      <c r="E83" s="185">
        <f t="shared" ref="E83:F83" si="98">SUM(E84,E89,E95,E103,E112,E116,E122,E128)</f>
        <v>3852</v>
      </c>
      <c r="F83" s="73">
        <f t="shared" si="98"/>
        <v>16310</v>
      </c>
      <c r="G83" s="184">
        <f>SUM(G84,G89,G95,G103,G112,G116,G122,G128)</f>
        <v>0</v>
      </c>
      <c r="H83" s="185">
        <f t="shared" ref="H83:I83" si="99">SUM(H84,H89,H95,H103,H112,H116,H122,H128)</f>
        <v>0</v>
      </c>
      <c r="I83" s="73">
        <f t="shared" si="99"/>
        <v>0</v>
      </c>
      <c r="J83" s="184">
        <f>SUM(J84,J89,J95,J103,J112,J116,J122,J128)</f>
        <v>16698</v>
      </c>
      <c r="K83" s="185">
        <f t="shared" ref="K83:L83" si="100">SUM(K84,K89,K95,K103,K112,K116,K122,K128)</f>
        <v>0</v>
      </c>
      <c r="L83" s="73">
        <f t="shared" si="100"/>
        <v>16698</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27304</v>
      </c>
      <c r="D89" s="190">
        <f>SUM(D90:D94)</f>
        <v>10588</v>
      </c>
      <c r="E89" s="191">
        <f t="shared" ref="E89:F89" si="111">SUM(E90:E94)</f>
        <v>3852</v>
      </c>
      <c r="F89" s="55">
        <f t="shared" si="111"/>
        <v>14440</v>
      </c>
      <c r="G89" s="190">
        <f>SUM(G90:G94)</f>
        <v>0</v>
      </c>
      <c r="H89" s="191">
        <f t="shared" ref="H89:I89" si="112">SUM(H90:H94)</f>
        <v>0</v>
      </c>
      <c r="I89" s="55">
        <f t="shared" si="112"/>
        <v>0</v>
      </c>
      <c r="J89" s="190">
        <f>SUM(J90:J94)</f>
        <v>12864</v>
      </c>
      <c r="K89" s="191">
        <f t="shared" ref="K89:L89" si="113">SUM(K90:K94)</f>
        <v>0</v>
      </c>
      <c r="L89" s="55">
        <f t="shared" si="113"/>
        <v>12864</v>
      </c>
      <c r="M89" s="190">
        <f>SUM(M90:M94)</f>
        <v>0</v>
      </c>
      <c r="N89" s="191">
        <f t="shared" ref="N89:O89" si="114">SUM(N90:N94)</f>
        <v>0</v>
      </c>
      <c r="O89" s="55">
        <f t="shared" si="114"/>
        <v>0</v>
      </c>
      <c r="P89" s="57"/>
    </row>
    <row r="90" spans="1:16" ht="30.75" customHeight="1" x14ac:dyDescent="0.25">
      <c r="A90" s="51">
        <v>2221</v>
      </c>
      <c r="B90" s="89" t="s">
        <v>106</v>
      </c>
      <c r="C90" s="90">
        <f t="shared" si="102"/>
        <v>10540</v>
      </c>
      <c r="D90" s="196">
        <v>3577</v>
      </c>
      <c r="E90" s="197">
        <v>1500</v>
      </c>
      <c r="F90" s="55">
        <f t="shared" ref="F90:F94" si="115">D90+E90</f>
        <v>5077</v>
      </c>
      <c r="G90" s="53"/>
      <c r="H90" s="54"/>
      <c r="I90" s="55">
        <f t="shared" ref="I90:I94" si="116">G90+H90</f>
        <v>0</v>
      </c>
      <c r="J90" s="53">
        <v>5463</v>
      </c>
      <c r="K90" s="54"/>
      <c r="L90" s="55">
        <f t="shared" ref="L90:L94" si="117">K90+J90</f>
        <v>5463</v>
      </c>
      <c r="M90" s="53"/>
      <c r="N90" s="54"/>
      <c r="O90" s="55">
        <f t="shared" ref="O90:O94" si="118">N90+M90</f>
        <v>0</v>
      </c>
      <c r="P90" s="57" t="s">
        <v>1676</v>
      </c>
    </row>
    <row r="91" spans="1:16" ht="24" customHeight="1" x14ac:dyDescent="0.25">
      <c r="A91" s="51">
        <v>2222</v>
      </c>
      <c r="B91" s="89" t="s">
        <v>107</v>
      </c>
      <c r="C91" s="90">
        <f t="shared" si="102"/>
        <v>1017</v>
      </c>
      <c r="D91" s="196">
        <v>355</v>
      </c>
      <c r="E91" s="197">
        <v>252</v>
      </c>
      <c r="F91" s="55">
        <f t="shared" si="115"/>
        <v>607</v>
      </c>
      <c r="G91" s="53"/>
      <c r="H91" s="54"/>
      <c r="I91" s="55">
        <f t="shared" si="116"/>
        <v>0</v>
      </c>
      <c r="J91" s="53">
        <v>410</v>
      </c>
      <c r="K91" s="54"/>
      <c r="L91" s="55">
        <f t="shared" si="117"/>
        <v>410</v>
      </c>
      <c r="M91" s="53"/>
      <c r="N91" s="54"/>
      <c r="O91" s="55">
        <f t="shared" si="118"/>
        <v>0</v>
      </c>
      <c r="P91" s="57" t="s">
        <v>1677</v>
      </c>
    </row>
    <row r="92" spans="1:16" ht="21.75" customHeight="1" x14ac:dyDescent="0.25">
      <c r="A92" s="51">
        <v>2223</v>
      </c>
      <c r="B92" s="89" t="s">
        <v>108</v>
      </c>
      <c r="C92" s="90">
        <f t="shared" si="102"/>
        <v>15662</v>
      </c>
      <c r="D92" s="196">
        <v>6656</v>
      </c>
      <c r="E92" s="197">
        <v>2100</v>
      </c>
      <c r="F92" s="55">
        <f t="shared" si="115"/>
        <v>8756</v>
      </c>
      <c r="G92" s="53"/>
      <c r="H92" s="54"/>
      <c r="I92" s="55">
        <f t="shared" si="116"/>
        <v>0</v>
      </c>
      <c r="J92" s="53">
        <v>6906</v>
      </c>
      <c r="K92" s="54"/>
      <c r="L92" s="55">
        <f t="shared" si="117"/>
        <v>6906</v>
      </c>
      <c r="M92" s="53"/>
      <c r="N92" s="54"/>
      <c r="O92" s="55">
        <f t="shared" si="118"/>
        <v>0</v>
      </c>
      <c r="P92" s="57" t="s">
        <v>1678</v>
      </c>
    </row>
    <row r="93" spans="1:16" ht="48" customHeight="1" x14ac:dyDescent="0.25">
      <c r="A93" s="51">
        <v>2224</v>
      </c>
      <c r="B93" s="89" t="s">
        <v>109</v>
      </c>
      <c r="C93" s="90">
        <f t="shared" si="102"/>
        <v>85</v>
      </c>
      <c r="D93" s="196"/>
      <c r="E93" s="197"/>
      <c r="F93" s="55">
        <f t="shared" si="115"/>
        <v>0</v>
      </c>
      <c r="G93" s="53"/>
      <c r="H93" s="54"/>
      <c r="I93" s="55">
        <f t="shared" si="116"/>
        <v>0</v>
      </c>
      <c r="J93" s="53">
        <v>85</v>
      </c>
      <c r="K93" s="54"/>
      <c r="L93" s="55">
        <f t="shared" si="117"/>
        <v>85</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5697</v>
      </c>
      <c r="D103" s="190">
        <f>SUM(D104:D111)</f>
        <v>1870</v>
      </c>
      <c r="E103" s="191">
        <f t="shared" ref="E103:F103" si="127">SUM(E104:E111)</f>
        <v>0</v>
      </c>
      <c r="F103" s="55">
        <f t="shared" si="127"/>
        <v>1870</v>
      </c>
      <c r="G103" s="190">
        <f>SUM(G104:G111)</f>
        <v>0</v>
      </c>
      <c r="H103" s="191">
        <f t="shared" ref="H103:I103" si="128">SUM(H104:H111)</f>
        <v>0</v>
      </c>
      <c r="I103" s="55">
        <f t="shared" si="128"/>
        <v>0</v>
      </c>
      <c r="J103" s="190">
        <f>SUM(J104:J111)</f>
        <v>3827</v>
      </c>
      <c r="K103" s="191">
        <f t="shared" ref="K103:L103" si="129">SUM(K104:K111)</f>
        <v>0</v>
      </c>
      <c r="L103" s="55">
        <f t="shared" si="129"/>
        <v>3827</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1160</v>
      </c>
      <c r="D106" s="196"/>
      <c r="E106" s="197"/>
      <c r="F106" s="55">
        <f t="shared" si="131"/>
        <v>0</v>
      </c>
      <c r="G106" s="53"/>
      <c r="H106" s="54"/>
      <c r="I106" s="55">
        <f t="shared" si="132"/>
        <v>0</v>
      </c>
      <c r="J106" s="53">
        <v>1160</v>
      </c>
      <c r="K106" s="54"/>
      <c r="L106" s="55">
        <f t="shared" si="133"/>
        <v>1160</v>
      </c>
      <c r="M106" s="53"/>
      <c r="N106" s="54"/>
      <c r="O106" s="55">
        <f t="shared" si="134"/>
        <v>0</v>
      </c>
      <c r="P106" s="57"/>
    </row>
    <row r="107" spans="1:16" ht="12" customHeight="1" x14ac:dyDescent="0.25">
      <c r="A107" s="51">
        <v>2244</v>
      </c>
      <c r="B107" s="89" t="s">
        <v>123</v>
      </c>
      <c r="C107" s="90">
        <f t="shared" si="102"/>
        <v>4537</v>
      </c>
      <c r="D107" s="196">
        <v>1870</v>
      </c>
      <c r="E107" s="197"/>
      <c r="F107" s="55">
        <f t="shared" si="131"/>
        <v>1870</v>
      </c>
      <c r="G107" s="53"/>
      <c r="H107" s="54"/>
      <c r="I107" s="55">
        <f t="shared" si="132"/>
        <v>0</v>
      </c>
      <c r="J107" s="53">
        <v>2667</v>
      </c>
      <c r="K107" s="54"/>
      <c r="L107" s="55">
        <f t="shared" si="133"/>
        <v>2667</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7</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7</v>
      </c>
      <c r="K116" s="191">
        <f t="shared" ref="K116:L116" si="145">SUM(K117:K121)</f>
        <v>0</v>
      </c>
      <c r="L116" s="55">
        <f t="shared" si="145"/>
        <v>7</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7</v>
      </c>
      <c r="D121" s="196"/>
      <c r="E121" s="197"/>
      <c r="F121" s="55">
        <f t="shared" si="147"/>
        <v>0</v>
      </c>
      <c r="G121" s="53"/>
      <c r="H121" s="54"/>
      <c r="I121" s="55">
        <f t="shared" si="148"/>
        <v>0</v>
      </c>
      <c r="J121" s="53">
        <v>7</v>
      </c>
      <c r="K121" s="54"/>
      <c r="L121" s="55">
        <f t="shared" si="149"/>
        <v>7</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7"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7" ht="38.25" customHeight="1" x14ac:dyDescent="0.25">
      <c r="A130" s="69">
        <v>2300</v>
      </c>
      <c r="B130" s="183" t="s">
        <v>146</v>
      </c>
      <c r="C130" s="70">
        <f t="shared" si="102"/>
        <v>270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270</v>
      </c>
      <c r="K130" s="185">
        <f t="shared" ref="K130:L130" si="162">SUM(K131,K136,K140,K141,K144,K151,K159,K160,K163)</f>
        <v>0</v>
      </c>
      <c r="L130" s="73">
        <f t="shared" si="162"/>
        <v>270</v>
      </c>
      <c r="M130" s="184">
        <f>SUM(M131,M136,M140,M141,M144,M151,M159,M160,M163)</f>
        <v>0</v>
      </c>
      <c r="N130" s="185">
        <f t="shared" ref="N130:O130" si="163">SUM(N131,N136,N140,N141,N144,N151,N159,N160,N163)</f>
        <v>0</v>
      </c>
      <c r="O130" s="73">
        <f t="shared" si="163"/>
        <v>0</v>
      </c>
      <c r="P130" s="77"/>
    </row>
    <row r="131" spans="1:17" ht="24" x14ac:dyDescent="0.25">
      <c r="A131" s="1372">
        <v>2310</v>
      </c>
      <c r="B131" s="82" t="s">
        <v>147</v>
      </c>
      <c r="C131" s="83">
        <f t="shared" si="102"/>
        <v>270</v>
      </c>
      <c r="D131" s="194">
        <f t="shared" ref="D131:O131" si="164">SUM(D132:D135)</f>
        <v>0</v>
      </c>
      <c r="E131" s="195">
        <f t="shared" si="164"/>
        <v>0</v>
      </c>
      <c r="F131" s="134">
        <f t="shared" si="164"/>
        <v>0</v>
      </c>
      <c r="G131" s="194">
        <f t="shared" si="164"/>
        <v>0</v>
      </c>
      <c r="H131" s="195">
        <f t="shared" si="164"/>
        <v>0</v>
      </c>
      <c r="I131" s="134">
        <f t="shared" si="164"/>
        <v>0</v>
      </c>
      <c r="J131" s="194">
        <f t="shared" si="164"/>
        <v>270</v>
      </c>
      <c r="K131" s="195">
        <f t="shared" si="164"/>
        <v>0</v>
      </c>
      <c r="L131" s="134">
        <f t="shared" si="164"/>
        <v>270</v>
      </c>
      <c r="M131" s="194">
        <f t="shared" si="164"/>
        <v>0</v>
      </c>
      <c r="N131" s="195">
        <f t="shared" si="164"/>
        <v>0</v>
      </c>
      <c r="O131" s="134">
        <f t="shared" si="164"/>
        <v>0</v>
      </c>
      <c r="P131" s="49"/>
    </row>
    <row r="132" spans="1:17" ht="26.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7" s="730" customFormat="1" ht="19.5" customHeight="1" x14ac:dyDescent="0.25">
      <c r="A133" s="345">
        <v>2312</v>
      </c>
      <c r="B133" s="346" t="s">
        <v>149</v>
      </c>
      <c r="C133" s="347">
        <f t="shared" si="102"/>
        <v>240</v>
      </c>
      <c r="D133" s="352"/>
      <c r="E133" s="353"/>
      <c r="F133" s="350">
        <f t="shared" si="165"/>
        <v>0</v>
      </c>
      <c r="G133" s="348"/>
      <c r="H133" s="349"/>
      <c r="I133" s="350">
        <f t="shared" si="166"/>
        <v>0</v>
      </c>
      <c r="J133" s="348">
        <v>240</v>
      </c>
      <c r="K133" s="349"/>
      <c r="L133" s="350">
        <f t="shared" si="167"/>
        <v>240</v>
      </c>
      <c r="M133" s="348"/>
      <c r="N133" s="349"/>
      <c r="O133" s="350">
        <f t="shared" si="168"/>
        <v>0</v>
      </c>
      <c r="P133" s="354"/>
      <c r="Q133" s="1401"/>
    </row>
    <row r="134" spans="1:17" ht="12" customHeight="1" x14ac:dyDescent="0.25">
      <c r="A134" s="51">
        <v>2313</v>
      </c>
      <c r="B134" s="89" t="s">
        <v>150</v>
      </c>
      <c r="C134" s="90">
        <f t="shared" si="102"/>
        <v>30</v>
      </c>
      <c r="D134" s="196"/>
      <c r="E134" s="197"/>
      <c r="F134" s="55">
        <f t="shared" si="165"/>
        <v>0</v>
      </c>
      <c r="G134" s="53"/>
      <c r="H134" s="54"/>
      <c r="I134" s="55">
        <f t="shared" si="166"/>
        <v>0</v>
      </c>
      <c r="J134" s="53">
        <v>30</v>
      </c>
      <c r="K134" s="54"/>
      <c r="L134" s="55">
        <f t="shared" si="167"/>
        <v>30</v>
      </c>
      <c r="M134" s="53"/>
      <c r="N134" s="54"/>
      <c r="O134" s="55">
        <f t="shared" si="168"/>
        <v>0</v>
      </c>
      <c r="P134" s="57"/>
    </row>
    <row r="135" spans="1:17"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7"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7"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7"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7"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7"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7"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7"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7"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7"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33278</v>
      </c>
      <c r="D289" s="252">
        <f t="shared" ref="D289:O289" si="389">SUM(D286,D269,D230,D195,D187,D173,D75,D53,D283)</f>
        <v>12458</v>
      </c>
      <c r="E289" s="253">
        <f t="shared" si="389"/>
        <v>3852</v>
      </c>
      <c r="F289" s="254">
        <f t="shared" si="389"/>
        <v>16310</v>
      </c>
      <c r="G289" s="252">
        <f t="shared" si="389"/>
        <v>0</v>
      </c>
      <c r="H289" s="253">
        <f t="shared" si="389"/>
        <v>0</v>
      </c>
      <c r="I289" s="254">
        <f t="shared" si="389"/>
        <v>0</v>
      </c>
      <c r="J289" s="252">
        <f t="shared" si="389"/>
        <v>16968</v>
      </c>
      <c r="K289" s="253">
        <f t="shared" si="389"/>
        <v>0</v>
      </c>
      <c r="L289" s="254">
        <f t="shared" si="389"/>
        <v>16968</v>
      </c>
      <c r="M289" s="252">
        <f t="shared" si="389"/>
        <v>0</v>
      </c>
      <c r="N289" s="253">
        <f t="shared" si="389"/>
        <v>0</v>
      </c>
      <c r="O289" s="254">
        <f t="shared" si="389"/>
        <v>0</v>
      </c>
      <c r="P289" s="255"/>
    </row>
    <row r="290" spans="1:16" s="28" customFormat="1" ht="13.5" thickTop="1" thickBot="1" x14ac:dyDescent="0.3">
      <c r="A290" s="1544" t="s">
        <v>308</v>
      </c>
      <c r="B290" s="1545"/>
      <c r="C290" s="256">
        <f t="shared" si="371"/>
        <v>-2229</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-2229</v>
      </c>
      <c r="K290" s="258">
        <f t="shared" ref="K290:L290" si="392">(K26+K43)-K51</f>
        <v>0</v>
      </c>
      <c r="L290" s="259">
        <f t="shared" si="392"/>
        <v>-2229</v>
      </c>
      <c r="M290" s="257">
        <f>M45-M51</f>
        <v>0</v>
      </c>
      <c r="N290" s="258">
        <f t="shared" ref="N290:O290" si="393">N45-N51</f>
        <v>0</v>
      </c>
      <c r="O290" s="259">
        <f t="shared" si="393"/>
        <v>0</v>
      </c>
      <c r="P290" s="260"/>
    </row>
    <row r="291" spans="1:16" s="28" customFormat="1" ht="12.75" thickTop="1" x14ac:dyDescent="0.25">
      <c r="A291" s="1546" t="s">
        <v>309</v>
      </c>
      <c r="B291" s="1547"/>
      <c r="C291" s="261">
        <f t="shared" si="371"/>
        <v>2229</v>
      </c>
      <c r="D291" s="262">
        <f t="shared" ref="D291:O291" si="394">SUM(D292,D293)-D300+D301</f>
        <v>0</v>
      </c>
      <c r="E291" s="263">
        <f t="shared" si="394"/>
        <v>0</v>
      </c>
      <c r="F291" s="264">
        <f t="shared" si="394"/>
        <v>0</v>
      </c>
      <c r="G291" s="262">
        <f t="shared" si="394"/>
        <v>0</v>
      </c>
      <c r="H291" s="263">
        <f t="shared" si="394"/>
        <v>0</v>
      </c>
      <c r="I291" s="264">
        <f t="shared" si="394"/>
        <v>0</v>
      </c>
      <c r="J291" s="262">
        <f t="shared" si="394"/>
        <v>2229</v>
      </c>
      <c r="K291" s="263">
        <f t="shared" si="394"/>
        <v>0</v>
      </c>
      <c r="L291" s="264">
        <f t="shared" si="394"/>
        <v>2229</v>
      </c>
      <c r="M291" s="262">
        <f t="shared" si="394"/>
        <v>0</v>
      </c>
      <c r="N291" s="263">
        <f t="shared" si="394"/>
        <v>0</v>
      </c>
      <c r="O291" s="264">
        <f t="shared" si="394"/>
        <v>0</v>
      </c>
      <c r="P291" s="265"/>
    </row>
    <row r="292" spans="1:16" s="28" customFormat="1" ht="12.75" thickBot="1" x14ac:dyDescent="0.3">
      <c r="A292" s="157" t="s">
        <v>310</v>
      </c>
      <c r="B292" s="157" t="s">
        <v>311</v>
      </c>
      <c r="C292" s="158">
        <f t="shared" si="371"/>
        <v>2229</v>
      </c>
      <c r="D292" s="159">
        <f t="shared" ref="D292:O292" si="395">D21-D286</f>
        <v>0</v>
      </c>
      <c r="E292" s="160">
        <f t="shared" si="395"/>
        <v>0</v>
      </c>
      <c r="F292" s="161">
        <f t="shared" si="395"/>
        <v>0</v>
      </c>
      <c r="G292" s="159">
        <f t="shared" si="395"/>
        <v>0</v>
      </c>
      <c r="H292" s="160">
        <f t="shared" si="395"/>
        <v>0</v>
      </c>
      <c r="I292" s="161">
        <f t="shared" si="395"/>
        <v>0</v>
      </c>
      <c r="J292" s="159">
        <f t="shared" si="395"/>
        <v>2229</v>
      </c>
      <c r="K292" s="160">
        <f t="shared" si="395"/>
        <v>0</v>
      </c>
      <c r="L292" s="161">
        <f t="shared" si="395"/>
        <v>2229</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D/vycej4R38y0kt1QLLg0DW7NkmrJmfa0xnpkcsAteRj32D/ZStwJNYoOf9C54yOYMBmPOjn5fd0FTkP6r7DWA==" saltValue="7bD9el8Cj/p3BswBDseVpg==" spinCount="100000" sheet="1" objects="1" scenarios="1" formatCells="0" formatColumns="0" formatRows="0" deleteColumns="0"/>
  <autoFilter ref="A18:P301">
    <filterColumn colId="2">
      <filters>
        <filter val="1 017"/>
        <filter val="1 160"/>
        <filter val="1 814"/>
        <filter val="10 540"/>
        <filter val="14 739"/>
        <filter val="15 662"/>
        <filter val="16 310"/>
        <filter val="2 229"/>
        <filter val="-2 229"/>
        <filter val="240"/>
        <filter val="27 304"/>
        <filter val="270"/>
        <filter val="30"/>
        <filter val="33 008"/>
        <filter val="33 278"/>
        <filter val="4 537"/>
        <filter val="415"/>
        <filter val="5 697"/>
        <filter val="7"/>
        <filter val="8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61.pielikums Jūrmalas pilsētas domes
2019.gada 31.oktobra saistošajiem noteikumiem Nr.46
(protokols Nr.14, 28.punkts)
 </firstHeader>
    <firstFooter>&amp;L&amp;9&amp;D; &amp;T&amp;R&amp;9&amp;P (&amp;N)</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10" workbookViewId="0">
      <selection activeCell="T3" sqref="T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1679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436</v>
      </c>
      <c r="D3" s="1517"/>
      <c r="E3" s="1517"/>
      <c r="F3" s="1517"/>
      <c r="G3" s="1517"/>
      <c r="H3" s="1517"/>
      <c r="I3" s="1517"/>
      <c r="J3" s="1517"/>
      <c r="K3" s="1517"/>
      <c r="L3" s="1517"/>
      <c r="M3" s="1517"/>
      <c r="N3" s="1517"/>
      <c r="O3" s="1517"/>
      <c r="P3" s="1518"/>
      <c r="Q3" s="277"/>
    </row>
    <row r="4" spans="1:17" ht="12.75" customHeight="1" x14ac:dyDescent="0.25">
      <c r="A4" s="5" t="s">
        <v>4</v>
      </c>
      <c r="B4" s="6"/>
      <c r="C4" s="1517" t="s">
        <v>1656</v>
      </c>
      <c r="D4" s="1517"/>
      <c r="E4" s="1517"/>
      <c r="F4" s="1517"/>
      <c r="G4" s="1517"/>
      <c r="H4" s="1517"/>
      <c r="I4" s="1517"/>
      <c r="J4" s="1517"/>
      <c r="K4" s="1517"/>
      <c r="L4" s="1517"/>
      <c r="M4" s="1517"/>
      <c r="N4" s="1517"/>
      <c r="O4" s="1517"/>
      <c r="P4" s="1518"/>
      <c r="Q4" s="277"/>
    </row>
    <row r="5" spans="1:17" ht="12.75" customHeight="1" x14ac:dyDescent="0.25">
      <c r="A5" s="7" t="s">
        <v>6</v>
      </c>
      <c r="B5" s="8"/>
      <c r="C5" s="1512" t="s">
        <v>1657</v>
      </c>
      <c r="D5" s="1512"/>
      <c r="E5" s="1512"/>
      <c r="F5" s="1512"/>
      <c r="G5" s="1512"/>
      <c r="H5" s="1512"/>
      <c r="I5" s="1512"/>
      <c r="J5" s="1512"/>
      <c r="K5" s="1512"/>
      <c r="L5" s="1512"/>
      <c r="M5" s="1512"/>
      <c r="N5" s="1512"/>
      <c r="O5" s="1512"/>
      <c r="P5" s="1513"/>
      <c r="Q5" s="277"/>
    </row>
    <row r="6" spans="1:17" ht="12.75" customHeight="1" x14ac:dyDescent="0.25">
      <c r="A6" s="7" t="s">
        <v>8</v>
      </c>
      <c r="B6" s="8"/>
      <c r="C6" s="1512" t="s">
        <v>430</v>
      </c>
      <c r="D6" s="1512"/>
      <c r="E6" s="1512"/>
      <c r="F6" s="1512"/>
      <c r="G6" s="1512"/>
      <c r="H6" s="1512"/>
      <c r="I6" s="1512"/>
      <c r="J6" s="1512"/>
      <c r="K6" s="1512"/>
      <c r="L6" s="1512"/>
      <c r="M6" s="1512"/>
      <c r="N6" s="1512"/>
      <c r="O6" s="1512"/>
      <c r="P6" s="1513"/>
      <c r="Q6" s="277"/>
    </row>
    <row r="7" spans="1:17" x14ac:dyDescent="0.25">
      <c r="A7" s="7" t="s">
        <v>10</v>
      </c>
      <c r="B7" s="8"/>
      <c r="C7" s="1517" t="s">
        <v>1680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1658</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1659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31935</v>
      </c>
      <c r="D20" s="32">
        <f>SUM(D21,D24,D25,D41,D43)</f>
        <v>16434</v>
      </c>
      <c r="E20" s="33">
        <f t="shared" ref="E20:F20" si="1">SUM(E21,E24,E25,E41,E43)</f>
        <v>0</v>
      </c>
      <c r="F20" s="34">
        <f t="shared" si="1"/>
        <v>16434</v>
      </c>
      <c r="G20" s="32">
        <f>SUM(G21,G24,G43)</f>
        <v>0</v>
      </c>
      <c r="H20" s="33">
        <f t="shared" ref="H20:I20" si="2">SUM(H21,H24,H43)</f>
        <v>0</v>
      </c>
      <c r="I20" s="34">
        <f t="shared" si="2"/>
        <v>0</v>
      </c>
      <c r="J20" s="32">
        <f>SUM(J21,J26,J43)</f>
        <v>15501</v>
      </c>
      <c r="K20" s="33">
        <f t="shared" ref="K20:L20" si="3">SUM(K21,K26,K43)</f>
        <v>0</v>
      </c>
      <c r="L20" s="34">
        <f t="shared" si="3"/>
        <v>15501</v>
      </c>
      <c r="M20" s="32">
        <f>SUM(M21,M45)</f>
        <v>0</v>
      </c>
      <c r="N20" s="33">
        <f t="shared" ref="N20:O20" si="4">SUM(N21,N45)</f>
        <v>0</v>
      </c>
      <c r="O20" s="34">
        <f t="shared" si="4"/>
        <v>0</v>
      </c>
      <c r="P20" s="35"/>
    </row>
    <row r="21" spans="1:16" ht="12.75" thickTop="1" x14ac:dyDescent="0.25">
      <c r="A21" s="36"/>
      <c r="B21" s="37" t="s">
        <v>39</v>
      </c>
      <c r="C21" s="38">
        <f t="shared" si="0"/>
        <v>5116</v>
      </c>
      <c r="D21" s="39">
        <f>SUM(D22:D23)</f>
        <v>0</v>
      </c>
      <c r="E21" s="40">
        <f t="shared" ref="E21:F21" si="5">SUM(E22:E23)</f>
        <v>0</v>
      </c>
      <c r="F21" s="41">
        <f t="shared" si="5"/>
        <v>0</v>
      </c>
      <c r="G21" s="39">
        <f>SUM(G22:G23)</f>
        <v>0</v>
      </c>
      <c r="H21" s="40">
        <f t="shared" ref="H21:I21" si="6">SUM(H22:H23)</f>
        <v>0</v>
      </c>
      <c r="I21" s="41">
        <f t="shared" si="6"/>
        <v>0</v>
      </c>
      <c r="J21" s="39">
        <f>SUM(J22:J23)</f>
        <v>5116</v>
      </c>
      <c r="K21" s="40">
        <f t="shared" ref="K21:L21" si="7">SUM(K22:K23)</f>
        <v>0</v>
      </c>
      <c r="L21" s="41">
        <f t="shared" si="7"/>
        <v>5116</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5116</v>
      </c>
      <c r="D23" s="53"/>
      <c r="E23" s="54"/>
      <c r="F23" s="55">
        <f t="shared" ref="F23:F25" si="9">D23+E23</f>
        <v>0</v>
      </c>
      <c r="G23" s="53"/>
      <c r="H23" s="54"/>
      <c r="I23" s="55">
        <f t="shared" ref="I23:I24" si="10">G23+H23</f>
        <v>0</v>
      </c>
      <c r="J23" s="53">
        <v>5116</v>
      </c>
      <c r="K23" s="54"/>
      <c r="L23" s="56">
        <f>K23+J23</f>
        <v>5116</v>
      </c>
      <c r="M23" s="53"/>
      <c r="N23" s="54"/>
      <c r="O23" s="55">
        <f>N23+M23</f>
        <v>0</v>
      </c>
      <c r="P23" s="57"/>
    </row>
    <row r="24" spans="1:16" s="28" customFormat="1" ht="24.75" customHeight="1" thickBot="1" x14ac:dyDescent="0.3">
      <c r="A24" s="58">
        <v>19300</v>
      </c>
      <c r="B24" s="58" t="s">
        <v>42</v>
      </c>
      <c r="C24" s="59">
        <f>F24+I24</f>
        <v>16434</v>
      </c>
      <c r="D24" s="60">
        <v>16434</v>
      </c>
      <c r="E24" s="63"/>
      <c r="F24" s="62">
        <f t="shared" si="9"/>
        <v>16434</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10385</v>
      </c>
      <c r="D26" s="74" t="s">
        <v>43</v>
      </c>
      <c r="E26" s="75" t="s">
        <v>43</v>
      </c>
      <c r="F26" s="76" t="s">
        <v>43</v>
      </c>
      <c r="G26" s="74" t="s">
        <v>43</v>
      </c>
      <c r="H26" s="75" t="s">
        <v>43</v>
      </c>
      <c r="I26" s="76" t="s">
        <v>43</v>
      </c>
      <c r="J26" s="78">
        <f>SUM(J27,J31,J33,J36)</f>
        <v>10385</v>
      </c>
      <c r="K26" s="79">
        <f t="shared" ref="K26:L26" si="11">SUM(K27,K31,K33,K36)</f>
        <v>0</v>
      </c>
      <c r="L26" s="80">
        <f t="shared" si="11"/>
        <v>10385</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6984</v>
      </c>
      <c r="D33" s="74" t="s">
        <v>43</v>
      </c>
      <c r="E33" s="75" t="s">
        <v>43</v>
      </c>
      <c r="F33" s="76" t="s">
        <v>43</v>
      </c>
      <c r="G33" s="74" t="s">
        <v>43</v>
      </c>
      <c r="H33" s="75" t="s">
        <v>43</v>
      </c>
      <c r="I33" s="76" t="s">
        <v>43</v>
      </c>
      <c r="J33" s="78">
        <f>SUM(J34:J35)</f>
        <v>6984</v>
      </c>
      <c r="K33" s="79">
        <f t="shared" ref="K33:L33" si="17">SUM(K34:K35)</f>
        <v>0</v>
      </c>
      <c r="L33" s="80">
        <f t="shared" si="17"/>
        <v>6984</v>
      </c>
      <c r="M33" s="78" t="s">
        <v>43</v>
      </c>
      <c r="N33" s="79" t="s">
        <v>43</v>
      </c>
      <c r="O33" s="80" t="s">
        <v>43</v>
      </c>
      <c r="P33" s="77"/>
    </row>
    <row r="34" spans="1:16" ht="12" customHeight="1" x14ac:dyDescent="0.25">
      <c r="A34" s="44">
        <v>21381</v>
      </c>
      <c r="B34" s="82" t="s">
        <v>53</v>
      </c>
      <c r="C34" s="83">
        <f t="shared" si="16"/>
        <v>6984</v>
      </c>
      <c r="D34" s="84" t="s">
        <v>43</v>
      </c>
      <c r="E34" s="85" t="s">
        <v>43</v>
      </c>
      <c r="F34" s="86" t="s">
        <v>43</v>
      </c>
      <c r="G34" s="84" t="s">
        <v>43</v>
      </c>
      <c r="H34" s="85" t="s">
        <v>43</v>
      </c>
      <c r="I34" s="86" t="s">
        <v>43</v>
      </c>
      <c r="J34" s="46">
        <v>6984</v>
      </c>
      <c r="K34" s="47"/>
      <c r="L34" s="48">
        <f t="shared" ref="L34:L35" si="18">K34+J34</f>
        <v>6984</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3401</v>
      </c>
      <c r="D36" s="74" t="s">
        <v>43</v>
      </c>
      <c r="E36" s="75" t="s">
        <v>43</v>
      </c>
      <c r="F36" s="76" t="s">
        <v>43</v>
      </c>
      <c r="G36" s="74" t="s">
        <v>43</v>
      </c>
      <c r="H36" s="75" t="s">
        <v>43</v>
      </c>
      <c r="I36" s="76" t="s">
        <v>43</v>
      </c>
      <c r="J36" s="78">
        <f>SUM(J37:J40)</f>
        <v>3401</v>
      </c>
      <c r="K36" s="79">
        <f t="shared" ref="K36:L36" si="19">SUM(K37:K40)</f>
        <v>0</v>
      </c>
      <c r="L36" s="80">
        <f t="shared" si="19"/>
        <v>3401</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3401</v>
      </c>
      <c r="D40" s="111" t="s">
        <v>43</v>
      </c>
      <c r="E40" s="112" t="s">
        <v>43</v>
      </c>
      <c r="F40" s="113" t="s">
        <v>43</v>
      </c>
      <c r="G40" s="111" t="s">
        <v>43</v>
      </c>
      <c r="H40" s="112" t="s">
        <v>43</v>
      </c>
      <c r="I40" s="113" t="s">
        <v>43</v>
      </c>
      <c r="J40" s="114">
        <v>3401</v>
      </c>
      <c r="K40" s="115"/>
      <c r="L40" s="116">
        <f t="shared" si="20"/>
        <v>3401</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31935</v>
      </c>
      <c r="D50" s="159">
        <f>SUM(D51,D286)</f>
        <v>16434</v>
      </c>
      <c r="E50" s="160">
        <f t="shared" ref="E50:F50" si="26">SUM(E51,E286)</f>
        <v>0</v>
      </c>
      <c r="F50" s="161">
        <f t="shared" si="26"/>
        <v>16434</v>
      </c>
      <c r="G50" s="159">
        <f>SUM(G51,G286)</f>
        <v>0</v>
      </c>
      <c r="H50" s="160">
        <f>SUM(H51,H286)</f>
        <v>0</v>
      </c>
      <c r="I50" s="161">
        <f t="shared" ref="I50" si="27">SUM(I51,I286)</f>
        <v>0</v>
      </c>
      <c r="J50" s="32">
        <f>SUM(J51,J286)</f>
        <v>15501</v>
      </c>
      <c r="K50" s="33">
        <f t="shared" ref="K50:L50" si="28">SUM(K51,K286)</f>
        <v>0</v>
      </c>
      <c r="L50" s="34">
        <f t="shared" si="28"/>
        <v>15501</v>
      </c>
      <c r="M50" s="32">
        <f>SUM(M51,M286)</f>
        <v>0</v>
      </c>
      <c r="N50" s="33">
        <f t="shared" ref="N50:O50" si="29">SUM(N51,N286)</f>
        <v>0</v>
      </c>
      <c r="O50" s="34">
        <f t="shared" si="29"/>
        <v>0</v>
      </c>
      <c r="P50" s="35"/>
    </row>
    <row r="51" spans="1:16" s="28" customFormat="1" ht="36.75" thickTop="1" x14ac:dyDescent="0.25">
      <c r="A51" s="162"/>
      <c r="B51" s="163" t="s">
        <v>69</v>
      </c>
      <c r="C51" s="164">
        <f t="shared" si="0"/>
        <v>31935</v>
      </c>
      <c r="D51" s="165">
        <f>SUM(D52,D194)</f>
        <v>16434</v>
      </c>
      <c r="E51" s="166">
        <f t="shared" ref="E51:F51" si="30">SUM(E52,E194)</f>
        <v>0</v>
      </c>
      <c r="F51" s="167">
        <f t="shared" si="30"/>
        <v>16434</v>
      </c>
      <c r="G51" s="165">
        <f>SUM(G52,G194)</f>
        <v>0</v>
      </c>
      <c r="H51" s="166">
        <f t="shared" ref="H51:I51" si="31">SUM(H52,H194)</f>
        <v>0</v>
      </c>
      <c r="I51" s="167">
        <f t="shared" si="31"/>
        <v>0</v>
      </c>
      <c r="J51" s="168">
        <f>SUM(J52,J194)</f>
        <v>15501</v>
      </c>
      <c r="K51" s="169">
        <f t="shared" ref="K51:L51" si="32">SUM(K52,K194)</f>
        <v>0</v>
      </c>
      <c r="L51" s="170">
        <f t="shared" si="32"/>
        <v>15501</v>
      </c>
      <c r="M51" s="168">
        <f>SUM(M52,M194)</f>
        <v>0</v>
      </c>
      <c r="N51" s="169">
        <f t="shared" ref="N51:O51" si="33">SUM(N52,N194)</f>
        <v>0</v>
      </c>
      <c r="O51" s="170">
        <f t="shared" si="33"/>
        <v>0</v>
      </c>
      <c r="P51" s="171"/>
    </row>
    <row r="52" spans="1:16" s="28" customFormat="1" ht="24" x14ac:dyDescent="0.25">
      <c r="A52" s="24"/>
      <c r="B52" s="22" t="s">
        <v>70</v>
      </c>
      <c r="C52" s="172">
        <f t="shared" si="0"/>
        <v>31935</v>
      </c>
      <c r="D52" s="173">
        <f>SUM(D53,D75,D173,D187)</f>
        <v>16434</v>
      </c>
      <c r="E52" s="174">
        <f t="shared" ref="E52:F52" si="34">SUM(E53,E75,E173,E187)</f>
        <v>0</v>
      </c>
      <c r="F52" s="175">
        <f t="shared" si="34"/>
        <v>16434</v>
      </c>
      <c r="G52" s="173">
        <f>SUM(G53,G75,G173,G187)</f>
        <v>0</v>
      </c>
      <c r="H52" s="174">
        <f t="shared" ref="H52:I52" si="35">SUM(H53,H75,H173,H187)</f>
        <v>0</v>
      </c>
      <c r="I52" s="175">
        <f t="shared" si="35"/>
        <v>0</v>
      </c>
      <c r="J52" s="173">
        <f>SUM(J53,J75,J173,J187)</f>
        <v>15501</v>
      </c>
      <c r="K52" s="174">
        <f t="shared" ref="K52:L52" si="36">SUM(K53,K75,K173,K187)</f>
        <v>0</v>
      </c>
      <c r="L52" s="175">
        <f t="shared" si="36"/>
        <v>15501</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31935</v>
      </c>
      <c r="D75" s="179">
        <f>SUM(D76,D83,D130,D164,D165,D172)</f>
        <v>16434</v>
      </c>
      <c r="E75" s="180">
        <f t="shared" ref="E75:F75" si="74">SUM(E76,E83,E130,E164,E165,E172)</f>
        <v>0</v>
      </c>
      <c r="F75" s="181">
        <f t="shared" si="74"/>
        <v>16434</v>
      </c>
      <c r="G75" s="179">
        <f>SUM(G76,G83,G130,G164,G165,G172)</f>
        <v>0</v>
      </c>
      <c r="H75" s="180">
        <f t="shared" ref="H75:I75" si="75">SUM(H76,H83,H130,H164,H165,H172)</f>
        <v>0</v>
      </c>
      <c r="I75" s="181">
        <f t="shared" si="75"/>
        <v>0</v>
      </c>
      <c r="J75" s="179">
        <f>SUM(J76,J83,J130,J164,J165,J172)</f>
        <v>15501</v>
      </c>
      <c r="K75" s="180">
        <f t="shared" ref="K75:L75" si="76">SUM(K76,K83,K130,K164,K165,K172)</f>
        <v>0</v>
      </c>
      <c r="L75" s="181">
        <f t="shared" si="76"/>
        <v>15501</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28531</v>
      </c>
      <c r="D83" s="184">
        <f>SUM(D84,D89,D95,D103,D112,D116,D122,D128)</f>
        <v>16434</v>
      </c>
      <c r="E83" s="185">
        <f t="shared" ref="E83:F83" si="98">SUM(E84,E89,E95,E103,E112,E116,E122,E128)</f>
        <v>0</v>
      </c>
      <c r="F83" s="73">
        <f t="shared" si="98"/>
        <v>16434</v>
      </c>
      <c r="G83" s="184">
        <f>SUM(G84,G89,G95,G103,G112,G116,G122,G128)</f>
        <v>0</v>
      </c>
      <c r="H83" s="185">
        <f t="shared" ref="H83:I83" si="99">SUM(H84,H89,H95,H103,H112,H116,H122,H128)</f>
        <v>0</v>
      </c>
      <c r="I83" s="73">
        <f t="shared" si="99"/>
        <v>0</v>
      </c>
      <c r="J83" s="184">
        <f>SUM(J84,J89,J95,J103,J112,J116,J122,J128)</f>
        <v>12097</v>
      </c>
      <c r="K83" s="185">
        <f t="shared" ref="K83:L83" si="100">SUM(K84,K89,K95,K103,K112,K116,K122,K128)</f>
        <v>0</v>
      </c>
      <c r="L83" s="73">
        <f t="shared" si="100"/>
        <v>12097</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633</v>
      </c>
      <c r="D89" s="190">
        <f>SUM(D90:D94)</f>
        <v>482</v>
      </c>
      <c r="E89" s="191">
        <f t="shared" ref="E89:F89" si="111">SUM(E90:E94)</f>
        <v>0</v>
      </c>
      <c r="F89" s="55">
        <f t="shared" si="111"/>
        <v>482</v>
      </c>
      <c r="G89" s="190">
        <f>SUM(G90:G94)</f>
        <v>0</v>
      </c>
      <c r="H89" s="191">
        <f t="shared" ref="H89:I89" si="112">SUM(H90:H94)</f>
        <v>0</v>
      </c>
      <c r="I89" s="55">
        <f t="shared" si="112"/>
        <v>0</v>
      </c>
      <c r="J89" s="190">
        <f>SUM(J90:J94)</f>
        <v>151</v>
      </c>
      <c r="K89" s="191">
        <f t="shared" ref="K89:L89" si="113">SUM(K90:K94)</f>
        <v>0</v>
      </c>
      <c r="L89" s="55">
        <f t="shared" si="113"/>
        <v>151</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20.25" customHeight="1" x14ac:dyDescent="0.25">
      <c r="A91" s="51">
        <v>2222</v>
      </c>
      <c r="B91" s="89" t="s">
        <v>107</v>
      </c>
      <c r="C91" s="90">
        <f t="shared" si="102"/>
        <v>51</v>
      </c>
      <c r="D91" s="1392"/>
      <c r="E91" s="198"/>
      <c r="F91" s="55">
        <f t="shared" si="115"/>
        <v>0</v>
      </c>
      <c r="G91" s="1389"/>
      <c r="H91" s="725"/>
      <c r="I91" s="55">
        <f t="shared" si="116"/>
        <v>0</v>
      </c>
      <c r="J91" s="53">
        <v>33</v>
      </c>
      <c r="K91" s="54">
        <v>18</v>
      </c>
      <c r="L91" s="55">
        <f t="shared" si="117"/>
        <v>51</v>
      </c>
      <c r="M91" s="1389"/>
      <c r="N91" s="725"/>
      <c r="O91" s="55">
        <f t="shared" si="118"/>
        <v>0</v>
      </c>
      <c r="P91" s="57" t="s">
        <v>1681</v>
      </c>
    </row>
    <row r="92" spans="1:16" ht="19.5" customHeight="1" x14ac:dyDescent="0.25">
      <c r="A92" s="51">
        <v>2223</v>
      </c>
      <c r="B92" s="89" t="s">
        <v>108</v>
      </c>
      <c r="C92" s="90">
        <f t="shared" si="102"/>
        <v>582</v>
      </c>
      <c r="D92" s="1392">
        <v>482</v>
      </c>
      <c r="E92" s="198"/>
      <c r="F92" s="55">
        <f t="shared" si="115"/>
        <v>482</v>
      </c>
      <c r="G92" s="1389"/>
      <c r="H92" s="725"/>
      <c r="I92" s="55">
        <f t="shared" si="116"/>
        <v>0</v>
      </c>
      <c r="J92" s="53">
        <v>118</v>
      </c>
      <c r="K92" s="54">
        <v>-18</v>
      </c>
      <c r="L92" s="55">
        <f t="shared" si="117"/>
        <v>100</v>
      </c>
      <c r="M92" s="1389"/>
      <c r="N92" s="725"/>
      <c r="O92" s="55">
        <f t="shared" si="118"/>
        <v>0</v>
      </c>
      <c r="P92" s="57" t="s">
        <v>918</v>
      </c>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26346</v>
      </c>
      <c r="D103" s="190">
        <f>SUM(D104:D111)</f>
        <v>14500</v>
      </c>
      <c r="E103" s="191">
        <f t="shared" ref="E103:F103" si="127">SUM(E104:E111)</f>
        <v>0</v>
      </c>
      <c r="F103" s="55">
        <f t="shared" si="127"/>
        <v>14500</v>
      </c>
      <c r="G103" s="190">
        <f>SUM(G104:G111)</f>
        <v>0</v>
      </c>
      <c r="H103" s="191">
        <f t="shared" ref="H103:I103" si="128">SUM(H104:H111)</f>
        <v>0</v>
      </c>
      <c r="I103" s="55">
        <f t="shared" si="128"/>
        <v>0</v>
      </c>
      <c r="J103" s="190">
        <f>SUM(J104:J111)</f>
        <v>11846</v>
      </c>
      <c r="K103" s="191">
        <f t="shared" ref="K103:L103" si="129">SUM(K104:K111)</f>
        <v>0</v>
      </c>
      <c r="L103" s="55">
        <f t="shared" si="129"/>
        <v>11846</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100</v>
      </c>
      <c r="D106" s="196"/>
      <c r="E106" s="197"/>
      <c r="F106" s="55">
        <f t="shared" si="131"/>
        <v>0</v>
      </c>
      <c r="G106" s="53"/>
      <c r="H106" s="54"/>
      <c r="I106" s="55">
        <f t="shared" si="132"/>
        <v>0</v>
      </c>
      <c r="J106" s="53">
        <v>100</v>
      </c>
      <c r="K106" s="54"/>
      <c r="L106" s="55">
        <f t="shared" si="133"/>
        <v>100</v>
      </c>
      <c r="M106" s="53"/>
      <c r="N106" s="54"/>
      <c r="O106" s="55">
        <f t="shared" si="134"/>
        <v>0</v>
      </c>
      <c r="P106" s="57"/>
    </row>
    <row r="107" spans="1:16" ht="12" customHeight="1" x14ac:dyDescent="0.25">
      <c r="A107" s="51">
        <v>2244</v>
      </c>
      <c r="B107" s="89" t="s">
        <v>123</v>
      </c>
      <c r="C107" s="90">
        <f t="shared" si="102"/>
        <v>26246</v>
      </c>
      <c r="D107" s="196">
        <v>14500</v>
      </c>
      <c r="E107" s="197"/>
      <c r="F107" s="55">
        <f t="shared" si="131"/>
        <v>14500</v>
      </c>
      <c r="G107" s="53"/>
      <c r="H107" s="54"/>
      <c r="I107" s="55">
        <f t="shared" si="132"/>
        <v>0</v>
      </c>
      <c r="J107" s="53">
        <v>11746</v>
      </c>
      <c r="K107" s="54"/>
      <c r="L107" s="55">
        <f t="shared" si="133"/>
        <v>11746</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1452</v>
      </c>
      <c r="D116" s="190">
        <f>SUM(D117:D121)</f>
        <v>1452</v>
      </c>
      <c r="E116" s="191">
        <f t="shared" ref="E116:F116" si="143">SUM(E117:E121)</f>
        <v>0</v>
      </c>
      <c r="F116" s="55">
        <f t="shared" si="143"/>
        <v>1452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136</v>
      </c>
      <c r="C120" s="90">
        <f t="shared" si="102"/>
        <v>1452</v>
      </c>
      <c r="D120" s="196">
        <v>1452</v>
      </c>
      <c r="E120" s="197"/>
      <c r="F120" s="55">
        <f t="shared" si="147"/>
        <v>1452</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100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100</v>
      </c>
      <c r="K122" s="191">
        <f t="shared" ref="K122:L122" si="153">SUM(K123:K127)</f>
        <v>0</v>
      </c>
      <c r="L122" s="55">
        <f t="shared" si="153"/>
        <v>100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1.75" customHeight="1" x14ac:dyDescent="0.25">
      <c r="A127" s="51">
        <v>2279</v>
      </c>
      <c r="B127" s="89" t="s">
        <v>143</v>
      </c>
      <c r="C127" s="90">
        <f t="shared" si="102"/>
        <v>100</v>
      </c>
      <c r="D127" s="196"/>
      <c r="E127" s="197"/>
      <c r="F127" s="55">
        <f t="shared" si="155"/>
        <v>0</v>
      </c>
      <c r="G127" s="53"/>
      <c r="H127" s="54"/>
      <c r="I127" s="55">
        <f t="shared" si="156"/>
        <v>0</v>
      </c>
      <c r="J127" s="53">
        <v>100</v>
      </c>
      <c r="K127" s="54"/>
      <c r="L127" s="55">
        <f t="shared" si="157"/>
        <v>100</v>
      </c>
      <c r="M127" s="53"/>
      <c r="N127" s="54"/>
      <c r="O127" s="55">
        <f t="shared" si="158"/>
        <v>0</v>
      </c>
      <c r="P127" s="57"/>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2613</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2613</v>
      </c>
      <c r="K130" s="185">
        <f t="shared" ref="K130:L130" si="162">SUM(K131,K136,K140,K141,K144,K151,K159,K160,K163)</f>
        <v>0</v>
      </c>
      <c r="L130" s="73">
        <f t="shared" si="162"/>
        <v>2613</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2613</v>
      </c>
      <c r="D131" s="194">
        <f t="shared" ref="D131:O131" si="164">SUM(D132:D135)</f>
        <v>0</v>
      </c>
      <c r="E131" s="195">
        <f t="shared" si="164"/>
        <v>0</v>
      </c>
      <c r="F131" s="134">
        <f t="shared" si="164"/>
        <v>0</v>
      </c>
      <c r="G131" s="194">
        <f t="shared" si="164"/>
        <v>0</v>
      </c>
      <c r="H131" s="195">
        <f t="shared" si="164"/>
        <v>0</v>
      </c>
      <c r="I131" s="134">
        <f t="shared" si="164"/>
        <v>0</v>
      </c>
      <c r="J131" s="194">
        <f t="shared" si="164"/>
        <v>2613</v>
      </c>
      <c r="K131" s="195">
        <f t="shared" si="164"/>
        <v>0</v>
      </c>
      <c r="L131" s="134">
        <f t="shared" si="164"/>
        <v>2613</v>
      </c>
      <c r="M131" s="194">
        <f t="shared" si="164"/>
        <v>0</v>
      </c>
      <c r="N131" s="195">
        <f t="shared" si="164"/>
        <v>0</v>
      </c>
      <c r="O131" s="134">
        <f t="shared" si="164"/>
        <v>0</v>
      </c>
      <c r="P131" s="49"/>
    </row>
    <row r="132" spans="1:16" ht="26.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customHeight="1" x14ac:dyDescent="0.25">
      <c r="A133" s="345">
        <v>2312</v>
      </c>
      <c r="B133" s="346" t="s">
        <v>149</v>
      </c>
      <c r="C133" s="347">
        <f t="shared" si="102"/>
        <v>2518</v>
      </c>
      <c r="D133" s="352"/>
      <c r="E133" s="353"/>
      <c r="F133" s="350">
        <f t="shared" si="165"/>
        <v>0</v>
      </c>
      <c r="G133" s="348"/>
      <c r="H133" s="349"/>
      <c r="I133" s="350">
        <f t="shared" si="166"/>
        <v>0</v>
      </c>
      <c r="J133" s="348">
        <v>2518</v>
      </c>
      <c r="K133" s="349"/>
      <c r="L133" s="350">
        <f t="shared" si="167"/>
        <v>2518</v>
      </c>
      <c r="M133" s="348"/>
      <c r="N133" s="349"/>
      <c r="O133" s="350">
        <f t="shared" si="168"/>
        <v>0</v>
      </c>
      <c r="P133" s="354"/>
    </row>
    <row r="134" spans="1:16" ht="12" customHeight="1" x14ac:dyDescent="0.25">
      <c r="A134" s="51">
        <v>2313</v>
      </c>
      <c r="B134" s="89" t="s">
        <v>150</v>
      </c>
      <c r="C134" s="90">
        <f t="shared" si="102"/>
        <v>95</v>
      </c>
      <c r="D134" s="196"/>
      <c r="E134" s="197"/>
      <c r="F134" s="55">
        <f t="shared" si="165"/>
        <v>0</v>
      </c>
      <c r="G134" s="53"/>
      <c r="H134" s="54"/>
      <c r="I134" s="55">
        <f t="shared" si="166"/>
        <v>0</v>
      </c>
      <c r="J134" s="53">
        <v>95</v>
      </c>
      <c r="K134" s="54"/>
      <c r="L134" s="55">
        <f t="shared" si="167"/>
        <v>95</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791</v>
      </c>
      <c r="D165" s="184">
        <f>SUM(D166,D171)</f>
        <v>0</v>
      </c>
      <c r="E165" s="185">
        <f t="shared" ref="E165:O165" si="210">SUM(E166,E171)</f>
        <v>0</v>
      </c>
      <c r="F165" s="73">
        <f t="shared" si="210"/>
        <v>0</v>
      </c>
      <c r="G165" s="184">
        <f t="shared" si="210"/>
        <v>0</v>
      </c>
      <c r="H165" s="185">
        <f t="shared" si="210"/>
        <v>0</v>
      </c>
      <c r="I165" s="73">
        <f t="shared" si="210"/>
        <v>0</v>
      </c>
      <c r="J165" s="184">
        <f t="shared" si="210"/>
        <v>791</v>
      </c>
      <c r="K165" s="185">
        <f t="shared" si="210"/>
        <v>0</v>
      </c>
      <c r="L165" s="73">
        <f t="shared" si="210"/>
        <v>791</v>
      </c>
      <c r="M165" s="184">
        <f t="shared" si="210"/>
        <v>0</v>
      </c>
      <c r="N165" s="185">
        <f t="shared" si="210"/>
        <v>0</v>
      </c>
      <c r="O165" s="73">
        <f t="shared" si="210"/>
        <v>0</v>
      </c>
      <c r="P165" s="77"/>
    </row>
    <row r="166" spans="1:16" ht="16.5" customHeight="1" x14ac:dyDescent="0.25">
      <c r="A166" s="1372">
        <v>2510</v>
      </c>
      <c r="B166" s="82" t="s">
        <v>182</v>
      </c>
      <c r="C166" s="83">
        <f t="shared" si="193"/>
        <v>791</v>
      </c>
      <c r="D166" s="194">
        <f>SUM(D167:D170)</f>
        <v>0</v>
      </c>
      <c r="E166" s="195">
        <f t="shared" ref="E166:O166" si="211">SUM(E167:E170)</f>
        <v>0</v>
      </c>
      <c r="F166" s="134">
        <f t="shared" si="211"/>
        <v>0</v>
      </c>
      <c r="G166" s="194">
        <f t="shared" si="211"/>
        <v>0</v>
      </c>
      <c r="H166" s="195">
        <f t="shared" si="211"/>
        <v>0</v>
      </c>
      <c r="I166" s="134">
        <f t="shared" si="211"/>
        <v>0</v>
      </c>
      <c r="J166" s="194">
        <f t="shared" si="211"/>
        <v>791</v>
      </c>
      <c r="K166" s="195">
        <f t="shared" si="211"/>
        <v>0</v>
      </c>
      <c r="L166" s="134">
        <f t="shared" si="211"/>
        <v>791</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1" customHeight="1" x14ac:dyDescent="0.25">
      <c r="A170" s="51">
        <v>2519</v>
      </c>
      <c r="B170" s="89" t="s">
        <v>186</v>
      </c>
      <c r="C170" s="90">
        <f t="shared" si="193"/>
        <v>791</v>
      </c>
      <c r="D170" s="196"/>
      <c r="E170" s="197"/>
      <c r="F170" s="55">
        <f t="shared" si="212"/>
        <v>0</v>
      </c>
      <c r="G170" s="53"/>
      <c r="H170" s="54"/>
      <c r="I170" s="55">
        <f t="shared" si="213"/>
        <v>0</v>
      </c>
      <c r="J170" s="53">
        <v>791</v>
      </c>
      <c r="K170" s="54"/>
      <c r="L170" s="55">
        <f t="shared" si="214"/>
        <v>791</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31935</v>
      </c>
      <c r="D289" s="252">
        <f t="shared" ref="D289:O289" si="389">SUM(D286,D269,D230,D195,D187,D173,D75,D53,D283)</f>
        <v>16434</v>
      </c>
      <c r="E289" s="253">
        <f t="shared" si="389"/>
        <v>0</v>
      </c>
      <c r="F289" s="254">
        <f t="shared" si="389"/>
        <v>16434</v>
      </c>
      <c r="G289" s="252">
        <f t="shared" si="389"/>
        <v>0</v>
      </c>
      <c r="H289" s="253">
        <f t="shared" si="389"/>
        <v>0</v>
      </c>
      <c r="I289" s="254">
        <f t="shared" si="389"/>
        <v>0</v>
      </c>
      <c r="J289" s="252">
        <f t="shared" si="389"/>
        <v>15501</v>
      </c>
      <c r="K289" s="253">
        <f t="shared" si="389"/>
        <v>0</v>
      </c>
      <c r="L289" s="254">
        <f t="shared" si="389"/>
        <v>15501</v>
      </c>
      <c r="M289" s="252">
        <f t="shared" si="389"/>
        <v>0</v>
      </c>
      <c r="N289" s="253">
        <f t="shared" si="389"/>
        <v>0</v>
      </c>
      <c r="O289" s="254">
        <f t="shared" si="389"/>
        <v>0</v>
      </c>
      <c r="P289" s="255"/>
    </row>
    <row r="290" spans="1:16" s="28" customFormat="1" ht="13.5" thickTop="1" thickBot="1" x14ac:dyDescent="0.3">
      <c r="A290" s="1544" t="s">
        <v>308</v>
      </c>
      <c r="B290" s="1545"/>
      <c r="C290" s="256">
        <f t="shared" si="371"/>
        <v>-5116</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-5116</v>
      </c>
      <c r="K290" s="258">
        <f t="shared" ref="K290:L290" si="392">(K26+K43)-K51</f>
        <v>0</v>
      </c>
      <c r="L290" s="259">
        <f t="shared" si="392"/>
        <v>-5116</v>
      </c>
      <c r="M290" s="257">
        <f>M45-M51</f>
        <v>0</v>
      </c>
      <c r="N290" s="258">
        <f t="shared" ref="N290:O290" si="393">N45-N51</f>
        <v>0</v>
      </c>
      <c r="O290" s="259">
        <f t="shared" si="393"/>
        <v>0</v>
      </c>
      <c r="P290" s="260"/>
    </row>
    <row r="291" spans="1:16" s="28" customFormat="1" ht="12.75" thickTop="1" x14ac:dyDescent="0.25">
      <c r="A291" s="1546" t="s">
        <v>309</v>
      </c>
      <c r="B291" s="1547"/>
      <c r="C291" s="261">
        <f t="shared" si="371"/>
        <v>5116</v>
      </c>
      <c r="D291" s="262">
        <f t="shared" ref="D291:O291" si="394">SUM(D292,D293)-D300+D301</f>
        <v>0</v>
      </c>
      <c r="E291" s="263">
        <f t="shared" si="394"/>
        <v>0</v>
      </c>
      <c r="F291" s="264">
        <f t="shared" si="394"/>
        <v>0</v>
      </c>
      <c r="G291" s="262">
        <f t="shared" si="394"/>
        <v>0</v>
      </c>
      <c r="H291" s="263">
        <f t="shared" si="394"/>
        <v>0</v>
      </c>
      <c r="I291" s="264">
        <f t="shared" si="394"/>
        <v>0</v>
      </c>
      <c r="J291" s="262">
        <f t="shared" si="394"/>
        <v>5116</v>
      </c>
      <c r="K291" s="263">
        <f t="shared" si="394"/>
        <v>0</v>
      </c>
      <c r="L291" s="264">
        <f t="shared" si="394"/>
        <v>5116</v>
      </c>
      <c r="M291" s="262">
        <f t="shared" si="394"/>
        <v>0</v>
      </c>
      <c r="N291" s="263">
        <f t="shared" si="394"/>
        <v>0</v>
      </c>
      <c r="O291" s="264">
        <f t="shared" si="394"/>
        <v>0</v>
      </c>
      <c r="P291" s="265"/>
    </row>
    <row r="292" spans="1:16" s="28" customFormat="1" ht="12.75" thickBot="1" x14ac:dyDescent="0.3">
      <c r="A292" s="157" t="s">
        <v>310</v>
      </c>
      <c r="B292" s="157" t="s">
        <v>311</v>
      </c>
      <c r="C292" s="158">
        <f t="shared" si="371"/>
        <v>5116</v>
      </c>
      <c r="D292" s="159">
        <f t="shared" ref="D292:O292" si="395">D21-D286</f>
        <v>0</v>
      </c>
      <c r="E292" s="160">
        <f t="shared" si="395"/>
        <v>0</v>
      </c>
      <c r="F292" s="161">
        <f t="shared" si="395"/>
        <v>0</v>
      </c>
      <c r="G292" s="159">
        <f t="shared" si="395"/>
        <v>0</v>
      </c>
      <c r="H292" s="160">
        <f t="shared" si="395"/>
        <v>0</v>
      </c>
      <c r="I292" s="161">
        <f t="shared" si="395"/>
        <v>0</v>
      </c>
      <c r="J292" s="159">
        <f t="shared" si="395"/>
        <v>5116</v>
      </c>
      <c r="K292" s="160">
        <f t="shared" si="395"/>
        <v>0</v>
      </c>
      <c r="L292" s="161">
        <f t="shared" si="395"/>
        <v>5116</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P0BqD6MKu7JhXbGVbVYI6nf3hQVVGg2CHlxSdTsQIKO4XJ5PFWmZB/0eKbigc8AO9zoJGtsxUVME1rzj2OfKLQ==" saltValue="lVQomXp+t7kW5WJGaYZyGg==" spinCount="100000" sheet="1" objects="1" scenarios="1" formatCells="0" formatColumns="0" formatRows="0" deleteColumns="0"/>
  <autoFilter ref="A18:P301">
    <filterColumn colId="2">
      <filters>
        <filter val="1 452"/>
        <filter val="10 385"/>
        <filter val="100"/>
        <filter val="16 434"/>
        <filter val="2 518"/>
        <filter val="2 613"/>
        <filter val="26 246"/>
        <filter val="26 346"/>
        <filter val="28 531"/>
        <filter val="3 401"/>
        <filter val="31 935"/>
        <filter val="5 116"/>
        <filter val="-5 116"/>
        <filter val="51"/>
        <filter val="582"/>
        <filter val="6 984"/>
        <filter val="633"/>
        <filter val="791"/>
        <filter val="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62.pielikums Jūrmalas pilsētas domes
2019.gada 31.oktobra saistošajiem noteikumiem Nr.46
(protokols Nr.14, 28.punkts)
 </firstHeader>
    <firstFooter>&amp;L&amp;9&amp;D; &amp;T&amp;R&amp;9&amp;P (&amp;N)</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8" sqref="U8"/>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1698</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1691</v>
      </c>
      <c r="D3" s="1517"/>
      <c r="E3" s="1517"/>
      <c r="F3" s="1517"/>
      <c r="G3" s="1517"/>
      <c r="H3" s="1517"/>
      <c r="I3" s="1517"/>
      <c r="J3" s="1517"/>
      <c r="K3" s="1517"/>
      <c r="L3" s="1517"/>
      <c r="M3" s="1517"/>
      <c r="N3" s="1517"/>
      <c r="O3" s="1517"/>
      <c r="P3" s="1518"/>
      <c r="Q3" s="277"/>
    </row>
    <row r="4" spans="1:17" ht="12.75" customHeight="1" x14ac:dyDescent="0.25">
      <c r="A4" s="5" t="s">
        <v>4</v>
      </c>
      <c r="B4" s="6"/>
      <c r="C4" s="1517" t="s">
        <v>1692</v>
      </c>
      <c r="D4" s="1517"/>
      <c r="E4" s="1517"/>
      <c r="F4" s="1517"/>
      <c r="G4" s="1517"/>
      <c r="H4" s="1517"/>
      <c r="I4" s="1517"/>
      <c r="J4" s="1517"/>
      <c r="K4" s="1517"/>
      <c r="L4" s="1517"/>
      <c r="M4" s="1517"/>
      <c r="N4" s="1517"/>
      <c r="O4" s="1517"/>
      <c r="P4" s="1518"/>
      <c r="Q4" s="277"/>
    </row>
    <row r="5" spans="1:17" ht="12.75" customHeight="1" x14ac:dyDescent="0.25">
      <c r="A5" s="7" t="s">
        <v>6</v>
      </c>
      <c r="B5" s="8"/>
      <c r="C5" s="1512" t="s">
        <v>1693</v>
      </c>
      <c r="D5" s="1512"/>
      <c r="E5" s="1512"/>
      <c r="F5" s="1512"/>
      <c r="G5" s="1512"/>
      <c r="H5" s="1512"/>
      <c r="I5" s="1512"/>
      <c r="J5" s="1512"/>
      <c r="K5" s="1512"/>
      <c r="L5" s="1512"/>
      <c r="M5" s="1512"/>
      <c r="N5" s="1512"/>
      <c r="O5" s="1512"/>
      <c r="P5" s="1513"/>
      <c r="Q5" s="277"/>
    </row>
    <row r="6" spans="1:17" ht="12.75" customHeight="1" x14ac:dyDescent="0.25">
      <c r="A6" s="7" t="s">
        <v>8</v>
      </c>
      <c r="B6" s="8"/>
      <c r="C6" s="1512" t="s">
        <v>1694</v>
      </c>
      <c r="D6" s="1512"/>
      <c r="E6" s="1512"/>
      <c r="F6" s="1512"/>
      <c r="G6" s="1512"/>
      <c r="H6" s="1512"/>
      <c r="I6" s="1512"/>
      <c r="J6" s="1512"/>
      <c r="K6" s="1512"/>
      <c r="L6" s="1512"/>
      <c r="M6" s="1512"/>
      <c r="N6" s="1512"/>
      <c r="O6" s="1512"/>
      <c r="P6" s="1513"/>
      <c r="Q6" s="277"/>
    </row>
    <row r="7" spans="1:17" ht="35.25" customHeight="1" x14ac:dyDescent="0.25">
      <c r="A7" s="7" t="s">
        <v>10</v>
      </c>
      <c r="B7" s="8"/>
      <c r="C7" s="1517" t="s">
        <v>1695</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1696</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23723</v>
      </c>
      <c r="D20" s="32">
        <f>SUM(D21,D24,D25,D41,D43)</f>
        <v>0</v>
      </c>
      <c r="E20" s="33">
        <f t="shared" ref="E20:F20" si="1">SUM(E21,E24,E25,E41,E43)</f>
        <v>23723</v>
      </c>
      <c r="F20" s="34">
        <f t="shared" si="1"/>
        <v>23723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42</v>
      </c>
      <c r="C24" s="59">
        <f>F24+I24</f>
        <v>0</v>
      </c>
      <c r="D24" s="60"/>
      <c r="E24" s="63"/>
      <c r="F24" s="62">
        <f t="shared" si="9"/>
        <v>0</v>
      </c>
      <c r="G24" s="60"/>
      <c r="H24" s="63"/>
      <c r="I24" s="62">
        <f t="shared" si="10"/>
        <v>0</v>
      </c>
      <c r="J24" s="64" t="s">
        <v>43</v>
      </c>
      <c r="K24" s="65" t="s">
        <v>43</v>
      </c>
      <c r="L24" s="66" t="s">
        <v>43</v>
      </c>
      <c r="M24" s="64" t="s">
        <v>43</v>
      </c>
      <c r="N24" s="65" t="s">
        <v>43</v>
      </c>
      <c r="O24" s="66" t="s">
        <v>43</v>
      </c>
      <c r="P24" s="67"/>
    </row>
    <row r="25" spans="1:16" s="28" customFormat="1" ht="24.75" customHeight="1" thickTop="1" x14ac:dyDescent="0.25">
      <c r="A25" s="68">
        <v>18630</v>
      </c>
      <c r="B25" s="69" t="s">
        <v>44</v>
      </c>
      <c r="C25" s="70">
        <f>F25</f>
        <v>23723</v>
      </c>
      <c r="D25" s="71"/>
      <c r="E25" s="72">
        <v>23723</v>
      </c>
      <c r="F25" s="73">
        <f t="shared" si="9"/>
        <v>23723</v>
      </c>
      <c r="G25" s="74" t="s">
        <v>43</v>
      </c>
      <c r="H25" s="75" t="s">
        <v>43</v>
      </c>
      <c r="I25" s="76" t="s">
        <v>43</v>
      </c>
      <c r="J25" s="74" t="s">
        <v>43</v>
      </c>
      <c r="K25" s="75" t="s">
        <v>43</v>
      </c>
      <c r="L25" s="76" t="s">
        <v>43</v>
      </c>
      <c r="M25" s="74" t="s">
        <v>43</v>
      </c>
      <c r="N25" s="75" t="s">
        <v>43</v>
      </c>
      <c r="O25" s="76" t="s">
        <v>43</v>
      </c>
      <c r="P25" s="77" t="s">
        <v>1697</v>
      </c>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23723</v>
      </c>
      <c r="D50" s="159">
        <f>SUM(D51,D286)</f>
        <v>0</v>
      </c>
      <c r="E50" s="160">
        <f t="shared" ref="E50:F50" si="26">SUM(E51,E286)</f>
        <v>23723</v>
      </c>
      <c r="F50" s="161">
        <f t="shared" si="26"/>
        <v>23723</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1500</v>
      </c>
      <c r="D51" s="165">
        <f>SUM(D52,D194)</f>
        <v>0</v>
      </c>
      <c r="E51" s="166">
        <f t="shared" ref="E51:F51" si="30">SUM(E52,E194)</f>
        <v>1500</v>
      </c>
      <c r="F51" s="167">
        <f t="shared" si="30"/>
        <v>1500</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hidden="1" x14ac:dyDescent="0.25">
      <c r="A52" s="24"/>
      <c r="B52" s="22" t="s">
        <v>70</v>
      </c>
      <c r="C52" s="172">
        <f t="shared" si="0"/>
        <v>0</v>
      </c>
      <c r="D52" s="173">
        <f>SUM(D53,D75,D173,D187)</f>
        <v>0</v>
      </c>
      <c r="E52" s="174">
        <f t="shared" ref="E52:F52" si="34">SUM(E53,E75,E173,E187)</f>
        <v>0</v>
      </c>
      <c r="F52" s="175">
        <f t="shared" si="34"/>
        <v>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3">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93</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373">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1500</v>
      </c>
      <c r="D194" s="173">
        <f t="shared" ref="D194:O194" si="259">SUM(D195,D230,D269,D283)</f>
        <v>0</v>
      </c>
      <c r="E194" s="174">
        <f t="shared" si="259"/>
        <v>1500</v>
      </c>
      <c r="F194" s="175">
        <f t="shared" si="259"/>
        <v>1500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1500</v>
      </c>
      <c r="D195" s="179">
        <f>D196+D204</f>
        <v>0</v>
      </c>
      <c r="E195" s="180">
        <f t="shared" ref="E195:F195" si="260">E196+E204</f>
        <v>1500</v>
      </c>
      <c r="F195" s="181">
        <f t="shared" si="260"/>
        <v>1500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1500</v>
      </c>
      <c r="D204" s="184">
        <f>D205+D215+D216+D225+D226+D227+D229</f>
        <v>0</v>
      </c>
      <c r="E204" s="185">
        <f t="shared" ref="E204:F204" si="276">E205+E215+E216+E225+E226+E227+E229</f>
        <v>1500</v>
      </c>
      <c r="F204" s="73">
        <f t="shared" si="276"/>
        <v>1500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241</v>
      </c>
      <c r="C225" s="90">
        <f t="shared" si="288"/>
        <v>1500</v>
      </c>
      <c r="D225" s="196"/>
      <c r="E225" s="197">
        <v>1500</v>
      </c>
      <c r="F225" s="55">
        <f t="shared" si="293"/>
        <v>1500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22223</v>
      </c>
      <c r="D286" s="190">
        <f>SUM(D287:D288)</f>
        <v>0</v>
      </c>
      <c r="E286" s="191">
        <f t="shared" ref="E286:F286" si="381">SUM(E287:E288)</f>
        <v>22223</v>
      </c>
      <c r="F286" s="55">
        <f t="shared" si="381"/>
        <v>22223</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1" t="s">
        <v>303</v>
      </c>
      <c r="B287" s="51" t="s">
        <v>304</v>
      </c>
      <c r="C287" s="90">
        <f t="shared" si="371"/>
        <v>22223</v>
      </c>
      <c r="D287" s="196"/>
      <c r="E287" s="197">
        <v>22223</v>
      </c>
      <c r="F287" s="55">
        <f t="shared" ref="F287:F288" si="385">D287+E287</f>
        <v>22223</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23723</v>
      </c>
      <c r="D289" s="252">
        <f t="shared" ref="D289:O289" si="389">SUM(D286,D269,D230,D195,D187,D173,D75,D53,D283)</f>
        <v>0</v>
      </c>
      <c r="E289" s="253">
        <f t="shared" si="389"/>
        <v>23723</v>
      </c>
      <c r="F289" s="254">
        <f t="shared" si="389"/>
        <v>23723</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22223</v>
      </c>
      <c r="D290" s="257">
        <f>SUM(D24,D25,D41)-D51</f>
        <v>0</v>
      </c>
      <c r="E290" s="258">
        <f t="shared" ref="E290:F290" si="390">SUM(E24,E25,E41)-E51</f>
        <v>22223</v>
      </c>
      <c r="F290" s="259">
        <f t="shared" si="390"/>
        <v>22223</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-22223</v>
      </c>
      <c r="D291" s="262">
        <f t="shared" ref="D291:O291" si="394">SUM(D292,D293)-D300+D301</f>
        <v>0</v>
      </c>
      <c r="E291" s="263">
        <f t="shared" si="394"/>
        <v>-22223</v>
      </c>
      <c r="F291" s="264">
        <f t="shared" si="394"/>
        <v>-22223</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-22223</v>
      </c>
      <c r="D292" s="159">
        <f t="shared" ref="D292:O292" si="395">D21-D286</f>
        <v>0</v>
      </c>
      <c r="E292" s="160">
        <f t="shared" si="395"/>
        <v>-22223</v>
      </c>
      <c r="F292" s="161">
        <f t="shared" si="395"/>
        <v>-22223</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N8yParGNMKJFkmVnH1XHKqacH4YcpIoyOIvMy80LliFyviFpUYaemcPEXYUi2gTJrHloiXEf56jgNgK+URsWBw==" saltValue="sEX0o3BgxRdzXuge2k+muw==" spinCount="100000" sheet="1" objects="1" scenarios="1" formatCells="0" formatColumns="0" formatRows="0" deleteColumns="0"/>
  <autoFilter ref="A18:P301">
    <filterColumn colId="2">
      <filters>
        <filter val="1 500"/>
        <filter val="22 223"/>
        <filter val="-22 223"/>
        <filter val="23 72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63.pielikums Jūrmalas pilsētas domes
2019.gada 31.oktobra saistošajiem noteikumiem Nr.46
(protokols Nr.14, 28.punkts)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U5" sqref="T5:U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408</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409</v>
      </c>
      <c r="D6" s="1512"/>
      <c r="E6" s="1512"/>
      <c r="F6" s="1512"/>
      <c r="G6" s="1512"/>
      <c r="H6" s="1512"/>
      <c r="I6" s="1512"/>
      <c r="J6" s="1512"/>
      <c r="K6" s="1512"/>
      <c r="L6" s="1512"/>
      <c r="M6" s="1512"/>
      <c r="N6" s="1512"/>
      <c r="O6" s="1512"/>
      <c r="P6" s="1513"/>
      <c r="Q6" s="277"/>
    </row>
    <row r="7" spans="1:17" x14ac:dyDescent="0.25">
      <c r="A7" s="7" t="s">
        <v>10</v>
      </c>
      <c r="B7" s="8"/>
      <c r="C7" s="1517" t="s">
        <v>410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411</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777842</v>
      </c>
      <c r="D20" s="32">
        <f>SUM(D21,D24,D25,D41,D43)</f>
        <v>867772</v>
      </c>
      <c r="E20" s="33">
        <f t="shared" ref="E20:F20" si="1">SUM(E21,E24,E25,E41,E43)</f>
        <v>-127000</v>
      </c>
      <c r="F20" s="34">
        <f t="shared" si="1"/>
        <v>740772</v>
      </c>
      <c r="G20" s="32">
        <f>SUM(G21,G24,G43)</f>
        <v>0</v>
      </c>
      <c r="H20" s="33">
        <f t="shared" ref="H20:I20" si="2">SUM(H21,H24,H43)</f>
        <v>0</v>
      </c>
      <c r="I20" s="34">
        <f t="shared" si="2"/>
        <v>0</v>
      </c>
      <c r="J20" s="32">
        <f>SUM(J21,J26,J43)</f>
        <v>37070</v>
      </c>
      <c r="K20" s="33">
        <f t="shared" ref="K20:L20" si="3">SUM(K21,K26,K43)</f>
        <v>0</v>
      </c>
      <c r="L20" s="34">
        <f t="shared" si="3"/>
        <v>37070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740772</v>
      </c>
      <c r="D24" s="60">
        <f>D51</f>
        <v>867772</v>
      </c>
      <c r="E24" s="61">
        <v>-127000</v>
      </c>
      <c r="F24" s="62">
        <f t="shared" si="9"/>
        <v>740772</v>
      </c>
      <c r="G24" s="60">
        <f>G51</f>
        <v>0</v>
      </c>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37070</v>
      </c>
      <c r="D26" s="74" t="s">
        <v>43</v>
      </c>
      <c r="E26" s="75" t="s">
        <v>43</v>
      </c>
      <c r="F26" s="76" t="s">
        <v>43</v>
      </c>
      <c r="G26" s="74" t="s">
        <v>43</v>
      </c>
      <c r="H26" s="75" t="s">
        <v>43</v>
      </c>
      <c r="I26" s="76" t="s">
        <v>43</v>
      </c>
      <c r="J26" s="78">
        <f>SUM(J27,J31,J33,J36)</f>
        <v>37070</v>
      </c>
      <c r="K26" s="79">
        <f t="shared" ref="K26:L26" si="11">SUM(K27,K31,K33,K36)</f>
        <v>0</v>
      </c>
      <c r="L26" s="80">
        <f t="shared" si="11"/>
        <v>37070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37070</v>
      </c>
      <c r="D36" s="74" t="s">
        <v>43</v>
      </c>
      <c r="E36" s="75" t="s">
        <v>43</v>
      </c>
      <c r="F36" s="76" t="s">
        <v>43</v>
      </c>
      <c r="G36" s="74" t="s">
        <v>43</v>
      </c>
      <c r="H36" s="75" t="s">
        <v>43</v>
      </c>
      <c r="I36" s="76" t="s">
        <v>43</v>
      </c>
      <c r="J36" s="78">
        <f>SUM(J37:J40)</f>
        <v>37070</v>
      </c>
      <c r="K36" s="79">
        <f t="shared" ref="K36:L36" si="19">SUM(K37:K40)</f>
        <v>0</v>
      </c>
      <c r="L36" s="80">
        <f t="shared" si="19"/>
        <v>37070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37070</v>
      </c>
      <c r="D40" s="111" t="s">
        <v>43</v>
      </c>
      <c r="E40" s="112" t="s">
        <v>43</v>
      </c>
      <c r="F40" s="113" t="s">
        <v>43</v>
      </c>
      <c r="G40" s="111" t="s">
        <v>43</v>
      </c>
      <c r="H40" s="112" t="s">
        <v>43</v>
      </c>
      <c r="I40" s="113" t="s">
        <v>43</v>
      </c>
      <c r="J40" s="114">
        <v>37070</v>
      </c>
      <c r="K40" s="115"/>
      <c r="L40" s="116">
        <f t="shared" si="20"/>
        <v>37070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777842</v>
      </c>
      <c r="D50" s="159">
        <f>SUM(D51,D286)</f>
        <v>867772</v>
      </c>
      <c r="E50" s="160">
        <f t="shared" ref="E50:F50" si="26">SUM(E51,E286)</f>
        <v>-127000</v>
      </c>
      <c r="F50" s="161">
        <f t="shared" si="26"/>
        <v>740772</v>
      </c>
      <c r="G50" s="159">
        <f>SUM(G51,G286)</f>
        <v>0</v>
      </c>
      <c r="H50" s="160">
        <f>SUM(H51,H286)</f>
        <v>0</v>
      </c>
      <c r="I50" s="161">
        <f t="shared" ref="I50" si="27">SUM(I51,I286)</f>
        <v>0</v>
      </c>
      <c r="J50" s="32">
        <f>SUM(J51,J286)</f>
        <v>37070</v>
      </c>
      <c r="K50" s="33">
        <f t="shared" ref="K50:L50" si="28">SUM(K51,K286)</f>
        <v>0</v>
      </c>
      <c r="L50" s="34">
        <f t="shared" si="28"/>
        <v>37070</v>
      </c>
      <c r="M50" s="32">
        <f>SUM(M51,M286)</f>
        <v>0</v>
      </c>
      <c r="N50" s="33">
        <f t="shared" ref="N50:O50" si="29">SUM(N51,N286)</f>
        <v>0</v>
      </c>
      <c r="O50" s="34">
        <f t="shared" si="29"/>
        <v>0</v>
      </c>
      <c r="P50" s="35"/>
    </row>
    <row r="51" spans="1:16" s="28" customFormat="1" ht="36.75" thickTop="1" x14ac:dyDescent="0.25">
      <c r="A51" s="162"/>
      <c r="B51" s="163" t="s">
        <v>69</v>
      </c>
      <c r="C51" s="164">
        <f t="shared" si="0"/>
        <v>777842</v>
      </c>
      <c r="D51" s="165">
        <f>SUM(D52,D194)</f>
        <v>867772</v>
      </c>
      <c r="E51" s="166">
        <f t="shared" ref="E51:F51" si="30">SUM(E52,E194)</f>
        <v>-127000</v>
      </c>
      <c r="F51" s="167">
        <f t="shared" si="30"/>
        <v>740772</v>
      </c>
      <c r="G51" s="165">
        <f>SUM(G52,G194)</f>
        <v>0</v>
      </c>
      <c r="H51" s="166">
        <f t="shared" ref="H51:I51" si="31">SUM(H52,H194)</f>
        <v>0</v>
      </c>
      <c r="I51" s="167">
        <f t="shared" si="31"/>
        <v>0</v>
      </c>
      <c r="J51" s="168">
        <f>SUM(J52,J194)</f>
        <v>37070</v>
      </c>
      <c r="K51" s="169">
        <f t="shared" ref="K51:L51" si="32">SUM(K52,K194)</f>
        <v>0</v>
      </c>
      <c r="L51" s="170">
        <f t="shared" si="32"/>
        <v>37070</v>
      </c>
      <c r="M51" s="168">
        <f>SUM(M52,M194)</f>
        <v>0</v>
      </c>
      <c r="N51" s="169">
        <f t="shared" ref="N51:O51" si="33">SUM(N52,N194)</f>
        <v>0</v>
      </c>
      <c r="O51" s="170">
        <f t="shared" si="33"/>
        <v>0</v>
      </c>
      <c r="P51" s="171"/>
    </row>
    <row r="52" spans="1:16" s="28" customFormat="1" ht="24" x14ac:dyDescent="0.25">
      <c r="A52" s="24"/>
      <c r="B52" s="22" t="s">
        <v>70</v>
      </c>
      <c r="C52" s="172">
        <f t="shared" si="0"/>
        <v>775294</v>
      </c>
      <c r="D52" s="173">
        <f>SUM(D53,D75,D173,D187)</f>
        <v>865224</v>
      </c>
      <c r="E52" s="174">
        <f t="shared" ref="E52:F52" si="34">SUM(E53,E75,E173,E187)</f>
        <v>-127000</v>
      </c>
      <c r="F52" s="175">
        <f t="shared" si="34"/>
        <v>738224</v>
      </c>
      <c r="G52" s="173">
        <f>SUM(G53,G75,G173,G187)</f>
        <v>0</v>
      </c>
      <c r="H52" s="174">
        <f t="shared" ref="H52:I52" si="35">SUM(H53,H75,H173,H187)</f>
        <v>0</v>
      </c>
      <c r="I52" s="175">
        <f t="shared" si="35"/>
        <v>0</v>
      </c>
      <c r="J52" s="173">
        <f>SUM(J53,J75,J173,J187)</f>
        <v>37070</v>
      </c>
      <c r="K52" s="174">
        <f t="shared" ref="K52:L52" si="36">SUM(K53,K75,K173,K187)</f>
        <v>0</v>
      </c>
      <c r="L52" s="175">
        <f t="shared" si="36"/>
        <v>37070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320">
        <v>1210</v>
      </c>
      <c r="B68" s="82" t="s">
        <v>86</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775294</v>
      </c>
      <c r="D75" s="179">
        <f>SUM(D76,D83,D130,D164,D165,D172)</f>
        <v>865224</v>
      </c>
      <c r="E75" s="180">
        <f t="shared" ref="E75:F75" si="74">SUM(E76,E83,E130,E164,E165,E172)</f>
        <v>-127000</v>
      </c>
      <c r="F75" s="181">
        <f t="shared" si="74"/>
        <v>738224</v>
      </c>
      <c r="G75" s="179">
        <f>SUM(G76,G83,G130,G164,G165,G172)</f>
        <v>0</v>
      </c>
      <c r="H75" s="180">
        <f t="shared" ref="H75:I75" si="75">SUM(H76,H83,H130,H164,H165,H172)</f>
        <v>0</v>
      </c>
      <c r="I75" s="181">
        <f t="shared" si="75"/>
        <v>0</v>
      </c>
      <c r="J75" s="179">
        <f>SUM(J76,J83,J130,J164,J165,J172)</f>
        <v>37070</v>
      </c>
      <c r="K75" s="180">
        <f t="shared" ref="K75:L75" si="76">SUM(K76,K83,K130,K164,K165,K172)</f>
        <v>0</v>
      </c>
      <c r="L75" s="181">
        <f t="shared" si="76"/>
        <v>37070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320">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768374</v>
      </c>
      <c r="D83" s="184">
        <f>SUM(D84,D89,D95,D103,D112,D116,D122,D128)</f>
        <v>858304</v>
      </c>
      <c r="E83" s="185">
        <f t="shared" ref="E83:F83" si="98">SUM(E84,E89,E95,E103,E112,E116,E122,E128)</f>
        <v>-127000</v>
      </c>
      <c r="F83" s="73">
        <f t="shared" si="98"/>
        <v>731304</v>
      </c>
      <c r="G83" s="184">
        <f>SUM(G84,G89,G95,G103,G112,G116,G122,G128)</f>
        <v>0</v>
      </c>
      <c r="H83" s="185">
        <f t="shared" ref="H83:I83" si="99">SUM(H84,H89,H95,H103,H112,H116,H122,H128)</f>
        <v>0</v>
      </c>
      <c r="I83" s="73">
        <f t="shared" si="99"/>
        <v>0</v>
      </c>
      <c r="J83" s="184">
        <f>SUM(J84,J89,J95,J103,J112,J116,J122,J128)</f>
        <v>37070</v>
      </c>
      <c r="K83" s="185">
        <f t="shared" ref="K83:L83" si="100">SUM(K84,K89,K95,K103,K112,K116,K122,K128)</f>
        <v>0</v>
      </c>
      <c r="L83" s="73">
        <f t="shared" si="100"/>
        <v>37070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v>0</v>
      </c>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27006</v>
      </c>
      <c r="D89" s="190">
        <f>SUM(D90:D94)</f>
        <v>27006</v>
      </c>
      <c r="E89" s="191">
        <f t="shared" ref="E89:F89" si="111">SUM(E90:E94)</f>
        <v>0</v>
      </c>
      <c r="F89" s="55">
        <f t="shared" si="111"/>
        <v>27006</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90">
        <f t="shared" si="102"/>
        <v>12000</v>
      </c>
      <c r="D90" s="196">
        <v>12000</v>
      </c>
      <c r="E90" s="197"/>
      <c r="F90" s="55">
        <f t="shared" ref="F90:F94" si="115">D90+E90</f>
        <v>12000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90">
        <f t="shared" si="102"/>
        <v>2006</v>
      </c>
      <c r="D91" s="196">
        <v>2006</v>
      </c>
      <c r="E91" s="197"/>
      <c r="F91" s="55">
        <f t="shared" si="115"/>
        <v>2006</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90">
        <f t="shared" si="102"/>
        <v>13000</v>
      </c>
      <c r="D92" s="196">
        <v>13000</v>
      </c>
      <c r="E92" s="197"/>
      <c r="F92" s="55">
        <f t="shared" si="115"/>
        <v>13000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8000</v>
      </c>
      <c r="D95" s="190">
        <f>SUM(D96:D102)</f>
        <v>8000</v>
      </c>
      <c r="E95" s="191">
        <f t="shared" ref="E95:F95" si="119">SUM(E96:E102)</f>
        <v>0</v>
      </c>
      <c r="F95" s="55">
        <f t="shared" si="119"/>
        <v>8000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v>0</v>
      </c>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8000</v>
      </c>
      <c r="D102" s="196">
        <v>8000</v>
      </c>
      <c r="E102" s="197"/>
      <c r="F102" s="55">
        <f t="shared" si="123"/>
        <v>8000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490820</v>
      </c>
      <c r="D103" s="190">
        <f>SUM(D104:D111)</f>
        <v>617820</v>
      </c>
      <c r="E103" s="191">
        <f t="shared" ref="E103:F103" si="127">SUM(E104:E111)</f>
        <v>-127000</v>
      </c>
      <c r="F103" s="55">
        <f t="shared" si="127"/>
        <v>490820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500</v>
      </c>
      <c r="D106" s="196">
        <v>500</v>
      </c>
      <c r="E106" s="197"/>
      <c r="F106" s="55">
        <f t="shared" si="131"/>
        <v>500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478720</v>
      </c>
      <c r="D107" s="196">
        <v>605720</v>
      </c>
      <c r="E107" s="198">
        <v>-127000</v>
      </c>
      <c r="F107" s="55">
        <f t="shared" si="131"/>
        <v>478720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customHeight="1" x14ac:dyDescent="0.25">
      <c r="A109" s="51">
        <v>2247</v>
      </c>
      <c r="B109" s="89" t="s">
        <v>125</v>
      </c>
      <c r="C109" s="90">
        <f t="shared" si="102"/>
        <v>11600</v>
      </c>
      <c r="D109" s="196">
        <v>11600</v>
      </c>
      <c r="E109" s="197"/>
      <c r="F109" s="55">
        <f t="shared" si="131"/>
        <v>11600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176698</v>
      </c>
      <c r="D116" s="190">
        <f>SUM(D117:D121)</f>
        <v>139628</v>
      </c>
      <c r="E116" s="191">
        <f t="shared" ref="E116:F116" si="143">SUM(E117:E121)</f>
        <v>0</v>
      </c>
      <c r="F116" s="55">
        <f t="shared" si="143"/>
        <v>139628</v>
      </c>
      <c r="G116" s="190">
        <f>SUM(G117:G121)</f>
        <v>0</v>
      </c>
      <c r="H116" s="191">
        <f t="shared" ref="H116:I116" si="144">SUM(H117:H121)</f>
        <v>0</v>
      </c>
      <c r="I116" s="55">
        <f t="shared" si="144"/>
        <v>0</v>
      </c>
      <c r="J116" s="190">
        <f>SUM(J117:J121)</f>
        <v>37070</v>
      </c>
      <c r="K116" s="191">
        <f t="shared" ref="K116:L116" si="145">SUM(K117:K121)</f>
        <v>0</v>
      </c>
      <c r="L116" s="55">
        <f t="shared" si="145"/>
        <v>37070</v>
      </c>
      <c r="M116" s="190">
        <f>SUM(M117:M121)</f>
        <v>0</v>
      </c>
      <c r="N116" s="191">
        <f t="shared" ref="N116:O116" si="146">SUM(N117:N121)</f>
        <v>0</v>
      </c>
      <c r="O116" s="55">
        <f t="shared" si="146"/>
        <v>0</v>
      </c>
      <c r="P116" s="57"/>
    </row>
    <row r="117" spans="1:16" ht="12" customHeight="1" x14ac:dyDescent="0.25">
      <c r="A117" s="51">
        <v>2261</v>
      </c>
      <c r="B117" s="89" t="s">
        <v>133</v>
      </c>
      <c r="C117" s="90">
        <f t="shared" si="102"/>
        <v>143916</v>
      </c>
      <c r="D117" s="196">
        <v>106846</v>
      </c>
      <c r="E117" s="197"/>
      <c r="F117" s="55">
        <f t="shared" ref="F117:F121" si="147">D117+E117</f>
        <v>106846</v>
      </c>
      <c r="G117" s="53"/>
      <c r="H117" s="54"/>
      <c r="I117" s="55">
        <f t="shared" ref="I117:I121" si="148">G117+H117</f>
        <v>0</v>
      </c>
      <c r="J117" s="53">
        <v>37070</v>
      </c>
      <c r="K117" s="54"/>
      <c r="L117" s="55">
        <f t="shared" ref="L117:L121" si="149">K117+J117</f>
        <v>37070</v>
      </c>
      <c r="M117" s="53"/>
      <c r="N117" s="54"/>
      <c r="O117" s="55">
        <f t="shared" ref="O117:O121" si="150">N117+M117</f>
        <v>0</v>
      </c>
      <c r="P117" s="57"/>
    </row>
    <row r="118" spans="1:16" ht="12" hidden="1" customHeight="1" x14ac:dyDescent="0.25">
      <c r="A118" s="51">
        <v>2262</v>
      </c>
      <c r="B118" s="89" t="s">
        <v>134</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9" t="s">
        <v>135</v>
      </c>
      <c r="C119" s="90">
        <f t="shared" si="102"/>
        <v>28826</v>
      </c>
      <c r="D119" s="196">
        <v>28826</v>
      </c>
      <c r="E119" s="197"/>
      <c r="F119" s="55">
        <f t="shared" si="147"/>
        <v>28826</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3956</v>
      </c>
      <c r="D121" s="196">
        <v>3956</v>
      </c>
      <c r="E121" s="197"/>
      <c r="F121" s="55">
        <f t="shared" si="147"/>
        <v>3956</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65850</v>
      </c>
      <c r="D122" s="190">
        <f>SUM(D123:D127)</f>
        <v>65850</v>
      </c>
      <c r="E122" s="191">
        <f t="shared" ref="E122:F122" si="151">SUM(E123:E127)</f>
        <v>0</v>
      </c>
      <c r="F122" s="55">
        <f t="shared" si="151"/>
        <v>65850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customHeight="1" x14ac:dyDescent="0.25">
      <c r="A126" s="51">
        <v>2276</v>
      </c>
      <c r="B126" s="89" t="s">
        <v>142</v>
      </c>
      <c r="C126" s="90">
        <f t="shared" si="102"/>
        <v>2950</v>
      </c>
      <c r="D126" s="196">
        <v>2950</v>
      </c>
      <c r="E126" s="197"/>
      <c r="F126" s="55">
        <f t="shared" si="155"/>
        <v>2950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62900</v>
      </c>
      <c r="D127" s="196">
        <v>62900</v>
      </c>
      <c r="E127" s="197"/>
      <c r="F127" s="55">
        <f t="shared" si="155"/>
        <v>62900</v>
      </c>
      <c r="G127" s="53"/>
      <c r="H127" s="54"/>
      <c r="I127" s="55">
        <f t="shared" si="156"/>
        <v>0</v>
      </c>
      <c r="J127" s="53"/>
      <c r="K127" s="54"/>
      <c r="L127" s="55">
        <f t="shared" si="157"/>
        <v>0</v>
      </c>
      <c r="M127" s="53"/>
      <c r="N127" s="54"/>
      <c r="O127" s="55">
        <f t="shared" si="158"/>
        <v>0</v>
      </c>
      <c r="P127" s="57"/>
    </row>
    <row r="128" spans="1:16" ht="48" hidden="1" x14ac:dyDescent="0.25">
      <c r="A128" s="320">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4700</v>
      </c>
      <c r="D130" s="184">
        <f>SUM(D131,D136,D140,D141,D144,D151,D159,D160,D163)</f>
        <v>4700</v>
      </c>
      <c r="E130" s="185">
        <f t="shared" ref="E130:F130" si="160">SUM(E131,E136,E140,E141,E144,E151,E159,E160,E163)</f>
        <v>0</v>
      </c>
      <c r="F130" s="73">
        <f t="shared" si="160"/>
        <v>4700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320">
        <v>2310</v>
      </c>
      <c r="B131" s="82" t="s">
        <v>147</v>
      </c>
      <c r="C131" s="83">
        <f t="shared" si="102"/>
        <v>4700</v>
      </c>
      <c r="D131" s="194">
        <f t="shared" ref="D131:O131" si="164">SUM(D132:D135)</f>
        <v>4700</v>
      </c>
      <c r="E131" s="195">
        <f t="shared" si="164"/>
        <v>0</v>
      </c>
      <c r="F131" s="134">
        <f t="shared" si="164"/>
        <v>4700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4700</v>
      </c>
      <c r="D133" s="196">
        <v>4700</v>
      </c>
      <c r="E133" s="197"/>
      <c r="F133" s="55">
        <f t="shared" si="165"/>
        <v>4700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v>0</v>
      </c>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v>0</v>
      </c>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v>0</v>
      </c>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v>0</v>
      </c>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v>0</v>
      </c>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2220</v>
      </c>
      <c r="D165" s="184">
        <f>SUM(D166,D171)</f>
        <v>2220</v>
      </c>
      <c r="E165" s="185">
        <f t="shared" ref="E165:O165" si="210">SUM(E166,E171)</f>
        <v>0</v>
      </c>
      <c r="F165" s="73">
        <f t="shared" si="210"/>
        <v>2220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customHeight="1" x14ac:dyDescent="0.25">
      <c r="A166" s="320">
        <v>2510</v>
      </c>
      <c r="B166" s="82" t="s">
        <v>182</v>
      </c>
      <c r="C166" s="83">
        <f t="shared" si="193"/>
        <v>2220</v>
      </c>
      <c r="D166" s="194">
        <f>SUM(D167:D170)</f>
        <v>2220</v>
      </c>
      <c r="E166" s="195">
        <f t="shared" ref="E166:O166" si="211">SUM(E167:E170)</f>
        <v>0</v>
      </c>
      <c r="F166" s="134">
        <f t="shared" si="211"/>
        <v>2220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186</v>
      </c>
      <c r="C170" s="90">
        <f t="shared" si="193"/>
        <v>2220</v>
      </c>
      <c r="D170" s="196">
        <v>2220</v>
      </c>
      <c r="E170" s="197"/>
      <c r="F170" s="55">
        <f t="shared" si="212"/>
        <v>2220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320">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20">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v>0</v>
      </c>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v>0</v>
      </c>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v>0</v>
      </c>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0">
        <v>4240</v>
      </c>
      <c r="B189" s="82" t="s">
        <v>205</v>
      </c>
      <c r="C189" s="83">
        <f t="shared" si="193"/>
        <v>0</v>
      </c>
      <c r="D189" s="199">
        <v>0</v>
      </c>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0">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2548</v>
      </c>
      <c r="D194" s="173">
        <f>SUM(D195,D230,D269,D283)</f>
        <v>2548</v>
      </c>
      <c r="E194" s="174">
        <f t="shared" ref="E194:O194" si="259">SUM(E195,E230,E269,E283)</f>
        <v>0</v>
      </c>
      <c r="F194" s="175">
        <f t="shared" si="259"/>
        <v>2548</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2548</v>
      </c>
      <c r="D195" s="179">
        <f>D196+D204</f>
        <v>2548</v>
      </c>
      <c r="E195" s="180">
        <f t="shared" ref="E195:F195" si="260">E196+E204</f>
        <v>0</v>
      </c>
      <c r="F195" s="181">
        <f t="shared" si="260"/>
        <v>2548</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0">
        <v>5110</v>
      </c>
      <c r="B197" s="82" t="s">
        <v>213</v>
      </c>
      <c r="C197" s="83">
        <f t="shared" si="193"/>
        <v>0</v>
      </c>
      <c r="D197" s="199">
        <v>0</v>
      </c>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2548</v>
      </c>
      <c r="D204" s="184">
        <f>D205+D215+D216+D225+D226+D227+D229</f>
        <v>2548</v>
      </c>
      <c r="E204" s="185">
        <f t="shared" ref="E204:F204" si="276">E205+E215+E216+E225+E226+E227+E229</f>
        <v>0</v>
      </c>
      <c r="F204" s="73">
        <f t="shared" si="276"/>
        <v>2548</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v>0</v>
      </c>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2548</v>
      </c>
      <c r="D216" s="190">
        <f>SUM(D217:D224)</f>
        <v>2548</v>
      </c>
      <c r="E216" s="191">
        <f t="shared" ref="E216:F216" si="289">SUM(E217:E224)</f>
        <v>0</v>
      </c>
      <c r="F216" s="55">
        <f t="shared" si="289"/>
        <v>2548</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240</v>
      </c>
      <c r="C224" s="90">
        <f t="shared" si="288"/>
        <v>2548</v>
      </c>
      <c r="D224" s="196">
        <v>2548</v>
      </c>
      <c r="E224" s="197"/>
      <c r="F224" s="55">
        <f t="shared" si="293"/>
        <v>2548</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v>0</v>
      </c>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v>0</v>
      </c>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320">
        <v>6220</v>
      </c>
      <c r="B232" s="82" t="s">
        <v>248</v>
      </c>
      <c r="C232" s="83">
        <f t="shared" si="288"/>
        <v>0</v>
      </c>
      <c r="D232" s="199">
        <v>0</v>
      </c>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v>0</v>
      </c>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20">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0">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v>0</v>
      </c>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v>0</v>
      </c>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0">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320">
        <v>7210</v>
      </c>
      <c r="B271" s="82" t="s">
        <v>287</v>
      </c>
      <c r="C271" s="83">
        <f t="shared" si="288"/>
        <v>0</v>
      </c>
      <c r="D271" s="199">
        <v>0</v>
      </c>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0">
        <v>7260</v>
      </c>
      <c r="B280" s="82" t="s">
        <v>296</v>
      </c>
      <c r="C280" s="83">
        <f t="shared" si="371"/>
        <v>0</v>
      </c>
      <c r="D280" s="199">
        <v>0</v>
      </c>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v>0</v>
      </c>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v>0</v>
      </c>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v>0</v>
      </c>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777842</v>
      </c>
      <c r="D289" s="252">
        <f t="shared" ref="D289:O289" si="389">SUM(D286,D269,D230,D195,D187,D173,D75,D53,D283)</f>
        <v>867772</v>
      </c>
      <c r="E289" s="253">
        <f t="shared" si="389"/>
        <v>-127000</v>
      </c>
      <c r="F289" s="254">
        <f t="shared" si="389"/>
        <v>740772</v>
      </c>
      <c r="G289" s="252">
        <f t="shared" si="389"/>
        <v>0</v>
      </c>
      <c r="H289" s="253">
        <f t="shared" si="389"/>
        <v>0</v>
      </c>
      <c r="I289" s="254">
        <f t="shared" si="389"/>
        <v>0</v>
      </c>
      <c r="J289" s="252">
        <f t="shared" si="389"/>
        <v>37070</v>
      </c>
      <c r="K289" s="253">
        <f t="shared" si="389"/>
        <v>0</v>
      </c>
      <c r="L289" s="254">
        <f t="shared" si="389"/>
        <v>37070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N+eTJEbbdi08Vn6TovlasNo4ldZbHZHdL5PrpLt2+EY03WEH9OiZJ+75vxJy2qQZFzHogMb6XiSXQG8TGTQyMg==" saltValue="YXdritJE4B+Rpkkztsu+DA==" spinCount="100000" sheet="1" objects="1" scenarios="1" formatCells="0" formatColumns="0" formatRows="0" deleteColumns="0"/>
  <autoFilter ref="A18:P301">
    <filterColumn colId="2">
      <filters>
        <filter val="11 600"/>
        <filter val="12 000"/>
        <filter val="13 000"/>
        <filter val="143 916"/>
        <filter val="176 698"/>
        <filter val="2 006"/>
        <filter val="2 220"/>
        <filter val="2 548"/>
        <filter val="2 950"/>
        <filter val="27 006"/>
        <filter val="28 826"/>
        <filter val="3 956"/>
        <filter val="37 070"/>
        <filter val="4 700"/>
        <filter val="478 720"/>
        <filter val="490 820"/>
        <filter val="500"/>
        <filter val="62 900"/>
        <filter val="65 850"/>
        <filter val="740 772"/>
        <filter val="768 374"/>
        <filter val="775 294"/>
        <filter val="777 842"/>
        <filter val="8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2019.gada 31.oktobra saistošajiem noteikumiem Nr.46
(protokols Nr.14, 28.punkts)
 </firstHeader>
    <firstFooter>&amp;L&amp;9&amp;D; &amp;T&amp;R&amp;9&amp;P (&amp;N)</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9" sqref="U9"/>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5.285156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1582</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1583</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 customHeight="1" x14ac:dyDescent="0.25">
      <c r="A7" s="7" t="s">
        <v>10</v>
      </c>
      <c r="B7" s="8"/>
      <c r="C7" s="1517" t="s">
        <v>1584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1585</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286614</v>
      </c>
      <c r="D20" s="32">
        <f>SUM(D21,D24,D25,D41,D43)</f>
        <v>276559</v>
      </c>
      <c r="E20" s="33">
        <f t="shared" ref="E20:F20" si="1">SUM(E21,E24,E25,E41,E43)</f>
        <v>10055</v>
      </c>
      <c r="F20" s="34">
        <f t="shared" si="1"/>
        <v>286614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39</v>
      </c>
      <c r="C21" s="38">
        <f t="shared" si="0"/>
        <v>13144</v>
      </c>
      <c r="D21" s="39">
        <f>SUM(D22:D23)</f>
        <v>13144</v>
      </c>
      <c r="E21" s="40">
        <f t="shared" ref="E21:F21" si="5">SUM(E22:E23)</f>
        <v>0</v>
      </c>
      <c r="F21" s="41">
        <f t="shared" si="5"/>
        <v>13144</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13144</v>
      </c>
      <c r="D23" s="53">
        <v>13144</v>
      </c>
      <c r="E23" s="54">
        <v>0</v>
      </c>
      <c r="F23" s="55">
        <f t="shared" ref="F23:F25" si="9">D23+E23</f>
        <v>13144</v>
      </c>
      <c r="G23" s="53"/>
      <c r="H23" s="54"/>
      <c r="I23" s="55">
        <f t="shared" ref="I23:I24" si="10">G23+H23</f>
        <v>0</v>
      </c>
      <c r="J23" s="53"/>
      <c r="K23" s="54"/>
      <c r="L23" s="56">
        <f>K23+J23</f>
        <v>0</v>
      </c>
      <c r="M23" s="53"/>
      <c r="N23" s="54"/>
      <c r="O23" s="55">
        <f>N23+M23</f>
        <v>0</v>
      </c>
      <c r="P23" s="57"/>
    </row>
    <row r="24" spans="1:16" s="28" customFormat="1" ht="24.75" customHeight="1" thickBot="1" x14ac:dyDescent="0.3">
      <c r="A24" s="58">
        <v>19300</v>
      </c>
      <c r="B24" s="58" t="s">
        <v>42</v>
      </c>
      <c r="C24" s="59">
        <f>F24+I24</f>
        <v>9817</v>
      </c>
      <c r="D24" s="60">
        <v>9817</v>
      </c>
      <c r="E24" s="63">
        <v>0</v>
      </c>
      <c r="F24" s="62">
        <f t="shared" si="9"/>
        <v>9817</v>
      </c>
      <c r="G24" s="60"/>
      <c r="H24" s="63"/>
      <c r="I24" s="62">
        <f t="shared" si="10"/>
        <v>0</v>
      </c>
      <c r="J24" s="64" t="s">
        <v>43</v>
      </c>
      <c r="K24" s="65" t="s">
        <v>43</v>
      </c>
      <c r="L24" s="66" t="s">
        <v>43</v>
      </c>
      <c r="M24" s="64" t="s">
        <v>43</v>
      </c>
      <c r="N24" s="65" t="s">
        <v>43</v>
      </c>
      <c r="O24" s="66" t="s">
        <v>43</v>
      </c>
      <c r="P24" s="67"/>
    </row>
    <row r="25" spans="1:16" s="28" customFormat="1" ht="24.75" customHeight="1" thickTop="1" x14ac:dyDescent="0.25">
      <c r="A25" s="68">
        <v>18630</v>
      </c>
      <c r="B25" s="69" t="s">
        <v>44</v>
      </c>
      <c r="C25" s="70">
        <f>F25</f>
        <v>263653</v>
      </c>
      <c r="D25" s="71">
        <v>253598</v>
      </c>
      <c r="E25" s="72">
        <v>10055</v>
      </c>
      <c r="F25" s="73">
        <f t="shared" si="9"/>
        <v>263653</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286614</v>
      </c>
      <c r="D50" s="159">
        <f>SUM(D51,D286)</f>
        <v>276559</v>
      </c>
      <c r="E50" s="160">
        <f t="shared" ref="E50:F50" si="26">SUM(E51,E286)</f>
        <v>10055</v>
      </c>
      <c r="F50" s="161">
        <f t="shared" si="26"/>
        <v>286614</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251277</v>
      </c>
      <c r="D51" s="165">
        <f>SUM(D52,D194)</f>
        <v>236145</v>
      </c>
      <c r="E51" s="166">
        <f t="shared" ref="E51:F51" si="30">SUM(E52,E194)</f>
        <v>15132</v>
      </c>
      <c r="F51" s="167">
        <f t="shared" si="30"/>
        <v>251277</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251277</v>
      </c>
      <c r="D52" s="173">
        <f>SUM(D53,D75,D173,D187)</f>
        <v>236145</v>
      </c>
      <c r="E52" s="174">
        <f t="shared" ref="E52:F52" si="34">SUM(E53,E75,E173,E187)</f>
        <v>15132</v>
      </c>
      <c r="F52" s="175">
        <f t="shared" si="34"/>
        <v>251277</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219372</v>
      </c>
      <c r="D53" s="179">
        <f>SUM(D54,D67)</f>
        <v>203652</v>
      </c>
      <c r="E53" s="180">
        <f t="shared" ref="E53:F53" si="38">SUM(E54,E67)</f>
        <v>15720</v>
      </c>
      <c r="F53" s="181">
        <f t="shared" si="38"/>
        <v>219372</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t="21" customHeight="1" x14ac:dyDescent="0.25">
      <c r="A54" s="69">
        <v>1100</v>
      </c>
      <c r="B54" s="183" t="s">
        <v>72</v>
      </c>
      <c r="C54" s="70">
        <f t="shared" si="0"/>
        <v>174170</v>
      </c>
      <c r="D54" s="184">
        <f>SUM(D55,D58,D66)</f>
        <v>161502</v>
      </c>
      <c r="E54" s="185">
        <f t="shared" ref="E54:F54" si="42">SUM(E55,E58,E66)</f>
        <v>12668</v>
      </c>
      <c r="F54" s="73">
        <f t="shared" si="42"/>
        <v>174170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t="s">
        <v>1586</v>
      </c>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45.75"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x14ac:dyDescent="0.25">
      <c r="A58" s="189">
        <v>1140</v>
      </c>
      <c r="B58" s="89" t="s">
        <v>76</v>
      </c>
      <c r="C58" s="90">
        <f t="shared" si="0"/>
        <v>15290</v>
      </c>
      <c r="D58" s="190">
        <f>SUM(D59:D65)</f>
        <v>14840</v>
      </c>
      <c r="E58" s="191">
        <f>SUM(E59:E65)</f>
        <v>450</v>
      </c>
      <c r="F58" s="55">
        <f t="shared" ref="F58" si="54">SUM(F59:F65)</f>
        <v>15290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2.5" customHeight="1" x14ac:dyDescent="0.25">
      <c r="A63" s="51">
        <v>1147</v>
      </c>
      <c r="B63" s="89" t="s">
        <v>81</v>
      </c>
      <c r="C63" s="90">
        <f t="shared" si="0"/>
        <v>15290</v>
      </c>
      <c r="D63" s="53">
        <v>14840</v>
      </c>
      <c r="E63" s="54">
        <v>450</v>
      </c>
      <c r="F63" s="55">
        <f t="shared" si="58"/>
        <v>15290</v>
      </c>
      <c r="G63" s="53"/>
      <c r="H63" s="54"/>
      <c r="I63" s="55">
        <f t="shared" si="59"/>
        <v>0</v>
      </c>
      <c r="J63" s="53"/>
      <c r="K63" s="54"/>
      <c r="L63" s="55">
        <f t="shared" si="60"/>
        <v>0</v>
      </c>
      <c r="M63" s="53"/>
      <c r="N63" s="54"/>
      <c r="O63" s="55">
        <f t="shared" si="61"/>
        <v>0</v>
      </c>
      <c r="P63" s="1376" t="s">
        <v>1587</v>
      </c>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x14ac:dyDescent="0.25">
      <c r="A66" s="186">
        <v>1150</v>
      </c>
      <c r="B66" s="138" t="s">
        <v>84</v>
      </c>
      <c r="C66" s="143">
        <f t="shared" si="0"/>
        <v>158880</v>
      </c>
      <c r="D66" s="144">
        <v>146662</v>
      </c>
      <c r="E66" s="145">
        <v>12218</v>
      </c>
      <c r="F66" s="141">
        <f t="shared" si="58"/>
        <v>158880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45202</v>
      </c>
      <c r="D67" s="184">
        <f>SUM(D68:D69)</f>
        <v>42150</v>
      </c>
      <c r="E67" s="185">
        <f t="shared" ref="E67:F67" si="62">SUM(E68:E69)</f>
        <v>3052</v>
      </c>
      <c r="F67" s="73">
        <f t="shared" si="62"/>
        <v>45202</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x14ac:dyDescent="0.25">
      <c r="A68" s="1372">
        <v>1210</v>
      </c>
      <c r="B68" s="82" t="s">
        <v>86</v>
      </c>
      <c r="C68" s="83">
        <f t="shared" si="0"/>
        <v>43051</v>
      </c>
      <c r="D68" s="46">
        <v>39999</v>
      </c>
      <c r="E68" s="47">
        <f>2943+109</f>
        <v>3052</v>
      </c>
      <c r="F68" s="134">
        <f>D68+E68</f>
        <v>43051</v>
      </c>
      <c r="G68" s="46"/>
      <c r="H68" s="47"/>
      <c r="I68" s="134">
        <f>G68+H68</f>
        <v>0</v>
      </c>
      <c r="J68" s="46"/>
      <c r="K68" s="47"/>
      <c r="L68" s="134">
        <f>K68+J68</f>
        <v>0</v>
      </c>
      <c r="M68" s="46"/>
      <c r="N68" s="47"/>
      <c r="O68" s="134">
        <f>N68+M68</f>
        <v>0</v>
      </c>
      <c r="P68" s="49"/>
    </row>
    <row r="69" spans="1:16" ht="24" x14ac:dyDescent="0.25">
      <c r="A69" s="189">
        <v>1220</v>
      </c>
      <c r="B69" s="89" t="s">
        <v>87</v>
      </c>
      <c r="C69" s="90">
        <f t="shared" si="0"/>
        <v>2151</v>
      </c>
      <c r="D69" s="190">
        <f>SUM(D70:D74)</f>
        <v>2151</v>
      </c>
      <c r="E69" s="191">
        <f t="shared" ref="E69:F69" si="66">SUM(E70:E74)</f>
        <v>0</v>
      </c>
      <c r="F69" s="55">
        <f t="shared" si="66"/>
        <v>2151</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x14ac:dyDescent="0.25">
      <c r="A70" s="51">
        <v>1221</v>
      </c>
      <c r="B70" s="89" t="s">
        <v>88</v>
      </c>
      <c r="C70" s="90">
        <f t="shared" si="0"/>
        <v>2151</v>
      </c>
      <c r="D70" s="53">
        <v>2151</v>
      </c>
      <c r="E70" s="54">
        <v>0</v>
      </c>
      <c r="F70" s="55">
        <f t="shared" ref="F70:F74" si="70">D70+E70</f>
        <v>2151</v>
      </c>
      <c r="G70" s="53"/>
      <c r="H70" s="54"/>
      <c r="I70" s="55">
        <f t="shared" ref="I70:I74" si="71">G70+H70</f>
        <v>0</v>
      </c>
      <c r="J70" s="53"/>
      <c r="K70" s="54"/>
      <c r="L70" s="55">
        <f t="shared" ref="L70:L74" si="72">K70+J70</f>
        <v>0</v>
      </c>
      <c r="M70" s="53"/>
      <c r="N70" s="54"/>
      <c r="O70" s="55">
        <f t="shared" ref="O70:O74" si="73">N70+M70</f>
        <v>0</v>
      </c>
      <c r="P70" s="129"/>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14.25"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31905</v>
      </c>
      <c r="D75" s="179">
        <f>SUM(D76,D83,D130,D164,D165,D172)</f>
        <v>32493</v>
      </c>
      <c r="E75" s="180">
        <f t="shared" ref="E75:F75" si="74">SUM(E76,E83,E130,E164,E165,E172)</f>
        <v>-588</v>
      </c>
      <c r="F75" s="181">
        <f t="shared" si="74"/>
        <v>31905</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23084</v>
      </c>
      <c r="D83" s="184">
        <f>SUM(D84,D89,D95,D103,D112,D116,D122,D128)</f>
        <v>23672</v>
      </c>
      <c r="E83" s="185">
        <f t="shared" ref="E83:F83" si="98">SUM(E84,E89,E95,E103,E112,E116,E122,E128)</f>
        <v>-588</v>
      </c>
      <c r="F83" s="73">
        <f t="shared" si="98"/>
        <v>23084</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200</v>
      </c>
      <c r="D95" s="190">
        <f>SUM(D96:D102)</f>
        <v>200</v>
      </c>
      <c r="E95" s="191">
        <f t="shared" ref="E95:F95" si="119">SUM(E96:E102)</f>
        <v>0</v>
      </c>
      <c r="F95" s="55">
        <f t="shared" si="119"/>
        <v>200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200</v>
      </c>
      <c r="D96" s="196">
        <v>200</v>
      </c>
      <c r="E96" s="197">
        <v>0</v>
      </c>
      <c r="F96" s="55">
        <f t="shared" ref="F96:F102" si="123">D96+E96</f>
        <v>200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idden="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idden="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5891</v>
      </c>
      <c r="D116" s="190">
        <f>SUM(D117:D121)</f>
        <v>6717</v>
      </c>
      <c r="E116" s="191">
        <f t="shared" ref="E116:F116" si="143">SUM(E117:E121)</f>
        <v>-826</v>
      </c>
      <c r="F116" s="55">
        <f t="shared" si="143"/>
        <v>5891</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1" customHeight="1" x14ac:dyDescent="0.25">
      <c r="A118" s="51">
        <v>2262</v>
      </c>
      <c r="B118" s="89" t="s">
        <v>134</v>
      </c>
      <c r="C118" s="90">
        <f t="shared" si="102"/>
        <v>5891</v>
      </c>
      <c r="D118" s="196">
        <v>6717</v>
      </c>
      <c r="E118" s="197">
        <v>-826</v>
      </c>
      <c r="F118" s="55">
        <f t="shared" si="147"/>
        <v>5891</v>
      </c>
      <c r="G118" s="53"/>
      <c r="H118" s="54"/>
      <c r="I118" s="55">
        <f t="shared" si="148"/>
        <v>0</v>
      </c>
      <c r="J118" s="53"/>
      <c r="K118" s="54"/>
      <c r="L118" s="55">
        <f t="shared" si="149"/>
        <v>0</v>
      </c>
      <c r="M118" s="53"/>
      <c r="N118" s="54"/>
      <c r="O118" s="55">
        <f t="shared" si="150"/>
        <v>0</v>
      </c>
      <c r="P118" s="1376" t="s">
        <v>1588</v>
      </c>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8.5"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16993</v>
      </c>
      <c r="D122" s="190">
        <f>SUM(D123:D127)</f>
        <v>16755</v>
      </c>
      <c r="E122" s="191">
        <f t="shared" ref="E122:F122" si="151">SUM(E123:E127)</f>
        <v>238</v>
      </c>
      <c r="F122" s="55">
        <f t="shared" si="151"/>
        <v>16993</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3.75" customHeight="1" x14ac:dyDescent="0.25">
      <c r="A127" s="51">
        <v>2279</v>
      </c>
      <c r="B127" s="89" t="s">
        <v>143</v>
      </c>
      <c r="C127" s="90">
        <f t="shared" si="102"/>
        <v>16993</v>
      </c>
      <c r="D127" s="196">
        <v>16755</v>
      </c>
      <c r="E127" s="197">
        <v>238</v>
      </c>
      <c r="F127" s="55">
        <f t="shared" si="155"/>
        <v>16993</v>
      </c>
      <c r="G127" s="53"/>
      <c r="H127" s="54"/>
      <c r="I127" s="55">
        <f t="shared" si="156"/>
        <v>0</v>
      </c>
      <c r="J127" s="53"/>
      <c r="K127" s="54"/>
      <c r="L127" s="55">
        <f t="shared" si="157"/>
        <v>0</v>
      </c>
      <c r="M127" s="53"/>
      <c r="N127" s="54"/>
      <c r="O127" s="55">
        <f t="shared" si="158"/>
        <v>0</v>
      </c>
      <c r="P127" s="1376" t="s">
        <v>1589</v>
      </c>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18.75"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8821</v>
      </c>
      <c r="D130" s="184">
        <f>SUM(D131,D136,D140,D141,D144,D151,D159,D160,D163)</f>
        <v>8821</v>
      </c>
      <c r="E130" s="185">
        <f t="shared" ref="E130:F130" si="160">SUM(E131,E136,E140,E141,E144,E151,E159,E160,E163)</f>
        <v>0</v>
      </c>
      <c r="F130" s="73">
        <f t="shared" si="160"/>
        <v>8821</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372">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8821</v>
      </c>
      <c r="D159" s="203">
        <v>8821</v>
      </c>
      <c r="E159" s="204"/>
      <c r="F159" s="141">
        <f t="shared" si="198"/>
        <v>8821</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5.25"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35337</v>
      </c>
      <c r="D286" s="190">
        <f>SUM(D287:D288)</f>
        <v>40414</v>
      </c>
      <c r="E286" s="191">
        <f t="shared" ref="E286:F286" si="381">SUM(E287:E288)</f>
        <v>-5077</v>
      </c>
      <c r="F286" s="55">
        <f t="shared" si="381"/>
        <v>35337</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1" t="s">
        <v>303</v>
      </c>
      <c r="B287" s="51" t="s">
        <v>304</v>
      </c>
      <c r="C287" s="90">
        <f t="shared" si="371"/>
        <v>25520</v>
      </c>
      <c r="D287" s="196">
        <v>30597</v>
      </c>
      <c r="E287" s="197">
        <v>-5077</v>
      </c>
      <c r="F287" s="55">
        <f t="shared" ref="F287:F288" si="385">D287+E287</f>
        <v>25520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9817</v>
      </c>
      <c r="D288" s="199">
        <v>9817</v>
      </c>
      <c r="E288" s="200">
        <v>0</v>
      </c>
      <c r="F288" s="134">
        <f t="shared" si="385"/>
        <v>9817</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286614</v>
      </c>
      <c r="D289" s="252">
        <f t="shared" ref="D289:O289" si="389">SUM(D286,D269,D230,D195,D187,D173,D75,D53,D283)</f>
        <v>276559</v>
      </c>
      <c r="E289" s="253">
        <f t="shared" si="389"/>
        <v>10055</v>
      </c>
      <c r="F289" s="254">
        <f t="shared" si="389"/>
        <v>286614</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22193</v>
      </c>
      <c r="D290" s="257">
        <f>SUM(D24,D25,D41)-D51</f>
        <v>27270</v>
      </c>
      <c r="E290" s="258">
        <f t="shared" ref="E290:F290" si="390">SUM(E24,E25,E41)-E51</f>
        <v>-5077</v>
      </c>
      <c r="F290" s="259">
        <f t="shared" si="390"/>
        <v>22193</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-22193</v>
      </c>
      <c r="D291" s="262">
        <f t="shared" ref="D291:O291" si="394">SUM(D292,D293)-D300+D301</f>
        <v>-27270</v>
      </c>
      <c r="E291" s="263">
        <f t="shared" si="394"/>
        <v>5077</v>
      </c>
      <c r="F291" s="264">
        <f t="shared" si="394"/>
        <v>-22193</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-22193</v>
      </c>
      <c r="D292" s="159">
        <f t="shared" ref="D292:O292" si="395">D21-D286</f>
        <v>-27270</v>
      </c>
      <c r="E292" s="160">
        <f t="shared" si="395"/>
        <v>5077</v>
      </c>
      <c r="F292" s="161">
        <f t="shared" si="395"/>
        <v>-22193</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cHMERK1LHK0A+kJOx4VsVihqXkH8yCsqdhuMEWs3dA/pxpet99Vxzf1RH3ZSrLIicI0SwbZ4d5QBifULie7MXQ==" saltValue="n1DqzIgWGcRQU4Gvh4HmwA==" spinCount="100000" sheet="1" objects="1" scenarios="1" formatCells="0" formatColumns="0" formatRows="0" deleteColumns="0"/>
  <autoFilter ref="A18:P301">
    <filterColumn colId="2">
      <filters>
        <filter val="13 144"/>
        <filter val="15 290"/>
        <filter val="158 880"/>
        <filter val="16 993"/>
        <filter val="174 170"/>
        <filter val="2 151"/>
        <filter val="200"/>
        <filter val="219 372"/>
        <filter val="22 193"/>
        <filter val="-22 193"/>
        <filter val="23 084"/>
        <filter val="25 520"/>
        <filter val="251 277"/>
        <filter val="263 653"/>
        <filter val="286 614"/>
        <filter val="31 905"/>
        <filter val="35 337"/>
        <filter val="43 051"/>
        <filter val="45 202"/>
        <filter val="5 891"/>
        <filter val="8 821"/>
        <filter val="9 81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64.pielikums Jūrmalas pilsētas domes
2019.gada 31.oktobra saistošajiem noteikumiem Nr.46
(protokols Nr.14, 28.punkts)
 </firstHeader>
    <firstFooter>&amp;L&amp;9&amp;D; &amp;T&amp;R&amp;9&amp;P (&amp;N)</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1877</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1878</v>
      </c>
      <c r="D3" s="1517"/>
      <c r="E3" s="1517"/>
      <c r="F3" s="1517"/>
      <c r="G3" s="1517"/>
      <c r="H3" s="1517"/>
      <c r="I3" s="1517"/>
      <c r="J3" s="1517"/>
      <c r="K3" s="1517"/>
      <c r="L3" s="1517"/>
      <c r="M3" s="1517"/>
      <c r="N3" s="1517"/>
      <c r="O3" s="1517"/>
      <c r="P3" s="1518"/>
      <c r="Q3" s="277"/>
    </row>
    <row r="4" spans="1:17" ht="12.75" customHeight="1" x14ac:dyDescent="0.25">
      <c r="A4" s="5" t="s">
        <v>4</v>
      </c>
      <c r="B4" s="6"/>
      <c r="C4" s="1517" t="s">
        <v>1879</v>
      </c>
      <c r="D4" s="1517"/>
      <c r="E4" s="1517"/>
      <c r="F4" s="1517"/>
      <c r="G4" s="1517"/>
      <c r="H4" s="1517"/>
      <c r="I4" s="1517"/>
      <c r="J4" s="1517"/>
      <c r="K4" s="1517"/>
      <c r="L4" s="1517"/>
      <c r="M4" s="1517"/>
      <c r="N4" s="1517"/>
      <c r="O4" s="1517"/>
      <c r="P4" s="1518"/>
      <c r="Q4" s="277"/>
    </row>
    <row r="5" spans="1:17" ht="12.75" customHeight="1" x14ac:dyDescent="0.25">
      <c r="A5" s="7" t="s">
        <v>6</v>
      </c>
      <c r="B5" s="8"/>
      <c r="C5" s="1512" t="s">
        <v>1880</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5.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1881</v>
      </c>
      <c r="D9" s="1512"/>
      <c r="E9" s="1512"/>
      <c r="F9" s="1512"/>
      <c r="G9" s="1512"/>
      <c r="H9" s="1512"/>
      <c r="I9" s="1512"/>
      <c r="J9" s="1512"/>
      <c r="K9" s="1512"/>
      <c r="L9" s="1512"/>
      <c r="M9" s="1512"/>
      <c r="N9" s="1512"/>
      <c r="O9" s="1512"/>
      <c r="P9" s="1513"/>
      <c r="Q9" s="277"/>
    </row>
    <row r="10" spans="1:17" ht="12.75" customHeight="1" x14ac:dyDescent="0.25">
      <c r="A10" s="7"/>
      <c r="B10" s="8" t="s">
        <v>15</v>
      </c>
      <c r="C10" s="1512" t="s">
        <v>1882</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1883</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1231390</v>
      </c>
      <c r="D20" s="32">
        <f>SUM(D21,D24,D25,D41,D43)</f>
        <v>496669</v>
      </c>
      <c r="E20" s="33">
        <f t="shared" ref="E20:F20" si="1">SUM(E21,E24,E25,E41,E43)</f>
        <v>0</v>
      </c>
      <c r="F20" s="34">
        <f t="shared" si="1"/>
        <v>496669</v>
      </c>
      <c r="G20" s="32">
        <f>SUM(G21,G24,G43)</f>
        <v>668845</v>
      </c>
      <c r="H20" s="33">
        <f t="shared" ref="H20:I20" si="2">SUM(H21,H24,H43)</f>
        <v>47857</v>
      </c>
      <c r="I20" s="34">
        <f t="shared" si="2"/>
        <v>716702</v>
      </c>
      <c r="J20" s="32">
        <f>SUM(J21,J26,J43)</f>
        <v>18019</v>
      </c>
      <c r="K20" s="33">
        <f t="shared" ref="K20:L20" si="3">SUM(K21,K26,K43)</f>
        <v>0</v>
      </c>
      <c r="L20" s="34">
        <f t="shared" si="3"/>
        <v>18019</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1213371</v>
      </c>
      <c r="D24" s="60">
        <v>496669</v>
      </c>
      <c r="E24" s="63"/>
      <c r="F24" s="62">
        <f t="shared" si="9"/>
        <v>496669</v>
      </c>
      <c r="G24" s="60">
        <v>668845</v>
      </c>
      <c r="H24" s="602">
        <v>47857</v>
      </c>
      <c r="I24" s="62">
        <f t="shared" si="10"/>
        <v>716702</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17799</v>
      </c>
      <c r="D26" s="74" t="s">
        <v>43</v>
      </c>
      <c r="E26" s="75" t="s">
        <v>43</v>
      </c>
      <c r="F26" s="76" t="s">
        <v>43</v>
      </c>
      <c r="G26" s="74" t="s">
        <v>43</v>
      </c>
      <c r="H26" s="75" t="s">
        <v>43</v>
      </c>
      <c r="I26" s="76" t="s">
        <v>43</v>
      </c>
      <c r="J26" s="78">
        <f>SUM(J27,J31,J33,J36)</f>
        <v>17799</v>
      </c>
      <c r="K26" s="79">
        <f t="shared" ref="K26:L26" si="11">SUM(K27,K31,K33,K36)</f>
        <v>0</v>
      </c>
      <c r="L26" s="80">
        <f t="shared" si="11"/>
        <v>17799</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9611</v>
      </c>
      <c r="D33" s="74" t="s">
        <v>43</v>
      </c>
      <c r="E33" s="75" t="s">
        <v>43</v>
      </c>
      <c r="F33" s="76" t="s">
        <v>43</v>
      </c>
      <c r="G33" s="74" t="s">
        <v>43</v>
      </c>
      <c r="H33" s="75" t="s">
        <v>43</v>
      </c>
      <c r="I33" s="76" t="s">
        <v>43</v>
      </c>
      <c r="J33" s="78">
        <f>SUM(J34:J35)</f>
        <v>9611</v>
      </c>
      <c r="K33" s="79">
        <f t="shared" ref="K33:L33" si="17">SUM(K34:K35)</f>
        <v>0</v>
      </c>
      <c r="L33" s="80">
        <f t="shared" si="17"/>
        <v>9611</v>
      </c>
      <c r="M33" s="78" t="s">
        <v>43</v>
      </c>
      <c r="N33" s="79" t="s">
        <v>43</v>
      </c>
      <c r="O33" s="80" t="s">
        <v>43</v>
      </c>
      <c r="P33" s="77"/>
    </row>
    <row r="34" spans="1:16" x14ac:dyDescent="0.25">
      <c r="A34" s="44">
        <v>21381</v>
      </c>
      <c r="B34" s="82" t="s">
        <v>53</v>
      </c>
      <c r="C34" s="83">
        <f t="shared" si="16"/>
        <v>9611</v>
      </c>
      <c r="D34" s="84" t="s">
        <v>43</v>
      </c>
      <c r="E34" s="85" t="s">
        <v>43</v>
      </c>
      <c r="F34" s="86" t="s">
        <v>43</v>
      </c>
      <c r="G34" s="84" t="s">
        <v>43</v>
      </c>
      <c r="H34" s="85" t="s">
        <v>43</v>
      </c>
      <c r="I34" s="86" t="s">
        <v>43</v>
      </c>
      <c r="J34" s="46">
        <v>9611</v>
      </c>
      <c r="K34" s="47"/>
      <c r="L34" s="48">
        <f t="shared" ref="L34:L35" si="18">K34+J34</f>
        <v>9611</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8188</v>
      </c>
      <c r="D36" s="74" t="s">
        <v>43</v>
      </c>
      <c r="E36" s="75" t="s">
        <v>43</v>
      </c>
      <c r="F36" s="76" t="s">
        <v>43</v>
      </c>
      <c r="G36" s="74" t="s">
        <v>43</v>
      </c>
      <c r="H36" s="75" t="s">
        <v>43</v>
      </c>
      <c r="I36" s="76" t="s">
        <v>43</v>
      </c>
      <c r="J36" s="78">
        <f>SUM(J37:J40)</f>
        <v>8188</v>
      </c>
      <c r="K36" s="79">
        <f t="shared" ref="K36:L36" si="19">SUM(K37:K40)</f>
        <v>0</v>
      </c>
      <c r="L36" s="80">
        <f t="shared" si="19"/>
        <v>8188</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8188</v>
      </c>
      <c r="D40" s="111" t="s">
        <v>43</v>
      </c>
      <c r="E40" s="112" t="s">
        <v>43</v>
      </c>
      <c r="F40" s="113" t="s">
        <v>43</v>
      </c>
      <c r="G40" s="111" t="s">
        <v>43</v>
      </c>
      <c r="H40" s="112" t="s">
        <v>43</v>
      </c>
      <c r="I40" s="113" t="s">
        <v>43</v>
      </c>
      <c r="J40" s="114">
        <v>8188</v>
      </c>
      <c r="K40" s="115"/>
      <c r="L40" s="116">
        <f t="shared" si="20"/>
        <v>8188</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220</v>
      </c>
      <c r="D43" s="78">
        <f>D44</f>
        <v>0</v>
      </c>
      <c r="E43" s="79">
        <f t="shared" ref="E43:L43" si="22">E44</f>
        <v>0</v>
      </c>
      <c r="F43" s="80">
        <f t="shared" si="22"/>
        <v>0</v>
      </c>
      <c r="G43" s="78">
        <f t="shared" si="22"/>
        <v>0</v>
      </c>
      <c r="H43" s="79">
        <f t="shared" si="22"/>
        <v>0</v>
      </c>
      <c r="I43" s="80">
        <f t="shared" si="22"/>
        <v>0</v>
      </c>
      <c r="J43" s="78">
        <f t="shared" si="22"/>
        <v>220</v>
      </c>
      <c r="K43" s="79">
        <f t="shared" si="22"/>
        <v>0</v>
      </c>
      <c r="L43" s="80">
        <f t="shared" si="22"/>
        <v>220</v>
      </c>
      <c r="M43" s="78" t="s">
        <v>43</v>
      </c>
      <c r="N43" s="79" t="s">
        <v>43</v>
      </c>
      <c r="O43" s="80" t="s">
        <v>43</v>
      </c>
      <c r="P43" s="77"/>
    </row>
    <row r="44" spans="1:16" s="28" customFormat="1" ht="24" customHeight="1" x14ac:dyDescent="0.25">
      <c r="A44" s="51">
        <v>21499</v>
      </c>
      <c r="B44" s="89" t="s">
        <v>63</v>
      </c>
      <c r="C44" s="133">
        <f>F44+I44+L44</f>
        <v>220</v>
      </c>
      <c r="D44" s="46"/>
      <c r="E44" s="47"/>
      <c r="F44" s="134">
        <f>D44+E44</f>
        <v>0</v>
      </c>
      <c r="G44" s="46"/>
      <c r="H44" s="47"/>
      <c r="I44" s="134">
        <f>G44+H44</f>
        <v>0</v>
      </c>
      <c r="J44" s="46">
        <v>220</v>
      </c>
      <c r="K44" s="47"/>
      <c r="L44" s="48">
        <f>K44+J44</f>
        <v>220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1231390</v>
      </c>
      <c r="D50" s="159">
        <f>SUM(D51,D286)</f>
        <v>496669</v>
      </c>
      <c r="E50" s="160">
        <f t="shared" ref="E50:F50" si="26">SUM(E51,E286)</f>
        <v>0</v>
      </c>
      <c r="F50" s="161">
        <f t="shared" si="26"/>
        <v>496669</v>
      </c>
      <c r="G50" s="159">
        <f>SUM(G51,G286)</f>
        <v>668845</v>
      </c>
      <c r="H50" s="160">
        <f>SUM(H51,H286)</f>
        <v>47857</v>
      </c>
      <c r="I50" s="161">
        <f t="shared" ref="I50" si="27">SUM(I51,I286)</f>
        <v>716702</v>
      </c>
      <c r="J50" s="32">
        <f>SUM(J51,J286)</f>
        <v>18019</v>
      </c>
      <c r="K50" s="33">
        <f t="shared" ref="K50:L50" si="28">SUM(K51,K286)</f>
        <v>0</v>
      </c>
      <c r="L50" s="34">
        <f t="shared" si="28"/>
        <v>18019</v>
      </c>
      <c r="M50" s="32">
        <f>SUM(M51,M286)</f>
        <v>0</v>
      </c>
      <c r="N50" s="33">
        <f t="shared" ref="N50:O50" si="29">SUM(N51,N286)</f>
        <v>0</v>
      </c>
      <c r="O50" s="34">
        <f t="shared" si="29"/>
        <v>0</v>
      </c>
      <c r="P50" s="35"/>
    </row>
    <row r="51" spans="1:16" s="28" customFormat="1" ht="36.75" thickTop="1" x14ac:dyDescent="0.25">
      <c r="A51" s="162"/>
      <c r="B51" s="163" t="s">
        <v>69</v>
      </c>
      <c r="C51" s="164">
        <f t="shared" si="0"/>
        <v>1231390</v>
      </c>
      <c r="D51" s="165">
        <f>SUM(D52,D194)</f>
        <v>496669</v>
      </c>
      <c r="E51" s="166">
        <f t="shared" ref="E51:F51" si="30">SUM(E52,E194)</f>
        <v>0</v>
      </c>
      <c r="F51" s="167">
        <f t="shared" si="30"/>
        <v>496669</v>
      </c>
      <c r="G51" s="165">
        <f>SUM(G52,G194)</f>
        <v>668845</v>
      </c>
      <c r="H51" s="166">
        <f t="shared" ref="H51:I51" si="31">SUM(H52,H194)</f>
        <v>47857</v>
      </c>
      <c r="I51" s="167">
        <f t="shared" si="31"/>
        <v>716702</v>
      </c>
      <c r="J51" s="168">
        <f>SUM(J52,J194)</f>
        <v>18019</v>
      </c>
      <c r="K51" s="169">
        <f t="shared" ref="K51:L51" si="32">SUM(K52,K194)</f>
        <v>0</v>
      </c>
      <c r="L51" s="170">
        <f t="shared" si="32"/>
        <v>18019</v>
      </c>
      <c r="M51" s="168">
        <f>SUM(M52,M194)</f>
        <v>0</v>
      </c>
      <c r="N51" s="169">
        <f t="shared" ref="N51:O51" si="33">SUM(N52,N194)</f>
        <v>0</v>
      </c>
      <c r="O51" s="170">
        <f t="shared" si="33"/>
        <v>0</v>
      </c>
      <c r="P51" s="171"/>
    </row>
    <row r="52" spans="1:16" s="28" customFormat="1" ht="24" x14ac:dyDescent="0.25">
      <c r="A52" s="24"/>
      <c r="B52" s="22" t="s">
        <v>70</v>
      </c>
      <c r="C52" s="172">
        <f t="shared" si="0"/>
        <v>1215263</v>
      </c>
      <c r="D52" s="173">
        <f>SUM(D53,D75,D173,D187)</f>
        <v>484233</v>
      </c>
      <c r="E52" s="174">
        <f t="shared" ref="E52:F52" si="34">SUM(E53,E75,E173,E187)</f>
        <v>-2608</v>
      </c>
      <c r="F52" s="175">
        <f t="shared" si="34"/>
        <v>481625</v>
      </c>
      <c r="G52" s="173">
        <f>SUM(G53,G75,G173,G187)</f>
        <v>667762</v>
      </c>
      <c r="H52" s="174">
        <f t="shared" ref="H52:I52" si="35">SUM(H53,H75,H173,H187)</f>
        <v>47857</v>
      </c>
      <c r="I52" s="175">
        <f t="shared" si="35"/>
        <v>715619</v>
      </c>
      <c r="J52" s="173">
        <f>SUM(J53,J75,J173,J187)</f>
        <v>18019</v>
      </c>
      <c r="K52" s="174">
        <f t="shared" ref="K52:L52" si="36">SUM(K53,K75,K173,K187)</f>
        <v>0</v>
      </c>
      <c r="L52" s="175">
        <f t="shared" si="36"/>
        <v>18019</v>
      </c>
      <c r="M52" s="173">
        <f>SUM(M53,M75,M173,M187)</f>
        <v>0</v>
      </c>
      <c r="N52" s="174">
        <f t="shared" ref="N52:O52" si="37">SUM(N53,N75,N173,N187)</f>
        <v>0</v>
      </c>
      <c r="O52" s="175">
        <f t="shared" si="37"/>
        <v>0</v>
      </c>
      <c r="P52" s="176"/>
    </row>
    <row r="53" spans="1:16" s="28" customFormat="1" x14ac:dyDescent="0.25">
      <c r="A53" s="177">
        <v>1000</v>
      </c>
      <c r="B53" s="177" t="s">
        <v>71</v>
      </c>
      <c r="C53" s="178">
        <f t="shared" si="0"/>
        <v>1080531</v>
      </c>
      <c r="D53" s="179">
        <f>SUM(D54,D67)</f>
        <v>376608</v>
      </c>
      <c r="E53" s="180">
        <f t="shared" ref="E53:F53" si="38">SUM(E54,E67)</f>
        <v>0</v>
      </c>
      <c r="F53" s="181">
        <f t="shared" si="38"/>
        <v>376608</v>
      </c>
      <c r="G53" s="179">
        <f>SUM(G54,G67)</f>
        <v>656066</v>
      </c>
      <c r="H53" s="180">
        <f t="shared" ref="H53:I53" si="39">SUM(H54,H67)</f>
        <v>47857</v>
      </c>
      <c r="I53" s="181">
        <f t="shared" si="39"/>
        <v>703923</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816008</v>
      </c>
      <c r="D54" s="184">
        <f>SUM(D55,D58,D66)</f>
        <v>266360</v>
      </c>
      <c r="E54" s="185">
        <f t="shared" ref="E54:F54" si="42">SUM(E55,E58,E66)</f>
        <v>0</v>
      </c>
      <c r="F54" s="73">
        <f t="shared" si="42"/>
        <v>266360</v>
      </c>
      <c r="G54" s="184">
        <f>SUM(G55,G58,G66)</f>
        <v>519543</v>
      </c>
      <c r="H54" s="185">
        <f t="shared" ref="H54:I54" si="43">SUM(H55,H58,H66)</f>
        <v>30105</v>
      </c>
      <c r="I54" s="73">
        <f t="shared" si="43"/>
        <v>549648</v>
      </c>
      <c r="J54" s="184">
        <f>SUM(J55,J58,J66)</f>
        <v>0</v>
      </c>
      <c r="K54" s="185">
        <f t="shared" ref="K54:L54" si="44">SUM(K55,K58,K66)</f>
        <v>0</v>
      </c>
      <c r="L54" s="73">
        <f t="shared" si="44"/>
        <v>0</v>
      </c>
      <c r="M54" s="184">
        <f>SUM(M55,M58,M66)</f>
        <v>0</v>
      </c>
      <c r="N54" s="185">
        <f t="shared" ref="N54:O54" si="45">SUM(N55,N58,N66)</f>
        <v>0</v>
      </c>
      <c r="O54" s="73">
        <f t="shared" si="45"/>
        <v>0</v>
      </c>
      <c r="P54" s="77"/>
    </row>
    <row r="55" spans="1:16" ht="18" customHeight="1" x14ac:dyDescent="0.25">
      <c r="A55" s="186">
        <v>1110</v>
      </c>
      <c r="B55" s="138" t="s">
        <v>73</v>
      </c>
      <c r="C55" s="143">
        <f t="shared" si="0"/>
        <v>695825</v>
      </c>
      <c r="D55" s="187">
        <f>SUM(D56:D57)</f>
        <v>205604</v>
      </c>
      <c r="E55" s="188">
        <f t="shared" ref="E55:F55" si="46">SUM(E56:E57)</f>
        <v>-860</v>
      </c>
      <c r="F55" s="141">
        <f t="shared" si="46"/>
        <v>204744</v>
      </c>
      <c r="G55" s="187">
        <f>SUM(G56:G57)</f>
        <v>477607</v>
      </c>
      <c r="H55" s="188">
        <f t="shared" ref="H55:I55" si="47">SUM(H56:H57)</f>
        <v>13474</v>
      </c>
      <c r="I55" s="141">
        <f t="shared" si="47"/>
        <v>491081</v>
      </c>
      <c r="J55" s="187">
        <f>SUM(J56:J57)</f>
        <v>0</v>
      </c>
      <c r="K55" s="188">
        <f t="shared" ref="K55:L55" si="48">SUM(K56:K57)</f>
        <v>0</v>
      </c>
      <c r="L55" s="141">
        <f t="shared" si="48"/>
        <v>0</v>
      </c>
      <c r="M55" s="187">
        <f>SUM(M56:M57)</f>
        <v>0</v>
      </c>
      <c r="N55" s="188">
        <f t="shared" ref="N55:O55" si="49">SUM(N56:N57)</f>
        <v>0</v>
      </c>
      <c r="O55" s="141">
        <f t="shared" si="49"/>
        <v>0</v>
      </c>
      <c r="P55" s="129" t="s">
        <v>1884</v>
      </c>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9.25" customHeight="1" x14ac:dyDescent="0.25">
      <c r="A57" s="51">
        <v>1119</v>
      </c>
      <c r="B57" s="89" t="s">
        <v>75</v>
      </c>
      <c r="C57" s="90">
        <f t="shared" si="0"/>
        <v>695825</v>
      </c>
      <c r="D57" s="53">
        <v>205604</v>
      </c>
      <c r="E57" s="54">
        <v>-860</v>
      </c>
      <c r="F57" s="55">
        <f t="shared" si="50"/>
        <v>204744</v>
      </c>
      <c r="G57" s="53">
        <v>477607</v>
      </c>
      <c r="H57" s="54">
        <v>13474</v>
      </c>
      <c r="I57" s="55">
        <f t="shared" si="51"/>
        <v>491081</v>
      </c>
      <c r="J57" s="53"/>
      <c r="K57" s="54"/>
      <c r="L57" s="55">
        <f t="shared" si="52"/>
        <v>0</v>
      </c>
      <c r="M57" s="53"/>
      <c r="N57" s="54"/>
      <c r="O57" s="55">
        <f t="shared" si="53"/>
        <v>0</v>
      </c>
      <c r="P57" s="57" t="s">
        <v>1885</v>
      </c>
    </row>
    <row r="58" spans="1:16" x14ac:dyDescent="0.25">
      <c r="A58" s="189">
        <v>1140</v>
      </c>
      <c r="B58" s="89" t="s">
        <v>76</v>
      </c>
      <c r="C58" s="90">
        <f t="shared" si="0"/>
        <v>115364</v>
      </c>
      <c r="D58" s="190">
        <f>SUM(D59:D65)</f>
        <v>56797</v>
      </c>
      <c r="E58" s="191">
        <f>SUM(E59:E65)</f>
        <v>0</v>
      </c>
      <c r="F58" s="55">
        <f t="shared" ref="F58" si="54">SUM(F59:F65)</f>
        <v>56797</v>
      </c>
      <c r="G58" s="190">
        <f>SUM(G59:G65)</f>
        <v>41936</v>
      </c>
      <c r="H58" s="1441">
        <f t="shared" ref="H58:I58" si="55">SUM(H59:H65)</f>
        <v>16631</v>
      </c>
      <c r="I58" s="55">
        <f t="shared" si="55"/>
        <v>58567</v>
      </c>
      <c r="J58" s="190">
        <f>SUM(J59:J65)</f>
        <v>0</v>
      </c>
      <c r="K58" s="191">
        <f t="shared" ref="K58:L58" si="56">SUM(K59:K65)</f>
        <v>0</v>
      </c>
      <c r="L58" s="55">
        <f t="shared" si="56"/>
        <v>0</v>
      </c>
      <c r="M58" s="190">
        <f>SUM(M59:M65)</f>
        <v>0</v>
      </c>
      <c r="N58" s="191">
        <f t="shared" ref="N58:O58" si="57">SUM(N59:N65)</f>
        <v>0</v>
      </c>
      <c r="O58" s="55">
        <f t="shared" si="57"/>
        <v>0</v>
      </c>
      <c r="P58" s="57"/>
    </row>
    <row r="59" spans="1:16" x14ac:dyDescent="0.25">
      <c r="A59" s="51">
        <v>1141</v>
      </c>
      <c r="B59" s="89" t="s">
        <v>77</v>
      </c>
      <c r="C59" s="90">
        <f t="shared" si="0"/>
        <v>5363</v>
      </c>
      <c r="D59" s="53">
        <v>5363</v>
      </c>
      <c r="E59" s="54"/>
      <c r="F59" s="55">
        <f t="shared" ref="F59:F66" si="58">D59+E59</f>
        <v>5363</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1148</v>
      </c>
      <c r="D60" s="53">
        <v>1148</v>
      </c>
      <c r="E60" s="54"/>
      <c r="F60" s="55">
        <f t="shared" si="58"/>
        <v>1148</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6.5" customHeight="1" x14ac:dyDescent="0.25">
      <c r="A63" s="51">
        <v>1147</v>
      </c>
      <c r="B63" s="89" t="s">
        <v>81</v>
      </c>
      <c r="C63" s="90">
        <f t="shared" si="0"/>
        <v>8343</v>
      </c>
      <c r="D63" s="53">
        <v>4948</v>
      </c>
      <c r="E63" s="54"/>
      <c r="F63" s="55">
        <f t="shared" si="58"/>
        <v>4948</v>
      </c>
      <c r="G63" s="53">
        <v>2595</v>
      </c>
      <c r="H63" s="604">
        <v>800</v>
      </c>
      <c r="I63" s="55">
        <f t="shared" si="59"/>
        <v>3395</v>
      </c>
      <c r="J63" s="53"/>
      <c r="K63" s="54"/>
      <c r="L63" s="55">
        <f t="shared" si="60"/>
        <v>0</v>
      </c>
      <c r="M63" s="53"/>
      <c r="N63" s="54"/>
      <c r="O63" s="55">
        <f t="shared" si="61"/>
        <v>0</v>
      </c>
      <c r="P63" s="57"/>
    </row>
    <row r="64" spans="1:16" ht="12" customHeight="1" x14ac:dyDescent="0.25">
      <c r="A64" s="51">
        <v>1148</v>
      </c>
      <c r="B64" s="89" t="s">
        <v>82</v>
      </c>
      <c r="C64" s="90">
        <f t="shared" si="0"/>
        <v>52634</v>
      </c>
      <c r="D64" s="53">
        <v>45004</v>
      </c>
      <c r="E64" s="54"/>
      <c r="F64" s="55">
        <f t="shared" si="58"/>
        <v>45004</v>
      </c>
      <c r="G64" s="53">
        <v>800</v>
      </c>
      <c r="H64" s="604">
        <v>6830</v>
      </c>
      <c r="I64" s="55">
        <f t="shared" si="59"/>
        <v>7630</v>
      </c>
      <c r="J64" s="53"/>
      <c r="K64" s="54"/>
      <c r="L64" s="55">
        <f t="shared" si="60"/>
        <v>0</v>
      </c>
      <c r="M64" s="53"/>
      <c r="N64" s="54"/>
      <c r="O64" s="55">
        <f t="shared" si="61"/>
        <v>0</v>
      </c>
      <c r="P64" s="57"/>
    </row>
    <row r="65" spans="1:16" ht="30" customHeight="1" x14ac:dyDescent="0.25">
      <c r="A65" s="51">
        <v>1149</v>
      </c>
      <c r="B65" s="89" t="s">
        <v>83</v>
      </c>
      <c r="C65" s="90">
        <f t="shared" si="0"/>
        <v>47876</v>
      </c>
      <c r="D65" s="53">
        <v>334</v>
      </c>
      <c r="E65" s="54"/>
      <c r="F65" s="55">
        <f t="shared" si="58"/>
        <v>334</v>
      </c>
      <c r="G65" s="53">
        <v>38541</v>
      </c>
      <c r="H65" s="604">
        <v>9001</v>
      </c>
      <c r="I65" s="55">
        <f t="shared" si="59"/>
        <v>47542</v>
      </c>
      <c r="J65" s="53"/>
      <c r="K65" s="54"/>
      <c r="L65" s="55">
        <f t="shared" si="60"/>
        <v>0</v>
      </c>
      <c r="M65" s="53"/>
      <c r="N65" s="54"/>
      <c r="O65" s="55">
        <f t="shared" si="61"/>
        <v>0</v>
      </c>
      <c r="P65" s="57"/>
    </row>
    <row r="66" spans="1:16" ht="36" customHeight="1" x14ac:dyDescent="0.25">
      <c r="A66" s="186">
        <v>1150</v>
      </c>
      <c r="B66" s="138" t="s">
        <v>84</v>
      </c>
      <c r="C66" s="143">
        <f t="shared" si="0"/>
        <v>4819</v>
      </c>
      <c r="D66" s="144">
        <v>3959</v>
      </c>
      <c r="E66" s="145">
        <v>860</v>
      </c>
      <c r="F66" s="141">
        <f t="shared" si="58"/>
        <v>4819</v>
      </c>
      <c r="G66" s="144"/>
      <c r="H66" s="145"/>
      <c r="I66" s="141">
        <f t="shared" si="59"/>
        <v>0</v>
      </c>
      <c r="J66" s="144"/>
      <c r="K66" s="145"/>
      <c r="L66" s="141">
        <f t="shared" si="60"/>
        <v>0</v>
      </c>
      <c r="M66" s="144"/>
      <c r="N66" s="145"/>
      <c r="O66" s="141">
        <f t="shared" si="61"/>
        <v>0</v>
      </c>
      <c r="P66" s="129" t="s">
        <v>1886</v>
      </c>
    </row>
    <row r="67" spans="1:16" ht="24" x14ac:dyDescent="0.25">
      <c r="A67" s="69">
        <v>1200</v>
      </c>
      <c r="B67" s="183" t="s">
        <v>85</v>
      </c>
      <c r="C67" s="70">
        <f t="shared" si="0"/>
        <v>264523</v>
      </c>
      <c r="D67" s="184">
        <f>SUM(D68:D69)</f>
        <v>110248</v>
      </c>
      <c r="E67" s="185">
        <f t="shared" ref="E67:F67" si="62">SUM(E68:E69)</f>
        <v>0</v>
      </c>
      <c r="F67" s="73">
        <f t="shared" si="62"/>
        <v>110248</v>
      </c>
      <c r="G67" s="184">
        <f>SUM(G68:G69)</f>
        <v>136523</v>
      </c>
      <c r="H67" s="185">
        <f t="shared" ref="H67:I67" si="63">SUM(H68:H69)</f>
        <v>17752</v>
      </c>
      <c r="I67" s="73">
        <f t="shared" si="63"/>
        <v>154275</v>
      </c>
      <c r="J67" s="184">
        <f>SUM(J68:J69)</f>
        <v>0</v>
      </c>
      <c r="K67" s="185">
        <f t="shared" ref="K67:L67" si="64">SUM(K68:K69)</f>
        <v>0</v>
      </c>
      <c r="L67" s="73">
        <f t="shared" si="64"/>
        <v>0</v>
      </c>
      <c r="M67" s="184">
        <f>SUM(M68:M69)</f>
        <v>0</v>
      </c>
      <c r="N67" s="185">
        <f t="shared" ref="N67:O67" si="65">SUM(N68:N69)</f>
        <v>0</v>
      </c>
      <c r="O67" s="73">
        <f t="shared" si="65"/>
        <v>0</v>
      </c>
      <c r="P67" s="77"/>
    </row>
    <row r="68" spans="1:16" ht="30.75" customHeight="1" x14ac:dyDescent="0.25">
      <c r="A68" s="1373">
        <v>1210</v>
      </c>
      <c r="B68" s="82" t="s">
        <v>86</v>
      </c>
      <c r="C68" s="83">
        <f t="shared" si="0"/>
        <v>206073</v>
      </c>
      <c r="D68" s="46">
        <v>68335</v>
      </c>
      <c r="E68" s="47"/>
      <c r="F68" s="134">
        <f>D68+E68</f>
        <v>68335</v>
      </c>
      <c r="G68" s="46">
        <v>127103</v>
      </c>
      <c r="H68" s="603">
        <v>10635</v>
      </c>
      <c r="I68" s="134">
        <f>G68+H68</f>
        <v>137738</v>
      </c>
      <c r="J68" s="46"/>
      <c r="K68" s="47"/>
      <c r="L68" s="134">
        <f>K68+J68</f>
        <v>0</v>
      </c>
      <c r="M68" s="46"/>
      <c r="N68" s="47"/>
      <c r="O68" s="134">
        <f>N68+M68</f>
        <v>0</v>
      </c>
      <c r="P68" s="49"/>
    </row>
    <row r="69" spans="1:16" ht="24" x14ac:dyDescent="0.25">
      <c r="A69" s="189">
        <v>1220</v>
      </c>
      <c r="B69" s="89" t="s">
        <v>87</v>
      </c>
      <c r="C69" s="90">
        <f t="shared" si="0"/>
        <v>58450</v>
      </c>
      <c r="D69" s="190">
        <f>SUM(D70:D74)</f>
        <v>41913</v>
      </c>
      <c r="E69" s="191">
        <f t="shared" ref="E69:F69" si="66">SUM(E70:E74)</f>
        <v>0</v>
      </c>
      <c r="F69" s="55">
        <f t="shared" si="66"/>
        <v>41913</v>
      </c>
      <c r="G69" s="190">
        <f>SUM(G70:G74)</f>
        <v>9420</v>
      </c>
      <c r="H69" s="191">
        <f t="shared" ref="H69:I69" si="67">SUM(H70:H74)</f>
        <v>7117</v>
      </c>
      <c r="I69" s="55">
        <f t="shared" si="67"/>
        <v>16537</v>
      </c>
      <c r="J69" s="190">
        <f>SUM(J70:J74)</f>
        <v>0</v>
      </c>
      <c r="K69" s="191">
        <f t="shared" ref="K69:L69" si="68">SUM(K70:K74)</f>
        <v>0</v>
      </c>
      <c r="L69" s="55">
        <f t="shared" si="68"/>
        <v>0</v>
      </c>
      <c r="M69" s="190">
        <f>SUM(M70:M74)</f>
        <v>0</v>
      </c>
      <c r="N69" s="191">
        <f t="shared" ref="N69:O69" si="69">SUM(N70:N74)</f>
        <v>0</v>
      </c>
      <c r="O69" s="55">
        <f t="shared" si="69"/>
        <v>0</v>
      </c>
      <c r="P69" s="57"/>
    </row>
    <row r="70" spans="1:16" ht="48" x14ac:dyDescent="0.25">
      <c r="A70" s="51">
        <v>1221</v>
      </c>
      <c r="B70" s="89" t="s">
        <v>88</v>
      </c>
      <c r="C70" s="90">
        <f t="shared" si="0"/>
        <v>41591</v>
      </c>
      <c r="D70" s="53">
        <v>25054</v>
      </c>
      <c r="E70" s="54"/>
      <c r="F70" s="55">
        <f t="shared" ref="F70:F74" si="70">D70+E70</f>
        <v>25054</v>
      </c>
      <c r="G70" s="53">
        <v>9420</v>
      </c>
      <c r="H70" s="604">
        <v>7117</v>
      </c>
      <c r="I70" s="55">
        <f t="shared" ref="I70:I74" si="71">G70+H70</f>
        <v>16537</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9.75" customHeight="1" x14ac:dyDescent="0.25">
      <c r="A73" s="51">
        <v>1227</v>
      </c>
      <c r="B73" s="89" t="s">
        <v>91</v>
      </c>
      <c r="C73" s="90">
        <f t="shared" si="0"/>
        <v>14513</v>
      </c>
      <c r="D73" s="53">
        <v>14513</v>
      </c>
      <c r="E73" s="54"/>
      <c r="F73" s="55">
        <f t="shared" si="70"/>
        <v>14513</v>
      </c>
      <c r="G73" s="53"/>
      <c r="H73" s="54"/>
      <c r="I73" s="55">
        <f t="shared" si="71"/>
        <v>0</v>
      </c>
      <c r="J73" s="53"/>
      <c r="K73" s="54"/>
      <c r="L73" s="55">
        <f t="shared" si="72"/>
        <v>0</v>
      </c>
      <c r="M73" s="53"/>
      <c r="N73" s="54"/>
      <c r="O73" s="55">
        <f t="shared" si="73"/>
        <v>0</v>
      </c>
      <c r="P73" s="57"/>
    </row>
    <row r="74" spans="1:16" ht="55.5" customHeight="1" x14ac:dyDescent="0.25">
      <c r="A74" s="51">
        <v>1228</v>
      </c>
      <c r="B74" s="89" t="s">
        <v>92</v>
      </c>
      <c r="C74" s="90">
        <f t="shared" si="0"/>
        <v>2346</v>
      </c>
      <c r="D74" s="53">
        <v>2346</v>
      </c>
      <c r="E74" s="54"/>
      <c r="F74" s="55">
        <f t="shared" si="70"/>
        <v>2346</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134732</v>
      </c>
      <c r="D75" s="179">
        <f>SUM(D76,D83,D130,D164,D165,D172)</f>
        <v>107625</v>
      </c>
      <c r="E75" s="180">
        <f t="shared" ref="E75:F75" si="74">SUM(E76,E83,E130,E164,E165,E172)</f>
        <v>-2608</v>
      </c>
      <c r="F75" s="181">
        <f t="shared" si="74"/>
        <v>105017</v>
      </c>
      <c r="G75" s="179">
        <f>SUM(G76,G83,G130,G164,G165,G172)</f>
        <v>11696</v>
      </c>
      <c r="H75" s="180">
        <f t="shared" ref="H75:I75" si="75">SUM(H76,H83,H130,H164,H165,H172)</f>
        <v>0</v>
      </c>
      <c r="I75" s="181">
        <f t="shared" si="75"/>
        <v>11696</v>
      </c>
      <c r="J75" s="179">
        <f>SUM(J76,J83,J130,J164,J165,J172)</f>
        <v>18019</v>
      </c>
      <c r="K75" s="180">
        <f t="shared" ref="K75:L75" si="76">SUM(K76,K83,K130,K164,K165,K172)</f>
        <v>0</v>
      </c>
      <c r="L75" s="181">
        <f t="shared" si="76"/>
        <v>18019</v>
      </c>
      <c r="M75" s="179">
        <f>SUM(M76,M83,M130,M164,M165,M172)</f>
        <v>0</v>
      </c>
      <c r="N75" s="180">
        <f t="shared" ref="N75:O75" si="77">SUM(N76,N83,N130,N164,N165,N172)</f>
        <v>0</v>
      </c>
      <c r="O75" s="181">
        <f t="shared" si="77"/>
        <v>0</v>
      </c>
      <c r="P75" s="182"/>
    </row>
    <row r="76" spans="1:16" ht="24" x14ac:dyDescent="0.25">
      <c r="A76" s="69">
        <v>2100</v>
      </c>
      <c r="B76" s="183" t="s">
        <v>94</v>
      </c>
      <c r="C76" s="70">
        <f t="shared" si="0"/>
        <v>533</v>
      </c>
      <c r="D76" s="184">
        <f>SUM(D77,D80)</f>
        <v>533</v>
      </c>
      <c r="E76" s="185">
        <f t="shared" ref="E76:F76" si="78">SUM(E77,E80)</f>
        <v>0</v>
      </c>
      <c r="F76" s="73">
        <f t="shared" si="78"/>
        <v>533</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1373">
        <v>2110</v>
      </c>
      <c r="B77" s="82" t="s">
        <v>95</v>
      </c>
      <c r="C77" s="83">
        <f t="shared" si="0"/>
        <v>98</v>
      </c>
      <c r="D77" s="194">
        <f>SUM(D78:D79)</f>
        <v>98</v>
      </c>
      <c r="E77" s="195">
        <f t="shared" ref="E77:F77" si="82">SUM(E78:E79)</f>
        <v>0</v>
      </c>
      <c r="F77" s="134">
        <f t="shared" si="82"/>
        <v>98</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customHeight="1" x14ac:dyDescent="0.25">
      <c r="A78" s="51">
        <v>2111</v>
      </c>
      <c r="B78" s="89" t="s">
        <v>96</v>
      </c>
      <c r="C78" s="90">
        <f t="shared" si="0"/>
        <v>24</v>
      </c>
      <c r="D78" s="196">
        <v>24</v>
      </c>
      <c r="E78" s="197"/>
      <c r="F78" s="55">
        <f t="shared" ref="F78:F79" si="86">D78+E78</f>
        <v>24</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74</v>
      </c>
      <c r="D79" s="196">
        <v>74</v>
      </c>
      <c r="E79" s="197"/>
      <c r="F79" s="55">
        <f t="shared" si="86"/>
        <v>74</v>
      </c>
      <c r="G79" s="53"/>
      <c r="H79" s="54"/>
      <c r="I79" s="55">
        <f t="shared" si="87"/>
        <v>0</v>
      </c>
      <c r="J79" s="53"/>
      <c r="K79" s="54"/>
      <c r="L79" s="55">
        <f t="shared" si="88"/>
        <v>0</v>
      </c>
      <c r="M79" s="53"/>
      <c r="N79" s="54"/>
      <c r="O79" s="55">
        <f t="shared" si="89"/>
        <v>0</v>
      </c>
      <c r="P79" s="57"/>
    </row>
    <row r="80" spans="1:16" ht="24" x14ac:dyDescent="0.25">
      <c r="A80" s="189">
        <v>2120</v>
      </c>
      <c r="B80" s="89" t="s">
        <v>98</v>
      </c>
      <c r="C80" s="90">
        <f t="shared" si="0"/>
        <v>435</v>
      </c>
      <c r="D80" s="190">
        <f>SUM(D81:D82)</f>
        <v>435</v>
      </c>
      <c r="E80" s="191">
        <f t="shared" ref="E80:F80" si="90">SUM(E81:E82)</f>
        <v>0</v>
      </c>
      <c r="F80" s="55">
        <f t="shared" si="90"/>
        <v>435</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customHeight="1" x14ac:dyDescent="0.25">
      <c r="A81" s="51">
        <v>2121</v>
      </c>
      <c r="B81" s="89" t="s">
        <v>96</v>
      </c>
      <c r="C81" s="90">
        <f t="shared" si="0"/>
        <v>267</v>
      </c>
      <c r="D81" s="196">
        <v>267</v>
      </c>
      <c r="E81" s="197"/>
      <c r="F81" s="55">
        <f t="shared" ref="F81:F82" si="94">D81+E81</f>
        <v>267</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9" t="s">
        <v>97</v>
      </c>
      <c r="C82" s="90">
        <f t="shared" si="0"/>
        <v>168</v>
      </c>
      <c r="D82" s="196">
        <v>168</v>
      </c>
      <c r="E82" s="197"/>
      <c r="F82" s="55">
        <f t="shared" si="94"/>
        <v>168</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101840</v>
      </c>
      <c r="D83" s="184">
        <f>SUM(D84,D89,D95,D103,D112,D116,D122,D128)</f>
        <v>79024</v>
      </c>
      <c r="E83" s="185">
        <f t="shared" ref="E83:F83" si="98">SUM(E84,E89,E95,E103,E112,E116,E122,E128)</f>
        <v>0</v>
      </c>
      <c r="F83" s="73">
        <f t="shared" si="98"/>
        <v>79024</v>
      </c>
      <c r="G83" s="184">
        <f>SUM(G84,G89,G95,G103,G112,G116,G122,G128)</f>
        <v>6846</v>
      </c>
      <c r="H83" s="185">
        <f t="shared" ref="H83:I83" si="99">SUM(H84,H89,H95,H103,H112,H116,H122,H128)</f>
        <v>0</v>
      </c>
      <c r="I83" s="73">
        <f t="shared" si="99"/>
        <v>6846</v>
      </c>
      <c r="J83" s="184">
        <f>SUM(J84,J89,J95,J103,J112,J116,J122,J128)</f>
        <v>15970</v>
      </c>
      <c r="K83" s="185">
        <f t="shared" ref="K83:L83" si="100">SUM(K84,K89,K95,K103,K112,K116,K122,K128)</f>
        <v>0</v>
      </c>
      <c r="L83" s="73">
        <f t="shared" si="100"/>
        <v>15970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901</v>
      </c>
      <c r="D84" s="187">
        <f>SUM(D85:D88)</f>
        <v>731</v>
      </c>
      <c r="E84" s="188">
        <f t="shared" ref="E84:F84" si="103">SUM(E85:E88)</f>
        <v>0</v>
      </c>
      <c r="F84" s="141">
        <f t="shared" si="103"/>
        <v>731</v>
      </c>
      <c r="G84" s="187">
        <f>SUM(G85:G88)</f>
        <v>0</v>
      </c>
      <c r="H84" s="188">
        <f t="shared" ref="H84:I84" si="104">SUM(H85:H88)</f>
        <v>0</v>
      </c>
      <c r="I84" s="141">
        <f t="shared" si="104"/>
        <v>0</v>
      </c>
      <c r="J84" s="187">
        <f>SUM(J85:J88)</f>
        <v>170</v>
      </c>
      <c r="K84" s="188">
        <f t="shared" ref="K84:L84" si="105">SUM(K85:K88)</f>
        <v>0</v>
      </c>
      <c r="L84" s="141">
        <f t="shared" si="105"/>
        <v>170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481</v>
      </c>
      <c r="D86" s="196">
        <v>461</v>
      </c>
      <c r="E86" s="197"/>
      <c r="F86" s="55">
        <f t="shared" si="107"/>
        <v>461</v>
      </c>
      <c r="G86" s="53"/>
      <c r="H86" s="54"/>
      <c r="I86" s="55">
        <f t="shared" si="108"/>
        <v>0</v>
      </c>
      <c r="J86" s="53">
        <v>20</v>
      </c>
      <c r="K86" s="54"/>
      <c r="L86" s="55">
        <f t="shared" si="109"/>
        <v>20</v>
      </c>
      <c r="M86" s="53"/>
      <c r="N86" s="54"/>
      <c r="O86" s="55">
        <f t="shared" si="110"/>
        <v>0</v>
      </c>
      <c r="P86" s="57"/>
    </row>
    <row r="87" spans="1:16" ht="24" customHeight="1" x14ac:dyDescent="0.25">
      <c r="A87" s="51">
        <v>2214</v>
      </c>
      <c r="B87" s="89" t="s">
        <v>103</v>
      </c>
      <c r="C87" s="90">
        <f t="shared" si="102"/>
        <v>385</v>
      </c>
      <c r="D87" s="196">
        <v>235</v>
      </c>
      <c r="E87" s="197"/>
      <c r="F87" s="55">
        <f t="shared" si="107"/>
        <v>235</v>
      </c>
      <c r="G87" s="53"/>
      <c r="H87" s="54"/>
      <c r="I87" s="55">
        <f t="shared" si="108"/>
        <v>0</v>
      </c>
      <c r="J87" s="53">
        <v>150</v>
      </c>
      <c r="K87" s="54"/>
      <c r="L87" s="55">
        <f t="shared" si="109"/>
        <v>150</v>
      </c>
      <c r="M87" s="53"/>
      <c r="N87" s="54"/>
      <c r="O87" s="55">
        <f t="shared" si="110"/>
        <v>0</v>
      </c>
      <c r="P87" s="57"/>
    </row>
    <row r="88" spans="1:16" ht="12" customHeight="1" x14ac:dyDescent="0.25">
      <c r="A88" s="51">
        <v>2219</v>
      </c>
      <c r="B88" s="89" t="s">
        <v>104</v>
      </c>
      <c r="C88" s="90">
        <f t="shared" si="102"/>
        <v>35</v>
      </c>
      <c r="D88" s="196">
        <v>35</v>
      </c>
      <c r="E88" s="197"/>
      <c r="F88" s="55">
        <f t="shared" si="107"/>
        <v>35</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75865</v>
      </c>
      <c r="D89" s="190">
        <f>SUM(D90:D94)</f>
        <v>60823</v>
      </c>
      <c r="E89" s="191">
        <f t="shared" ref="E89:F89" si="111">SUM(E90:E94)</f>
        <v>0</v>
      </c>
      <c r="F89" s="55">
        <f t="shared" si="111"/>
        <v>60823</v>
      </c>
      <c r="G89" s="190">
        <f>SUM(G90:G94)</f>
        <v>0</v>
      </c>
      <c r="H89" s="191">
        <f t="shared" ref="H89:I89" si="112">SUM(H90:H94)</f>
        <v>0</v>
      </c>
      <c r="I89" s="55">
        <f t="shared" si="112"/>
        <v>0</v>
      </c>
      <c r="J89" s="190">
        <f>SUM(J90:J94)</f>
        <v>15042</v>
      </c>
      <c r="K89" s="191">
        <f t="shared" ref="K89:L89" si="113">SUM(K90:K94)</f>
        <v>0</v>
      </c>
      <c r="L89" s="55">
        <f t="shared" si="113"/>
        <v>15042</v>
      </c>
      <c r="M89" s="190">
        <f>SUM(M90:M94)</f>
        <v>0</v>
      </c>
      <c r="N89" s="191">
        <f t="shared" ref="N89:O89" si="114">SUM(N90:N94)</f>
        <v>0</v>
      </c>
      <c r="O89" s="55">
        <f t="shared" si="114"/>
        <v>0</v>
      </c>
      <c r="P89" s="57"/>
    </row>
    <row r="90" spans="1:16" ht="24" x14ac:dyDescent="0.25">
      <c r="A90" s="51">
        <v>2221</v>
      </c>
      <c r="B90" s="89" t="s">
        <v>106</v>
      </c>
      <c r="C90" s="90">
        <f t="shared" si="102"/>
        <v>48255</v>
      </c>
      <c r="D90" s="196">
        <v>41969</v>
      </c>
      <c r="E90" s="197"/>
      <c r="F90" s="55">
        <f t="shared" ref="F90:F94" si="115">D90+E90</f>
        <v>41969</v>
      </c>
      <c r="G90" s="53"/>
      <c r="H90" s="54"/>
      <c r="I90" s="55">
        <f t="shared" ref="I90:I94" si="116">G90+H90</f>
        <v>0</v>
      </c>
      <c r="J90" s="53">
        <v>6286</v>
      </c>
      <c r="K90" s="54"/>
      <c r="L90" s="55">
        <f t="shared" ref="L90:L94" si="117">K90+J90</f>
        <v>6286</v>
      </c>
      <c r="M90" s="53"/>
      <c r="N90" s="54"/>
      <c r="O90" s="55">
        <f t="shared" ref="O90:O94" si="118">N90+M90</f>
        <v>0</v>
      </c>
      <c r="P90" s="57"/>
    </row>
    <row r="91" spans="1:16" ht="24" x14ac:dyDescent="0.25">
      <c r="A91" s="51">
        <v>2222</v>
      </c>
      <c r="B91" s="89" t="s">
        <v>107</v>
      </c>
      <c r="C91" s="90">
        <f t="shared" si="102"/>
        <v>6133</v>
      </c>
      <c r="D91" s="196">
        <v>2249</v>
      </c>
      <c r="E91" s="197"/>
      <c r="F91" s="55">
        <f t="shared" si="115"/>
        <v>2249</v>
      </c>
      <c r="G91" s="53"/>
      <c r="H91" s="54"/>
      <c r="I91" s="55">
        <f t="shared" si="116"/>
        <v>0</v>
      </c>
      <c r="J91" s="53">
        <v>5384</v>
      </c>
      <c r="K91" s="54">
        <v>-1500</v>
      </c>
      <c r="L91" s="55">
        <f t="shared" si="117"/>
        <v>3884</v>
      </c>
      <c r="M91" s="53"/>
      <c r="N91" s="54"/>
      <c r="O91" s="55">
        <f t="shared" si="118"/>
        <v>0</v>
      </c>
      <c r="P91" s="57" t="s">
        <v>1887</v>
      </c>
    </row>
    <row r="92" spans="1:16" x14ac:dyDescent="0.25">
      <c r="A92" s="51">
        <v>2223</v>
      </c>
      <c r="B92" s="89" t="s">
        <v>108</v>
      </c>
      <c r="C92" s="90">
        <f t="shared" si="102"/>
        <v>20681</v>
      </c>
      <c r="D92" s="196">
        <v>15894</v>
      </c>
      <c r="E92" s="197"/>
      <c r="F92" s="55">
        <f t="shared" si="115"/>
        <v>15894</v>
      </c>
      <c r="G92" s="53"/>
      <c r="H92" s="54"/>
      <c r="I92" s="55">
        <f t="shared" si="116"/>
        <v>0</v>
      </c>
      <c r="J92" s="53">
        <v>3287</v>
      </c>
      <c r="K92" s="54">
        <v>1500</v>
      </c>
      <c r="L92" s="55">
        <f t="shared" si="117"/>
        <v>4787</v>
      </c>
      <c r="M92" s="53"/>
      <c r="N92" s="54"/>
      <c r="O92" s="55">
        <f t="shared" si="118"/>
        <v>0</v>
      </c>
      <c r="P92" s="57"/>
    </row>
    <row r="93" spans="1:16" ht="48" x14ac:dyDescent="0.25">
      <c r="A93" s="51">
        <v>2224</v>
      </c>
      <c r="B93" s="89" t="s">
        <v>109</v>
      </c>
      <c r="C93" s="90">
        <f t="shared" si="102"/>
        <v>796</v>
      </c>
      <c r="D93" s="196">
        <v>711</v>
      </c>
      <c r="E93" s="197"/>
      <c r="F93" s="55">
        <f t="shared" si="115"/>
        <v>711</v>
      </c>
      <c r="G93" s="53"/>
      <c r="H93" s="54"/>
      <c r="I93" s="55">
        <f t="shared" si="116"/>
        <v>0</v>
      </c>
      <c r="J93" s="53">
        <v>85</v>
      </c>
      <c r="K93" s="54"/>
      <c r="L93" s="55">
        <f t="shared" si="117"/>
        <v>85</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2733</v>
      </c>
      <c r="D95" s="190">
        <f>SUM(D96:D102)</f>
        <v>2733</v>
      </c>
      <c r="E95" s="191">
        <f t="shared" ref="E95:F95" si="119">SUM(E96:E102)</f>
        <v>0</v>
      </c>
      <c r="F95" s="55">
        <f t="shared" si="119"/>
        <v>2733</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116</v>
      </c>
      <c r="C100" s="90">
        <f t="shared" si="102"/>
        <v>121</v>
      </c>
      <c r="D100" s="196">
        <v>121</v>
      </c>
      <c r="E100" s="197"/>
      <c r="F100" s="55">
        <f t="shared" si="123"/>
        <v>121</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2612</v>
      </c>
      <c r="D102" s="196">
        <v>2612</v>
      </c>
      <c r="E102" s="197"/>
      <c r="F102" s="55">
        <f t="shared" si="123"/>
        <v>2612</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10253</v>
      </c>
      <c r="D103" s="190">
        <f>SUM(D104:D111)</f>
        <v>9495</v>
      </c>
      <c r="E103" s="191">
        <f t="shared" ref="E103:F103" si="127">SUM(E104:E111)</f>
        <v>0</v>
      </c>
      <c r="F103" s="55">
        <f t="shared" si="127"/>
        <v>9495</v>
      </c>
      <c r="G103" s="190">
        <f>SUM(G104:G111)</f>
        <v>0</v>
      </c>
      <c r="H103" s="191">
        <f t="shared" ref="H103:I103" si="128">SUM(H104:H111)</f>
        <v>0</v>
      </c>
      <c r="I103" s="55">
        <f t="shared" si="128"/>
        <v>0</v>
      </c>
      <c r="J103" s="190">
        <f>SUM(J104:J111)</f>
        <v>758</v>
      </c>
      <c r="K103" s="191">
        <f t="shared" ref="K103:L103" si="129">SUM(K104:K111)</f>
        <v>0</v>
      </c>
      <c r="L103" s="55">
        <f t="shared" si="129"/>
        <v>758</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121</v>
      </c>
      <c r="C105" s="90">
        <f t="shared" si="102"/>
        <v>2956</v>
      </c>
      <c r="D105" s="196">
        <v>2198</v>
      </c>
      <c r="E105" s="197"/>
      <c r="F105" s="55">
        <f t="shared" si="131"/>
        <v>2198</v>
      </c>
      <c r="G105" s="53"/>
      <c r="H105" s="54"/>
      <c r="I105" s="55">
        <f t="shared" si="132"/>
        <v>0</v>
      </c>
      <c r="J105" s="53">
        <v>758</v>
      </c>
      <c r="K105" s="54"/>
      <c r="L105" s="55">
        <f t="shared" si="133"/>
        <v>758</v>
      </c>
      <c r="M105" s="53"/>
      <c r="N105" s="54"/>
      <c r="O105" s="55">
        <f t="shared" si="134"/>
        <v>0</v>
      </c>
      <c r="P105" s="57"/>
    </row>
    <row r="106" spans="1:16" ht="24" customHeight="1" x14ac:dyDescent="0.25">
      <c r="A106" s="51">
        <v>2243</v>
      </c>
      <c r="B106" s="89" t="s">
        <v>122</v>
      </c>
      <c r="C106" s="90">
        <f t="shared" si="102"/>
        <v>1148</v>
      </c>
      <c r="D106" s="196">
        <v>1148</v>
      </c>
      <c r="E106" s="197"/>
      <c r="F106" s="55">
        <f t="shared" si="131"/>
        <v>1148</v>
      </c>
      <c r="G106" s="53"/>
      <c r="H106" s="54"/>
      <c r="I106" s="55">
        <f t="shared" si="132"/>
        <v>0</v>
      </c>
      <c r="J106" s="53"/>
      <c r="K106" s="54"/>
      <c r="L106" s="55">
        <f t="shared" si="133"/>
        <v>0</v>
      </c>
      <c r="M106" s="53"/>
      <c r="N106" s="54"/>
      <c r="O106" s="55">
        <f t="shared" si="134"/>
        <v>0</v>
      </c>
      <c r="P106" s="57"/>
    </row>
    <row r="107" spans="1:16" x14ac:dyDescent="0.25">
      <c r="A107" s="51">
        <v>2244</v>
      </c>
      <c r="B107" s="89" t="s">
        <v>123</v>
      </c>
      <c r="C107" s="90">
        <f t="shared" si="102"/>
        <v>6149</v>
      </c>
      <c r="D107" s="196">
        <v>6149</v>
      </c>
      <c r="E107" s="197"/>
      <c r="F107" s="55">
        <f t="shared" si="131"/>
        <v>6149</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2883</v>
      </c>
      <c r="D112" s="190">
        <f>SUM(D113:D115)</f>
        <v>2883</v>
      </c>
      <c r="E112" s="191">
        <f t="shared" ref="E112:F112" si="135">SUM(E113:E115)</f>
        <v>0</v>
      </c>
      <c r="F112" s="55">
        <f t="shared" si="135"/>
        <v>2883</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85</v>
      </c>
      <c r="D113" s="196">
        <v>85</v>
      </c>
      <c r="E113" s="197"/>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2053</v>
      </c>
      <c r="D114" s="196">
        <v>2053</v>
      </c>
      <c r="E114" s="197"/>
      <c r="F114" s="55">
        <f t="shared" si="139"/>
        <v>2053</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745</v>
      </c>
      <c r="D115" s="196">
        <v>745</v>
      </c>
      <c r="E115" s="197"/>
      <c r="F115" s="55">
        <f t="shared" si="139"/>
        <v>745</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1988</v>
      </c>
      <c r="D116" s="190">
        <f>SUM(D117:D121)</f>
        <v>62</v>
      </c>
      <c r="E116" s="191">
        <f t="shared" ref="E116:F116" si="143">SUM(E117:E121)</f>
        <v>0</v>
      </c>
      <c r="F116" s="55">
        <f t="shared" si="143"/>
        <v>62</v>
      </c>
      <c r="G116" s="190">
        <f>SUM(G117:G121)</f>
        <v>1926</v>
      </c>
      <c r="H116" s="191">
        <f t="shared" ref="H116:I116" si="144">SUM(H117:H121)</f>
        <v>0</v>
      </c>
      <c r="I116" s="55">
        <f t="shared" si="144"/>
        <v>1926</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1926</v>
      </c>
      <c r="D118" s="196"/>
      <c r="E118" s="197"/>
      <c r="F118" s="55">
        <f t="shared" si="147"/>
        <v>0</v>
      </c>
      <c r="G118" s="53">
        <v>1926</v>
      </c>
      <c r="H118" s="54"/>
      <c r="I118" s="55">
        <f t="shared" si="148"/>
        <v>1926</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62</v>
      </c>
      <c r="D121" s="196">
        <v>62</v>
      </c>
      <c r="E121" s="197"/>
      <c r="F121" s="55">
        <f t="shared" si="147"/>
        <v>62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7217</v>
      </c>
      <c r="D122" s="190">
        <f>SUM(D123:D127)</f>
        <v>2297</v>
      </c>
      <c r="E122" s="191">
        <f t="shared" ref="E122:F122" si="151">SUM(E123:E127)</f>
        <v>0</v>
      </c>
      <c r="F122" s="55">
        <f t="shared" si="151"/>
        <v>2297</v>
      </c>
      <c r="G122" s="190">
        <f>SUM(G123:G127)</f>
        <v>4920</v>
      </c>
      <c r="H122" s="191">
        <f t="shared" ref="H122:I122" si="152">SUM(H123:H127)</f>
        <v>0</v>
      </c>
      <c r="I122" s="55">
        <f t="shared" si="152"/>
        <v>4920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9" t="s">
        <v>143</v>
      </c>
      <c r="C127" s="90">
        <f t="shared" si="102"/>
        <v>7217</v>
      </c>
      <c r="D127" s="196">
        <v>2297</v>
      </c>
      <c r="E127" s="197"/>
      <c r="F127" s="55">
        <f t="shared" si="155"/>
        <v>2297</v>
      </c>
      <c r="G127" s="53">
        <v>4920</v>
      </c>
      <c r="H127" s="54"/>
      <c r="I127" s="55">
        <f t="shared" si="156"/>
        <v>4920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32072</v>
      </c>
      <c r="D130" s="184">
        <f>SUM(D131,D136,D140,D141,D144,D151,D159,D160,D163)</f>
        <v>27781</v>
      </c>
      <c r="E130" s="185">
        <f t="shared" ref="E130:F130" si="160">SUM(E131,E136,E140,E141,E144,E151,E159,E160,E163)</f>
        <v>-2608</v>
      </c>
      <c r="F130" s="73">
        <f t="shared" si="160"/>
        <v>25173</v>
      </c>
      <c r="G130" s="184">
        <f>SUM(G131,G136,G140,G141,G144,G151,G159,G160,G163)</f>
        <v>4850</v>
      </c>
      <c r="H130" s="185">
        <f t="shared" ref="H130:I130" si="161">SUM(H131,H136,H140,H141,H144,H151,H159,H160,H163)</f>
        <v>0</v>
      </c>
      <c r="I130" s="73">
        <f t="shared" si="161"/>
        <v>4850</v>
      </c>
      <c r="J130" s="184">
        <f>SUM(J131,J136,J140,J141,J144,J151,J159,J160,J163)</f>
        <v>2049</v>
      </c>
      <c r="K130" s="185">
        <f t="shared" ref="K130:L130" si="162">SUM(K131,K136,K140,K141,K144,K151,K159,K160,K163)</f>
        <v>0</v>
      </c>
      <c r="L130" s="73">
        <f t="shared" si="162"/>
        <v>2049</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8946</v>
      </c>
      <c r="D131" s="194">
        <f t="shared" ref="D131:O131" si="164">SUM(D132:D135)</f>
        <v>8384</v>
      </c>
      <c r="E131" s="195">
        <f t="shared" si="164"/>
        <v>426</v>
      </c>
      <c r="F131" s="134">
        <f t="shared" si="164"/>
        <v>8810</v>
      </c>
      <c r="G131" s="194">
        <f t="shared" si="164"/>
        <v>0</v>
      </c>
      <c r="H131" s="195">
        <f t="shared" si="164"/>
        <v>0</v>
      </c>
      <c r="I131" s="134">
        <f t="shared" si="164"/>
        <v>0</v>
      </c>
      <c r="J131" s="194">
        <f t="shared" si="164"/>
        <v>136</v>
      </c>
      <c r="K131" s="195">
        <f t="shared" si="164"/>
        <v>0</v>
      </c>
      <c r="L131" s="134">
        <f t="shared" si="164"/>
        <v>136</v>
      </c>
      <c r="M131" s="194">
        <f t="shared" si="164"/>
        <v>0</v>
      </c>
      <c r="N131" s="195">
        <f t="shared" si="164"/>
        <v>0</v>
      </c>
      <c r="O131" s="134">
        <f t="shared" si="164"/>
        <v>0</v>
      </c>
      <c r="P131" s="49"/>
    </row>
    <row r="132" spans="1:16" x14ac:dyDescent="0.25">
      <c r="A132" s="51">
        <v>2311</v>
      </c>
      <c r="B132" s="89" t="s">
        <v>148</v>
      </c>
      <c r="C132" s="90">
        <f t="shared" si="102"/>
        <v>2837</v>
      </c>
      <c r="D132" s="196">
        <v>2837</v>
      </c>
      <c r="E132" s="197"/>
      <c r="F132" s="55">
        <f t="shared" ref="F132:F135" si="165">D132+E132</f>
        <v>2837</v>
      </c>
      <c r="G132" s="53"/>
      <c r="H132" s="54"/>
      <c r="I132" s="55">
        <f t="shared" ref="I132:I135" si="166">G132+H132</f>
        <v>0</v>
      </c>
      <c r="J132" s="53"/>
      <c r="K132" s="54"/>
      <c r="L132" s="55">
        <f t="shared" ref="L132:L135" si="167">K132+J132</f>
        <v>0</v>
      </c>
      <c r="M132" s="53"/>
      <c r="N132" s="54"/>
      <c r="O132" s="55">
        <f t="shared" ref="O132:O135" si="168">N132+M132</f>
        <v>0</v>
      </c>
      <c r="P132" s="57"/>
    </row>
    <row r="133" spans="1:16" ht="18" customHeight="1" x14ac:dyDescent="0.25">
      <c r="A133" s="51">
        <v>2312</v>
      </c>
      <c r="B133" s="89" t="s">
        <v>149</v>
      </c>
      <c r="C133" s="90">
        <f t="shared" si="102"/>
        <v>5533</v>
      </c>
      <c r="D133" s="196">
        <v>5107</v>
      </c>
      <c r="E133" s="197">
        <v>426</v>
      </c>
      <c r="F133" s="55">
        <f t="shared" si="165"/>
        <v>5533</v>
      </c>
      <c r="G133" s="53"/>
      <c r="H133" s="54"/>
      <c r="I133" s="55">
        <f t="shared" si="166"/>
        <v>0</v>
      </c>
      <c r="J133" s="53"/>
      <c r="K133" s="54"/>
      <c r="L133" s="55">
        <f t="shared" si="167"/>
        <v>0</v>
      </c>
      <c r="M133" s="53"/>
      <c r="N133" s="54"/>
      <c r="O133" s="55">
        <f t="shared" si="168"/>
        <v>0</v>
      </c>
      <c r="P133" s="57" t="s">
        <v>1888</v>
      </c>
    </row>
    <row r="134" spans="1:16" hidden="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576</v>
      </c>
      <c r="D135" s="196">
        <v>440</v>
      </c>
      <c r="E135" s="197"/>
      <c r="F135" s="55">
        <f t="shared" si="165"/>
        <v>440</v>
      </c>
      <c r="G135" s="53"/>
      <c r="H135" s="54"/>
      <c r="I135" s="55">
        <f t="shared" si="166"/>
        <v>0</v>
      </c>
      <c r="J135" s="53">
        <v>136</v>
      </c>
      <c r="K135" s="54"/>
      <c r="L135" s="55">
        <f t="shared" si="167"/>
        <v>136</v>
      </c>
      <c r="M135" s="53"/>
      <c r="N135" s="54"/>
      <c r="O135" s="55">
        <f t="shared" si="168"/>
        <v>0</v>
      </c>
      <c r="P135" s="57"/>
    </row>
    <row r="136" spans="1:16" x14ac:dyDescent="0.25">
      <c r="A136" s="189">
        <v>2320</v>
      </c>
      <c r="B136" s="89" t="s">
        <v>152</v>
      </c>
      <c r="C136" s="90">
        <f t="shared" si="102"/>
        <v>3952</v>
      </c>
      <c r="D136" s="190">
        <f>SUM(D137:D139)</f>
        <v>2209</v>
      </c>
      <c r="E136" s="191">
        <f t="shared" ref="E136:F136" si="169">SUM(E137:E139)</f>
        <v>0</v>
      </c>
      <c r="F136" s="55">
        <f t="shared" si="169"/>
        <v>2209</v>
      </c>
      <c r="G136" s="190">
        <f>SUM(G137:G139)</f>
        <v>0</v>
      </c>
      <c r="H136" s="191">
        <f t="shared" ref="H136:I136" si="170">SUM(H137:H139)</f>
        <v>0</v>
      </c>
      <c r="I136" s="55">
        <f t="shared" si="170"/>
        <v>0</v>
      </c>
      <c r="J136" s="190">
        <f>SUM(J137:J139)</f>
        <v>1743</v>
      </c>
      <c r="K136" s="191">
        <f t="shared" ref="K136:L136" si="171">SUM(K137:K139)</f>
        <v>0</v>
      </c>
      <c r="L136" s="55">
        <f t="shared" si="171"/>
        <v>1743</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3952</v>
      </c>
      <c r="D138" s="196">
        <v>2209</v>
      </c>
      <c r="E138" s="197"/>
      <c r="F138" s="55">
        <f t="shared" si="173"/>
        <v>2209</v>
      </c>
      <c r="G138" s="53"/>
      <c r="H138" s="54"/>
      <c r="I138" s="55">
        <f t="shared" si="174"/>
        <v>0</v>
      </c>
      <c r="J138" s="53">
        <v>1743</v>
      </c>
      <c r="K138" s="54"/>
      <c r="L138" s="55">
        <f t="shared" si="175"/>
        <v>1743</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300</v>
      </c>
      <c r="D141" s="190">
        <f>SUM(D142:D143)</f>
        <v>300</v>
      </c>
      <c r="E141" s="191">
        <f t="shared" ref="E141:F141" si="177">SUM(E142:E143)</f>
        <v>0</v>
      </c>
      <c r="F141" s="55">
        <f t="shared" si="177"/>
        <v>300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x14ac:dyDescent="0.25">
      <c r="A142" s="51">
        <v>2341</v>
      </c>
      <c r="B142" s="89" t="s">
        <v>158</v>
      </c>
      <c r="C142" s="90">
        <f t="shared" si="102"/>
        <v>300</v>
      </c>
      <c r="D142" s="196">
        <v>300</v>
      </c>
      <c r="E142" s="197"/>
      <c r="F142" s="55">
        <f t="shared" ref="F142:F143" si="181">D142+E142</f>
        <v>300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4640</v>
      </c>
      <c r="D144" s="187">
        <f>SUM(D145:D150)</f>
        <v>4470</v>
      </c>
      <c r="E144" s="188">
        <f t="shared" ref="E144:F144" si="185">SUM(E145:E150)</f>
        <v>0</v>
      </c>
      <c r="F144" s="141">
        <f t="shared" si="185"/>
        <v>4470</v>
      </c>
      <c r="G144" s="187">
        <f>SUM(G145:G150)</f>
        <v>0</v>
      </c>
      <c r="H144" s="188">
        <f t="shared" ref="H144:I144" si="186">SUM(H145:H150)</f>
        <v>0</v>
      </c>
      <c r="I144" s="141">
        <f t="shared" si="186"/>
        <v>0</v>
      </c>
      <c r="J144" s="187">
        <f>SUM(J145:J150)</f>
        <v>170</v>
      </c>
      <c r="K144" s="188">
        <f t="shared" ref="K144:L144" si="187">SUM(K145:K150)</f>
        <v>0</v>
      </c>
      <c r="L144" s="141">
        <f t="shared" si="187"/>
        <v>170</v>
      </c>
      <c r="M144" s="187">
        <f>SUM(M145:M150)</f>
        <v>0</v>
      </c>
      <c r="N144" s="188">
        <f t="shared" ref="N144:O144" si="188">SUM(N145:N150)</f>
        <v>0</v>
      </c>
      <c r="O144" s="141">
        <f t="shared" si="188"/>
        <v>0</v>
      </c>
      <c r="P144" s="129"/>
    </row>
    <row r="145" spans="1:16" x14ac:dyDescent="0.25">
      <c r="A145" s="44">
        <v>2351</v>
      </c>
      <c r="B145" s="82" t="s">
        <v>161</v>
      </c>
      <c r="C145" s="83">
        <f t="shared" si="102"/>
        <v>450</v>
      </c>
      <c r="D145" s="199">
        <v>450</v>
      </c>
      <c r="E145" s="200"/>
      <c r="F145" s="134">
        <f t="shared" ref="F145:F150" si="189">D145+E145</f>
        <v>450</v>
      </c>
      <c r="G145" s="46"/>
      <c r="H145" s="47"/>
      <c r="I145" s="134">
        <f t="shared" ref="I145:I150" si="190">G145+H145</f>
        <v>0</v>
      </c>
      <c r="J145" s="46"/>
      <c r="K145" s="47"/>
      <c r="L145" s="134">
        <f t="shared" ref="L145:L150" si="191">K145+J145</f>
        <v>0</v>
      </c>
      <c r="M145" s="46"/>
      <c r="N145" s="47"/>
      <c r="O145" s="134">
        <f t="shared" ref="O145:O150" si="192">N145+M145</f>
        <v>0</v>
      </c>
      <c r="P145" s="57"/>
    </row>
    <row r="146" spans="1:16" x14ac:dyDescent="0.25">
      <c r="A146" s="51">
        <v>2352</v>
      </c>
      <c r="B146" s="89" t="s">
        <v>162</v>
      </c>
      <c r="C146" s="90">
        <f t="shared" si="102"/>
        <v>3480</v>
      </c>
      <c r="D146" s="196">
        <v>3480</v>
      </c>
      <c r="E146" s="197"/>
      <c r="F146" s="55">
        <f t="shared" si="189"/>
        <v>3480</v>
      </c>
      <c r="G146" s="53"/>
      <c r="H146" s="54"/>
      <c r="I146" s="55">
        <f t="shared" si="190"/>
        <v>0</v>
      </c>
      <c r="J146" s="53"/>
      <c r="K146" s="54"/>
      <c r="L146" s="55">
        <f t="shared" si="191"/>
        <v>0</v>
      </c>
      <c r="M146" s="53"/>
      <c r="N146" s="54"/>
      <c r="O146" s="55">
        <f t="shared" si="192"/>
        <v>0</v>
      </c>
      <c r="P146" s="57"/>
    </row>
    <row r="147" spans="1:16" ht="24" x14ac:dyDescent="0.25">
      <c r="A147" s="51">
        <v>2353</v>
      </c>
      <c r="B147" s="89" t="s">
        <v>163</v>
      </c>
      <c r="C147" s="90">
        <f t="shared" si="102"/>
        <v>200</v>
      </c>
      <c r="D147" s="196">
        <v>200</v>
      </c>
      <c r="E147" s="197"/>
      <c r="F147" s="55">
        <f t="shared" si="189"/>
        <v>200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164</v>
      </c>
      <c r="C148" s="90">
        <f t="shared" ref="C148:C211" si="193">F148+I148+L148+O148</f>
        <v>170</v>
      </c>
      <c r="D148" s="196"/>
      <c r="E148" s="197"/>
      <c r="F148" s="55">
        <f t="shared" si="189"/>
        <v>0</v>
      </c>
      <c r="G148" s="53"/>
      <c r="H148" s="54"/>
      <c r="I148" s="55">
        <f t="shared" si="190"/>
        <v>0</v>
      </c>
      <c r="J148" s="53">
        <v>170</v>
      </c>
      <c r="K148" s="54"/>
      <c r="L148" s="55">
        <f t="shared" si="191"/>
        <v>170</v>
      </c>
      <c r="M148" s="53"/>
      <c r="N148" s="54"/>
      <c r="O148" s="55">
        <f t="shared" si="192"/>
        <v>0</v>
      </c>
      <c r="P148" s="57"/>
    </row>
    <row r="149" spans="1:16" ht="24" customHeight="1" x14ac:dyDescent="0.25">
      <c r="A149" s="51">
        <v>2355</v>
      </c>
      <c r="B149" s="89" t="s">
        <v>165</v>
      </c>
      <c r="C149" s="90">
        <f t="shared" si="193"/>
        <v>340</v>
      </c>
      <c r="D149" s="196">
        <v>340</v>
      </c>
      <c r="E149" s="197"/>
      <c r="F149" s="55">
        <f t="shared" si="189"/>
        <v>340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6.25" customHeight="1" x14ac:dyDescent="0.25">
      <c r="A151" s="189">
        <v>2360</v>
      </c>
      <c r="B151" s="89" t="s">
        <v>167</v>
      </c>
      <c r="C151" s="90">
        <f t="shared" si="193"/>
        <v>543</v>
      </c>
      <c r="D151" s="190">
        <f>SUM(D152:D158)</f>
        <v>543</v>
      </c>
      <c r="E151" s="191">
        <f t="shared" ref="E151:F151" si="194">SUM(E152:E158)</f>
        <v>0</v>
      </c>
      <c r="F151" s="55">
        <f t="shared" si="194"/>
        <v>543</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5.75" customHeight="1" x14ac:dyDescent="0.25">
      <c r="A154" s="50">
        <v>2363</v>
      </c>
      <c r="B154" s="89" t="s">
        <v>170</v>
      </c>
      <c r="C154" s="90">
        <f t="shared" si="193"/>
        <v>543</v>
      </c>
      <c r="D154" s="196">
        <v>543</v>
      </c>
      <c r="E154" s="197"/>
      <c r="F154" s="55">
        <f t="shared" si="198"/>
        <v>543</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x14ac:dyDescent="0.25">
      <c r="A159" s="186">
        <v>2370</v>
      </c>
      <c r="B159" s="138" t="s">
        <v>175</v>
      </c>
      <c r="C159" s="143">
        <f t="shared" si="193"/>
        <v>13691</v>
      </c>
      <c r="D159" s="203">
        <v>11875</v>
      </c>
      <c r="E159" s="204">
        <v>-3034</v>
      </c>
      <c r="F159" s="141">
        <f t="shared" si="198"/>
        <v>8841</v>
      </c>
      <c r="G159" s="144">
        <v>4850</v>
      </c>
      <c r="H159" s="145"/>
      <c r="I159" s="141">
        <f t="shared" si="199"/>
        <v>4850</v>
      </c>
      <c r="J159" s="144"/>
      <c r="K159" s="145"/>
      <c r="L159" s="141">
        <f t="shared" si="200"/>
        <v>0</v>
      </c>
      <c r="M159" s="144"/>
      <c r="N159" s="145"/>
      <c r="O159" s="141">
        <f t="shared" si="201"/>
        <v>0</v>
      </c>
      <c r="P159" s="57" t="s">
        <v>1889</v>
      </c>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5.75" customHeight="1" x14ac:dyDescent="0.25">
      <c r="A164" s="69">
        <v>2400</v>
      </c>
      <c r="B164" s="183" t="s">
        <v>180</v>
      </c>
      <c r="C164" s="70">
        <f t="shared" si="193"/>
        <v>176</v>
      </c>
      <c r="D164" s="205">
        <v>176</v>
      </c>
      <c r="E164" s="206"/>
      <c r="F164" s="73">
        <f t="shared" si="206"/>
        <v>176</v>
      </c>
      <c r="G164" s="71"/>
      <c r="H164" s="72"/>
      <c r="I164" s="73">
        <f t="shared" si="207"/>
        <v>0</v>
      </c>
      <c r="J164" s="71"/>
      <c r="K164" s="72"/>
      <c r="L164" s="73">
        <f t="shared" si="208"/>
        <v>0</v>
      </c>
      <c r="M164" s="71"/>
      <c r="N164" s="72"/>
      <c r="O164" s="73">
        <f t="shared" si="209"/>
        <v>0</v>
      </c>
      <c r="P164" s="77"/>
    </row>
    <row r="165" spans="1:16" ht="29.25" customHeight="1" x14ac:dyDescent="0.25">
      <c r="A165" s="69">
        <v>2500</v>
      </c>
      <c r="B165" s="183" t="s">
        <v>181</v>
      </c>
      <c r="C165" s="70">
        <f t="shared" si="193"/>
        <v>111</v>
      </c>
      <c r="D165" s="184">
        <f>SUM(D166,D171)</f>
        <v>111</v>
      </c>
      <c r="E165" s="185">
        <f t="shared" ref="E165:O165" si="210">SUM(E166,E171)</f>
        <v>0</v>
      </c>
      <c r="F165" s="73">
        <f t="shared" si="210"/>
        <v>111</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1373">
        <v>2510</v>
      </c>
      <c r="B166" s="82" t="s">
        <v>182</v>
      </c>
      <c r="C166" s="83">
        <f t="shared" si="193"/>
        <v>111</v>
      </c>
      <c r="D166" s="194">
        <f>SUM(D167:D170)</f>
        <v>111</v>
      </c>
      <c r="E166" s="195">
        <f t="shared" ref="E166:O166" si="211">SUM(E167:E170)</f>
        <v>0</v>
      </c>
      <c r="F166" s="134">
        <f t="shared" si="211"/>
        <v>111</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30" customHeight="1" x14ac:dyDescent="0.25">
      <c r="A170" s="51">
        <v>2519</v>
      </c>
      <c r="B170" s="89" t="s">
        <v>186</v>
      </c>
      <c r="C170" s="90">
        <f t="shared" si="193"/>
        <v>111</v>
      </c>
      <c r="D170" s="196">
        <v>111</v>
      </c>
      <c r="E170" s="197"/>
      <c r="F170" s="55">
        <f t="shared" si="212"/>
        <v>111</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16127</v>
      </c>
      <c r="D194" s="173">
        <f t="shared" ref="D194:O194" si="259">SUM(D195,D230,D269,D283)</f>
        <v>12436</v>
      </c>
      <c r="E194" s="174">
        <f t="shared" si="259"/>
        <v>2608</v>
      </c>
      <c r="F194" s="175">
        <f t="shared" si="259"/>
        <v>15044</v>
      </c>
      <c r="G194" s="173">
        <f t="shared" si="259"/>
        <v>1083</v>
      </c>
      <c r="H194" s="174">
        <f t="shared" si="259"/>
        <v>0</v>
      </c>
      <c r="I194" s="175">
        <f t="shared" si="259"/>
        <v>1083</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16127</v>
      </c>
      <c r="D195" s="179">
        <f>D196+D204</f>
        <v>12436</v>
      </c>
      <c r="E195" s="180">
        <f t="shared" ref="E195:F195" si="260">E196+E204</f>
        <v>2608</v>
      </c>
      <c r="F195" s="181">
        <f t="shared" si="260"/>
        <v>15044</v>
      </c>
      <c r="G195" s="179">
        <f>G196+G204</f>
        <v>1083</v>
      </c>
      <c r="H195" s="180">
        <f t="shared" ref="H195:I195" si="261">H196+H204</f>
        <v>0</v>
      </c>
      <c r="I195" s="181">
        <f t="shared" si="261"/>
        <v>1083</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350</v>
      </c>
      <c r="D196" s="184">
        <f>D197+D198+D201+D202+D203</f>
        <v>350</v>
      </c>
      <c r="E196" s="185">
        <f t="shared" ref="E196:F196" si="264">E197+E198+E201+E202+E203</f>
        <v>0</v>
      </c>
      <c r="F196" s="73">
        <f t="shared" si="264"/>
        <v>350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350</v>
      </c>
      <c r="D198" s="190">
        <f>D199+D200</f>
        <v>350</v>
      </c>
      <c r="E198" s="191">
        <f t="shared" ref="E198:F198" si="268">E199+E200</f>
        <v>0</v>
      </c>
      <c r="F198" s="55">
        <f t="shared" si="268"/>
        <v>350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350</v>
      </c>
      <c r="D199" s="196">
        <v>350</v>
      </c>
      <c r="E199" s="197"/>
      <c r="F199" s="55">
        <f t="shared" ref="F199:F203" si="272">D199+E199</f>
        <v>350</v>
      </c>
      <c r="G199" s="53"/>
      <c r="H199" s="54"/>
      <c r="I199" s="55">
        <f t="shared" ref="I199:I203" si="273">G199+H199</f>
        <v>0</v>
      </c>
      <c r="J199" s="53"/>
      <c r="K199" s="54"/>
      <c r="L199" s="55">
        <f t="shared" ref="L199:L203" si="274">K199+J199</f>
        <v>0</v>
      </c>
      <c r="M199" s="53"/>
      <c r="N199" s="54"/>
      <c r="O199" s="55">
        <f t="shared" ref="O199:O203" si="275">N199+M199</f>
        <v>0</v>
      </c>
      <c r="P199" s="1442"/>
    </row>
    <row r="200" spans="1:16" s="1443" customFormat="1" ht="24" hidden="1" customHeight="1" x14ac:dyDescent="0.25">
      <c r="A200" s="189">
        <v>5129</v>
      </c>
      <c r="B200" s="189" t="s">
        <v>216</v>
      </c>
      <c r="C200" s="90">
        <f t="shared" si="193"/>
        <v>0</v>
      </c>
      <c r="D200" s="196"/>
      <c r="E200" s="197"/>
      <c r="F200" s="55">
        <f t="shared" si="272"/>
        <v>0</v>
      </c>
      <c r="G200" s="196"/>
      <c r="H200" s="197"/>
      <c r="I200" s="55">
        <f t="shared" si="273"/>
        <v>0</v>
      </c>
      <c r="J200" s="196"/>
      <c r="K200" s="197"/>
      <c r="L200" s="55">
        <f t="shared" si="274"/>
        <v>0</v>
      </c>
      <c r="M200" s="196"/>
      <c r="N200" s="197"/>
      <c r="O200" s="55">
        <f t="shared" si="275"/>
        <v>0</v>
      </c>
      <c r="P200" s="1442"/>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15777</v>
      </c>
      <c r="D204" s="184">
        <f>D205+D215+D216+D225+D226+D227+D229</f>
        <v>12086</v>
      </c>
      <c r="E204" s="185">
        <f t="shared" ref="E204:F204" si="276">E205+E215+E216+E225+E226+E227+E229</f>
        <v>2608</v>
      </c>
      <c r="F204" s="73">
        <f t="shared" si="276"/>
        <v>14694</v>
      </c>
      <c r="G204" s="184">
        <f>G205+G215+G216+G225+G226+G227+G229</f>
        <v>1083</v>
      </c>
      <c r="H204" s="185">
        <f t="shared" ref="H204:I204" si="277">H205+H215+H216+H225+H226+H227+H229</f>
        <v>0</v>
      </c>
      <c r="I204" s="73">
        <f t="shared" si="277"/>
        <v>1083</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15777</v>
      </c>
      <c r="D216" s="190">
        <f>SUM(D217:D224)</f>
        <v>12086</v>
      </c>
      <c r="E216" s="191">
        <f t="shared" ref="E216:F216" si="289">SUM(E217:E224)</f>
        <v>2608</v>
      </c>
      <c r="F216" s="55">
        <f t="shared" si="289"/>
        <v>14694</v>
      </c>
      <c r="G216" s="190">
        <f>SUM(G217:G224)</f>
        <v>1083</v>
      </c>
      <c r="H216" s="191">
        <f t="shared" ref="H216:I216" si="290">SUM(H217:H224)</f>
        <v>0</v>
      </c>
      <c r="I216" s="55">
        <f t="shared" si="290"/>
        <v>1083</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3569</v>
      </c>
      <c r="D219" s="196">
        <v>2486</v>
      </c>
      <c r="E219" s="197"/>
      <c r="F219" s="55">
        <f t="shared" si="293"/>
        <v>2486</v>
      </c>
      <c r="G219" s="53">
        <v>1083</v>
      </c>
      <c r="H219" s="54"/>
      <c r="I219" s="55">
        <f t="shared" si="294"/>
        <v>1083</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7.75" customHeight="1" x14ac:dyDescent="0.25">
      <c r="A223" s="51">
        <v>5238</v>
      </c>
      <c r="B223" s="89" t="s">
        <v>239</v>
      </c>
      <c r="C223" s="90">
        <f t="shared" si="288"/>
        <v>11708</v>
      </c>
      <c r="D223" s="196">
        <v>9100</v>
      </c>
      <c r="E223" s="197">
        <v>2608</v>
      </c>
      <c r="F223" s="55">
        <f t="shared" si="293"/>
        <v>11708</v>
      </c>
      <c r="G223" s="53"/>
      <c r="H223" s="54"/>
      <c r="I223" s="55">
        <f t="shared" si="294"/>
        <v>0</v>
      </c>
      <c r="J223" s="53"/>
      <c r="K223" s="54"/>
      <c r="L223" s="55">
        <f t="shared" si="295"/>
        <v>0</v>
      </c>
      <c r="M223" s="53"/>
      <c r="N223" s="54"/>
      <c r="O223" s="55">
        <f t="shared" si="296"/>
        <v>0</v>
      </c>
      <c r="P223" s="1444" t="s">
        <v>1890</v>
      </c>
    </row>
    <row r="224" spans="1:16" ht="24" customHeight="1" x14ac:dyDescent="0.25">
      <c r="A224" s="51">
        <v>5239</v>
      </c>
      <c r="B224" s="89" t="s">
        <v>240</v>
      </c>
      <c r="C224" s="90">
        <f t="shared" si="288"/>
        <v>500</v>
      </c>
      <c r="D224" s="196">
        <v>500</v>
      </c>
      <c r="E224" s="197"/>
      <c r="F224" s="55">
        <f t="shared" si="293"/>
        <v>500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1231390</v>
      </c>
      <c r="D289" s="252">
        <f t="shared" ref="D289:O289" si="389">SUM(D286,D269,D230,D195,D187,D173,D75,D53,D283)</f>
        <v>496669</v>
      </c>
      <c r="E289" s="253">
        <f t="shared" si="389"/>
        <v>0</v>
      </c>
      <c r="F289" s="254">
        <f t="shared" si="389"/>
        <v>496669</v>
      </c>
      <c r="G289" s="252">
        <f t="shared" si="389"/>
        <v>668845</v>
      </c>
      <c r="H289" s="253">
        <f t="shared" si="389"/>
        <v>47857</v>
      </c>
      <c r="I289" s="254">
        <f t="shared" si="389"/>
        <v>716702</v>
      </c>
      <c r="J289" s="252">
        <f t="shared" si="389"/>
        <v>18019</v>
      </c>
      <c r="K289" s="253">
        <f t="shared" si="389"/>
        <v>0</v>
      </c>
      <c r="L289" s="254">
        <f t="shared" si="389"/>
        <v>18019</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1378"/>
      <c r="E302" s="1378"/>
      <c r="F302" s="4"/>
      <c r="G302" s="1378"/>
      <c r="H302" s="1378"/>
      <c r="I302" s="4"/>
      <c r="J302" s="1378"/>
      <c r="K302" s="1378"/>
      <c r="L302" s="4"/>
      <c r="M302" s="1378"/>
      <c r="N302" s="1378"/>
      <c r="P302" s="1379"/>
    </row>
    <row r="303" spans="1:16" x14ac:dyDescent="0.25">
      <c r="A303" s="4"/>
      <c r="B303" s="4"/>
      <c r="C303" s="4"/>
      <c r="D303" s="2"/>
      <c r="E303" s="2"/>
      <c r="F303" s="4"/>
      <c r="G303" s="2"/>
      <c r="H303" s="2"/>
      <c r="I303" s="4"/>
      <c r="J303" s="2"/>
      <c r="K303" s="2"/>
      <c r="L303" s="4"/>
      <c r="M303" s="2"/>
      <c r="N303" s="2"/>
      <c r="P303" s="1380"/>
    </row>
    <row r="304" spans="1:16" x14ac:dyDescent="0.25">
      <c r="A304" s="4"/>
      <c r="B304" s="4"/>
      <c r="C304" s="4"/>
      <c r="D304" s="2"/>
      <c r="E304" s="2"/>
      <c r="F304" s="4"/>
      <c r="G304" s="2"/>
      <c r="H304" s="2"/>
      <c r="I304" s="4"/>
      <c r="J304" s="2"/>
      <c r="K304" s="2"/>
      <c r="L304" s="4"/>
      <c r="M304" s="2"/>
      <c r="N304" s="2"/>
      <c r="P304" s="1380"/>
    </row>
    <row r="305" spans="1:16" x14ac:dyDescent="0.25">
      <c r="A305" s="4"/>
      <c r="B305" s="4"/>
      <c r="C305" s="4"/>
      <c r="D305" s="2"/>
      <c r="E305" s="2"/>
      <c r="F305" s="4"/>
      <c r="G305" s="2"/>
      <c r="H305" s="2"/>
      <c r="I305" s="4"/>
      <c r="J305" s="2"/>
      <c r="K305" s="2"/>
      <c r="L305" s="4"/>
      <c r="M305" s="2"/>
      <c r="N305" s="2"/>
      <c r="P305" s="1380"/>
    </row>
    <row r="306" spans="1:16" ht="12.75" customHeight="1" x14ac:dyDescent="0.25">
      <c r="A306" s="4"/>
      <c r="B306" s="4"/>
      <c r="C306" s="4"/>
      <c r="D306" s="2"/>
      <c r="E306" s="2"/>
      <c r="F306" s="4"/>
      <c r="G306" s="2" t="s">
        <v>1891</v>
      </c>
      <c r="H306" s="2"/>
      <c r="I306" s="4"/>
      <c r="J306" s="2"/>
      <c r="K306" s="2"/>
      <c r="L306" s="4"/>
      <c r="M306" s="2"/>
      <c r="N306" s="2"/>
      <c r="P306" s="1380"/>
    </row>
    <row r="307" spans="1:16" x14ac:dyDescent="0.25">
      <c r="A307" s="4"/>
      <c r="B307" s="4"/>
      <c r="C307" s="4"/>
      <c r="D307" s="2"/>
      <c r="E307" s="2"/>
      <c r="F307" s="4"/>
      <c r="G307" s="2"/>
      <c r="H307" s="2"/>
      <c r="I307" s="4"/>
      <c r="J307" s="2"/>
      <c r="K307" s="2"/>
      <c r="L307" s="4"/>
      <c r="M307" s="2"/>
      <c r="N307" s="2"/>
      <c r="P307" s="1380"/>
    </row>
    <row r="308" spans="1:16" x14ac:dyDescent="0.25">
      <c r="A308" s="4"/>
      <c r="B308" s="4"/>
      <c r="C308" s="4"/>
      <c r="D308" s="2"/>
      <c r="E308" s="2"/>
      <c r="F308" s="4"/>
      <c r="G308" s="2" t="s">
        <v>1892</v>
      </c>
      <c r="H308" s="2"/>
      <c r="I308" s="4"/>
      <c r="J308" s="2"/>
      <c r="K308" s="2"/>
      <c r="L308" s="4"/>
      <c r="M308" s="2"/>
      <c r="N308" s="2"/>
      <c r="P308" s="1380"/>
    </row>
    <row r="309" spans="1:16" x14ac:dyDescent="0.25">
      <c r="A309" s="4"/>
      <c r="B309" s="4"/>
      <c r="C309" s="4"/>
      <c r="D309" s="2"/>
      <c r="E309" s="2"/>
      <c r="F309" s="4"/>
      <c r="G309" s="2"/>
      <c r="H309" s="2"/>
      <c r="I309" s="4"/>
      <c r="J309" s="2"/>
      <c r="K309" s="2"/>
      <c r="L309" s="4"/>
      <c r="M309" s="2"/>
      <c r="N309" s="2"/>
      <c r="P309" s="1380"/>
    </row>
    <row r="310" spans="1:16" x14ac:dyDescent="0.25">
      <c r="A310" s="4"/>
      <c r="B310" s="4"/>
      <c r="C310" s="4"/>
      <c r="D310" s="1381"/>
      <c r="E310" s="1381"/>
      <c r="F310" s="4"/>
      <c r="G310" s="1381"/>
      <c r="H310" s="1381"/>
      <c r="I310" s="4"/>
      <c r="J310" s="1381"/>
      <c r="K310" s="1381"/>
      <c r="L310" s="4"/>
      <c r="M310" s="1381"/>
      <c r="N310" s="1381"/>
      <c r="P310" s="1382"/>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D320" s="4"/>
      <c r="E320" s="4"/>
      <c r="G320" s="4"/>
      <c r="H320" s="4"/>
      <c r="J320" s="4"/>
      <c r="K320" s="4"/>
      <c r="M320" s="4"/>
    </row>
    <row r="321" spans="4:13" x14ac:dyDescent="0.25">
      <c r="D321" s="4"/>
      <c r="E321" s="4"/>
      <c r="G321" s="4"/>
      <c r="H321" s="4"/>
      <c r="J321" s="4"/>
      <c r="K321" s="4"/>
      <c r="M321" s="4"/>
    </row>
    <row r="322" spans="4:13" x14ac:dyDescent="0.25">
      <c r="D322" s="4"/>
      <c r="E322" s="4"/>
      <c r="G322" s="4"/>
      <c r="H322" s="4"/>
      <c r="J322" s="4"/>
      <c r="K322" s="4"/>
      <c r="M322" s="4"/>
    </row>
    <row r="323" spans="4:13" x14ac:dyDescent="0.25">
      <c r="D323" s="4"/>
      <c r="E323" s="4"/>
      <c r="G323" s="4"/>
      <c r="H323" s="4"/>
      <c r="J323" s="4"/>
      <c r="K323" s="4"/>
      <c r="M323" s="4"/>
    </row>
    <row r="324" spans="4:13" x14ac:dyDescent="0.25">
      <c r="D324" s="4"/>
      <c r="E324" s="4"/>
      <c r="G324" s="4"/>
      <c r="H324" s="4"/>
      <c r="J324" s="4"/>
      <c r="K324" s="4"/>
      <c r="M324" s="4"/>
    </row>
    <row r="325" spans="4:13" x14ac:dyDescent="0.25">
      <c r="D325" s="4"/>
      <c r="E325" s="4"/>
      <c r="G325" s="4"/>
      <c r="H325" s="4"/>
      <c r="J325" s="4"/>
      <c r="K325" s="4"/>
      <c r="M325" s="4"/>
    </row>
    <row r="326" spans="4:13" x14ac:dyDescent="0.25">
      <c r="D326" s="4"/>
      <c r="E326" s="4"/>
      <c r="G326" s="4"/>
      <c r="H326" s="4"/>
      <c r="J326" s="4"/>
      <c r="K326" s="4"/>
      <c r="M326" s="4"/>
    </row>
    <row r="327" spans="4:13" x14ac:dyDescent="0.25">
      <c r="D327" s="4"/>
      <c r="E327" s="4"/>
      <c r="G327" s="4"/>
      <c r="H327" s="4"/>
      <c r="J327" s="4"/>
      <c r="K327" s="4"/>
      <c r="M327" s="4"/>
    </row>
    <row r="328" spans="4:13" x14ac:dyDescent="0.25">
      <c r="D328" s="4"/>
      <c r="E328" s="4"/>
      <c r="G328" s="4"/>
      <c r="H328" s="4"/>
      <c r="J328" s="4"/>
      <c r="K328" s="4"/>
      <c r="M328" s="4"/>
    </row>
    <row r="329" spans="4:13" x14ac:dyDescent="0.25">
      <c r="D329" s="4"/>
      <c r="E329" s="4"/>
      <c r="G329" s="4"/>
      <c r="H329" s="4"/>
      <c r="J329" s="4"/>
      <c r="K329" s="4"/>
      <c r="M329" s="4"/>
    </row>
  </sheetData>
  <sheetProtection algorithmName="SHA-512" hashValue="g1OP3YPdQqC5AUd9wwY66I+E8mHBg6k7izxBzB4KAd61K1Sv2twG+L7CoS4WsaYQhP9mFRqhooB2qH4ihB6WkA==" saltValue="uORveokypE8ZZanMgdJ0Dw==" spinCount="100000" sheet="1" objects="1" scenarios="1" formatCells="0" formatColumns="0" formatRows="0" deleteColumns="0"/>
  <autoFilter ref="A18:P301">
    <filterColumn colId="2">
      <filters>
        <filter val="1 080 531"/>
        <filter val="1 148"/>
        <filter val="1 213 371"/>
        <filter val="1 215 263"/>
        <filter val="1 231 390"/>
        <filter val="1 926"/>
        <filter val="1 988"/>
        <filter val="10 253"/>
        <filter val="101 840"/>
        <filter val="11 708"/>
        <filter val="111"/>
        <filter val="115 364"/>
        <filter val="121"/>
        <filter val="13 691"/>
        <filter val="134 732"/>
        <filter val="14 513"/>
        <filter val="15 777"/>
        <filter val="16 127"/>
        <filter val="168"/>
        <filter val="17 799"/>
        <filter val="170"/>
        <filter val="176"/>
        <filter val="2 053"/>
        <filter val="2 346"/>
        <filter val="2 612"/>
        <filter val="2 733"/>
        <filter val="2 837"/>
        <filter val="2 883"/>
        <filter val="2 956"/>
        <filter val="20 681"/>
        <filter val="200"/>
        <filter val="206 073"/>
        <filter val="220"/>
        <filter val="24"/>
        <filter val="264 523"/>
        <filter val="267"/>
        <filter val="3 480"/>
        <filter val="3 569"/>
        <filter val="3 952"/>
        <filter val="300"/>
        <filter val="32 072"/>
        <filter val="340"/>
        <filter val="35"/>
        <filter val="350"/>
        <filter val="385"/>
        <filter val="4 640"/>
        <filter val="4 819"/>
        <filter val="41 591"/>
        <filter val="435"/>
        <filter val="450"/>
        <filter val="47 876"/>
        <filter val="48 255"/>
        <filter val="481"/>
        <filter val="5 363"/>
        <filter val="5 533"/>
        <filter val="500"/>
        <filter val="52 634"/>
        <filter val="533"/>
        <filter val="543"/>
        <filter val="576"/>
        <filter val="58 450"/>
        <filter val="6 133"/>
        <filter val="6 149"/>
        <filter val="62"/>
        <filter val="695 825"/>
        <filter val="7 217"/>
        <filter val="74"/>
        <filter val="745"/>
        <filter val="75 865"/>
        <filter val="796"/>
        <filter val="8 188"/>
        <filter val="8 343"/>
        <filter val="8 946"/>
        <filter val="816 008"/>
        <filter val="85"/>
        <filter val="9 611"/>
        <filter val="901"/>
        <filter val="9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65.pielikums Jūrmalas pilsētas domes
2019.gada 31.oktobra saistošajiem noteikumiem Nr.46
(protokols Nr.14, 28.punkts)
 </firstHeader>
    <firstFooter>&amp;L&amp;9&amp;D; &amp;T&amp;R&amp;9&amp;P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6" customWidth="1"/>
    <col min="2" max="2" width="28" style="276" customWidth="1"/>
    <col min="3" max="3" width="8" style="276" customWidth="1"/>
    <col min="4" max="4" width="8.7109375" style="276" hidden="1" customWidth="1" outlineLevel="1"/>
    <col min="5" max="5" width="7.5703125" style="276" hidden="1" customWidth="1" outlineLevel="1"/>
    <col min="6" max="6" width="8.7109375" style="276" customWidth="1" collapsed="1"/>
    <col min="7" max="7" width="8.7109375" style="276" hidden="1" customWidth="1" outlineLevel="1"/>
    <col min="8" max="8" width="7.28515625" style="276" hidden="1" customWidth="1" outlineLevel="1"/>
    <col min="9" max="9" width="8.7109375" style="276" customWidth="1" collapsed="1"/>
    <col min="10" max="10" width="8.28515625" style="276" hidden="1" customWidth="1" outlineLevel="1"/>
    <col min="11" max="11" width="6.5703125" style="276" hidden="1" customWidth="1" outlineLevel="1"/>
    <col min="12" max="12" width="8.28515625" style="276" customWidth="1" collapsed="1"/>
    <col min="13" max="13" width="5.140625" style="276" hidden="1" customWidth="1" outlineLevel="1"/>
    <col min="14" max="14" width="4.140625" style="4" hidden="1" customWidth="1" outlineLevel="1"/>
    <col min="15" max="15" width="4.85546875" style="4" customWidth="1" collapsed="1"/>
    <col min="16" max="16" width="43.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1791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1436</v>
      </c>
      <c r="D3" s="1517"/>
      <c r="E3" s="1517"/>
      <c r="F3" s="1517"/>
      <c r="G3" s="1517"/>
      <c r="H3" s="1517"/>
      <c r="I3" s="1517"/>
      <c r="J3" s="1517"/>
      <c r="K3" s="1517"/>
      <c r="L3" s="1517"/>
      <c r="M3" s="1517"/>
      <c r="N3" s="1517"/>
      <c r="O3" s="1517"/>
      <c r="P3" s="1518"/>
      <c r="Q3" s="277"/>
    </row>
    <row r="4" spans="1:17" ht="12.75" customHeight="1" x14ac:dyDescent="0.25">
      <c r="A4" s="5" t="s">
        <v>4</v>
      </c>
      <c r="B4" s="6"/>
      <c r="C4" s="1517" t="s">
        <v>1437</v>
      </c>
      <c r="D4" s="1517"/>
      <c r="E4" s="1517"/>
      <c r="F4" s="1517"/>
      <c r="G4" s="1517"/>
      <c r="H4" s="1517"/>
      <c r="I4" s="1517"/>
      <c r="J4" s="1517"/>
      <c r="K4" s="1517"/>
      <c r="L4" s="1517"/>
      <c r="M4" s="1517"/>
      <c r="N4" s="1517"/>
      <c r="O4" s="1517"/>
      <c r="P4" s="1518"/>
      <c r="Q4" s="277"/>
    </row>
    <row r="5" spans="1:17" ht="12.75" customHeight="1" x14ac:dyDescent="0.25">
      <c r="A5" s="7" t="s">
        <v>6</v>
      </c>
      <c r="B5" s="8"/>
      <c r="C5" s="1512" t="s">
        <v>1792</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7"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1439</v>
      </c>
      <c r="D9" s="1512"/>
      <c r="E9" s="1512"/>
      <c r="F9" s="1512"/>
      <c r="G9" s="1512"/>
      <c r="H9" s="1512"/>
      <c r="I9" s="1512"/>
      <c r="J9" s="1512"/>
      <c r="K9" s="1512"/>
      <c r="L9" s="1512"/>
      <c r="M9" s="1512"/>
      <c r="N9" s="1512"/>
      <c r="O9" s="1512"/>
      <c r="P9" s="1513"/>
      <c r="Q9" s="277"/>
    </row>
    <row r="10" spans="1:17" ht="12.75" customHeight="1" x14ac:dyDescent="0.25">
      <c r="A10" s="7"/>
      <c r="B10" s="8" t="s">
        <v>15</v>
      </c>
      <c r="C10" s="1512" t="s">
        <v>1440</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1793</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1491829</v>
      </c>
      <c r="D20" s="32">
        <f>SUM(D21,D24,D25,D41,D43)</f>
        <v>663536</v>
      </c>
      <c r="E20" s="33">
        <f>SUM(E21,E24,E25,E41,E43)</f>
        <v>-4740</v>
      </c>
      <c r="F20" s="34">
        <f>SUM(F21,F24,F25,F41,F43)</f>
        <v>658796</v>
      </c>
      <c r="G20" s="32">
        <f>SUM(G21,G24,G43)</f>
        <v>801358</v>
      </c>
      <c r="H20" s="33">
        <f>SUM(H21,H24,H43)</f>
        <v>-465</v>
      </c>
      <c r="I20" s="34">
        <f>SUM(I21,I24,I43)</f>
        <v>800893</v>
      </c>
      <c r="J20" s="32">
        <f>SUM(J21,J26,J43)</f>
        <v>27400</v>
      </c>
      <c r="K20" s="33">
        <f>SUM(K21,K26,K43)</f>
        <v>4740</v>
      </c>
      <c r="L20" s="34">
        <f>SUM(L21,L26,L43)</f>
        <v>32140</v>
      </c>
      <c r="M20" s="32">
        <f>SUM(M21,M45)</f>
        <v>0</v>
      </c>
      <c r="N20" s="33">
        <f>SUM(N21,N45)</f>
        <v>0</v>
      </c>
      <c r="O20" s="34">
        <f>SUM(O21,O45)</f>
        <v>0</v>
      </c>
      <c r="P20" s="35"/>
    </row>
    <row r="21" spans="1:16" ht="12.75" thickTop="1" x14ac:dyDescent="0.25">
      <c r="A21" s="36"/>
      <c r="B21" s="37" t="s">
        <v>39</v>
      </c>
      <c r="C21" s="38">
        <f t="shared" si="0"/>
        <v>6328</v>
      </c>
      <c r="D21" s="39">
        <f t="shared" ref="D21:O21" si="1">SUM(D22:D23)</f>
        <v>0</v>
      </c>
      <c r="E21" s="40">
        <f t="shared" si="1"/>
        <v>0</v>
      </c>
      <c r="F21" s="41">
        <f t="shared" si="1"/>
        <v>0</v>
      </c>
      <c r="G21" s="39">
        <f t="shared" si="1"/>
        <v>0</v>
      </c>
      <c r="H21" s="40">
        <f t="shared" si="1"/>
        <v>0</v>
      </c>
      <c r="I21" s="41">
        <f t="shared" si="1"/>
        <v>0</v>
      </c>
      <c r="J21" s="39">
        <f t="shared" si="1"/>
        <v>6328</v>
      </c>
      <c r="K21" s="40">
        <f t="shared" si="1"/>
        <v>0</v>
      </c>
      <c r="L21" s="41">
        <f t="shared" si="1"/>
        <v>6328</v>
      </c>
      <c r="M21" s="39">
        <f t="shared" si="1"/>
        <v>0</v>
      </c>
      <c r="N21" s="40">
        <f t="shared" si="1"/>
        <v>0</v>
      </c>
      <c r="O21" s="41">
        <f t="shared" si="1"/>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F23+I23+L23+O23</f>
        <v>6328</v>
      </c>
      <c r="D23" s="53"/>
      <c r="E23" s="54"/>
      <c r="F23" s="55">
        <f>D23+E23</f>
        <v>0</v>
      </c>
      <c r="G23" s="53"/>
      <c r="H23" s="54"/>
      <c r="I23" s="55">
        <f>G23+H23</f>
        <v>0</v>
      </c>
      <c r="J23" s="53">
        <v>6328</v>
      </c>
      <c r="K23" s="54"/>
      <c r="L23" s="56">
        <f>K23+J23</f>
        <v>6328</v>
      </c>
      <c r="M23" s="53"/>
      <c r="N23" s="54"/>
      <c r="O23" s="55">
        <f>N23+M23</f>
        <v>0</v>
      </c>
      <c r="P23" s="57"/>
    </row>
    <row r="24" spans="1:16" s="28" customFormat="1" ht="32.25" customHeight="1" thickBot="1" x14ac:dyDescent="0.3">
      <c r="A24" s="58">
        <v>19300</v>
      </c>
      <c r="B24" s="58" t="s">
        <v>42</v>
      </c>
      <c r="C24" s="59">
        <f>F24+I24</f>
        <v>1459689</v>
      </c>
      <c r="D24" s="60">
        <v>663536</v>
      </c>
      <c r="E24" s="61">
        <v>-4740</v>
      </c>
      <c r="F24" s="62">
        <f>D24+E24</f>
        <v>658796</v>
      </c>
      <c r="G24" s="60">
        <v>801358</v>
      </c>
      <c r="H24" s="61">
        <v>-465</v>
      </c>
      <c r="I24" s="62">
        <f>G24+H24</f>
        <v>800893</v>
      </c>
      <c r="J24" s="64" t="s">
        <v>43</v>
      </c>
      <c r="K24" s="65" t="s">
        <v>43</v>
      </c>
      <c r="L24" s="66" t="s">
        <v>43</v>
      </c>
      <c r="M24" s="64" t="s">
        <v>43</v>
      </c>
      <c r="N24" s="65" t="s">
        <v>43</v>
      </c>
      <c r="O24" s="66" t="s">
        <v>43</v>
      </c>
      <c r="P24" s="67" t="s">
        <v>1794</v>
      </c>
    </row>
    <row r="25" spans="1:16" s="28" customFormat="1" ht="24.75" hidden="1" customHeight="1" thickTop="1" x14ac:dyDescent="0.25">
      <c r="A25" s="69"/>
      <c r="B25" s="69" t="s">
        <v>44</v>
      </c>
      <c r="C25" s="70">
        <f>F25</f>
        <v>0</v>
      </c>
      <c r="D25" s="71"/>
      <c r="E25" s="72"/>
      <c r="F25" s="73">
        <f>D25+E25</f>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 t="shared" ref="C26:C40" si="2">L26</f>
        <v>25752</v>
      </c>
      <c r="D26" s="74" t="s">
        <v>43</v>
      </c>
      <c r="E26" s="75" t="s">
        <v>43</v>
      </c>
      <c r="F26" s="76" t="s">
        <v>43</v>
      </c>
      <c r="G26" s="74" t="s">
        <v>43</v>
      </c>
      <c r="H26" s="75" t="s">
        <v>43</v>
      </c>
      <c r="I26" s="76" t="s">
        <v>43</v>
      </c>
      <c r="J26" s="78">
        <f>SUM(J27,J31,J33,J36)</f>
        <v>21012</v>
      </c>
      <c r="K26" s="79">
        <f>SUM(K27,K31,K33,K36)</f>
        <v>4740</v>
      </c>
      <c r="L26" s="80">
        <f>SUM(L27,L31,L33,L36)</f>
        <v>25752</v>
      </c>
      <c r="M26" s="78" t="s">
        <v>43</v>
      </c>
      <c r="N26" s="79" t="s">
        <v>43</v>
      </c>
      <c r="O26" s="80" t="s">
        <v>43</v>
      </c>
      <c r="P26" s="77"/>
    </row>
    <row r="27" spans="1:16" s="28" customFormat="1" ht="24" hidden="1" customHeight="1" x14ac:dyDescent="0.25">
      <c r="A27" s="81">
        <v>21350</v>
      </c>
      <c r="B27" s="69" t="s">
        <v>46</v>
      </c>
      <c r="C27" s="70">
        <f t="shared" si="2"/>
        <v>0</v>
      </c>
      <c r="D27" s="74" t="s">
        <v>43</v>
      </c>
      <c r="E27" s="75" t="s">
        <v>43</v>
      </c>
      <c r="F27" s="76" t="s">
        <v>43</v>
      </c>
      <c r="G27" s="74" t="s">
        <v>43</v>
      </c>
      <c r="H27" s="75" t="s">
        <v>43</v>
      </c>
      <c r="I27" s="76" t="s">
        <v>43</v>
      </c>
      <c r="J27" s="78">
        <f>SUM(J28:J30)</f>
        <v>0</v>
      </c>
      <c r="K27" s="79">
        <f>SUM(K28:K30)</f>
        <v>0</v>
      </c>
      <c r="L27" s="80">
        <f>SUM(L28:L30)</f>
        <v>0</v>
      </c>
      <c r="M27" s="78" t="s">
        <v>43</v>
      </c>
      <c r="N27" s="79" t="s">
        <v>43</v>
      </c>
      <c r="O27" s="80" t="s">
        <v>43</v>
      </c>
      <c r="P27" s="77"/>
    </row>
    <row r="28" spans="1:16" ht="12" hidden="1" customHeight="1" x14ac:dyDescent="0.25">
      <c r="A28" s="43">
        <v>21351</v>
      </c>
      <c r="B28" s="82" t="s">
        <v>47</v>
      </c>
      <c r="C28" s="83">
        <f t="shared" si="2"/>
        <v>0</v>
      </c>
      <c r="D28" s="84" t="s">
        <v>43</v>
      </c>
      <c r="E28" s="85" t="s">
        <v>43</v>
      </c>
      <c r="F28" s="86" t="s">
        <v>43</v>
      </c>
      <c r="G28" s="84" t="s">
        <v>43</v>
      </c>
      <c r="H28" s="85" t="s">
        <v>43</v>
      </c>
      <c r="I28" s="86" t="s">
        <v>43</v>
      </c>
      <c r="J28" s="46"/>
      <c r="K28" s="47"/>
      <c r="L28" s="48">
        <f>K28+J28</f>
        <v>0</v>
      </c>
      <c r="M28" s="87" t="s">
        <v>43</v>
      </c>
      <c r="N28" s="88" t="s">
        <v>43</v>
      </c>
      <c r="O28" s="48" t="s">
        <v>43</v>
      </c>
      <c r="P28" s="49"/>
    </row>
    <row r="29" spans="1:16" ht="12" hidden="1" customHeight="1" x14ac:dyDescent="0.25">
      <c r="A29" s="50">
        <v>21352</v>
      </c>
      <c r="B29" s="89" t="s">
        <v>48</v>
      </c>
      <c r="C29" s="90">
        <f t="shared" si="2"/>
        <v>0</v>
      </c>
      <c r="D29" s="91" t="s">
        <v>43</v>
      </c>
      <c r="E29" s="92" t="s">
        <v>43</v>
      </c>
      <c r="F29" s="93" t="s">
        <v>43</v>
      </c>
      <c r="G29" s="91" t="s">
        <v>43</v>
      </c>
      <c r="H29" s="92" t="s">
        <v>43</v>
      </c>
      <c r="I29" s="93" t="s">
        <v>43</v>
      </c>
      <c r="J29" s="53"/>
      <c r="K29" s="54"/>
      <c r="L29" s="56">
        <f>K29+J29</f>
        <v>0</v>
      </c>
      <c r="M29" s="94" t="s">
        <v>43</v>
      </c>
      <c r="N29" s="95" t="s">
        <v>43</v>
      </c>
      <c r="O29" s="56" t="s">
        <v>43</v>
      </c>
      <c r="P29" s="57"/>
    </row>
    <row r="30" spans="1:16" ht="24" hidden="1" customHeight="1" x14ac:dyDescent="0.25">
      <c r="A30" s="50">
        <v>21359</v>
      </c>
      <c r="B30" s="89" t="s">
        <v>49</v>
      </c>
      <c r="C30" s="90">
        <f t="shared" si="2"/>
        <v>0</v>
      </c>
      <c r="D30" s="91" t="s">
        <v>43</v>
      </c>
      <c r="E30" s="92" t="s">
        <v>43</v>
      </c>
      <c r="F30" s="93" t="s">
        <v>43</v>
      </c>
      <c r="G30" s="91" t="s">
        <v>43</v>
      </c>
      <c r="H30" s="92" t="s">
        <v>43</v>
      </c>
      <c r="I30" s="93" t="s">
        <v>43</v>
      </c>
      <c r="J30" s="53"/>
      <c r="K30" s="54"/>
      <c r="L30" s="56">
        <f>K30+J30</f>
        <v>0</v>
      </c>
      <c r="M30" s="94" t="s">
        <v>43</v>
      </c>
      <c r="N30" s="95" t="s">
        <v>43</v>
      </c>
      <c r="O30" s="56" t="s">
        <v>43</v>
      </c>
      <c r="P30" s="57"/>
    </row>
    <row r="31" spans="1:16" s="28" customFormat="1" ht="36" hidden="1" customHeight="1" x14ac:dyDescent="0.25">
      <c r="A31" s="81">
        <v>21370</v>
      </c>
      <c r="B31" s="69" t="s">
        <v>50</v>
      </c>
      <c r="C31" s="70">
        <f t="shared" si="2"/>
        <v>0</v>
      </c>
      <c r="D31" s="74" t="s">
        <v>43</v>
      </c>
      <c r="E31" s="75" t="s">
        <v>43</v>
      </c>
      <c r="F31" s="76" t="s">
        <v>43</v>
      </c>
      <c r="G31" s="74" t="s">
        <v>43</v>
      </c>
      <c r="H31" s="75" t="s">
        <v>43</v>
      </c>
      <c r="I31" s="76" t="s">
        <v>43</v>
      </c>
      <c r="J31" s="78">
        <f>SUM(J32)</f>
        <v>0</v>
      </c>
      <c r="K31" s="79">
        <f>SUM(K32)</f>
        <v>0</v>
      </c>
      <c r="L31" s="80">
        <f>SUM(L32)</f>
        <v>0</v>
      </c>
      <c r="M31" s="78" t="s">
        <v>43</v>
      </c>
      <c r="N31" s="79" t="s">
        <v>43</v>
      </c>
      <c r="O31" s="80" t="s">
        <v>43</v>
      </c>
      <c r="P31" s="77"/>
    </row>
    <row r="32" spans="1:16" ht="36" hidden="1" customHeight="1" x14ac:dyDescent="0.25">
      <c r="A32" s="96">
        <v>21379</v>
      </c>
      <c r="B32" s="97" t="s">
        <v>51</v>
      </c>
      <c r="C32" s="98">
        <f t="shared" si="2"/>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2"/>
        <v>11887</v>
      </c>
      <c r="D33" s="74" t="s">
        <v>43</v>
      </c>
      <c r="E33" s="75" t="s">
        <v>43</v>
      </c>
      <c r="F33" s="76" t="s">
        <v>43</v>
      </c>
      <c r="G33" s="74" t="s">
        <v>43</v>
      </c>
      <c r="H33" s="75" t="s">
        <v>43</v>
      </c>
      <c r="I33" s="76" t="s">
        <v>43</v>
      </c>
      <c r="J33" s="78">
        <f>SUM(J34:J35)</f>
        <v>11887</v>
      </c>
      <c r="K33" s="79">
        <f>SUM(K34:K35)</f>
        <v>0</v>
      </c>
      <c r="L33" s="80">
        <f>SUM(L34:L35)</f>
        <v>11887</v>
      </c>
      <c r="M33" s="78" t="s">
        <v>43</v>
      </c>
      <c r="N33" s="79" t="s">
        <v>43</v>
      </c>
      <c r="O33" s="80" t="s">
        <v>43</v>
      </c>
      <c r="P33" s="77"/>
    </row>
    <row r="34" spans="1:16" ht="22.5" customHeight="1" x14ac:dyDescent="0.25">
      <c r="A34" s="44">
        <v>21381</v>
      </c>
      <c r="B34" s="82" t="s">
        <v>53</v>
      </c>
      <c r="C34" s="83">
        <f t="shared" si="2"/>
        <v>11887</v>
      </c>
      <c r="D34" s="84" t="s">
        <v>43</v>
      </c>
      <c r="E34" s="85" t="s">
        <v>43</v>
      </c>
      <c r="F34" s="86" t="s">
        <v>43</v>
      </c>
      <c r="G34" s="84" t="s">
        <v>43</v>
      </c>
      <c r="H34" s="85" t="s">
        <v>43</v>
      </c>
      <c r="I34" s="86" t="s">
        <v>43</v>
      </c>
      <c r="J34" s="46">
        <v>11887</v>
      </c>
      <c r="K34" s="47"/>
      <c r="L34" s="48">
        <f>K34+J34</f>
        <v>11887</v>
      </c>
      <c r="M34" s="87" t="s">
        <v>43</v>
      </c>
      <c r="N34" s="88" t="s">
        <v>43</v>
      </c>
      <c r="O34" s="48" t="s">
        <v>43</v>
      </c>
      <c r="P34" s="49"/>
    </row>
    <row r="35" spans="1:16" ht="24" hidden="1" customHeight="1" x14ac:dyDescent="0.25">
      <c r="A35" s="210">
        <v>21383</v>
      </c>
      <c r="B35" s="227" t="s">
        <v>54</v>
      </c>
      <c r="C35" s="209">
        <f t="shared" si="2"/>
        <v>0</v>
      </c>
      <c r="D35" s="1015" t="s">
        <v>43</v>
      </c>
      <c r="E35" s="1016" t="s">
        <v>43</v>
      </c>
      <c r="F35" s="1017" t="s">
        <v>43</v>
      </c>
      <c r="G35" s="1015" t="s">
        <v>43</v>
      </c>
      <c r="H35" s="1016" t="s">
        <v>43</v>
      </c>
      <c r="I35" s="1017" t="s">
        <v>43</v>
      </c>
      <c r="J35" s="214"/>
      <c r="K35" s="215"/>
      <c r="L35" s="1003">
        <f>K35+J35</f>
        <v>0</v>
      </c>
      <c r="M35" s="1001" t="s">
        <v>43</v>
      </c>
      <c r="N35" s="1002" t="s">
        <v>43</v>
      </c>
      <c r="O35" s="1003" t="s">
        <v>43</v>
      </c>
      <c r="P35" s="216"/>
    </row>
    <row r="36" spans="1:16" s="28" customFormat="1" ht="25.5" customHeight="1" x14ac:dyDescent="0.25">
      <c r="A36" s="1004">
        <v>21390</v>
      </c>
      <c r="B36" s="217" t="s">
        <v>55</v>
      </c>
      <c r="C36" s="218">
        <f t="shared" si="2"/>
        <v>13865</v>
      </c>
      <c r="D36" s="1018" t="s">
        <v>43</v>
      </c>
      <c r="E36" s="1019" t="s">
        <v>43</v>
      </c>
      <c r="F36" s="1020" t="s">
        <v>43</v>
      </c>
      <c r="G36" s="1018" t="s">
        <v>43</v>
      </c>
      <c r="H36" s="1019" t="s">
        <v>43</v>
      </c>
      <c r="I36" s="1020" t="s">
        <v>43</v>
      </c>
      <c r="J36" s="1011">
        <f>SUM(J37:J40)</f>
        <v>9125</v>
      </c>
      <c r="K36" s="1012">
        <f>SUM(K37:K40)</f>
        <v>4740</v>
      </c>
      <c r="L36" s="1013">
        <f>SUM(L37:L40)</f>
        <v>13865</v>
      </c>
      <c r="M36" s="1011" t="s">
        <v>43</v>
      </c>
      <c r="N36" s="1012" t="s">
        <v>43</v>
      </c>
      <c r="O36" s="1013" t="s">
        <v>43</v>
      </c>
      <c r="P36" s="222"/>
    </row>
    <row r="37" spans="1:16" ht="24" hidden="1" customHeight="1" x14ac:dyDescent="0.25">
      <c r="A37" s="44">
        <v>21391</v>
      </c>
      <c r="B37" s="82" t="s">
        <v>56</v>
      </c>
      <c r="C37" s="83">
        <f t="shared" si="2"/>
        <v>0</v>
      </c>
      <c r="D37" s="84" t="s">
        <v>43</v>
      </c>
      <c r="E37" s="85" t="s">
        <v>43</v>
      </c>
      <c r="F37" s="86" t="s">
        <v>43</v>
      </c>
      <c r="G37" s="84" t="s">
        <v>43</v>
      </c>
      <c r="H37" s="85" t="s">
        <v>43</v>
      </c>
      <c r="I37" s="86" t="s">
        <v>43</v>
      </c>
      <c r="J37" s="46"/>
      <c r="K37" s="47"/>
      <c r="L37" s="48">
        <f>K37+J37</f>
        <v>0</v>
      </c>
      <c r="M37" s="87" t="s">
        <v>43</v>
      </c>
      <c r="N37" s="88" t="s">
        <v>43</v>
      </c>
      <c r="O37" s="48" t="s">
        <v>43</v>
      </c>
      <c r="P37" s="49"/>
    </row>
    <row r="38" spans="1:16" ht="12" hidden="1" customHeight="1" x14ac:dyDescent="0.25">
      <c r="A38" s="51">
        <v>21393</v>
      </c>
      <c r="B38" s="89" t="s">
        <v>57</v>
      </c>
      <c r="C38" s="90">
        <f t="shared" si="2"/>
        <v>0</v>
      </c>
      <c r="D38" s="91" t="s">
        <v>43</v>
      </c>
      <c r="E38" s="92" t="s">
        <v>43</v>
      </c>
      <c r="F38" s="93" t="s">
        <v>43</v>
      </c>
      <c r="G38" s="91" t="s">
        <v>43</v>
      </c>
      <c r="H38" s="92" t="s">
        <v>43</v>
      </c>
      <c r="I38" s="93" t="s">
        <v>43</v>
      </c>
      <c r="J38" s="53"/>
      <c r="K38" s="54"/>
      <c r="L38" s="56">
        <f>K38+J38</f>
        <v>0</v>
      </c>
      <c r="M38" s="94" t="s">
        <v>43</v>
      </c>
      <c r="N38" s="95" t="s">
        <v>43</v>
      </c>
      <c r="O38" s="56" t="s">
        <v>43</v>
      </c>
      <c r="P38" s="57"/>
    </row>
    <row r="39" spans="1:16" ht="12" hidden="1" customHeight="1" x14ac:dyDescent="0.25">
      <c r="A39" s="51">
        <v>21395</v>
      </c>
      <c r="B39" s="89" t="s">
        <v>58</v>
      </c>
      <c r="C39" s="90">
        <f t="shared" si="2"/>
        <v>0</v>
      </c>
      <c r="D39" s="91" t="s">
        <v>43</v>
      </c>
      <c r="E39" s="92" t="s">
        <v>43</v>
      </c>
      <c r="F39" s="93" t="s">
        <v>43</v>
      </c>
      <c r="G39" s="91" t="s">
        <v>43</v>
      </c>
      <c r="H39" s="92" t="s">
        <v>43</v>
      </c>
      <c r="I39" s="93" t="s">
        <v>43</v>
      </c>
      <c r="J39" s="53"/>
      <c r="K39" s="54"/>
      <c r="L39" s="56">
        <f>K39+J39</f>
        <v>0</v>
      </c>
      <c r="M39" s="94" t="s">
        <v>43</v>
      </c>
      <c r="N39" s="95" t="s">
        <v>43</v>
      </c>
      <c r="O39" s="56" t="s">
        <v>43</v>
      </c>
      <c r="P39" s="57"/>
    </row>
    <row r="40" spans="1:16" ht="33" customHeight="1" x14ac:dyDescent="0.25">
      <c r="A40" s="108">
        <v>21399</v>
      </c>
      <c r="B40" s="109" t="s">
        <v>59</v>
      </c>
      <c r="C40" s="110">
        <f t="shared" si="2"/>
        <v>13865</v>
      </c>
      <c r="D40" s="111" t="s">
        <v>43</v>
      </c>
      <c r="E40" s="112" t="s">
        <v>43</v>
      </c>
      <c r="F40" s="113" t="s">
        <v>43</v>
      </c>
      <c r="G40" s="111" t="s">
        <v>43</v>
      </c>
      <c r="H40" s="112" t="s">
        <v>43</v>
      </c>
      <c r="I40" s="113" t="s">
        <v>43</v>
      </c>
      <c r="J40" s="114">
        <v>9125</v>
      </c>
      <c r="K40" s="1399">
        <v>4740</v>
      </c>
      <c r="L40" s="116">
        <f>K40+J40</f>
        <v>13865</v>
      </c>
      <c r="M40" s="117" t="s">
        <v>43</v>
      </c>
      <c r="N40" s="118" t="s">
        <v>43</v>
      </c>
      <c r="O40" s="116" t="s">
        <v>43</v>
      </c>
      <c r="P40" s="119" t="s">
        <v>1795</v>
      </c>
    </row>
    <row r="41" spans="1:16" s="28" customFormat="1" ht="26.25" hidden="1" customHeight="1" x14ac:dyDescent="0.25">
      <c r="A41" s="120">
        <v>21420</v>
      </c>
      <c r="B41" s="121" t="s">
        <v>60</v>
      </c>
      <c r="C41" s="122">
        <f>F41</f>
        <v>0</v>
      </c>
      <c r="D41" s="123">
        <f>SUM(D42)</f>
        <v>0</v>
      </c>
      <c r="E41" s="124">
        <f>SUM(E42)</f>
        <v>0</v>
      </c>
      <c r="F41" s="125">
        <f>SUM(F42)</f>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60</v>
      </c>
      <c r="D43" s="78">
        <f>D44</f>
        <v>0</v>
      </c>
      <c r="E43" s="79">
        <f>E44</f>
        <v>0</v>
      </c>
      <c r="F43" s="80">
        <f>F44</f>
        <v>0</v>
      </c>
      <c r="G43" s="78">
        <f t="shared" ref="G43:L43" si="3">G44</f>
        <v>0</v>
      </c>
      <c r="H43" s="79">
        <f t="shared" si="3"/>
        <v>0</v>
      </c>
      <c r="I43" s="80">
        <f t="shared" si="3"/>
        <v>0</v>
      </c>
      <c r="J43" s="78">
        <f t="shared" si="3"/>
        <v>60</v>
      </c>
      <c r="K43" s="79">
        <f t="shared" si="3"/>
        <v>0</v>
      </c>
      <c r="L43" s="80">
        <f t="shared" si="3"/>
        <v>60</v>
      </c>
      <c r="M43" s="78" t="s">
        <v>43</v>
      </c>
      <c r="N43" s="79" t="s">
        <v>43</v>
      </c>
      <c r="O43" s="80" t="s">
        <v>43</v>
      </c>
      <c r="P43" s="77"/>
    </row>
    <row r="44" spans="1:16" s="28" customFormat="1" ht="33" customHeight="1" x14ac:dyDescent="0.25">
      <c r="A44" s="51">
        <v>21499</v>
      </c>
      <c r="B44" s="89" t="s">
        <v>63</v>
      </c>
      <c r="C44" s="133">
        <f>F44+I44+L44</f>
        <v>60</v>
      </c>
      <c r="D44" s="46"/>
      <c r="E44" s="47"/>
      <c r="F44" s="134">
        <f>D44+E44</f>
        <v>0</v>
      </c>
      <c r="G44" s="46"/>
      <c r="H44" s="47"/>
      <c r="I44" s="134">
        <f>G44+H44</f>
        <v>0</v>
      </c>
      <c r="J44" s="46">
        <v>60</v>
      </c>
      <c r="K44" s="47"/>
      <c r="L44" s="48">
        <f>K44+J44</f>
        <v>60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SUM(N46:N47)</f>
        <v>0</v>
      </c>
      <c r="O45" s="116">
        <f>SUM(O46:O47)</f>
        <v>0</v>
      </c>
      <c r="P45" s="119"/>
    </row>
    <row r="46" spans="1:16" ht="24" hidden="1" customHeight="1" x14ac:dyDescent="0.25">
      <c r="A46" s="137">
        <v>23410</v>
      </c>
      <c r="B46" s="138" t="s">
        <v>65</v>
      </c>
      <c r="C46" s="122">
        <f>O46</f>
        <v>0</v>
      </c>
      <c r="D46" s="126" t="s">
        <v>43</v>
      </c>
      <c r="E46" s="127" t="s">
        <v>43</v>
      </c>
      <c r="F46" s="128" t="s">
        <v>43</v>
      </c>
      <c r="G46" s="126" t="s">
        <v>43</v>
      </c>
      <c r="H46" s="127" t="s">
        <v>43</v>
      </c>
      <c r="I46" s="128" t="s">
        <v>43</v>
      </c>
      <c r="J46" s="126" t="s">
        <v>43</v>
      </c>
      <c r="K46" s="127" t="s">
        <v>43</v>
      </c>
      <c r="L46" s="128" t="s">
        <v>43</v>
      </c>
      <c r="M46" s="139"/>
      <c r="N46" s="140"/>
      <c r="O46" s="141">
        <f>N46+M46</f>
        <v>0</v>
      </c>
      <c r="P46" s="129"/>
    </row>
    <row r="47" spans="1:16" ht="24" hidden="1" customHeight="1" x14ac:dyDescent="0.25">
      <c r="A47" s="137">
        <v>23510</v>
      </c>
      <c r="B47" s="138" t="s">
        <v>66</v>
      </c>
      <c r="C47" s="122">
        <f>O47</f>
        <v>0</v>
      </c>
      <c r="D47" s="126" t="s">
        <v>43</v>
      </c>
      <c r="E47" s="127" t="s">
        <v>43</v>
      </c>
      <c r="F47" s="128" t="s">
        <v>43</v>
      </c>
      <c r="G47" s="126" t="s">
        <v>43</v>
      </c>
      <c r="H47" s="127" t="s">
        <v>43</v>
      </c>
      <c r="I47" s="128" t="s">
        <v>43</v>
      </c>
      <c r="J47" s="126" t="s">
        <v>43</v>
      </c>
      <c r="K47" s="127" t="s">
        <v>43</v>
      </c>
      <c r="L47" s="128" t="s">
        <v>43</v>
      </c>
      <c r="M47" s="139"/>
      <c r="N47" s="140"/>
      <c r="O47" s="141">
        <f>N47+M47</f>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1491829</v>
      </c>
      <c r="D50" s="159">
        <f t="shared" ref="D50:O50" si="4">SUM(D51,D286)</f>
        <v>663536</v>
      </c>
      <c r="E50" s="160">
        <f t="shared" si="4"/>
        <v>-4740</v>
      </c>
      <c r="F50" s="161">
        <f t="shared" si="4"/>
        <v>658796</v>
      </c>
      <c r="G50" s="159">
        <f t="shared" si="4"/>
        <v>801358</v>
      </c>
      <c r="H50" s="160">
        <f t="shared" si="4"/>
        <v>-465</v>
      </c>
      <c r="I50" s="161">
        <f t="shared" si="4"/>
        <v>800893</v>
      </c>
      <c r="J50" s="32">
        <f t="shared" si="4"/>
        <v>27400</v>
      </c>
      <c r="K50" s="33">
        <f t="shared" si="4"/>
        <v>4740</v>
      </c>
      <c r="L50" s="34">
        <f t="shared" si="4"/>
        <v>32140</v>
      </c>
      <c r="M50" s="32">
        <f t="shared" si="4"/>
        <v>0</v>
      </c>
      <c r="N50" s="33">
        <f t="shared" si="4"/>
        <v>0</v>
      </c>
      <c r="O50" s="34">
        <f t="shared" si="4"/>
        <v>0</v>
      </c>
      <c r="P50" s="35"/>
    </row>
    <row r="51" spans="1:16" s="28" customFormat="1" ht="43.5" customHeight="1" thickTop="1" x14ac:dyDescent="0.25">
      <c r="A51" s="162"/>
      <c r="B51" s="163" t="s">
        <v>69</v>
      </c>
      <c r="C51" s="164">
        <f t="shared" si="0"/>
        <v>1491825</v>
      </c>
      <c r="D51" s="165">
        <f t="shared" ref="D51:O51" si="5">SUM(D52,D194)</f>
        <v>663536</v>
      </c>
      <c r="E51" s="166">
        <f t="shared" si="5"/>
        <v>-4740</v>
      </c>
      <c r="F51" s="167">
        <f t="shared" si="5"/>
        <v>658796</v>
      </c>
      <c r="G51" s="165">
        <f t="shared" si="5"/>
        <v>801354</v>
      </c>
      <c r="H51" s="166">
        <f t="shared" si="5"/>
        <v>-465</v>
      </c>
      <c r="I51" s="167">
        <f t="shared" si="5"/>
        <v>800889</v>
      </c>
      <c r="J51" s="168">
        <f t="shared" si="5"/>
        <v>27400</v>
      </c>
      <c r="K51" s="169">
        <f t="shared" si="5"/>
        <v>4740</v>
      </c>
      <c r="L51" s="170">
        <f t="shared" si="5"/>
        <v>32140</v>
      </c>
      <c r="M51" s="168">
        <f t="shared" si="5"/>
        <v>0</v>
      </c>
      <c r="N51" s="169">
        <f t="shared" si="5"/>
        <v>0</v>
      </c>
      <c r="O51" s="170">
        <f t="shared" si="5"/>
        <v>0</v>
      </c>
      <c r="P51" s="171"/>
    </row>
    <row r="52" spans="1:16" s="28" customFormat="1" ht="28.5" customHeight="1" x14ac:dyDescent="0.25">
      <c r="A52" s="24"/>
      <c r="B52" s="22" t="s">
        <v>70</v>
      </c>
      <c r="C52" s="172">
        <f t="shared" si="0"/>
        <v>1471510</v>
      </c>
      <c r="D52" s="173">
        <f t="shared" ref="D52:O52" si="6">SUM(D53,D75,D173,D187)</f>
        <v>652221</v>
      </c>
      <c r="E52" s="174">
        <f t="shared" si="6"/>
        <v>-4740</v>
      </c>
      <c r="F52" s="175">
        <f t="shared" si="6"/>
        <v>647481</v>
      </c>
      <c r="G52" s="173">
        <f t="shared" si="6"/>
        <v>795354</v>
      </c>
      <c r="H52" s="174">
        <f t="shared" si="6"/>
        <v>-465</v>
      </c>
      <c r="I52" s="175">
        <f t="shared" si="6"/>
        <v>794889</v>
      </c>
      <c r="J52" s="173">
        <f t="shared" si="6"/>
        <v>24400</v>
      </c>
      <c r="K52" s="174">
        <f t="shared" si="6"/>
        <v>4740</v>
      </c>
      <c r="L52" s="175">
        <f t="shared" si="6"/>
        <v>29140</v>
      </c>
      <c r="M52" s="173">
        <f t="shared" si="6"/>
        <v>0</v>
      </c>
      <c r="N52" s="174">
        <f t="shared" si="6"/>
        <v>0</v>
      </c>
      <c r="O52" s="175">
        <f t="shared" si="6"/>
        <v>0</v>
      </c>
      <c r="P52" s="176"/>
    </row>
    <row r="53" spans="1:16" s="28" customFormat="1" x14ac:dyDescent="0.25">
      <c r="A53" s="177">
        <v>1000</v>
      </c>
      <c r="B53" s="177" t="s">
        <v>71</v>
      </c>
      <c r="C53" s="178">
        <f t="shared" si="0"/>
        <v>1284825</v>
      </c>
      <c r="D53" s="179">
        <f t="shared" ref="D53:O53" si="7">SUM(D54,D67)</f>
        <v>505653</v>
      </c>
      <c r="E53" s="180">
        <f t="shared" si="7"/>
        <v>0</v>
      </c>
      <c r="F53" s="181">
        <f t="shared" si="7"/>
        <v>505653</v>
      </c>
      <c r="G53" s="179">
        <f t="shared" si="7"/>
        <v>779637</v>
      </c>
      <c r="H53" s="180">
        <f t="shared" si="7"/>
        <v>-465</v>
      </c>
      <c r="I53" s="181">
        <f t="shared" si="7"/>
        <v>779172</v>
      </c>
      <c r="J53" s="179">
        <f t="shared" si="7"/>
        <v>0</v>
      </c>
      <c r="K53" s="180">
        <f t="shared" si="7"/>
        <v>0</v>
      </c>
      <c r="L53" s="181">
        <f t="shared" si="7"/>
        <v>0</v>
      </c>
      <c r="M53" s="179">
        <f t="shared" si="7"/>
        <v>0</v>
      </c>
      <c r="N53" s="180">
        <f t="shared" si="7"/>
        <v>0</v>
      </c>
      <c r="O53" s="181">
        <f t="shared" si="7"/>
        <v>0</v>
      </c>
      <c r="P53" s="182"/>
    </row>
    <row r="54" spans="1:16" x14ac:dyDescent="0.25">
      <c r="A54" s="69">
        <v>1100</v>
      </c>
      <c r="B54" s="183" t="s">
        <v>72</v>
      </c>
      <c r="C54" s="70">
        <f t="shared" si="0"/>
        <v>969779</v>
      </c>
      <c r="D54" s="184">
        <f t="shared" ref="D54:O54" si="8">SUM(D55,D58,D66)</f>
        <v>347264</v>
      </c>
      <c r="E54" s="185">
        <f t="shared" si="8"/>
        <v>0</v>
      </c>
      <c r="F54" s="73">
        <f t="shared" si="8"/>
        <v>347264</v>
      </c>
      <c r="G54" s="184">
        <f t="shared" si="8"/>
        <v>622884</v>
      </c>
      <c r="H54" s="185">
        <f t="shared" si="8"/>
        <v>-369</v>
      </c>
      <c r="I54" s="73">
        <f t="shared" si="8"/>
        <v>622515</v>
      </c>
      <c r="J54" s="184">
        <f t="shared" si="8"/>
        <v>0</v>
      </c>
      <c r="K54" s="185">
        <f t="shared" si="8"/>
        <v>0</v>
      </c>
      <c r="L54" s="73">
        <f t="shared" si="8"/>
        <v>0</v>
      </c>
      <c r="M54" s="184">
        <f t="shared" si="8"/>
        <v>0</v>
      </c>
      <c r="N54" s="185">
        <f t="shared" si="8"/>
        <v>0</v>
      </c>
      <c r="O54" s="73">
        <f t="shared" si="8"/>
        <v>0</v>
      </c>
      <c r="P54" s="77"/>
    </row>
    <row r="55" spans="1:16" x14ac:dyDescent="0.25">
      <c r="A55" s="186">
        <v>1110</v>
      </c>
      <c r="B55" s="138" t="s">
        <v>73</v>
      </c>
      <c r="C55" s="143">
        <f t="shared" si="0"/>
        <v>896832</v>
      </c>
      <c r="D55" s="187">
        <f t="shared" ref="D55:O55" si="9">SUM(D56:D57)</f>
        <v>284234</v>
      </c>
      <c r="E55" s="188">
        <f t="shared" si="9"/>
        <v>-47</v>
      </c>
      <c r="F55" s="141">
        <f t="shared" si="9"/>
        <v>284187</v>
      </c>
      <c r="G55" s="187">
        <f t="shared" si="9"/>
        <v>612143</v>
      </c>
      <c r="H55" s="188">
        <f t="shared" si="9"/>
        <v>502</v>
      </c>
      <c r="I55" s="141">
        <f t="shared" si="9"/>
        <v>612645</v>
      </c>
      <c r="J55" s="187">
        <f t="shared" si="9"/>
        <v>0</v>
      </c>
      <c r="K55" s="188">
        <f t="shared" si="9"/>
        <v>0</v>
      </c>
      <c r="L55" s="141">
        <f t="shared" si="9"/>
        <v>0</v>
      </c>
      <c r="M55" s="187">
        <f t="shared" si="9"/>
        <v>0</v>
      </c>
      <c r="N55" s="188">
        <f t="shared" si="9"/>
        <v>0</v>
      </c>
      <c r="O55" s="141">
        <f t="shared" si="9"/>
        <v>0</v>
      </c>
      <c r="P55" s="129"/>
    </row>
    <row r="56" spans="1:16" ht="12" hidden="1" customHeight="1" x14ac:dyDescent="0.25">
      <c r="A56" s="44">
        <v>1111</v>
      </c>
      <c r="B56" s="82" t="s">
        <v>74</v>
      </c>
      <c r="C56" s="83">
        <f t="shared" si="0"/>
        <v>0</v>
      </c>
      <c r="D56" s="46"/>
      <c r="E56" s="47"/>
      <c r="F56" s="134">
        <f>D56+E56</f>
        <v>0</v>
      </c>
      <c r="G56" s="46"/>
      <c r="H56" s="47"/>
      <c r="I56" s="134">
        <f>G56+H56</f>
        <v>0</v>
      </c>
      <c r="J56" s="46"/>
      <c r="K56" s="47"/>
      <c r="L56" s="134">
        <f>K56+J56</f>
        <v>0</v>
      </c>
      <c r="M56" s="46"/>
      <c r="N56" s="47"/>
      <c r="O56" s="134">
        <f>N56+M56</f>
        <v>0</v>
      </c>
      <c r="P56" s="49"/>
    </row>
    <row r="57" spans="1:16" ht="29.25" customHeight="1" x14ac:dyDescent="0.25">
      <c r="A57" s="51">
        <v>1119</v>
      </c>
      <c r="B57" s="89" t="s">
        <v>75</v>
      </c>
      <c r="C57" s="90">
        <f t="shared" si="0"/>
        <v>896832</v>
      </c>
      <c r="D57" s="53">
        <v>284234</v>
      </c>
      <c r="E57" s="725">
        <v>-47</v>
      </c>
      <c r="F57" s="55">
        <f>D57+E57</f>
        <v>284187</v>
      </c>
      <c r="G57" s="53">
        <v>612143</v>
      </c>
      <c r="H57" s="725">
        <v>502</v>
      </c>
      <c r="I57" s="55">
        <f>G57+H57</f>
        <v>612645</v>
      </c>
      <c r="J57" s="53"/>
      <c r="K57" s="54"/>
      <c r="L57" s="55">
        <f>K57+J57</f>
        <v>0</v>
      </c>
      <c r="M57" s="53"/>
      <c r="N57" s="54"/>
      <c r="O57" s="55">
        <f>N57+M57</f>
        <v>0</v>
      </c>
      <c r="P57" s="57" t="s">
        <v>1796</v>
      </c>
    </row>
    <row r="58" spans="1:16" ht="14.25" customHeight="1" x14ac:dyDescent="0.25">
      <c r="A58" s="189">
        <v>1140</v>
      </c>
      <c r="B58" s="89" t="s">
        <v>76</v>
      </c>
      <c r="C58" s="90">
        <f t="shared" si="0"/>
        <v>67371</v>
      </c>
      <c r="D58" s="190">
        <f t="shared" ref="D58:O58" si="10">SUM(D59:D65)</f>
        <v>57454</v>
      </c>
      <c r="E58" s="191">
        <f t="shared" si="10"/>
        <v>47</v>
      </c>
      <c r="F58" s="55">
        <f t="shared" si="10"/>
        <v>57501</v>
      </c>
      <c r="G58" s="190">
        <f t="shared" si="10"/>
        <v>10741</v>
      </c>
      <c r="H58" s="191">
        <f t="shared" si="10"/>
        <v>-871</v>
      </c>
      <c r="I58" s="55">
        <f t="shared" si="10"/>
        <v>9870</v>
      </c>
      <c r="J58" s="190">
        <f t="shared" si="10"/>
        <v>0</v>
      </c>
      <c r="K58" s="191">
        <f t="shared" si="10"/>
        <v>0</v>
      </c>
      <c r="L58" s="55">
        <f t="shared" si="10"/>
        <v>0</v>
      </c>
      <c r="M58" s="190">
        <f t="shared" si="10"/>
        <v>0</v>
      </c>
      <c r="N58" s="191">
        <f t="shared" si="10"/>
        <v>0</v>
      </c>
      <c r="O58" s="55">
        <f t="shared" si="10"/>
        <v>0</v>
      </c>
      <c r="P58" s="57"/>
    </row>
    <row r="59" spans="1:16" ht="14.25" customHeight="1" x14ac:dyDescent="0.25">
      <c r="A59" s="51">
        <v>1141</v>
      </c>
      <c r="B59" s="89" t="s">
        <v>77</v>
      </c>
      <c r="C59" s="90">
        <f t="shared" si="0"/>
        <v>8343</v>
      </c>
      <c r="D59" s="53">
        <v>8343</v>
      </c>
      <c r="E59" s="54"/>
      <c r="F59" s="55">
        <f t="shared" ref="F59:F66" si="11">D59+E59</f>
        <v>8343</v>
      </c>
      <c r="G59" s="53"/>
      <c r="H59" s="54"/>
      <c r="I59" s="55">
        <f t="shared" ref="I59:I66" si="12">G59+H59</f>
        <v>0</v>
      </c>
      <c r="J59" s="53"/>
      <c r="K59" s="54"/>
      <c r="L59" s="55">
        <f t="shared" ref="L59:L66" si="13">K59+J59</f>
        <v>0</v>
      </c>
      <c r="M59" s="53"/>
      <c r="N59" s="54"/>
      <c r="O59" s="55">
        <f t="shared" ref="O59:O66" si="14">N59+M59</f>
        <v>0</v>
      </c>
      <c r="P59" s="57"/>
    </row>
    <row r="60" spans="1:16" ht="24.75" customHeight="1" x14ac:dyDescent="0.25">
      <c r="A60" s="51">
        <v>1142</v>
      </c>
      <c r="B60" s="89" t="s">
        <v>78</v>
      </c>
      <c r="C60" s="90">
        <f t="shared" si="0"/>
        <v>2058</v>
      </c>
      <c r="D60" s="53">
        <v>2058</v>
      </c>
      <c r="E60" s="54"/>
      <c r="F60" s="55">
        <f t="shared" si="11"/>
        <v>2058</v>
      </c>
      <c r="G60" s="53"/>
      <c r="H60" s="54"/>
      <c r="I60" s="55">
        <f t="shared" si="12"/>
        <v>0</v>
      </c>
      <c r="J60" s="53"/>
      <c r="K60" s="54"/>
      <c r="L60" s="55">
        <f t="shared" si="13"/>
        <v>0</v>
      </c>
      <c r="M60" s="53"/>
      <c r="N60" s="54"/>
      <c r="O60" s="55">
        <f t="shared" si="14"/>
        <v>0</v>
      </c>
      <c r="P60" s="57"/>
    </row>
    <row r="61" spans="1:16" ht="24" hidden="1" customHeight="1" x14ac:dyDescent="0.25">
      <c r="A61" s="51">
        <v>1145</v>
      </c>
      <c r="B61" s="89" t="s">
        <v>79</v>
      </c>
      <c r="C61" s="90">
        <f t="shared" si="0"/>
        <v>0</v>
      </c>
      <c r="D61" s="53"/>
      <c r="E61" s="54"/>
      <c r="F61" s="55">
        <f t="shared" si="11"/>
        <v>0</v>
      </c>
      <c r="G61" s="53"/>
      <c r="H61" s="54"/>
      <c r="I61" s="55">
        <f t="shared" si="12"/>
        <v>0</v>
      </c>
      <c r="J61" s="53"/>
      <c r="K61" s="54"/>
      <c r="L61" s="55">
        <f t="shared" si="13"/>
        <v>0</v>
      </c>
      <c r="M61" s="53"/>
      <c r="N61" s="54"/>
      <c r="O61" s="55">
        <f t="shared" si="14"/>
        <v>0</v>
      </c>
      <c r="P61" s="57"/>
    </row>
    <row r="62" spans="1:16" ht="27.75" hidden="1" customHeight="1" x14ac:dyDescent="0.25">
      <c r="A62" s="51">
        <v>1146</v>
      </c>
      <c r="B62" s="89" t="s">
        <v>80</v>
      </c>
      <c r="C62" s="90">
        <f t="shared" si="0"/>
        <v>0</v>
      </c>
      <c r="D62" s="53"/>
      <c r="E62" s="54"/>
      <c r="F62" s="55">
        <f t="shared" si="11"/>
        <v>0</v>
      </c>
      <c r="G62" s="53"/>
      <c r="H62" s="54"/>
      <c r="I62" s="55">
        <f t="shared" si="12"/>
        <v>0</v>
      </c>
      <c r="J62" s="53"/>
      <c r="K62" s="54"/>
      <c r="L62" s="55">
        <f t="shared" si="13"/>
        <v>0</v>
      </c>
      <c r="M62" s="53"/>
      <c r="N62" s="54"/>
      <c r="O62" s="55">
        <f t="shared" si="14"/>
        <v>0</v>
      </c>
      <c r="P62" s="57"/>
    </row>
    <row r="63" spans="1:16" ht="15.75" customHeight="1" x14ac:dyDescent="0.25">
      <c r="A63" s="51">
        <v>1147</v>
      </c>
      <c r="B63" s="89" t="s">
        <v>81</v>
      </c>
      <c r="C63" s="90">
        <f t="shared" si="0"/>
        <v>4223</v>
      </c>
      <c r="D63" s="53">
        <v>4223</v>
      </c>
      <c r="E63" s="54"/>
      <c r="F63" s="55">
        <f t="shared" si="11"/>
        <v>4223</v>
      </c>
      <c r="G63" s="53"/>
      <c r="H63" s="54"/>
      <c r="I63" s="55">
        <f t="shared" si="12"/>
        <v>0</v>
      </c>
      <c r="J63" s="53"/>
      <c r="K63" s="54"/>
      <c r="L63" s="55">
        <f t="shared" si="13"/>
        <v>0</v>
      </c>
      <c r="M63" s="53"/>
      <c r="N63" s="54"/>
      <c r="O63" s="55">
        <f t="shared" si="14"/>
        <v>0</v>
      </c>
      <c r="P63" s="57"/>
    </row>
    <row r="64" spans="1:16" ht="15.75" customHeight="1" x14ac:dyDescent="0.25">
      <c r="A64" s="51">
        <v>1148</v>
      </c>
      <c r="B64" s="89" t="s">
        <v>82</v>
      </c>
      <c r="C64" s="90">
        <f t="shared" si="0"/>
        <v>42372</v>
      </c>
      <c r="D64" s="53">
        <v>42372</v>
      </c>
      <c r="E64" s="54"/>
      <c r="F64" s="55">
        <f t="shared" si="11"/>
        <v>42372</v>
      </c>
      <c r="G64" s="53"/>
      <c r="H64" s="54"/>
      <c r="I64" s="55">
        <f t="shared" si="12"/>
        <v>0</v>
      </c>
      <c r="J64" s="53"/>
      <c r="K64" s="54"/>
      <c r="L64" s="55">
        <f t="shared" si="13"/>
        <v>0</v>
      </c>
      <c r="M64" s="53"/>
      <c r="N64" s="54"/>
      <c r="O64" s="55">
        <f t="shared" si="14"/>
        <v>0</v>
      </c>
      <c r="P64" s="57"/>
    </row>
    <row r="65" spans="1:16" ht="36" customHeight="1" x14ac:dyDescent="0.25">
      <c r="A65" s="51">
        <v>1149</v>
      </c>
      <c r="B65" s="89" t="s">
        <v>83</v>
      </c>
      <c r="C65" s="90">
        <f t="shared" si="0"/>
        <v>10375</v>
      </c>
      <c r="D65" s="53">
        <v>458</v>
      </c>
      <c r="E65" s="725">
        <v>47</v>
      </c>
      <c r="F65" s="55">
        <f t="shared" si="11"/>
        <v>505</v>
      </c>
      <c r="G65" s="53">
        <v>10741</v>
      </c>
      <c r="H65" s="725">
        <v>-871</v>
      </c>
      <c r="I65" s="55">
        <f t="shared" si="12"/>
        <v>9870</v>
      </c>
      <c r="J65" s="53"/>
      <c r="K65" s="54"/>
      <c r="L65" s="55">
        <f t="shared" si="13"/>
        <v>0</v>
      </c>
      <c r="M65" s="53"/>
      <c r="N65" s="54"/>
      <c r="O65" s="55">
        <f t="shared" si="14"/>
        <v>0</v>
      </c>
      <c r="P65" s="57" t="s">
        <v>1797</v>
      </c>
    </row>
    <row r="66" spans="1:16" ht="39.75" customHeight="1" x14ac:dyDescent="0.25">
      <c r="A66" s="186">
        <v>1150</v>
      </c>
      <c r="B66" s="138" t="s">
        <v>84</v>
      </c>
      <c r="C66" s="143">
        <f t="shared" si="0"/>
        <v>5576</v>
      </c>
      <c r="D66" s="144">
        <v>5576</v>
      </c>
      <c r="E66" s="145"/>
      <c r="F66" s="141">
        <f t="shared" si="11"/>
        <v>5576</v>
      </c>
      <c r="G66" s="144"/>
      <c r="H66" s="145"/>
      <c r="I66" s="141">
        <f t="shared" si="12"/>
        <v>0</v>
      </c>
      <c r="J66" s="144"/>
      <c r="K66" s="145"/>
      <c r="L66" s="141">
        <f t="shared" si="13"/>
        <v>0</v>
      </c>
      <c r="M66" s="144"/>
      <c r="N66" s="145"/>
      <c r="O66" s="141">
        <f t="shared" si="14"/>
        <v>0</v>
      </c>
      <c r="P66" s="129"/>
    </row>
    <row r="67" spans="1:16" ht="30.75" customHeight="1" x14ac:dyDescent="0.25">
      <c r="A67" s="69">
        <v>1200</v>
      </c>
      <c r="B67" s="183" t="s">
        <v>85</v>
      </c>
      <c r="C67" s="70">
        <f t="shared" si="0"/>
        <v>315046</v>
      </c>
      <c r="D67" s="184">
        <f t="shared" ref="D67:O67" si="15">SUM(D68:D69)</f>
        <v>158389</v>
      </c>
      <c r="E67" s="185">
        <f t="shared" si="15"/>
        <v>0</v>
      </c>
      <c r="F67" s="73">
        <f t="shared" si="15"/>
        <v>158389</v>
      </c>
      <c r="G67" s="184">
        <f t="shared" si="15"/>
        <v>156753</v>
      </c>
      <c r="H67" s="185">
        <f t="shared" si="15"/>
        <v>-96</v>
      </c>
      <c r="I67" s="73">
        <f t="shared" si="15"/>
        <v>156657</v>
      </c>
      <c r="J67" s="184">
        <f t="shared" si="15"/>
        <v>0</v>
      </c>
      <c r="K67" s="185">
        <f t="shared" si="15"/>
        <v>0</v>
      </c>
      <c r="L67" s="73">
        <f t="shared" si="15"/>
        <v>0</v>
      </c>
      <c r="M67" s="184">
        <f t="shared" si="15"/>
        <v>0</v>
      </c>
      <c r="N67" s="185">
        <f t="shared" si="15"/>
        <v>0</v>
      </c>
      <c r="O67" s="73">
        <f t="shared" si="15"/>
        <v>0</v>
      </c>
      <c r="P67" s="77"/>
    </row>
    <row r="68" spans="1:16" ht="31.5" customHeight="1" x14ac:dyDescent="0.25">
      <c r="A68" s="1373">
        <v>1210</v>
      </c>
      <c r="B68" s="82" t="s">
        <v>86</v>
      </c>
      <c r="C68" s="83">
        <f t="shared" si="0"/>
        <v>243959</v>
      </c>
      <c r="D68" s="46">
        <v>93402</v>
      </c>
      <c r="E68" s="47"/>
      <c r="F68" s="134">
        <f>D68+E68</f>
        <v>93402</v>
      </c>
      <c r="G68" s="46">
        <v>150653</v>
      </c>
      <c r="H68" s="728">
        <v>-96</v>
      </c>
      <c r="I68" s="134">
        <f>G68+H68</f>
        <v>150557</v>
      </c>
      <c r="J68" s="46"/>
      <c r="K68" s="47"/>
      <c r="L68" s="134">
        <f>K68+J68</f>
        <v>0</v>
      </c>
      <c r="M68" s="46"/>
      <c r="N68" s="47"/>
      <c r="O68" s="134">
        <f>N68+M68</f>
        <v>0</v>
      </c>
      <c r="P68" s="49" t="s">
        <v>1798</v>
      </c>
    </row>
    <row r="69" spans="1:16" ht="28.5" customHeight="1" x14ac:dyDescent="0.25">
      <c r="A69" s="189">
        <v>1220</v>
      </c>
      <c r="B69" s="89" t="s">
        <v>87</v>
      </c>
      <c r="C69" s="90">
        <f t="shared" si="0"/>
        <v>71087</v>
      </c>
      <c r="D69" s="190">
        <f t="shared" ref="D69:O69" si="16">SUM(D70:D74)</f>
        <v>64987</v>
      </c>
      <c r="E69" s="191">
        <f t="shared" si="16"/>
        <v>0</v>
      </c>
      <c r="F69" s="55">
        <f t="shared" si="16"/>
        <v>64987</v>
      </c>
      <c r="G69" s="190">
        <f t="shared" si="16"/>
        <v>6100</v>
      </c>
      <c r="H69" s="191">
        <f t="shared" si="16"/>
        <v>0</v>
      </c>
      <c r="I69" s="55">
        <f t="shared" si="16"/>
        <v>6100</v>
      </c>
      <c r="J69" s="190">
        <f t="shared" si="16"/>
        <v>0</v>
      </c>
      <c r="K69" s="191">
        <f t="shared" si="16"/>
        <v>0</v>
      </c>
      <c r="L69" s="55">
        <f t="shared" si="16"/>
        <v>0</v>
      </c>
      <c r="M69" s="190">
        <f t="shared" si="16"/>
        <v>0</v>
      </c>
      <c r="N69" s="191">
        <f t="shared" si="16"/>
        <v>0</v>
      </c>
      <c r="O69" s="55">
        <f t="shared" si="16"/>
        <v>0</v>
      </c>
      <c r="P69" s="57"/>
    </row>
    <row r="70" spans="1:16" ht="53.25" customHeight="1" x14ac:dyDescent="0.25">
      <c r="A70" s="51">
        <v>1221</v>
      </c>
      <c r="B70" s="89" t="s">
        <v>88</v>
      </c>
      <c r="C70" s="90">
        <f t="shared" si="0"/>
        <v>46561</v>
      </c>
      <c r="D70" s="53">
        <v>40461</v>
      </c>
      <c r="E70" s="54"/>
      <c r="F70" s="55">
        <f>D70+E70</f>
        <v>40461</v>
      </c>
      <c r="G70" s="53">
        <v>6100</v>
      </c>
      <c r="H70" s="54"/>
      <c r="I70" s="55">
        <f>G70+H70</f>
        <v>6100</v>
      </c>
      <c r="J70" s="53"/>
      <c r="K70" s="54"/>
      <c r="L70" s="55">
        <f>K70+J70</f>
        <v>0</v>
      </c>
      <c r="M70" s="53"/>
      <c r="N70" s="54"/>
      <c r="O70" s="55">
        <f>N70+M70</f>
        <v>0</v>
      </c>
      <c r="P70" s="57"/>
    </row>
    <row r="71" spans="1:16" ht="12" hidden="1" customHeight="1" x14ac:dyDescent="0.25">
      <c r="A71" s="51">
        <v>1223</v>
      </c>
      <c r="B71" s="89" t="s">
        <v>89</v>
      </c>
      <c r="C71" s="90">
        <f t="shared" si="0"/>
        <v>0</v>
      </c>
      <c r="D71" s="53"/>
      <c r="E71" s="54"/>
      <c r="F71" s="55">
        <f>D71+E71</f>
        <v>0</v>
      </c>
      <c r="G71" s="53"/>
      <c r="H71" s="54"/>
      <c r="I71" s="55">
        <f>G71+H71</f>
        <v>0</v>
      </c>
      <c r="J71" s="53"/>
      <c r="K71" s="54"/>
      <c r="L71" s="55">
        <f>K71+J71</f>
        <v>0</v>
      </c>
      <c r="M71" s="53"/>
      <c r="N71" s="54"/>
      <c r="O71" s="55">
        <f>N71+M71</f>
        <v>0</v>
      </c>
      <c r="P71" s="57"/>
    </row>
    <row r="72" spans="1:16" ht="24" hidden="1" customHeight="1" x14ac:dyDescent="0.25">
      <c r="A72" s="51">
        <v>1225</v>
      </c>
      <c r="B72" s="89" t="s">
        <v>90</v>
      </c>
      <c r="C72" s="90">
        <f t="shared" si="0"/>
        <v>0</v>
      </c>
      <c r="D72" s="53"/>
      <c r="E72" s="54"/>
      <c r="F72" s="55">
        <f>D72+E72</f>
        <v>0</v>
      </c>
      <c r="G72" s="53"/>
      <c r="H72" s="54"/>
      <c r="I72" s="55">
        <f>G72+H72</f>
        <v>0</v>
      </c>
      <c r="J72" s="53"/>
      <c r="K72" s="54"/>
      <c r="L72" s="55">
        <f>K72+J72</f>
        <v>0</v>
      </c>
      <c r="M72" s="53"/>
      <c r="N72" s="54"/>
      <c r="O72" s="55">
        <f>N72+M72</f>
        <v>0</v>
      </c>
      <c r="P72" s="57"/>
    </row>
    <row r="73" spans="1:16" ht="42.75" customHeight="1" x14ac:dyDescent="0.25">
      <c r="A73" s="51">
        <v>1227</v>
      </c>
      <c r="B73" s="89" t="s">
        <v>91</v>
      </c>
      <c r="C73" s="90">
        <f t="shared" si="0"/>
        <v>23478</v>
      </c>
      <c r="D73" s="53">
        <v>23478</v>
      </c>
      <c r="E73" s="54"/>
      <c r="F73" s="55">
        <f>D73+E73</f>
        <v>23478</v>
      </c>
      <c r="G73" s="53"/>
      <c r="H73" s="54"/>
      <c r="I73" s="55">
        <f>G73+H73</f>
        <v>0</v>
      </c>
      <c r="J73" s="53"/>
      <c r="K73" s="54"/>
      <c r="L73" s="55">
        <f>K73+J73</f>
        <v>0</v>
      </c>
      <c r="M73" s="53"/>
      <c r="N73" s="54"/>
      <c r="O73" s="55">
        <f>N73+M73</f>
        <v>0</v>
      </c>
      <c r="P73" s="57"/>
    </row>
    <row r="74" spans="1:16" ht="57" customHeight="1" x14ac:dyDescent="0.25">
      <c r="A74" s="51">
        <v>1228</v>
      </c>
      <c r="B74" s="89" t="s">
        <v>92</v>
      </c>
      <c r="C74" s="90">
        <f t="shared" si="0"/>
        <v>1048</v>
      </c>
      <c r="D74" s="53">
        <v>1048</v>
      </c>
      <c r="E74" s="54"/>
      <c r="F74" s="55">
        <f>D74+E74</f>
        <v>1048</v>
      </c>
      <c r="G74" s="53"/>
      <c r="H74" s="54"/>
      <c r="I74" s="55">
        <f>G74+H74</f>
        <v>0</v>
      </c>
      <c r="J74" s="53"/>
      <c r="K74" s="54"/>
      <c r="L74" s="55">
        <f>K74+J74</f>
        <v>0</v>
      </c>
      <c r="M74" s="53"/>
      <c r="N74" s="54"/>
      <c r="O74" s="55">
        <f>N74+M74</f>
        <v>0</v>
      </c>
      <c r="P74" s="57"/>
    </row>
    <row r="75" spans="1:16" x14ac:dyDescent="0.25">
      <c r="A75" s="177">
        <v>2000</v>
      </c>
      <c r="B75" s="177" t="s">
        <v>93</v>
      </c>
      <c r="C75" s="178">
        <f t="shared" si="0"/>
        <v>186685</v>
      </c>
      <c r="D75" s="179">
        <f t="shared" ref="D75:O75" si="17">SUM(D76,D83,D130,D164,D165,D172)</f>
        <v>146568</v>
      </c>
      <c r="E75" s="180">
        <f t="shared" si="17"/>
        <v>-4740</v>
      </c>
      <c r="F75" s="181">
        <f t="shared" si="17"/>
        <v>141828</v>
      </c>
      <c r="G75" s="179">
        <f t="shared" si="17"/>
        <v>15717</v>
      </c>
      <c r="H75" s="180">
        <f t="shared" si="17"/>
        <v>0</v>
      </c>
      <c r="I75" s="181">
        <f t="shared" si="17"/>
        <v>15717</v>
      </c>
      <c r="J75" s="179">
        <f t="shared" si="17"/>
        <v>24400</v>
      </c>
      <c r="K75" s="180">
        <f t="shared" si="17"/>
        <v>4740</v>
      </c>
      <c r="L75" s="181">
        <f t="shared" si="17"/>
        <v>29140</v>
      </c>
      <c r="M75" s="179">
        <f t="shared" si="17"/>
        <v>0</v>
      </c>
      <c r="N75" s="180">
        <f t="shared" si="17"/>
        <v>0</v>
      </c>
      <c r="O75" s="181">
        <f t="shared" si="17"/>
        <v>0</v>
      </c>
      <c r="P75" s="182"/>
    </row>
    <row r="76" spans="1:16" ht="24" x14ac:dyDescent="0.25">
      <c r="A76" s="69">
        <v>2100</v>
      </c>
      <c r="B76" s="183" t="s">
        <v>94</v>
      </c>
      <c r="C76" s="70">
        <f t="shared" si="0"/>
        <v>55</v>
      </c>
      <c r="D76" s="184">
        <f t="shared" ref="D76:O76" si="18">SUM(D77,D80)</f>
        <v>55</v>
      </c>
      <c r="E76" s="185">
        <f t="shared" si="18"/>
        <v>0</v>
      </c>
      <c r="F76" s="73">
        <f t="shared" si="18"/>
        <v>55</v>
      </c>
      <c r="G76" s="184">
        <f t="shared" si="18"/>
        <v>0</v>
      </c>
      <c r="H76" s="185">
        <f t="shared" si="18"/>
        <v>0</v>
      </c>
      <c r="I76" s="73">
        <f t="shared" si="18"/>
        <v>0</v>
      </c>
      <c r="J76" s="184">
        <f t="shared" si="18"/>
        <v>0</v>
      </c>
      <c r="K76" s="185">
        <f t="shared" si="18"/>
        <v>0</v>
      </c>
      <c r="L76" s="73">
        <f t="shared" si="18"/>
        <v>0</v>
      </c>
      <c r="M76" s="184">
        <f t="shared" si="18"/>
        <v>0</v>
      </c>
      <c r="N76" s="185">
        <f t="shared" si="18"/>
        <v>0</v>
      </c>
      <c r="O76" s="73">
        <f t="shared" si="18"/>
        <v>0</v>
      </c>
      <c r="P76" s="77"/>
    </row>
    <row r="77" spans="1:16" ht="24" x14ac:dyDescent="0.25">
      <c r="A77" s="1373">
        <v>2110</v>
      </c>
      <c r="B77" s="82" t="s">
        <v>95</v>
      </c>
      <c r="C77" s="83">
        <f t="shared" si="0"/>
        <v>55</v>
      </c>
      <c r="D77" s="194">
        <f t="shared" ref="D77:O77" si="19">SUM(D78:D79)</f>
        <v>55</v>
      </c>
      <c r="E77" s="195">
        <f t="shared" si="19"/>
        <v>0</v>
      </c>
      <c r="F77" s="134">
        <f t="shared" si="19"/>
        <v>55</v>
      </c>
      <c r="G77" s="194">
        <f t="shared" si="19"/>
        <v>0</v>
      </c>
      <c r="H77" s="195">
        <f t="shared" si="19"/>
        <v>0</v>
      </c>
      <c r="I77" s="134">
        <f t="shared" si="19"/>
        <v>0</v>
      </c>
      <c r="J77" s="194">
        <f t="shared" si="19"/>
        <v>0</v>
      </c>
      <c r="K77" s="195">
        <f t="shared" si="19"/>
        <v>0</v>
      </c>
      <c r="L77" s="134">
        <f t="shared" si="19"/>
        <v>0</v>
      </c>
      <c r="M77" s="194">
        <f t="shared" si="19"/>
        <v>0</v>
      </c>
      <c r="N77" s="195">
        <f t="shared" si="19"/>
        <v>0</v>
      </c>
      <c r="O77" s="134">
        <f t="shared" si="19"/>
        <v>0</v>
      </c>
      <c r="P77" s="49"/>
    </row>
    <row r="78" spans="1:16" ht="12" hidden="1" customHeight="1" x14ac:dyDescent="0.25">
      <c r="A78" s="51">
        <v>2111</v>
      </c>
      <c r="B78" s="89" t="s">
        <v>96</v>
      </c>
      <c r="C78" s="90">
        <f t="shared" si="0"/>
        <v>0</v>
      </c>
      <c r="D78" s="196"/>
      <c r="E78" s="197"/>
      <c r="F78" s="55">
        <f>D78+E78</f>
        <v>0</v>
      </c>
      <c r="G78" s="53"/>
      <c r="H78" s="54"/>
      <c r="I78" s="55">
        <f>G78+H78</f>
        <v>0</v>
      </c>
      <c r="J78" s="53"/>
      <c r="K78" s="54"/>
      <c r="L78" s="55">
        <f>K78+J78</f>
        <v>0</v>
      </c>
      <c r="M78" s="53"/>
      <c r="N78" s="54"/>
      <c r="O78" s="55">
        <f>N78+M78</f>
        <v>0</v>
      </c>
      <c r="P78" s="57"/>
    </row>
    <row r="79" spans="1:16" ht="24" customHeight="1" x14ac:dyDescent="0.25">
      <c r="A79" s="51">
        <v>2112</v>
      </c>
      <c r="B79" s="89" t="s">
        <v>97</v>
      </c>
      <c r="C79" s="90">
        <f t="shared" si="0"/>
        <v>55</v>
      </c>
      <c r="D79" s="196">
        <v>55</v>
      </c>
      <c r="E79" s="197"/>
      <c r="F79" s="55">
        <f>D79+E79</f>
        <v>55</v>
      </c>
      <c r="G79" s="53"/>
      <c r="H79" s="54"/>
      <c r="I79" s="55">
        <f>G79+H79</f>
        <v>0</v>
      </c>
      <c r="J79" s="53"/>
      <c r="K79" s="54"/>
      <c r="L79" s="55">
        <f>K79+J79</f>
        <v>0</v>
      </c>
      <c r="M79" s="53"/>
      <c r="N79" s="54"/>
      <c r="O79" s="55">
        <f>N79+M79</f>
        <v>0</v>
      </c>
      <c r="P79" s="57"/>
    </row>
    <row r="80" spans="1:16" ht="24" hidden="1" x14ac:dyDescent="0.25">
      <c r="A80" s="189">
        <v>2120</v>
      </c>
      <c r="B80" s="89" t="s">
        <v>98</v>
      </c>
      <c r="C80" s="90">
        <f t="shared" si="0"/>
        <v>0</v>
      </c>
      <c r="D80" s="190">
        <f t="shared" ref="D80:O80" si="20">SUM(D81:D82)</f>
        <v>0</v>
      </c>
      <c r="E80" s="191">
        <f t="shared" si="20"/>
        <v>0</v>
      </c>
      <c r="F80" s="55">
        <f t="shared" si="20"/>
        <v>0</v>
      </c>
      <c r="G80" s="190">
        <f t="shared" si="20"/>
        <v>0</v>
      </c>
      <c r="H80" s="191">
        <f t="shared" si="20"/>
        <v>0</v>
      </c>
      <c r="I80" s="55">
        <f t="shared" si="20"/>
        <v>0</v>
      </c>
      <c r="J80" s="190">
        <f t="shared" si="20"/>
        <v>0</v>
      </c>
      <c r="K80" s="191">
        <f t="shared" si="20"/>
        <v>0</v>
      </c>
      <c r="L80" s="55">
        <f t="shared" si="20"/>
        <v>0</v>
      </c>
      <c r="M80" s="190">
        <f t="shared" si="20"/>
        <v>0</v>
      </c>
      <c r="N80" s="191">
        <f t="shared" si="20"/>
        <v>0</v>
      </c>
      <c r="O80" s="55">
        <f t="shared" si="20"/>
        <v>0</v>
      </c>
      <c r="P80" s="57"/>
    </row>
    <row r="81" spans="1:16" ht="12" hidden="1" customHeight="1" x14ac:dyDescent="0.25">
      <c r="A81" s="51">
        <v>2121</v>
      </c>
      <c r="B81" s="89" t="s">
        <v>96</v>
      </c>
      <c r="C81" s="90">
        <f t="shared" si="0"/>
        <v>0</v>
      </c>
      <c r="D81" s="196"/>
      <c r="E81" s="197"/>
      <c r="F81" s="55">
        <f>D81+E81</f>
        <v>0</v>
      </c>
      <c r="G81" s="53"/>
      <c r="H81" s="54"/>
      <c r="I81" s="55">
        <f>G81+H81</f>
        <v>0</v>
      </c>
      <c r="J81" s="53"/>
      <c r="K81" s="54"/>
      <c r="L81" s="55">
        <f>K81+J81</f>
        <v>0</v>
      </c>
      <c r="M81" s="53"/>
      <c r="N81" s="54"/>
      <c r="O81" s="55">
        <f>N81+M81</f>
        <v>0</v>
      </c>
      <c r="P81" s="57"/>
    </row>
    <row r="82" spans="1:16" ht="24" hidden="1" customHeight="1" x14ac:dyDescent="0.25">
      <c r="A82" s="51">
        <v>2122</v>
      </c>
      <c r="B82" s="89" t="s">
        <v>97</v>
      </c>
      <c r="C82" s="90">
        <f t="shared" si="0"/>
        <v>0</v>
      </c>
      <c r="D82" s="196"/>
      <c r="E82" s="197"/>
      <c r="F82" s="55">
        <f>D82+E82</f>
        <v>0</v>
      </c>
      <c r="G82" s="53"/>
      <c r="H82" s="54"/>
      <c r="I82" s="55">
        <f>G82+H82</f>
        <v>0</v>
      </c>
      <c r="J82" s="53"/>
      <c r="K82" s="54"/>
      <c r="L82" s="55">
        <f>K82+J82</f>
        <v>0</v>
      </c>
      <c r="M82" s="53"/>
      <c r="N82" s="54"/>
      <c r="O82" s="55">
        <f>N82+M82</f>
        <v>0</v>
      </c>
      <c r="P82" s="57"/>
    </row>
    <row r="83" spans="1:16" x14ac:dyDescent="0.25">
      <c r="A83" s="69">
        <v>2200</v>
      </c>
      <c r="B83" s="183" t="s">
        <v>99</v>
      </c>
      <c r="C83" s="70">
        <f t="shared" si="0"/>
        <v>128837</v>
      </c>
      <c r="D83" s="184">
        <f t="shared" ref="D83:O83" si="21">SUM(D84,D89,D95,D103,D112,D116,D122,D128)</f>
        <v>99456</v>
      </c>
      <c r="E83" s="185">
        <f t="shared" si="21"/>
        <v>-4740</v>
      </c>
      <c r="F83" s="73">
        <f t="shared" si="21"/>
        <v>94716</v>
      </c>
      <c r="G83" s="184">
        <f t="shared" si="21"/>
        <v>9069</v>
      </c>
      <c r="H83" s="185">
        <f t="shared" si="21"/>
        <v>0</v>
      </c>
      <c r="I83" s="73">
        <f t="shared" si="21"/>
        <v>9069</v>
      </c>
      <c r="J83" s="184">
        <f t="shared" si="21"/>
        <v>20312</v>
      </c>
      <c r="K83" s="185">
        <f t="shared" si="21"/>
        <v>4740</v>
      </c>
      <c r="L83" s="73">
        <f t="shared" si="21"/>
        <v>25052</v>
      </c>
      <c r="M83" s="184">
        <f t="shared" si="21"/>
        <v>0</v>
      </c>
      <c r="N83" s="185">
        <f t="shared" si="21"/>
        <v>0</v>
      </c>
      <c r="O83" s="73">
        <f t="shared" si="21"/>
        <v>0</v>
      </c>
      <c r="P83" s="77"/>
    </row>
    <row r="84" spans="1:16" x14ac:dyDescent="0.25">
      <c r="A84" s="186">
        <v>2210</v>
      </c>
      <c r="B84" s="138" t="s">
        <v>100</v>
      </c>
      <c r="C84" s="143">
        <f t="shared" ref="C84:C147" si="22">F84+I84+L84+O84</f>
        <v>1114</v>
      </c>
      <c r="D84" s="187">
        <f t="shared" ref="D84:O84" si="23">SUM(D85:D88)</f>
        <v>1024</v>
      </c>
      <c r="E84" s="188">
        <f t="shared" si="23"/>
        <v>0</v>
      </c>
      <c r="F84" s="141">
        <f t="shared" si="23"/>
        <v>1024</v>
      </c>
      <c r="G84" s="187">
        <f t="shared" si="23"/>
        <v>0</v>
      </c>
      <c r="H84" s="188">
        <f t="shared" si="23"/>
        <v>0</v>
      </c>
      <c r="I84" s="141">
        <f t="shared" si="23"/>
        <v>0</v>
      </c>
      <c r="J84" s="187">
        <f t="shared" si="23"/>
        <v>90</v>
      </c>
      <c r="K84" s="188">
        <f t="shared" si="23"/>
        <v>0</v>
      </c>
      <c r="L84" s="141">
        <f t="shared" si="23"/>
        <v>90</v>
      </c>
      <c r="M84" s="187">
        <f t="shared" si="23"/>
        <v>0</v>
      </c>
      <c r="N84" s="188">
        <f t="shared" si="23"/>
        <v>0</v>
      </c>
      <c r="O84" s="141">
        <f t="shared" si="23"/>
        <v>0</v>
      </c>
      <c r="P84" s="129"/>
    </row>
    <row r="85" spans="1:16" ht="24" hidden="1" customHeight="1" x14ac:dyDescent="0.25">
      <c r="A85" s="44">
        <v>2211</v>
      </c>
      <c r="B85" s="82" t="s">
        <v>101</v>
      </c>
      <c r="C85" s="83">
        <f t="shared" si="22"/>
        <v>0</v>
      </c>
      <c r="D85" s="199"/>
      <c r="E85" s="200"/>
      <c r="F85" s="134">
        <f>D85+E85</f>
        <v>0</v>
      </c>
      <c r="G85" s="46"/>
      <c r="H85" s="47"/>
      <c r="I85" s="134">
        <f>G85+H85</f>
        <v>0</v>
      </c>
      <c r="J85" s="46"/>
      <c r="K85" s="47"/>
      <c r="L85" s="134">
        <f>K85+J85</f>
        <v>0</v>
      </c>
      <c r="M85" s="46"/>
      <c r="N85" s="47"/>
      <c r="O85" s="134">
        <f>N85+M85</f>
        <v>0</v>
      </c>
      <c r="P85" s="49"/>
    </row>
    <row r="86" spans="1:16" ht="40.5" customHeight="1" x14ac:dyDescent="0.25">
      <c r="A86" s="51">
        <v>2212</v>
      </c>
      <c r="B86" s="89" t="s">
        <v>102</v>
      </c>
      <c r="C86" s="90">
        <f t="shared" si="22"/>
        <v>841</v>
      </c>
      <c r="D86" s="196">
        <v>821</v>
      </c>
      <c r="E86" s="197"/>
      <c r="F86" s="55">
        <f>D86+E86</f>
        <v>821</v>
      </c>
      <c r="G86" s="53"/>
      <c r="H86" s="54"/>
      <c r="I86" s="55">
        <f>G86+H86</f>
        <v>0</v>
      </c>
      <c r="J86" s="53">
        <v>20</v>
      </c>
      <c r="K86" s="54"/>
      <c r="L86" s="55">
        <f>K86+J86</f>
        <v>20</v>
      </c>
      <c r="M86" s="53"/>
      <c r="N86" s="54"/>
      <c r="O86" s="55">
        <f>N86+M86</f>
        <v>0</v>
      </c>
      <c r="P86" s="57"/>
    </row>
    <row r="87" spans="1:16" ht="24" customHeight="1" x14ac:dyDescent="0.25">
      <c r="A87" s="51">
        <v>2214</v>
      </c>
      <c r="B87" s="89" t="s">
        <v>103</v>
      </c>
      <c r="C87" s="90">
        <f t="shared" si="22"/>
        <v>173</v>
      </c>
      <c r="D87" s="196">
        <v>153</v>
      </c>
      <c r="E87" s="197"/>
      <c r="F87" s="55">
        <f>D87+E87</f>
        <v>153</v>
      </c>
      <c r="G87" s="53"/>
      <c r="H87" s="54"/>
      <c r="I87" s="55">
        <f>G87+H87</f>
        <v>0</v>
      </c>
      <c r="J87" s="53">
        <v>20</v>
      </c>
      <c r="K87" s="54"/>
      <c r="L87" s="55">
        <f>K87+J87</f>
        <v>20</v>
      </c>
      <c r="M87" s="53"/>
      <c r="N87" s="54"/>
      <c r="O87" s="55">
        <f>N87+M87</f>
        <v>0</v>
      </c>
      <c r="P87" s="57"/>
    </row>
    <row r="88" spans="1:16" ht="12" customHeight="1" x14ac:dyDescent="0.25">
      <c r="A88" s="51">
        <v>2219</v>
      </c>
      <c r="B88" s="89" t="s">
        <v>104</v>
      </c>
      <c r="C88" s="90">
        <f t="shared" si="22"/>
        <v>100</v>
      </c>
      <c r="D88" s="196">
        <v>50</v>
      </c>
      <c r="E88" s="197"/>
      <c r="F88" s="55">
        <f>D88+E88</f>
        <v>50</v>
      </c>
      <c r="G88" s="53"/>
      <c r="H88" s="54"/>
      <c r="I88" s="55">
        <f>G88+H88</f>
        <v>0</v>
      </c>
      <c r="J88" s="53">
        <v>50</v>
      </c>
      <c r="K88" s="54"/>
      <c r="L88" s="55">
        <f>K88+J88</f>
        <v>50</v>
      </c>
      <c r="M88" s="53"/>
      <c r="N88" s="54"/>
      <c r="O88" s="55">
        <f>N88+M88</f>
        <v>0</v>
      </c>
      <c r="P88" s="57"/>
    </row>
    <row r="89" spans="1:16" ht="24" x14ac:dyDescent="0.25">
      <c r="A89" s="189">
        <v>2220</v>
      </c>
      <c r="B89" s="89" t="s">
        <v>105</v>
      </c>
      <c r="C89" s="90">
        <f t="shared" si="22"/>
        <v>94087</v>
      </c>
      <c r="D89" s="190">
        <f t="shared" ref="D89:O89" si="24">SUM(D90:D94)</f>
        <v>78545</v>
      </c>
      <c r="E89" s="191">
        <f t="shared" si="24"/>
        <v>-4740</v>
      </c>
      <c r="F89" s="55">
        <f t="shared" si="24"/>
        <v>73805</v>
      </c>
      <c r="G89" s="190">
        <f t="shared" si="24"/>
        <v>0</v>
      </c>
      <c r="H89" s="191">
        <f t="shared" si="24"/>
        <v>0</v>
      </c>
      <c r="I89" s="55">
        <f t="shared" si="24"/>
        <v>0</v>
      </c>
      <c r="J89" s="190">
        <f t="shared" si="24"/>
        <v>15542</v>
      </c>
      <c r="K89" s="191">
        <f t="shared" si="24"/>
        <v>4740</v>
      </c>
      <c r="L89" s="55">
        <f t="shared" si="24"/>
        <v>20282</v>
      </c>
      <c r="M89" s="190">
        <f t="shared" si="24"/>
        <v>0</v>
      </c>
      <c r="N89" s="191">
        <f t="shared" si="24"/>
        <v>0</v>
      </c>
      <c r="O89" s="55">
        <f t="shared" si="24"/>
        <v>0</v>
      </c>
      <c r="P89" s="57"/>
    </row>
    <row r="90" spans="1:16" ht="24" customHeight="1" x14ac:dyDescent="0.25">
      <c r="A90" s="51">
        <v>2221</v>
      </c>
      <c r="B90" s="89" t="s">
        <v>106</v>
      </c>
      <c r="C90" s="90">
        <f t="shared" si="22"/>
        <v>52020</v>
      </c>
      <c r="D90" s="196">
        <v>43875</v>
      </c>
      <c r="E90" s="198">
        <v>-2000</v>
      </c>
      <c r="F90" s="55">
        <f>D90+E90</f>
        <v>41875</v>
      </c>
      <c r="G90" s="53"/>
      <c r="H90" s="54"/>
      <c r="I90" s="55">
        <f>G90+H90</f>
        <v>0</v>
      </c>
      <c r="J90" s="53">
        <v>8145</v>
      </c>
      <c r="K90" s="725">
        <v>2000</v>
      </c>
      <c r="L90" s="55">
        <f>K90+J90</f>
        <v>10145</v>
      </c>
      <c r="M90" s="53"/>
      <c r="N90" s="54"/>
      <c r="O90" s="55">
        <f>N90+M90</f>
        <v>0</v>
      </c>
      <c r="P90" s="1433" t="s">
        <v>1799</v>
      </c>
    </row>
    <row r="91" spans="1:16" ht="12" customHeight="1" x14ac:dyDescent="0.25">
      <c r="A91" s="51">
        <v>2222</v>
      </c>
      <c r="B91" s="89" t="s">
        <v>107</v>
      </c>
      <c r="C91" s="90">
        <f t="shared" si="22"/>
        <v>8398</v>
      </c>
      <c r="D91" s="196">
        <v>5998</v>
      </c>
      <c r="E91" s="198">
        <v>-740</v>
      </c>
      <c r="F91" s="55">
        <f>D91+E91</f>
        <v>5258</v>
      </c>
      <c r="G91" s="53"/>
      <c r="H91" s="54"/>
      <c r="I91" s="55">
        <f>G91+H91</f>
        <v>0</v>
      </c>
      <c r="J91" s="53">
        <v>2400</v>
      </c>
      <c r="K91" s="725">
        <v>740</v>
      </c>
      <c r="L91" s="55">
        <f>K91+J91</f>
        <v>3140</v>
      </c>
      <c r="M91" s="53"/>
      <c r="N91" s="54"/>
      <c r="O91" s="55">
        <f>N91+M91</f>
        <v>0</v>
      </c>
      <c r="P91" s="1433" t="s">
        <v>1799</v>
      </c>
    </row>
    <row r="92" spans="1:16" ht="12" customHeight="1" x14ac:dyDescent="0.25">
      <c r="A92" s="51">
        <v>2223</v>
      </c>
      <c r="B92" s="89" t="s">
        <v>108</v>
      </c>
      <c r="C92" s="90">
        <f t="shared" si="22"/>
        <v>32003</v>
      </c>
      <c r="D92" s="196">
        <v>27342</v>
      </c>
      <c r="E92" s="198">
        <v>-2000</v>
      </c>
      <c r="F92" s="55">
        <f>D92+E92</f>
        <v>25342</v>
      </c>
      <c r="G92" s="53"/>
      <c r="H92" s="54"/>
      <c r="I92" s="55">
        <f>G92+H92</f>
        <v>0</v>
      </c>
      <c r="J92" s="53">
        <v>4661</v>
      </c>
      <c r="K92" s="725">
        <v>2000</v>
      </c>
      <c r="L92" s="55">
        <f>K92+J92</f>
        <v>6661</v>
      </c>
      <c r="M92" s="53"/>
      <c r="N92" s="54"/>
      <c r="O92" s="55">
        <f>N92+M92</f>
        <v>0</v>
      </c>
      <c r="P92" s="1433" t="s">
        <v>1799</v>
      </c>
    </row>
    <row r="93" spans="1:16" ht="48" customHeight="1" x14ac:dyDescent="0.25">
      <c r="A93" s="51">
        <v>2224</v>
      </c>
      <c r="B93" s="89" t="s">
        <v>109</v>
      </c>
      <c r="C93" s="90">
        <f t="shared" si="22"/>
        <v>1666</v>
      </c>
      <c r="D93" s="196">
        <v>1330</v>
      </c>
      <c r="E93" s="197"/>
      <c r="F93" s="55">
        <f>D93+E93</f>
        <v>1330</v>
      </c>
      <c r="G93" s="53"/>
      <c r="H93" s="54"/>
      <c r="I93" s="55">
        <f>G93+H93</f>
        <v>0</v>
      </c>
      <c r="J93" s="53">
        <v>336</v>
      </c>
      <c r="K93" s="54"/>
      <c r="L93" s="55">
        <f>K93+J93</f>
        <v>336</v>
      </c>
      <c r="M93" s="53"/>
      <c r="N93" s="54"/>
      <c r="O93" s="55">
        <f>N93+M93</f>
        <v>0</v>
      </c>
      <c r="P93" s="1433"/>
    </row>
    <row r="94" spans="1:16" ht="24" hidden="1" customHeight="1" x14ac:dyDescent="0.25">
      <c r="A94" s="51">
        <v>2229</v>
      </c>
      <c r="B94" s="89" t="s">
        <v>110</v>
      </c>
      <c r="C94" s="90">
        <f t="shared" si="22"/>
        <v>0</v>
      </c>
      <c r="D94" s="196"/>
      <c r="E94" s="197"/>
      <c r="F94" s="55">
        <f>D94+E94</f>
        <v>0</v>
      </c>
      <c r="G94" s="53"/>
      <c r="H94" s="54"/>
      <c r="I94" s="55">
        <f>G94+H94</f>
        <v>0</v>
      </c>
      <c r="J94" s="53"/>
      <c r="K94" s="54"/>
      <c r="L94" s="55">
        <f>K94+J94</f>
        <v>0</v>
      </c>
      <c r="M94" s="53"/>
      <c r="N94" s="54"/>
      <c r="O94" s="55">
        <f>N94+M94</f>
        <v>0</v>
      </c>
      <c r="P94" s="1434"/>
    </row>
    <row r="95" spans="1:16" ht="36" x14ac:dyDescent="0.25">
      <c r="A95" s="189">
        <v>2230</v>
      </c>
      <c r="B95" s="89" t="s">
        <v>111</v>
      </c>
      <c r="C95" s="90">
        <f t="shared" si="22"/>
        <v>2624</v>
      </c>
      <c r="D95" s="190">
        <f t="shared" ref="D95:O95" si="25">SUM(D96:D102)</f>
        <v>2624</v>
      </c>
      <c r="E95" s="191">
        <f t="shared" si="25"/>
        <v>0</v>
      </c>
      <c r="F95" s="55">
        <f t="shared" si="25"/>
        <v>2624</v>
      </c>
      <c r="G95" s="190">
        <f t="shared" si="25"/>
        <v>0</v>
      </c>
      <c r="H95" s="191">
        <f t="shared" si="25"/>
        <v>0</v>
      </c>
      <c r="I95" s="55">
        <f t="shared" si="25"/>
        <v>0</v>
      </c>
      <c r="J95" s="190">
        <f t="shared" si="25"/>
        <v>0</v>
      </c>
      <c r="K95" s="191">
        <f t="shared" si="25"/>
        <v>0</v>
      </c>
      <c r="L95" s="55">
        <f t="shared" si="25"/>
        <v>0</v>
      </c>
      <c r="M95" s="190">
        <f t="shared" si="25"/>
        <v>0</v>
      </c>
      <c r="N95" s="191">
        <f t="shared" si="25"/>
        <v>0</v>
      </c>
      <c r="O95" s="55">
        <f t="shared" si="25"/>
        <v>0</v>
      </c>
      <c r="P95" s="57"/>
    </row>
    <row r="96" spans="1:16" ht="24" hidden="1" customHeight="1" x14ac:dyDescent="0.25">
      <c r="A96" s="51">
        <v>2231</v>
      </c>
      <c r="B96" s="89" t="s">
        <v>112</v>
      </c>
      <c r="C96" s="90">
        <f t="shared" si="22"/>
        <v>0</v>
      </c>
      <c r="D96" s="196"/>
      <c r="E96" s="197"/>
      <c r="F96" s="55">
        <f t="shared" ref="F96:F102" si="26">D96+E96</f>
        <v>0</v>
      </c>
      <c r="G96" s="53"/>
      <c r="H96" s="54"/>
      <c r="I96" s="55">
        <f t="shared" ref="I96:I102" si="27">G96+H96</f>
        <v>0</v>
      </c>
      <c r="J96" s="53"/>
      <c r="K96" s="54"/>
      <c r="L96" s="55">
        <f t="shared" ref="L96:L102" si="28">K96+J96</f>
        <v>0</v>
      </c>
      <c r="M96" s="53"/>
      <c r="N96" s="54"/>
      <c r="O96" s="55">
        <f t="shared" ref="O96:O102" si="29">N96+M96</f>
        <v>0</v>
      </c>
      <c r="P96" s="57"/>
    </row>
    <row r="97" spans="1:16" ht="24.75" hidden="1" customHeight="1" x14ac:dyDescent="0.25">
      <c r="A97" s="51">
        <v>2232</v>
      </c>
      <c r="B97" s="89" t="s">
        <v>113</v>
      </c>
      <c r="C97" s="90">
        <f t="shared" si="22"/>
        <v>0</v>
      </c>
      <c r="D97" s="196"/>
      <c r="E97" s="197"/>
      <c r="F97" s="55">
        <f t="shared" si="26"/>
        <v>0</v>
      </c>
      <c r="G97" s="53"/>
      <c r="H97" s="54"/>
      <c r="I97" s="55">
        <f t="shared" si="27"/>
        <v>0</v>
      </c>
      <c r="J97" s="53"/>
      <c r="K97" s="54"/>
      <c r="L97" s="55">
        <f t="shared" si="28"/>
        <v>0</v>
      </c>
      <c r="M97" s="53"/>
      <c r="N97" s="54"/>
      <c r="O97" s="55">
        <f t="shared" si="29"/>
        <v>0</v>
      </c>
      <c r="P97" s="57"/>
    </row>
    <row r="98" spans="1:16" ht="24" hidden="1" customHeight="1" x14ac:dyDescent="0.25">
      <c r="A98" s="44">
        <v>2233</v>
      </c>
      <c r="B98" s="82" t="s">
        <v>114</v>
      </c>
      <c r="C98" s="83">
        <f t="shared" si="22"/>
        <v>0</v>
      </c>
      <c r="D98" s="199"/>
      <c r="E98" s="200"/>
      <c r="F98" s="134">
        <f t="shared" si="26"/>
        <v>0</v>
      </c>
      <c r="G98" s="46"/>
      <c r="H98" s="47"/>
      <c r="I98" s="134">
        <f t="shared" si="27"/>
        <v>0</v>
      </c>
      <c r="J98" s="46"/>
      <c r="K98" s="47"/>
      <c r="L98" s="134">
        <f t="shared" si="28"/>
        <v>0</v>
      </c>
      <c r="M98" s="46"/>
      <c r="N98" s="47"/>
      <c r="O98" s="134">
        <f t="shared" si="29"/>
        <v>0</v>
      </c>
      <c r="P98" s="49"/>
    </row>
    <row r="99" spans="1:16" ht="36" hidden="1" customHeight="1" x14ac:dyDescent="0.25">
      <c r="A99" s="51">
        <v>2234</v>
      </c>
      <c r="B99" s="89" t="s">
        <v>115</v>
      </c>
      <c r="C99" s="90">
        <f t="shared" si="22"/>
        <v>0</v>
      </c>
      <c r="D99" s="196"/>
      <c r="E99" s="197"/>
      <c r="F99" s="55">
        <f t="shared" si="26"/>
        <v>0</v>
      </c>
      <c r="G99" s="53"/>
      <c r="H99" s="54"/>
      <c r="I99" s="55">
        <f t="shared" si="27"/>
        <v>0</v>
      </c>
      <c r="J99" s="53"/>
      <c r="K99" s="54"/>
      <c r="L99" s="55">
        <f t="shared" si="28"/>
        <v>0</v>
      </c>
      <c r="M99" s="53"/>
      <c r="N99" s="54"/>
      <c r="O99" s="55">
        <f t="shared" si="29"/>
        <v>0</v>
      </c>
      <c r="P99" s="57"/>
    </row>
    <row r="100" spans="1:16" ht="24" hidden="1" customHeight="1" x14ac:dyDescent="0.25">
      <c r="A100" s="51">
        <v>2235</v>
      </c>
      <c r="B100" s="89" t="s">
        <v>116</v>
      </c>
      <c r="C100" s="90">
        <f t="shared" si="22"/>
        <v>0</v>
      </c>
      <c r="D100" s="196"/>
      <c r="E100" s="197"/>
      <c r="F100" s="55">
        <f t="shared" si="26"/>
        <v>0</v>
      </c>
      <c r="G100" s="53"/>
      <c r="H100" s="54"/>
      <c r="I100" s="55">
        <f t="shared" si="27"/>
        <v>0</v>
      </c>
      <c r="J100" s="53"/>
      <c r="K100" s="54"/>
      <c r="L100" s="55">
        <f t="shared" si="28"/>
        <v>0</v>
      </c>
      <c r="M100" s="53"/>
      <c r="N100" s="54"/>
      <c r="O100" s="55">
        <f t="shared" si="29"/>
        <v>0</v>
      </c>
      <c r="P100" s="57"/>
    </row>
    <row r="101" spans="1:16" ht="12" hidden="1" customHeight="1" x14ac:dyDescent="0.25">
      <c r="A101" s="51">
        <v>2236</v>
      </c>
      <c r="B101" s="89" t="s">
        <v>117</v>
      </c>
      <c r="C101" s="90">
        <f t="shared" si="22"/>
        <v>0</v>
      </c>
      <c r="D101" s="196"/>
      <c r="E101" s="197"/>
      <c r="F101" s="55">
        <f t="shared" si="26"/>
        <v>0</v>
      </c>
      <c r="G101" s="53"/>
      <c r="H101" s="54"/>
      <c r="I101" s="55">
        <f t="shared" si="27"/>
        <v>0</v>
      </c>
      <c r="J101" s="53"/>
      <c r="K101" s="54"/>
      <c r="L101" s="55">
        <f t="shared" si="28"/>
        <v>0</v>
      </c>
      <c r="M101" s="53"/>
      <c r="N101" s="54"/>
      <c r="O101" s="55">
        <f t="shared" si="29"/>
        <v>0</v>
      </c>
      <c r="P101" s="57"/>
    </row>
    <row r="102" spans="1:16" ht="24" customHeight="1" x14ac:dyDescent="0.25">
      <c r="A102" s="51">
        <v>2239</v>
      </c>
      <c r="B102" s="89" t="s">
        <v>118</v>
      </c>
      <c r="C102" s="90">
        <f t="shared" si="22"/>
        <v>2624</v>
      </c>
      <c r="D102" s="196">
        <v>2624</v>
      </c>
      <c r="E102" s="197"/>
      <c r="F102" s="55">
        <f t="shared" si="26"/>
        <v>2624</v>
      </c>
      <c r="G102" s="53"/>
      <c r="H102" s="54"/>
      <c r="I102" s="55">
        <f t="shared" si="27"/>
        <v>0</v>
      </c>
      <c r="J102" s="53"/>
      <c r="K102" s="54"/>
      <c r="L102" s="55">
        <f t="shared" si="28"/>
        <v>0</v>
      </c>
      <c r="M102" s="53"/>
      <c r="N102" s="54"/>
      <c r="O102" s="55">
        <f t="shared" si="29"/>
        <v>0</v>
      </c>
      <c r="P102" s="57"/>
    </row>
    <row r="103" spans="1:16" ht="36" x14ac:dyDescent="0.25">
      <c r="A103" s="189">
        <v>2240</v>
      </c>
      <c r="B103" s="89" t="s">
        <v>119</v>
      </c>
      <c r="C103" s="90">
        <f t="shared" si="22"/>
        <v>3850</v>
      </c>
      <c r="D103" s="190">
        <f t="shared" ref="D103:O103" si="30">SUM(D104:D111)</f>
        <v>3850</v>
      </c>
      <c r="E103" s="191">
        <f t="shared" si="30"/>
        <v>0</v>
      </c>
      <c r="F103" s="55">
        <f t="shared" si="30"/>
        <v>3850</v>
      </c>
      <c r="G103" s="190">
        <f t="shared" si="30"/>
        <v>0</v>
      </c>
      <c r="H103" s="191">
        <f t="shared" si="30"/>
        <v>0</v>
      </c>
      <c r="I103" s="55">
        <f t="shared" si="30"/>
        <v>0</v>
      </c>
      <c r="J103" s="190">
        <f t="shared" si="30"/>
        <v>0</v>
      </c>
      <c r="K103" s="191">
        <f t="shared" si="30"/>
        <v>0</v>
      </c>
      <c r="L103" s="55">
        <f t="shared" si="30"/>
        <v>0</v>
      </c>
      <c r="M103" s="190">
        <f t="shared" si="30"/>
        <v>0</v>
      </c>
      <c r="N103" s="191">
        <f t="shared" si="30"/>
        <v>0</v>
      </c>
      <c r="O103" s="55">
        <f t="shared" si="30"/>
        <v>0</v>
      </c>
      <c r="P103" s="57"/>
    </row>
    <row r="104" spans="1:16" ht="12" hidden="1" customHeight="1" x14ac:dyDescent="0.25">
      <c r="A104" s="51">
        <v>2241</v>
      </c>
      <c r="B104" s="89" t="s">
        <v>120</v>
      </c>
      <c r="C104" s="90">
        <f t="shared" si="22"/>
        <v>0</v>
      </c>
      <c r="D104" s="196"/>
      <c r="E104" s="197"/>
      <c r="F104" s="55">
        <f t="shared" ref="F104:F111" si="31">D104+E104</f>
        <v>0</v>
      </c>
      <c r="G104" s="53"/>
      <c r="H104" s="54"/>
      <c r="I104" s="55">
        <f t="shared" ref="I104:I111" si="32">G104+H104</f>
        <v>0</v>
      </c>
      <c r="J104" s="53"/>
      <c r="K104" s="54"/>
      <c r="L104" s="55">
        <f t="shared" ref="L104:L111" si="33">K104+J104</f>
        <v>0</v>
      </c>
      <c r="M104" s="53"/>
      <c r="N104" s="54"/>
      <c r="O104" s="55">
        <f t="shared" ref="O104:O111" si="34">N104+M104</f>
        <v>0</v>
      </c>
      <c r="P104" s="57"/>
    </row>
    <row r="105" spans="1:16" ht="24" hidden="1" customHeight="1" x14ac:dyDescent="0.25">
      <c r="A105" s="51">
        <v>2242</v>
      </c>
      <c r="B105" s="89" t="s">
        <v>121</v>
      </c>
      <c r="C105" s="90">
        <f t="shared" si="22"/>
        <v>0</v>
      </c>
      <c r="D105" s="196"/>
      <c r="E105" s="197"/>
      <c r="F105" s="55">
        <f t="shared" si="31"/>
        <v>0</v>
      </c>
      <c r="G105" s="53"/>
      <c r="H105" s="54"/>
      <c r="I105" s="55">
        <f t="shared" si="32"/>
        <v>0</v>
      </c>
      <c r="J105" s="53"/>
      <c r="K105" s="54"/>
      <c r="L105" s="55">
        <f t="shared" si="33"/>
        <v>0</v>
      </c>
      <c r="M105" s="53"/>
      <c r="N105" s="54"/>
      <c r="O105" s="55">
        <f t="shared" si="34"/>
        <v>0</v>
      </c>
      <c r="P105" s="57"/>
    </row>
    <row r="106" spans="1:16" ht="24" customHeight="1" x14ac:dyDescent="0.25">
      <c r="A106" s="51">
        <v>2243</v>
      </c>
      <c r="B106" s="89" t="s">
        <v>122</v>
      </c>
      <c r="C106" s="90">
        <f t="shared" si="22"/>
        <v>1312</v>
      </c>
      <c r="D106" s="196">
        <v>1312</v>
      </c>
      <c r="E106" s="197"/>
      <c r="F106" s="55">
        <f t="shared" si="31"/>
        <v>1312</v>
      </c>
      <c r="G106" s="53"/>
      <c r="H106" s="54"/>
      <c r="I106" s="55">
        <f t="shared" si="32"/>
        <v>0</v>
      </c>
      <c r="J106" s="53"/>
      <c r="K106" s="54"/>
      <c r="L106" s="55">
        <f t="shared" si="33"/>
        <v>0</v>
      </c>
      <c r="M106" s="53"/>
      <c r="N106" s="54"/>
      <c r="O106" s="55">
        <f t="shared" si="34"/>
        <v>0</v>
      </c>
      <c r="P106" s="57"/>
    </row>
    <row r="107" spans="1:16" ht="15" customHeight="1" x14ac:dyDescent="0.25">
      <c r="A107" s="51">
        <v>2244</v>
      </c>
      <c r="B107" s="89" t="s">
        <v>123</v>
      </c>
      <c r="C107" s="90">
        <f t="shared" si="22"/>
        <v>2538</v>
      </c>
      <c r="D107" s="196">
        <v>2538</v>
      </c>
      <c r="E107" s="197"/>
      <c r="F107" s="55">
        <f t="shared" si="31"/>
        <v>2538</v>
      </c>
      <c r="G107" s="53"/>
      <c r="H107" s="54"/>
      <c r="I107" s="55">
        <f t="shared" si="32"/>
        <v>0</v>
      </c>
      <c r="J107" s="53"/>
      <c r="K107" s="54"/>
      <c r="L107" s="55">
        <f t="shared" si="33"/>
        <v>0</v>
      </c>
      <c r="M107" s="53"/>
      <c r="N107" s="54"/>
      <c r="O107" s="55">
        <f t="shared" si="34"/>
        <v>0</v>
      </c>
      <c r="P107" s="57"/>
    </row>
    <row r="108" spans="1:16" ht="24" hidden="1" customHeight="1" x14ac:dyDescent="0.25">
      <c r="A108" s="51">
        <v>2246</v>
      </c>
      <c r="B108" s="89" t="s">
        <v>124</v>
      </c>
      <c r="C108" s="90">
        <f t="shared" si="22"/>
        <v>0</v>
      </c>
      <c r="D108" s="196"/>
      <c r="E108" s="197"/>
      <c r="F108" s="55">
        <f t="shared" si="31"/>
        <v>0</v>
      </c>
      <c r="G108" s="53"/>
      <c r="H108" s="54"/>
      <c r="I108" s="55">
        <f t="shared" si="32"/>
        <v>0</v>
      </c>
      <c r="J108" s="53"/>
      <c r="K108" s="54"/>
      <c r="L108" s="55">
        <f t="shared" si="33"/>
        <v>0</v>
      </c>
      <c r="M108" s="53"/>
      <c r="N108" s="54"/>
      <c r="O108" s="55">
        <f t="shared" si="34"/>
        <v>0</v>
      </c>
      <c r="P108" s="57"/>
    </row>
    <row r="109" spans="1:16" ht="12" hidden="1" customHeight="1" x14ac:dyDescent="0.25">
      <c r="A109" s="51">
        <v>2247</v>
      </c>
      <c r="B109" s="89" t="s">
        <v>125</v>
      </c>
      <c r="C109" s="90">
        <f t="shared" si="22"/>
        <v>0</v>
      </c>
      <c r="D109" s="196"/>
      <c r="E109" s="197"/>
      <c r="F109" s="55">
        <f t="shared" si="31"/>
        <v>0</v>
      </c>
      <c r="G109" s="53"/>
      <c r="H109" s="54"/>
      <c r="I109" s="55">
        <f t="shared" si="32"/>
        <v>0</v>
      </c>
      <c r="J109" s="53"/>
      <c r="K109" s="54"/>
      <c r="L109" s="55">
        <f t="shared" si="33"/>
        <v>0</v>
      </c>
      <c r="M109" s="53"/>
      <c r="N109" s="54"/>
      <c r="O109" s="55">
        <f t="shared" si="34"/>
        <v>0</v>
      </c>
      <c r="P109" s="57"/>
    </row>
    <row r="110" spans="1:16" ht="24" hidden="1" customHeight="1" x14ac:dyDescent="0.25">
      <c r="A110" s="51">
        <v>2248</v>
      </c>
      <c r="B110" s="89" t="s">
        <v>126</v>
      </c>
      <c r="C110" s="90">
        <f t="shared" si="22"/>
        <v>0</v>
      </c>
      <c r="D110" s="196"/>
      <c r="E110" s="197"/>
      <c r="F110" s="55">
        <f t="shared" si="31"/>
        <v>0</v>
      </c>
      <c r="G110" s="53"/>
      <c r="H110" s="54"/>
      <c r="I110" s="55">
        <f t="shared" si="32"/>
        <v>0</v>
      </c>
      <c r="J110" s="53"/>
      <c r="K110" s="54"/>
      <c r="L110" s="55">
        <f t="shared" si="33"/>
        <v>0</v>
      </c>
      <c r="M110" s="53"/>
      <c r="N110" s="54"/>
      <c r="O110" s="55">
        <f t="shared" si="34"/>
        <v>0</v>
      </c>
      <c r="P110" s="57"/>
    </row>
    <row r="111" spans="1:16" ht="24" hidden="1" customHeight="1" x14ac:dyDescent="0.25">
      <c r="A111" s="51">
        <v>2249</v>
      </c>
      <c r="B111" s="89" t="s">
        <v>127</v>
      </c>
      <c r="C111" s="90">
        <f t="shared" si="22"/>
        <v>0</v>
      </c>
      <c r="D111" s="196"/>
      <c r="E111" s="197"/>
      <c r="F111" s="55">
        <f t="shared" si="31"/>
        <v>0</v>
      </c>
      <c r="G111" s="53"/>
      <c r="H111" s="54"/>
      <c r="I111" s="55">
        <f t="shared" si="32"/>
        <v>0</v>
      </c>
      <c r="J111" s="53"/>
      <c r="K111" s="54"/>
      <c r="L111" s="55">
        <f t="shared" si="33"/>
        <v>0</v>
      </c>
      <c r="M111" s="53"/>
      <c r="N111" s="54"/>
      <c r="O111" s="55">
        <f t="shared" si="34"/>
        <v>0</v>
      </c>
      <c r="P111" s="57"/>
    </row>
    <row r="112" spans="1:16" x14ac:dyDescent="0.25">
      <c r="A112" s="189">
        <v>2250</v>
      </c>
      <c r="B112" s="89" t="s">
        <v>128</v>
      </c>
      <c r="C112" s="90">
        <f t="shared" si="22"/>
        <v>1783</v>
      </c>
      <c r="D112" s="190">
        <f t="shared" ref="D112:O112" si="35">SUM(D113:D115)</f>
        <v>1783</v>
      </c>
      <c r="E112" s="191">
        <f t="shared" si="35"/>
        <v>0</v>
      </c>
      <c r="F112" s="55">
        <f t="shared" si="35"/>
        <v>1783</v>
      </c>
      <c r="G112" s="190">
        <f t="shared" si="35"/>
        <v>0</v>
      </c>
      <c r="H112" s="191">
        <f t="shared" si="35"/>
        <v>0</v>
      </c>
      <c r="I112" s="55">
        <f t="shared" si="35"/>
        <v>0</v>
      </c>
      <c r="J112" s="190">
        <f t="shared" si="35"/>
        <v>0</v>
      </c>
      <c r="K112" s="191">
        <f t="shared" si="35"/>
        <v>0</v>
      </c>
      <c r="L112" s="55">
        <f t="shared" si="35"/>
        <v>0</v>
      </c>
      <c r="M112" s="190">
        <f t="shared" si="35"/>
        <v>0</v>
      </c>
      <c r="N112" s="191">
        <f t="shared" si="35"/>
        <v>0</v>
      </c>
      <c r="O112" s="55">
        <f t="shared" si="35"/>
        <v>0</v>
      </c>
      <c r="P112" s="57"/>
    </row>
    <row r="113" spans="1:16" ht="12" customHeight="1" x14ac:dyDescent="0.25">
      <c r="A113" s="51">
        <v>2251</v>
      </c>
      <c r="B113" s="89" t="s">
        <v>129</v>
      </c>
      <c r="C113" s="90">
        <f t="shared" si="22"/>
        <v>85</v>
      </c>
      <c r="D113" s="196">
        <v>85</v>
      </c>
      <c r="E113" s="197"/>
      <c r="F113" s="55">
        <f>D113+E113</f>
        <v>85</v>
      </c>
      <c r="G113" s="53"/>
      <c r="H113" s="54"/>
      <c r="I113" s="55">
        <f>G113+H113</f>
        <v>0</v>
      </c>
      <c r="J113" s="53"/>
      <c r="K113" s="54"/>
      <c r="L113" s="55">
        <f>K113+J113</f>
        <v>0</v>
      </c>
      <c r="M113" s="53"/>
      <c r="N113" s="54"/>
      <c r="O113" s="55">
        <f>N113+M113</f>
        <v>0</v>
      </c>
      <c r="P113" s="57"/>
    </row>
    <row r="114" spans="1:16" ht="29.25" customHeight="1" x14ac:dyDescent="0.25">
      <c r="A114" s="51">
        <v>2252</v>
      </c>
      <c r="B114" s="89" t="s">
        <v>130</v>
      </c>
      <c r="C114" s="90">
        <f t="shared" si="22"/>
        <v>1560</v>
      </c>
      <c r="D114" s="196">
        <v>1560</v>
      </c>
      <c r="E114" s="197"/>
      <c r="F114" s="55">
        <f>D114+E114</f>
        <v>1560</v>
      </c>
      <c r="G114" s="53"/>
      <c r="H114" s="54"/>
      <c r="I114" s="55">
        <f>G114+H114</f>
        <v>0</v>
      </c>
      <c r="J114" s="53"/>
      <c r="K114" s="54"/>
      <c r="L114" s="55">
        <f>K114+J114</f>
        <v>0</v>
      </c>
      <c r="M114" s="53"/>
      <c r="N114" s="54"/>
      <c r="O114" s="55">
        <f>N114+M114</f>
        <v>0</v>
      </c>
      <c r="P114" s="57"/>
    </row>
    <row r="115" spans="1:16" ht="24" customHeight="1" x14ac:dyDescent="0.25">
      <c r="A115" s="51">
        <v>2259</v>
      </c>
      <c r="B115" s="89" t="s">
        <v>131</v>
      </c>
      <c r="C115" s="90">
        <f t="shared" si="22"/>
        <v>138</v>
      </c>
      <c r="D115" s="196">
        <v>138</v>
      </c>
      <c r="E115" s="197"/>
      <c r="F115" s="55">
        <f>D115+E115</f>
        <v>138</v>
      </c>
      <c r="G115" s="53"/>
      <c r="H115" s="54"/>
      <c r="I115" s="55">
        <f>G115+H115</f>
        <v>0</v>
      </c>
      <c r="J115" s="53"/>
      <c r="K115" s="54"/>
      <c r="L115" s="55">
        <f>K115+J115</f>
        <v>0</v>
      </c>
      <c r="M115" s="53"/>
      <c r="N115" s="54"/>
      <c r="O115" s="55">
        <f>N115+M115</f>
        <v>0</v>
      </c>
      <c r="P115" s="57"/>
    </row>
    <row r="116" spans="1:16" x14ac:dyDescent="0.25">
      <c r="A116" s="189">
        <v>2260</v>
      </c>
      <c r="B116" s="89" t="s">
        <v>132</v>
      </c>
      <c r="C116" s="90">
        <f t="shared" si="22"/>
        <v>19528</v>
      </c>
      <c r="D116" s="190">
        <f t="shared" ref="D116:O116" si="36">SUM(D117:D121)</f>
        <v>10630</v>
      </c>
      <c r="E116" s="191">
        <f t="shared" si="36"/>
        <v>0</v>
      </c>
      <c r="F116" s="55">
        <f t="shared" si="36"/>
        <v>10630</v>
      </c>
      <c r="G116" s="190">
        <f t="shared" si="36"/>
        <v>4218</v>
      </c>
      <c r="H116" s="191">
        <f t="shared" si="36"/>
        <v>0</v>
      </c>
      <c r="I116" s="55">
        <f t="shared" si="36"/>
        <v>4218</v>
      </c>
      <c r="J116" s="190">
        <f t="shared" si="36"/>
        <v>4680</v>
      </c>
      <c r="K116" s="191">
        <f t="shared" si="36"/>
        <v>0</v>
      </c>
      <c r="L116" s="55">
        <f t="shared" si="36"/>
        <v>4680</v>
      </c>
      <c r="M116" s="190">
        <f t="shared" si="36"/>
        <v>0</v>
      </c>
      <c r="N116" s="191">
        <f t="shared" si="36"/>
        <v>0</v>
      </c>
      <c r="O116" s="55">
        <f t="shared" si="36"/>
        <v>0</v>
      </c>
      <c r="P116" s="57"/>
    </row>
    <row r="117" spans="1:16" ht="12" hidden="1" customHeight="1" x14ac:dyDescent="0.25">
      <c r="A117" s="51">
        <v>2261</v>
      </c>
      <c r="B117" s="89" t="s">
        <v>133</v>
      </c>
      <c r="C117" s="90">
        <f t="shared" si="22"/>
        <v>0</v>
      </c>
      <c r="D117" s="196"/>
      <c r="E117" s="197"/>
      <c r="F117" s="55">
        <f>D117+E117</f>
        <v>0</v>
      </c>
      <c r="G117" s="53"/>
      <c r="H117" s="54"/>
      <c r="I117" s="55">
        <f>G117+H117</f>
        <v>0</v>
      </c>
      <c r="J117" s="53"/>
      <c r="K117" s="54"/>
      <c r="L117" s="55">
        <f>K117+J117</f>
        <v>0</v>
      </c>
      <c r="M117" s="53"/>
      <c r="N117" s="54"/>
      <c r="O117" s="55">
        <f>N117+M117</f>
        <v>0</v>
      </c>
      <c r="P117" s="57"/>
    </row>
    <row r="118" spans="1:16" x14ac:dyDescent="0.25">
      <c r="A118" s="51">
        <v>2262</v>
      </c>
      <c r="B118" s="89" t="s">
        <v>134</v>
      </c>
      <c r="C118" s="90">
        <f t="shared" si="22"/>
        <v>5798</v>
      </c>
      <c r="D118" s="196">
        <v>1100</v>
      </c>
      <c r="E118" s="197"/>
      <c r="F118" s="55">
        <f>D118+E118</f>
        <v>1100</v>
      </c>
      <c r="G118" s="53">
        <v>4218</v>
      </c>
      <c r="H118" s="54"/>
      <c r="I118" s="55">
        <f>G118+H118</f>
        <v>4218</v>
      </c>
      <c r="J118" s="53">
        <v>480</v>
      </c>
      <c r="K118" s="54"/>
      <c r="L118" s="55">
        <f>K118+J118</f>
        <v>480</v>
      </c>
      <c r="M118" s="53"/>
      <c r="N118" s="54"/>
      <c r="O118" s="55">
        <f>N118+M118</f>
        <v>0</v>
      </c>
      <c r="P118" s="57"/>
    </row>
    <row r="119" spans="1:16" ht="12" customHeight="1" x14ac:dyDescent="0.25">
      <c r="A119" s="51">
        <v>2263</v>
      </c>
      <c r="B119" s="89" t="s">
        <v>135</v>
      </c>
      <c r="C119" s="90">
        <f t="shared" si="22"/>
        <v>9400</v>
      </c>
      <c r="D119" s="196">
        <v>9400</v>
      </c>
      <c r="E119" s="197"/>
      <c r="F119" s="55">
        <f>D119+E119</f>
        <v>9400</v>
      </c>
      <c r="G119" s="53"/>
      <c r="H119" s="54"/>
      <c r="I119" s="55">
        <f>G119+H119</f>
        <v>0</v>
      </c>
      <c r="J119" s="53"/>
      <c r="K119" s="54"/>
      <c r="L119" s="55">
        <f>K119+J119</f>
        <v>0</v>
      </c>
      <c r="M119" s="53"/>
      <c r="N119" s="54"/>
      <c r="O119" s="55">
        <f>N119+M119</f>
        <v>0</v>
      </c>
      <c r="P119" s="57"/>
    </row>
    <row r="120" spans="1:16" ht="24" customHeight="1" x14ac:dyDescent="0.25">
      <c r="A120" s="51">
        <v>2264</v>
      </c>
      <c r="B120" s="89" t="s">
        <v>136</v>
      </c>
      <c r="C120" s="90">
        <f t="shared" si="22"/>
        <v>4200</v>
      </c>
      <c r="D120" s="196"/>
      <c r="E120" s="197"/>
      <c r="F120" s="55">
        <f>D120+E120</f>
        <v>0</v>
      </c>
      <c r="G120" s="53"/>
      <c r="H120" s="54"/>
      <c r="I120" s="55">
        <f>G120+H120</f>
        <v>0</v>
      </c>
      <c r="J120" s="53">
        <v>4200</v>
      </c>
      <c r="K120" s="54"/>
      <c r="L120" s="55">
        <f>K120+J120</f>
        <v>4200</v>
      </c>
      <c r="M120" s="53"/>
      <c r="N120" s="54"/>
      <c r="O120" s="55">
        <f>N120+M120</f>
        <v>0</v>
      </c>
      <c r="P120" s="57"/>
    </row>
    <row r="121" spans="1:16" ht="12" customHeight="1" x14ac:dyDescent="0.25">
      <c r="A121" s="51">
        <v>2269</v>
      </c>
      <c r="B121" s="89" t="s">
        <v>137</v>
      </c>
      <c r="C121" s="90">
        <f t="shared" si="22"/>
        <v>130</v>
      </c>
      <c r="D121" s="196">
        <v>130</v>
      </c>
      <c r="E121" s="197"/>
      <c r="F121" s="55">
        <f>D121+E121</f>
        <v>130</v>
      </c>
      <c r="G121" s="53"/>
      <c r="H121" s="54"/>
      <c r="I121" s="55">
        <f>G121+H121</f>
        <v>0</v>
      </c>
      <c r="J121" s="53"/>
      <c r="K121" s="54"/>
      <c r="L121" s="55">
        <f>K121+J121</f>
        <v>0</v>
      </c>
      <c r="M121" s="53"/>
      <c r="N121" s="54"/>
      <c r="O121" s="55">
        <f>N121+M121</f>
        <v>0</v>
      </c>
      <c r="P121" s="57"/>
    </row>
    <row r="122" spans="1:16" x14ac:dyDescent="0.25">
      <c r="A122" s="189">
        <v>2270</v>
      </c>
      <c r="B122" s="89" t="s">
        <v>138</v>
      </c>
      <c r="C122" s="90">
        <f t="shared" si="22"/>
        <v>5851</v>
      </c>
      <c r="D122" s="190">
        <f t="shared" ref="D122:O122" si="37">SUM(D123:D127)</f>
        <v>1000</v>
      </c>
      <c r="E122" s="191">
        <f t="shared" si="37"/>
        <v>0</v>
      </c>
      <c r="F122" s="55">
        <f t="shared" si="37"/>
        <v>1000</v>
      </c>
      <c r="G122" s="190">
        <f t="shared" si="37"/>
        <v>4851</v>
      </c>
      <c r="H122" s="191">
        <f t="shared" si="37"/>
        <v>0</v>
      </c>
      <c r="I122" s="55">
        <f t="shared" si="37"/>
        <v>4851</v>
      </c>
      <c r="J122" s="190">
        <f t="shared" si="37"/>
        <v>0</v>
      </c>
      <c r="K122" s="191">
        <f t="shared" si="37"/>
        <v>0</v>
      </c>
      <c r="L122" s="55">
        <f t="shared" si="37"/>
        <v>0</v>
      </c>
      <c r="M122" s="190">
        <f t="shared" si="37"/>
        <v>0</v>
      </c>
      <c r="N122" s="191">
        <f t="shared" si="37"/>
        <v>0</v>
      </c>
      <c r="O122" s="55">
        <f t="shared" si="37"/>
        <v>0</v>
      </c>
      <c r="P122" s="57"/>
    </row>
    <row r="123" spans="1:16" ht="12" hidden="1" customHeight="1" x14ac:dyDescent="0.25">
      <c r="A123" s="51">
        <v>2272</v>
      </c>
      <c r="B123" s="201" t="s">
        <v>139</v>
      </c>
      <c r="C123" s="90">
        <f t="shared" si="22"/>
        <v>0</v>
      </c>
      <c r="D123" s="196"/>
      <c r="E123" s="197"/>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202" t="s">
        <v>140</v>
      </c>
      <c r="C124" s="90">
        <f t="shared" si="22"/>
        <v>0</v>
      </c>
      <c r="D124" s="196"/>
      <c r="E124" s="197"/>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9" t="s">
        <v>141</v>
      </c>
      <c r="C125" s="90">
        <f t="shared" si="22"/>
        <v>0</v>
      </c>
      <c r="D125" s="196"/>
      <c r="E125" s="197"/>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9" t="s">
        <v>142</v>
      </c>
      <c r="C126" s="90">
        <f t="shared" si="22"/>
        <v>0</v>
      </c>
      <c r="D126" s="196"/>
      <c r="E126" s="197"/>
      <c r="F126" s="55">
        <f>D126+E126</f>
        <v>0</v>
      </c>
      <c r="G126" s="53"/>
      <c r="H126" s="54"/>
      <c r="I126" s="55">
        <f>G126+H126</f>
        <v>0</v>
      </c>
      <c r="J126" s="53"/>
      <c r="K126" s="54"/>
      <c r="L126" s="55">
        <f>K126+J126</f>
        <v>0</v>
      </c>
      <c r="M126" s="53"/>
      <c r="N126" s="54"/>
      <c r="O126" s="55">
        <f>N126+M126</f>
        <v>0</v>
      </c>
      <c r="P126" s="57"/>
    </row>
    <row r="127" spans="1:16" ht="26.25" customHeight="1" x14ac:dyDescent="0.25">
      <c r="A127" s="51">
        <v>2279</v>
      </c>
      <c r="B127" s="89" t="s">
        <v>143</v>
      </c>
      <c r="C127" s="90">
        <f t="shared" si="22"/>
        <v>5851</v>
      </c>
      <c r="D127" s="196">
        <v>1000</v>
      </c>
      <c r="E127" s="197"/>
      <c r="F127" s="55">
        <f>D127+E127</f>
        <v>1000</v>
      </c>
      <c r="G127" s="53">
        <v>4851</v>
      </c>
      <c r="H127" s="54"/>
      <c r="I127" s="55">
        <f>G127+H127</f>
        <v>4851</v>
      </c>
      <c r="J127" s="53"/>
      <c r="K127" s="54"/>
      <c r="L127" s="55">
        <f>K127+J127</f>
        <v>0</v>
      </c>
      <c r="M127" s="53"/>
      <c r="N127" s="54"/>
      <c r="O127" s="55">
        <f>N127+M127</f>
        <v>0</v>
      </c>
      <c r="P127" s="57"/>
    </row>
    <row r="128" spans="1:16" ht="48" hidden="1" x14ac:dyDescent="0.25">
      <c r="A128" s="1373">
        <v>2280</v>
      </c>
      <c r="B128" s="82" t="s">
        <v>144</v>
      </c>
      <c r="C128" s="83">
        <f t="shared" si="22"/>
        <v>0</v>
      </c>
      <c r="D128" s="194">
        <f t="shared" ref="D128:O128" si="38">SUM(D129)</f>
        <v>0</v>
      </c>
      <c r="E128" s="195">
        <f t="shared" si="38"/>
        <v>0</v>
      </c>
      <c r="F128" s="134">
        <f t="shared" si="38"/>
        <v>0</v>
      </c>
      <c r="G128" s="194">
        <f t="shared" si="38"/>
        <v>0</v>
      </c>
      <c r="H128" s="195">
        <f t="shared" si="38"/>
        <v>0</v>
      </c>
      <c r="I128" s="134">
        <f t="shared" si="38"/>
        <v>0</v>
      </c>
      <c r="J128" s="194">
        <f t="shared" si="38"/>
        <v>0</v>
      </c>
      <c r="K128" s="195">
        <f t="shared" si="38"/>
        <v>0</v>
      </c>
      <c r="L128" s="134">
        <f t="shared" si="38"/>
        <v>0</v>
      </c>
      <c r="M128" s="194">
        <f t="shared" si="38"/>
        <v>0</v>
      </c>
      <c r="N128" s="195">
        <f t="shared" si="38"/>
        <v>0</v>
      </c>
      <c r="O128" s="134">
        <f t="shared" si="38"/>
        <v>0</v>
      </c>
      <c r="P128" s="49"/>
    </row>
    <row r="129" spans="1:16" ht="24" hidden="1" customHeight="1" x14ac:dyDescent="0.25">
      <c r="A129" s="51">
        <v>2283</v>
      </c>
      <c r="B129" s="89" t="s">
        <v>145</v>
      </c>
      <c r="C129" s="90">
        <f t="shared" si="2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22"/>
        <v>57556</v>
      </c>
      <c r="D130" s="184">
        <f t="shared" ref="D130:O130" si="39">SUM(D131,D136,D140,D141,D144,D151,D159,D160,D163)</f>
        <v>46820</v>
      </c>
      <c r="E130" s="185">
        <f t="shared" si="39"/>
        <v>0</v>
      </c>
      <c r="F130" s="73">
        <f t="shared" si="39"/>
        <v>46820</v>
      </c>
      <c r="G130" s="184">
        <f t="shared" si="39"/>
        <v>6648</v>
      </c>
      <c r="H130" s="185">
        <f t="shared" si="39"/>
        <v>0</v>
      </c>
      <c r="I130" s="73">
        <f t="shared" si="39"/>
        <v>6648</v>
      </c>
      <c r="J130" s="184">
        <f t="shared" si="39"/>
        <v>4088</v>
      </c>
      <c r="K130" s="185">
        <f t="shared" si="39"/>
        <v>0</v>
      </c>
      <c r="L130" s="73">
        <f t="shared" si="39"/>
        <v>4088</v>
      </c>
      <c r="M130" s="184">
        <f t="shared" si="39"/>
        <v>0</v>
      </c>
      <c r="N130" s="185">
        <f t="shared" si="39"/>
        <v>0</v>
      </c>
      <c r="O130" s="73">
        <f t="shared" si="39"/>
        <v>0</v>
      </c>
      <c r="P130" s="77"/>
    </row>
    <row r="131" spans="1:16" ht="24" x14ac:dyDescent="0.25">
      <c r="A131" s="1373">
        <v>2310</v>
      </c>
      <c r="B131" s="82" t="s">
        <v>147</v>
      </c>
      <c r="C131" s="83">
        <f t="shared" si="22"/>
        <v>17532</v>
      </c>
      <c r="D131" s="194">
        <f t="shared" ref="D131:O131" si="40">SUM(D132:D135)</f>
        <v>17532</v>
      </c>
      <c r="E131" s="195">
        <f t="shared" si="40"/>
        <v>0</v>
      </c>
      <c r="F131" s="134">
        <f t="shared" si="40"/>
        <v>17532</v>
      </c>
      <c r="G131" s="194">
        <f t="shared" si="40"/>
        <v>0</v>
      </c>
      <c r="H131" s="195">
        <f t="shared" si="40"/>
        <v>0</v>
      </c>
      <c r="I131" s="134">
        <f t="shared" si="40"/>
        <v>0</v>
      </c>
      <c r="J131" s="194">
        <f t="shared" si="40"/>
        <v>0</v>
      </c>
      <c r="K131" s="195">
        <f t="shared" si="40"/>
        <v>0</v>
      </c>
      <c r="L131" s="134">
        <f t="shared" si="40"/>
        <v>0</v>
      </c>
      <c r="M131" s="194">
        <f t="shared" si="40"/>
        <v>0</v>
      </c>
      <c r="N131" s="195">
        <f t="shared" si="40"/>
        <v>0</v>
      </c>
      <c r="O131" s="134">
        <f t="shared" si="40"/>
        <v>0</v>
      </c>
      <c r="P131" s="49"/>
    </row>
    <row r="132" spans="1:16" ht="12" customHeight="1" x14ac:dyDescent="0.25">
      <c r="A132" s="51">
        <v>2311</v>
      </c>
      <c r="B132" s="89" t="s">
        <v>148</v>
      </c>
      <c r="C132" s="90">
        <f t="shared" si="22"/>
        <v>7532</v>
      </c>
      <c r="D132" s="196">
        <v>7532</v>
      </c>
      <c r="E132" s="197"/>
      <c r="F132" s="55">
        <f>D132+E132</f>
        <v>7532</v>
      </c>
      <c r="G132" s="53"/>
      <c r="H132" s="54"/>
      <c r="I132" s="55">
        <f>G132+H132</f>
        <v>0</v>
      </c>
      <c r="J132" s="53"/>
      <c r="K132" s="54"/>
      <c r="L132" s="55">
        <f>K132+J132</f>
        <v>0</v>
      </c>
      <c r="M132" s="53"/>
      <c r="N132" s="54"/>
      <c r="O132" s="55">
        <f>N132+M132</f>
        <v>0</v>
      </c>
      <c r="P132" s="57"/>
    </row>
    <row r="133" spans="1:16" ht="12" customHeight="1" x14ac:dyDescent="0.25">
      <c r="A133" s="51">
        <v>2312</v>
      </c>
      <c r="B133" s="89" t="s">
        <v>149</v>
      </c>
      <c r="C133" s="90">
        <f t="shared" si="22"/>
        <v>10000</v>
      </c>
      <c r="D133" s="196">
        <v>10000</v>
      </c>
      <c r="E133" s="197"/>
      <c r="F133" s="55">
        <f>D133+E133</f>
        <v>10000</v>
      </c>
      <c r="G133" s="53"/>
      <c r="H133" s="54"/>
      <c r="I133" s="55">
        <f>G133+H133</f>
        <v>0</v>
      </c>
      <c r="J133" s="53"/>
      <c r="K133" s="54"/>
      <c r="L133" s="55">
        <f>K133+J133</f>
        <v>0</v>
      </c>
      <c r="M133" s="53"/>
      <c r="N133" s="54"/>
      <c r="O133" s="55">
        <f>N133+M133</f>
        <v>0</v>
      </c>
      <c r="P133" s="57"/>
    </row>
    <row r="134" spans="1:16" ht="12" hidden="1" customHeight="1" x14ac:dyDescent="0.25">
      <c r="A134" s="51">
        <v>2313</v>
      </c>
      <c r="B134" s="89" t="s">
        <v>150</v>
      </c>
      <c r="C134" s="90">
        <f t="shared" si="22"/>
        <v>0</v>
      </c>
      <c r="D134" s="196"/>
      <c r="E134" s="197"/>
      <c r="F134" s="55">
        <f>D134+E134</f>
        <v>0</v>
      </c>
      <c r="G134" s="53"/>
      <c r="H134" s="54"/>
      <c r="I134" s="55">
        <f>G134+H134</f>
        <v>0</v>
      </c>
      <c r="J134" s="53"/>
      <c r="K134" s="54"/>
      <c r="L134" s="55">
        <f>K134+J134</f>
        <v>0</v>
      </c>
      <c r="M134" s="53"/>
      <c r="N134" s="54"/>
      <c r="O134" s="55">
        <f>N134+M134</f>
        <v>0</v>
      </c>
      <c r="P134" s="57"/>
    </row>
    <row r="135" spans="1:16" ht="36" hidden="1" customHeight="1" x14ac:dyDescent="0.25">
      <c r="A135" s="51">
        <v>2314</v>
      </c>
      <c r="B135" s="89" t="s">
        <v>151</v>
      </c>
      <c r="C135" s="90">
        <f t="shared" si="22"/>
        <v>0</v>
      </c>
      <c r="D135" s="196"/>
      <c r="E135" s="197"/>
      <c r="F135" s="55">
        <f>D135+E135</f>
        <v>0</v>
      </c>
      <c r="G135" s="53"/>
      <c r="H135" s="54"/>
      <c r="I135" s="55">
        <f>G135+H135</f>
        <v>0</v>
      </c>
      <c r="J135" s="53"/>
      <c r="K135" s="54"/>
      <c r="L135" s="55">
        <f>K135+J135</f>
        <v>0</v>
      </c>
      <c r="M135" s="53"/>
      <c r="N135" s="54"/>
      <c r="O135" s="55">
        <f>N135+M135</f>
        <v>0</v>
      </c>
      <c r="P135" s="57"/>
    </row>
    <row r="136" spans="1:16" x14ac:dyDescent="0.25">
      <c r="A136" s="189">
        <v>2320</v>
      </c>
      <c r="B136" s="89" t="s">
        <v>152</v>
      </c>
      <c r="C136" s="90">
        <f t="shared" si="22"/>
        <v>626</v>
      </c>
      <c r="D136" s="190">
        <f t="shared" ref="D136:O136" si="41">SUM(D137:D139)</f>
        <v>271</v>
      </c>
      <c r="E136" s="191">
        <f t="shared" si="41"/>
        <v>0</v>
      </c>
      <c r="F136" s="55">
        <f t="shared" si="41"/>
        <v>271</v>
      </c>
      <c r="G136" s="190">
        <f t="shared" si="41"/>
        <v>0</v>
      </c>
      <c r="H136" s="191">
        <f t="shared" si="41"/>
        <v>0</v>
      </c>
      <c r="I136" s="55">
        <f t="shared" si="41"/>
        <v>0</v>
      </c>
      <c r="J136" s="190">
        <f t="shared" si="41"/>
        <v>355</v>
      </c>
      <c r="K136" s="191">
        <f t="shared" si="41"/>
        <v>0</v>
      </c>
      <c r="L136" s="55">
        <f t="shared" si="41"/>
        <v>355</v>
      </c>
      <c r="M136" s="190">
        <f t="shared" si="41"/>
        <v>0</v>
      </c>
      <c r="N136" s="191">
        <f t="shared" si="41"/>
        <v>0</v>
      </c>
      <c r="O136" s="55">
        <f t="shared" si="41"/>
        <v>0</v>
      </c>
      <c r="P136" s="57"/>
    </row>
    <row r="137" spans="1:16" ht="12" hidden="1" customHeight="1" x14ac:dyDescent="0.25">
      <c r="A137" s="51">
        <v>2321</v>
      </c>
      <c r="B137" s="89" t="s">
        <v>153</v>
      </c>
      <c r="C137" s="90">
        <f t="shared" si="22"/>
        <v>0</v>
      </c>
      <c r="D137" s="196"/>
      <c r="E137" s="197"/>
      <c r="F137" s="55">
        <f>D137+E137</f>
        <v>0</v>
      </c>
      <c r="G137" s="53"/>
      <c r="H137" s="54"/>
      <c r="I137" s="55">
        <f>G137+H137</f>
        <v>0</v>
      </c>
      <c r="J137" s="53"/>
      <c r="K137" s="54"/>
      <c r="L137" s="55">
        <f>K137+J137</f>
        <v>0</v>
      </c>
      <c r="M137" s="53"/>
      <c r="N137" s="54"/>
      <c r="O137" s="55">
        <f>N137+M137</f>
        <v>0</v>
      </c>
      <c r="P137" s="57"/>
    </row>
    <row r="138" spans="1:16" ht="12" customHeight="1" x14ac:dyDescent="0.25">
      <c r="A138" s="51">
        <v>2322</v>
      </c>
      <c r="B138" s="89" t="s">
        <v>154</v>
      </c>
      <c r="C138" s="90">
        <f t="shared" si="22"/>
        <v>626</v>
      </c>
      <c r="D138" s="196">
        <v>271</v>
      </c>
      <c r="E138" s="197"/>
      <c r="F138" s="55">
        <f>D138+E138</f>
        <v>271</v>
      </c>
      <c r="G138" s="53"/>
      <c r="H138" s="54"/>
      <c r="I138" s="55">
        <f>G138+H138</f>
        <v>0</v>
      </c>
      <c r="J138" s="53">
        <v>355</v>
      </c>
      <c r="K138" s="54"/>
      <c r="L138" s="55">
        <f>K138+J138</f>
        <v>355</v>
      </c>
      <c r="M138" s="53"/>
      <c r="N138" s="54"/>
      <c r="O138" s="55">
        <f>N138+M138</f>
        <v>0</v>
      </c>
      <c r="P138" s="57"/>
    </row>
    <row r="139" spans="1:16" ht="10.5" hidden="1" customHeight="1" x14ac:dyDescent="0.25">
      <c r="A139" s="51">
        <v>2329</v>
      </c>
      <c r="B139" s="89" t="s">
        <v>155</v>
      </c>
      <c r="C139" s="90">
        <f t="shared" si="22"/>
        <v>0</v>
      </c>
      <c r="D139" s="196"/>
      <c r="E139" s="197"/>
      <c r="F139" s="55">
        <f>D139+E139</f>
        <v>0</v>
      </c>
      <c r="G139" s="53"/>
      <c r="H139" s="54"/>
      <c r="I139" s="55">
        <f>G139+H139</f>
        <v>0</v>
      </c>
      <c r="J139" s="53"/>
      <c r="K139" s="54"/>
      <c r="L139" s="55">
        <f>K139+J139</f>
        <v>0</v>
      </c>
      <c r="M139" s="53"/>
      <c r="N139" s="54"/>
      <c r="O139" s="55">
        <f>N139+M139</f>
        <v>0</v>
      </c>
      <c r="P139" s="57"/>
    </row>
    <row r="140" spans="1:16" ht="12" hidden="1" customHeight="1" x14ac:dyDescent="0.25">
      <c r="A140" s="189">
        <v>2330</v>
      </c>
      <c r="B140" s="89" t="s">
        <v>156</v>
      </c>
      <c r="C140" s="90">
        <f t="shared" si="22"/>
        <v>0</v>
      </c>
      <c r="D140" s="196"/>
      <c r="E140" s="197"/>
      <c r="F140" s="55">
        <f>D140+E140</f>
        <v>0</v>
      </c>
      <c r="G140" s="53"/>
      <c r="H140" s="54"/>
      <c r="I140" s="55">
        <f>G140+H140</f>
        <v>0</v>
      </c>
      <c r="J140" s="53"/>
      <c r="K140" s="54"/>
      <c r="L140" s="55">
        <f>K140+J140</f>
        <v>0</v>
      </c>
      <c r="M140" s="53"/>
      <c r="N140" s="54"/>
      <c r="O140" s="55">
        <f>N140+M140</f>
        <v>0</v>
      </c>
      <c r="P140" s="57"/>
    </row>
    <row r="141" spans="1:16" ht="48" x14ac:dyDescent="0.25">
      <c r="A141" s="189">
        <v>2340</v>
      </c>
      <c r="B141" s="89" t="s">
        <v>157</v>
      </c>
      <c r="C141" s="90">
        <f t="shared" si="22"/>
        <v>312</v>
      </c>
      <c r="D141" s="190">
        <f t="shared" ref="D141:O141" si="42">SUM(D142:D143)</f>
        <v>312</v>
      </c>
      <c r="E141" s="191">
        <f t="shared" si="42"/>
        <v>0</v>
      </c>
      <c r="F141" s="55">
        <f t="shared" si="42"/>
        <v>312</v>
      </c>
      <c r="G141" s="190">
        <f t="shared" si="42"/>
        <v>0</v>
      </c>
      <c r="H141" s="191">
        <f t="shared" si="42"/>
        <v>0</v>
      </c>
      <c r="I141" s="55">
        <f t="shared" si="42"/>
        <v>0</v>
      </c>
      <c r="J141" s="190">
        <f t="shared" si="42"/>
        <v>0</v>
      </c>
      <c r="K141" s="191">
        <f t="shared" si="42"/>
        <v>0</v>
      </c>
      <c r="L141" s="55">
        <f t="shared" si="42"/>
        <v>0</v>
      </c>
      <c r="M141" s="190">
        <f t="shared" si="42"/>
        <v>0</v>
      </c>
      <c r="N141" s="191">
        <f t="shared" si="42"/>
        <v>0</v>
      </c>
      <c r="O141" s="55">
        <f t="shared" si="42"/>
        <v>0</v>
      </c>
      <c r="P141" s="57"/>
    </row>
    <row r="142" spans="1:16" ht="12" customHeight="1" x14ac:dyDescent="0.25">
      <c r="A142" s="51">
        <v>2341</v>
      </c>
      <c r="B142" s="89" t="s">
        <v>158</v>
      </c>
      <c r="C142" s="90">
        <f t="shared" si="22"/>
        <v>312</v>
      </c>
      <c r="D142" s="196">
        <v>312</v>
      </c>
      <c r="E142" s="197"/>
      <c r="F142" s="55">
        <f>D142+E142</f>
        <v>312</v>
      </c>
      <c r="G142" s="53"/>
      <c r="H142" s="54"/>
      <c r="I142" s="55">
        <f>G142+H142</f>
        <v>0</v>
      </c>
      <c r="J142" s="53"/>
      <c r="K142" s="54"/>
      <c r="L142" s="55">
        <f>K142+J142</f>
        <v>0</v>
      </c>
      <c r="M142" s="53"/>
      <c r="N142" s="54"/>
      <c r="O142" s="55">
        <f>N142+M142</f>
        <v>0</v>
      </c>
      <c r="P142" s="57"/>
    </row>
    <row r="143" spans="1:16" ht="24" hidden="1" customHeight="1" x14ac:dyDescent="0.25">
      <c r="A143" s="51">
        <v>2344</v>
      </c>
      <c r="B143" s="89" t="s">
        <v>159</v>
      </c>
      <c r="C143" s="90">
        <f t="shared" si="22"/>
        <v>0</v>
      </c>
      <c r="D143" s="196"/>
      <c r="E143" s="197"/>
      <c r="F143" s="55">
        <f>D143+E143</f>
        <v>0</v>
      </c>
      <c r="G143" s="53"/>
      <c r="H143" s="54"/>
      <c r="I143" s="55">
        <f>G143+H143</f>
        <v>0</v>
      </c>
      <c r="J143" s="53"/>
      <c r="K143" s="54"/>
      <c r="L143" s="55">
        <f>K143+J143</f>
        <v>0</v>
      </c>
      <c r="M143" s="53"/>
      <c r="N143" s="54"/>
      <c r="O143" s="55">
        <f>N143+M143</f>
        <v>0</v>
      </c>
      <c r="P143" s="57"/>
    </row>
    <row r="144" spans="1:16" ht="24" x14ac:dyDescent="0.25">
      <c r="A144" s="186">
        <v>2350</v>
      </c>
      <c r="B144" s="138" t="s">
        <v>160</v>
      </c>
      <c r="C144" s="143">
        <f t="shared" si="22"/>
        <v>10012</v>
      </c>
      <c r="D144" s="187">
        <f t="shared" ref="D144:O144" si="43">SUM(D145:D150)</f>
        <v>6279</v>
      </c>
      <c r="E144" s="188">
        <f t="shared" si="43"/>
        <v>0</v>
      </c>
      <c r="F144" s="141">
        <f t="shared" si="43"/>
        <v>6279</v>
      </c>
      <c r="G144" s="187">
        <f t="shared" si="43"/>
        <v>0</v>
      </c>
      <c r="H144" s="188">
        <f t="shared" si="43"/>
        <v>0</v>
      </c>
      <c r="I144" s="141">
        <f t="shared" si="43"/>
        <v>0</v>
      </c>
      <c r="J144" s="187">
        <f t="shared" si="43"/>
        <v>3733</v>
      </c>
      <c r="K144" s="188">
        <f t="shared" si="43"/>
        <v>0</v>
      </c>
      <c r="L144" s="141">
        <f t="shared" si="43"/>
        <v>3733</v>
      </c>
      <c r="M144" s="187">
        <f t="shared" si="43"/>
        <v>0</v>
      </c>
      <c r="N144" s="188">
        <f t="shared" si="43"/>
        <v>0</v>
      </c>
      <c r="O144" s="141">
        <f t="shared" si="43"/>
        <v>0</v>
      </c>
      <c r="P144" s="129"/>
    </row>
    <row r="145" spans="1:16" ht="14.25" customHeight="1" x14ac:dyDescent="0.25">
      <c r="A145" s="44">
        <v>2351</v>
      </c>
      <c r="B145" s="82" t="s">
        <v>161</v>
      </c>
      <c r="C145" s="83">
        <f t="shared" si="22"/>
        <v>1547</v>
      </c>
      <c r="D145" s="199">
        <v>1547</v>
      </c>
      <c r="E145" s="200"/>
      <c r="F145" s="134">
        <f t="shared" ref="F145:F150" si="44">D145+E145</f>
        <v>1547</v>
      </c>
      <c r="G145" s="46"/>
      <c r="H145" s="47"/>
      <c r="I145" s="134">
        <f t="shared" ref="I145:I150" si="45">G145+H145</f>
        <v>0</v>
      </c>
      <c r="J145" s="46"/>
      <c r="K145" s="47"/>
      <c r="L145" s="134">
        <f t="shared" ref="L145:L150" si="46">K145+J145</f>
        <v>0</v>
      </c>
      <c r="M145" s="46"/>
      <c r="N145" s="47"/>
      <c r="O145" s="134">
        <f t="shared" ref="O145:O150" si="47">N145+M145</f>
        <v>0</v>
      </c>
      <c r="P145" s="49"/>
    </row>
    <row r="146" spans="1:16" ht="19.5" customHeight="1" x14ac:dyDescent="0.25">
      <c r="A146" s="51">
        <v>2352</v>
      </c>
      <c r="B146" s="89" t="s">
        <v>162</v>
      </c>
      <c r="C146" s="90">
        <f t="shared" si="22"/>
        <v>6604</v>
      </c>
      <c r="D146" s="196">
        <v>3171</v>
      </c>
      <c r="E146" s="197"/>
      <c r="F146" s="55">
        <f t="shared" si="44"/>
        <v>3171</v>
      </c>
      <c r="G146" s="53"/>
      <c r="H146" s="54"/>
      <c r="I146" s="55">
        <f t="shared" si="45"/>
        <v>0</v>
      </c>
      <c r="J146" s="53">
        <v>3433</v>
      </c>
      <c r="K146" s="54"/>
      <c r="L146" s="55">
        <f t="shared" si="46"/>
        <v>3433</v>
      </c>
      <c r="M146" s="53"/>
      <c r="N146" s="54"/>
      <c r="O146" s="55">
        <f t="shared" si="47"/>
        <v>0</v>
      </c>
      <c r="P146" s="57"/>
    </row>
    <row r="147" spans="1:16" ht="26.25" customHeight="1" x14ac:dyDescent="0.25">
      <c r="A147" s="51">
        <v>2353</v>
      </c>
      <c r="B147" s="89" t="s">
        <v>163</v>
      </c>
      <c r="C147" s="90">
        <f t="shared" si="22"/>
        <v>1561</v>
      </c>
      <c r="D147" s="196">
        <v>1261</v>
      </c>
      <c r="E147" s="197"/>
      <c r="F147" s="55">
        <f t="shared" si="44"/>
        <v>1261</v>
      </c>
      <c r="G147" s="53"/>
      <c r="H147" s="54"/>
      <c r="I147" s="55">
        <f t="shared" si="45"/>
        <v>0</v>
      </c>
      <c r="J147" s="53">
        <v>300</v>
      </c>
      <c r="K147" s="54"/>
      <c r="L147" s="55">
        <f t="shared" si="46"/>
        <v>300</v>
      </c>
      <c r="M147" s="53"/>
      <c r="N147" s="54"/>
      <c r="O147" s="55">
        <f t="shared" si="47"/>
        <v>0</v>
      </c>
      <c r="P147" s="57"/>
    </row>
    <row r="148" spans="1:16" ht="24" hidden="1" customHeight="1" x14ac:dyDescent="0.25">
      <c r="A148" s="51">
        <v>2354</v>
      </c>
      <c r="B148" s="89" t="s">
        <v>164</v>
      </c>
      <c r="C148" s="90">
        <f t="shared" ref="C148:C211" si="48">F148+I148+L148+O148</f>
        <v>0</v>
      </c>
      <c r="D148" s="196"/>
      <c r="E148" s="197"/>
      <c r="F148" s="55">
        <f t="shared" si="44"/>
        <v>0</v>
      </c>
      <c r="G148" s="53"/>
      <c r="H148" s="54"/>
      <c r="I148" s="55">
        <f t="shared" si="45"/>
        <v>0</v>
      </c>
      <c r="J148" s="53"/>
      <c r="K148" s="54"/>
      <c r="L148" s="55">
        <f t="shared" si="46"/>
        <v>0</v>
      </c>
      <c r="M148" s="53"/>
      <c r="N148" s="54"/>
      <c r="O148" s="55">
        <f t="shared" si="47"/>
        <v>0</v>
      </c>
      <c r="P148" s="57"/>
    </row>
    <row r="149" spans="1:16" ht="26.25" customHeight="1" x14ac:dyDescent="0.25">
      <c r="A149" s="51">
        <v>2355</v>
      </c>
      <c r="B149" s="89" t="s">
        <v>165</v>
      </c>
      <c r="C149" s="90">
        <f t="shared" si="48"/>
        <v>300</v>
      </c>
      <c r="D149" s="196">
        <v>300</v>
      </c>
      <c r="E149" s="197"/>
      <c r="F149" s="55">
        <f t="shared" si="44"/>
        <v>300</v>
      </c>
      <c r="G149" s="53"/>
      <c r="H149" s="54"/>
      <c r="I149" s="55">
        <f t="shared" si="45"/>
        <v>0</v>
      </c>
      <c r="J149" s="53"/>
      <c r="K149" s="54"/>
      <c r="L149" s="55">
        <f t="shared" si="46"/>
        <v>0</v>
      </c>
      <c r="M149" s="53"/>
      <c r="N149" s="54"/>
      <c r="O149" s="55">
        <f t="shared" si="47"/>
        <v>0</v>
      </c>
      <c r="P149" s="57"/>
    </row>
    <row r="150" spans="1:16" ht="24" hidden="1" customHeight="1" x14ac:dyDescent="0.25">
      <c r="A150" s="51">
        <v>2359</v>
      </c>
      <c r="B150" s="89" t="s">
        <v>166</v>
      </c>
      <c r="C150" s="90">
        <f t="shared" si="48"/>
        <v>0</v>
      </c>
      <c r="D150" s="196"/>
      <c r="E150" s="197"/>
      <c r="F150" s="55">
        <f t="shared" si="44"/>
        <v>0</v>
      </c>
      <c r="G150" s="53"/>
      <c r="H150" s="54"/>
      <c r="I150" s="55">
        <f t="shared" si="45"/>
        <v>0</v>
      </c>
      <c r="J150" s="53"/>
      <c r="K150" s="54"/>
      <c r="L150" s="55">
        <f t="shared" si="46"/>
        <v>0</v>
      </c>
      <c r="M150" s="53"/>
      <c r="N150" s="54"/>
      <c r="O150" s="55">
        <f t="shared" si="47"/>
        <v>0</v>
      </c>
      <c r="P150" s="57"/>
    </row>
    <row r="151" spans="1:16" ht="24.75" customHeight="1" x14ac:dyDescent="0.25">
      <c r="A151" s="189">
        <v>2360</v>
      </c>
      <c r="B151" s="89" t="s">
        <v>167</v>
      </c>
      <c r="C151" s="90">
        <f t="shared" si="48"/>
        <v>5250</v>
      </c>
      <c r="D151" s="190">
        <f t="shared" ref="D151:O151" si="49">SUM(D152:D158)</f>
        <v>5250</v>
      </c>
      <c r="E151" s="191">
        <f t="shared" si="49"/>
        <v>0</v>
      </c>
      <c r="F151" s="55">
        <f t="shared" si="49"/>
        <v>5250</v>
      </c>
      <c r="G151" s="190">
        <f t="shared" si="49"/>
        <v>0</v>
      </c>
      <c r="H151" s="191">
        <f t="shared" si="49"/>
        <v>0</v>
      </c>
      <c r="I151" s="55">
        <f t="shared" si="49"/>
        <v>0</v>
      </c>
      <c r="J151" s="190">
        <f t="shared" si="49"/>
        <v>0</v>
      </c>
      <c r="K151" s="191">
        <f t="shared" si="49"/>
        <v>0</v>
      </c>
      <c r="L151" s="55">
        <f t="shared" si="49"/>
        <v>0</v>
      </c>
      <c r="M151" s="190">
        <f t="shared" si="49"/>
        <v>0</v>
      </c>
      <c r="N151" s="191">
        <f t="shared" si="49"/>
        <v>0</v>
      </c>
      <c r="O151" s="55">
        <f t="shared" si="49"/>
        <v>0</v>
      </c>
      <c r="P151" s="57"/>
    </row>
    <row r="152" spans="1:16" ht="12" hidden="1" customHeight="1" x14ac:dyDescent="0.25">
      <c r="A152" s="50">
        <v>2361</v>
      </c>
      <c r="B152" s="89" t="s">
        <v>168</v>
      </c>
      <c r="C152" s="90">
        <f t="shared" si="48"/>
        <v>0</v>
      </c>
      <c r="D152" s="196"/>
      <c r="E152" s="197"/>
      <c r="F152" s="55">
        <f t="shared" ref="F152:F159" si="50">D152+E152</f>
        <v>0</v>
      </c>
      <c r="G152" s="53"/>
      <c r="H152" s="54"/>
      <c r="I152" s="55">
        <f t="shared" ref="I152:I159" si="51">G152+H152</f>
        <v>0</v>
      </c>
      <c r="J152" s="53"/>
      <c r="K152" s="54"/>
      <c r="L152" s="55">
        <f t="shared" ref="L152:L159" si="52">K152+J152</f>
        <v>0</v>
      </c>
      <c r="M152" s="53"/>
      <c r="N152" s="54"/>
      <c r="O152" s="55">
        <f t="shared" ref="O152:O159" si="53">N152+M152</f>
        <v>0</v>
      </c>
      <c r="P152" s="57"/>
    </row>
    <row r="153" spans="1:16" ht="24" hidden="1" customHeight="1" x14ac:dyDescent="0.25">
      <c r="A153" s="50">
        <v>2362</v>
      </c>
      <c r="B153" s="89" t="s">
        <v>169</v>
      </c>
      <c r="C153" s="90">
        <f t="shared" si="48"/>
        <v>0</v>
      </c>
      <c r="D153" s="196"/>
      <c r="E153" s="197"/>
      <c r="F153" s="55">
        <f t="shared" si="50"/>
        <v>0</v>
      </c>
      <c r="G153" s="53"/>
      <c r="H153" s="54"/>
      <c r="I153" s="55">
        <f t="shared" si="51"/>
        <v>0</v>
      </c>
      <c r="J153" s="53"/>
      <c r="K153" s="54"/>
      <c r="L153" s="55">
        <f t="shared" si="52"/>
        <v>0</v>
      </c>
      <c r="M153" s="53"/>
      <c r="N153" s="54"/>
      <c r="O153" s="55">
        <f t="shared" si="53"/>
        <v>0</v>
      </c>
      <c r="P153" s="57"/>
    </row>
    <row r="154" spans="1:16" ht="18" customHeight="1" x14ac:dyDescent="0.25">
      <c r="A154" s="50">
        <v>2363</v>
      </c>
      <c r="B154" s="89" t="s">
        <v>170</v>
      </c>
      <c r="C154" s="90">
        <f t="shared" si="48"/>
        <v>5250</v>
      </c>
      <c r="D154" s="196">
        <v>5250</v>
      </c>
      <c r="E154" s="197"/>
      <c r="F154" s="55">
        <f t="shared" si="50"/>
        <v>5250</v>
      </c>
      <c r="G154" s="53"/>
      <c r="H154" s="54"/>
      <c r="I154" s="55">
        <f t="shared" si="51"/>
        <v>0</v>
      </c>
      <c r="J154" s="53"/>
      <c r="K154" s="54"/>
      <c r="L154" s="55">
        <f t="shared" si="52"/>
        <v>0</v>
      </c>
      <c r="M154" s="53"/>
      <c r="N154" s="54"/>
      <c r="O154" s="55">
        <f t="shared" si="53"/>
        <v>0</v>
      </c>
      <c r="P154" s="57"/>
    </row>
    <row r="155" spans="1:16" ht="12" hidden="1" customHeight="1" x14ac:dyDescent="0.25">
      <c r="A155" s="50">
        <v>2364</v>
      </c>
      <c r="B155" s="89" t="s">
        <v>171</v>
      </c>
      <c r="C155" s="90">
        <f t="shared" si="48"/>
        <v>0</v>
      </c>
      <c r="D155" s="196"/>
      <c r="E155" s="197"/>
      <c r="F155" s="55">
        <f t="shared" si="50"/>
        <v>0</v>
      </c>
      <c r="G155" s="53"/>
      <c r="H155" s="54"/>
      <c r="I155" s="55">
        <f t="shared" si="51"/>
        <v>0</v>
      </c>
      <c r="J155" s="53"/>
      <c r="K155" s="54"/>
      <c r="L155" s="55">
        <f t="shared" si="52"/>
        <v>0</v>
      </c>
      <c r="M155" s="53"/>
      <c r="N155" s="54"/>
      <c r="O155" s="55">
        <f t="shared" si="53"/>
        <v>0</v>
      </c>
      <c r="P155" s="57"/>
    </row>
    <row r="156" spans="1:16" ht="12.75" hidden="1" customHeight="1" x14ac:dyDescent="0.25">
      <c r="A156" s="50">
        <v>2365</v>
      </c>
      <c r="B156" s="89" t="s">
        <v>172</v>
      </c>
      <c r="C156" s="90">
        <f t="shared" si="48"/>
        <v>0</v>
      </c>
      <c r="D156" s="196"/>
      <c r="E156" s="197"/>
      <c r="F156" s="55">
        <f t="shared" si="50"/>
        <v>0</v>
      </c>
      <c r="G156" s="53"/>
      <c r="H156" s="54"/>
      <c r="I156" s="55">
        <f t="shared" si="51"/>
        <v>0</v>
      </c>
      <c r="J156" s="53"/>
      <c r="K156" s="54"/>
      <c r="L156" s="55">
        <f t="shared" si="52"/>
        <v>0</v>
      </c>
      <c r="M156" s="53"/>
      <c r="N156" s="54"/>
      <c r="O156" s="55">
        <f t="shared" si="53"/>
        <v>0</v>
      </c>
      <c r="P156" s="57"/>
    </row>
    <row r="157" spans="1:16" ht="36" hidden="1" customHeight="1" x14ac:dyDescent="0.25">
      <c r="A157" s="50">
        <v>2366</v>
      </c>
      <c r="B157" s="89" t="s">
        <v>173</v>
      </c>
      <c r="C157" s="90">
        <f t="shared" si="48"/>
        <v>0</v>
      </c>
      <c r="D157" s="196"/>
      <c r="E157" s="197"/>
      <c r="F157" s="55">
        <f t="shared" si="50"/>
        <v>0</v>
      </c>
      <c r="G157" s="53"/>
      <c r="H157" s="54"/>
      <c r="I157" s="55">
        <f t="shared" si="51"/>
        <v>0</v>
      </c>
      <c r="J157" s="53"/>
      <c r="K157" s="54"/>
      <c r="L157" s="55">
        <f t="shared" si="52"/>
        <v>0</v>
      </c>
      <c r="M157" s="53"/>
      <c r="N157" s="54"/>
      <c r="O157" s="55">
        <f t="shared" si="53"/>
        <v>0</v>
      </c>
      <c r="P157" s="57"/>
    </row>
    <row r="158" spans="1:16" ht="48" hidden="1" customHeight="1" x14ac:dyDescent="0.25">
      <c r="A158" s="50">
        <v>2369</v>
      </c>
      <c r="B158" s="89" t="s">
        <v>174</v>
      </c>
      <c r="C158" s="90">
        <f t="shared" si="48"/>
        <v>0</v>
      </c>
      <c r="D158" s="196"/>
      <c r="E158" s="197"/>
      <c r="F158" s="55">
        <f t="shared" si="50"/>
        <v>0</v>
      </c>
      <c r="G158" s="53"/>
      <c r="H158" s="54"/>
      <c r="I158" s="55">
        <f t="shared" si="51"/>
        <v>0</v>
      </c>
      <c r="J158" s="53"/>
      <c r="K158" s="54"/>
      <c r="L158" s="55">
        <f t="shared" si="52"/>
        <v>0</v>
      </c>
      <c r="M158" s="53"/>
      <c r="N158" s="54"/>
      <c r="O158" s="55">
        <f t="shared" si="53"/>
        <v>0</v>
      </c>
      <c r="P158" s="57"/>
    </row>
    <row r="159" spans="1:16" ht="15.75" customHeight="1" x14ac:dyDescent="0.25">
      <c r="A159" s="186">
        <v>2370</v>
      </c>
      <c r="B159" s="138" t="s">
        <v>175</v>
      </c>
      <c r="C159" s="143">
        <f t="shared" si="48"/>
        <v>23824</v>
      </c>
      <c r="D159" s="203">
        <v>17176</v>
      </c>
      <c r="E159" s="204"/>
      <c r="F159" s="141">
        <f t="shared" si="50"/>
        <v>17176</v>
      </c>
      <c r="G159" s="144">
        <v>6648</v>
      </c>
      <c r="H159" s="145"/>
      <c r="I159" s="141">
        <f t="shared" si="51"/>
        <v>6648</v>
      </c>
      <c r="J159" s="144"/>
      <c r="K159" s="145"/>
      <c r="L159" s="141">
        <f t="shared" si="52"/>
        <v>0</v>
      </c>
      <c r="M159" s="144"/>
      <c r="N159" s="145"/>
      <c r="O159" s="141">
        <f t="shared" si="53"/>
        <v>0</v>
      </c>
      <c r="P159" s="129"/>
    </row>
    <row r="160" spans="1:16" ht="13.5" hidden="1" customHeight="1" x14ac:dyDescent="0.25">
      <c r="A160" s="186">
        <v>2380</v>
      </c>
      <c r="B160" s="138" t="s">
        <v>176</v>
      </c>
      <c r="C160" s="143">
        <f t="shared" si="48"/>
        <v>0</v>
      </c>
      <c r="D160" s="187">
        <f t="shared" ref="D160:O160" si="54">SUM(D161:D162)</f>
        <v>0</v>
      </c>
      <c r="E160" s="188">
        <f t="shared" si="54"/>
        <v>0</v>
      </c>
      <c r="F160" s="141">
        <f t="shared" si="54"/>
        <v>0</v>
      </c>
      <c r="G160" s="187">
        <f t="shared" si="54"/>
        <v>0</v>
      </c>
      <c r="H160" s="188">
        <f t="shared" si="54"/>
        <v>0</v>
      </c>
      <c r="I160" s="141">
        <f t="shared" si="54"/>
        <v>0</v>
      </c>
      <c r="J160" s="187">
        <f t="shared" si="54"/>
        <v>0</v>
      </c>
      <c r="K160" s="188">
        <f t="shared" si="54"/>
        <v>0</v>
      </c>
      <c r="L160" s="141">
        <f t="shared" si="54"/>
        <v>0</v>
      </c>
      <c r="M160" s="187">
        <f t="shared" si="54"/>
        <v>0</v>
      </c>
      <c r="N160" s="188">
        <f t="shared" si="54"/>
        <v>0</v>
      </c>
      <c r="O160" s="141">
        <f t="shared" si="54"/>
        <v>0</v>
      </c>
      <c r="P160" s="129"/>
    </row>
    <row r="161" spans="1:16" ht="12" hidden="1" customHeight="1" x14ac:dyDescent="0.25">
      <c r="A161" s="43">
        <v>2381</v>
      </c>
      <c r="B161" s="82" t="s">
        <v>177</v>
      </c>
      <c r="C161" s="83">
        <f t="shared" si="48"/>
        <v>0</v>
      </c>
      <c r="D161" s="199"/>
      <c r="E161" s="200"/>
      <c r="F161" s="134">
        <f>D161+E161</f>
        <v>0</v>
      </c>
      <c r="G161" s="46"/>
      <c r="H161" s="47"/>
      <c r="I161" s="134">
        <f>G161+H161</f>
        <v>0</v>
      </c>
      <c r="J161" s="46"/>
      <c r="K161" s="47"/>
      <c r="L161" s="134">
        <f>K161+J161</f>
        <v>0</v>
      </c>
      <c r="M161" s="46"/>
      <c r="N161" s="47"/>
      <c r="O161" s="134">
        <f>N161+M161</f>
        <v>0</v>
      </c>
      <c r="P161" s="49"/>
    </row>
    <row r="162" spans="1:16" ht="24" hidden="1" customHeight="1" x14ac:dyDescent="0.25">
      <c r="A162" s="50">
        <v>2389</v>
      </c>
      <c r="B162" s="89" t="s">
        <v>178</v>
      </c>
      <c r="C162" s="90">
        <f t="shared" si="48"/>
        <v>0</v>
      </c>
      <c r="D162" s="196"/>
      <c r="E162" s="197"/>
      <c r="F162" s="55">
        <f>D162+E162</f>
        <v>0</v>
      </c>
      <c r="G162" s="53"/>
      <c r="H162" s="54"/>
      <c r="I162" s="55">
        <f>G162+H162</f>
        <v>0</v>
      </c>
      <c r="J162" s="53"/>
      <c r="K162" s="54"/>
      <c r="L162" s="55">
        <f>K162+J162</f>
        <v>0</v>
      </c>
      <c r="M162" s="53"/>
      <c r="N162" s="54"/>
      <c r="O162" s="55">
        <f>N162+M162</f>
        <v>0</v>
      </c>
      <c r="P162" s="57"/>
    </row>
    <row r="163" spans="1:16" ht="12" hidden="1" customHeight="1" x14ac:dyDescent="0.25">
      <c r="A163" s="186">
        <v>2390</v>
      </c>
      <c r="B163" s="138" t="s">
        <v>179</v>
      </c>
      <c r="C163" s="143">
        <f t="shared" si="48"/>
        <v>0</v>
      </c>
      <c r="D163" s="203"/>
      <c r="E163" s="204"/>
      <c r="F163" s="141">
        <f>D163+E163</f>
        <v>0</v>
      </c>
      <c r="G163" s="144"/>
      <c r="H163" s="145"/>
      <c r="I163" s="141">
        <f>G163+H163</f>
        <v>0</v>
      </c>
      <c r="J163" s="144"/>
      <c r="K163" s="145"/>
      <c r="L163" s="141">
        <f>K163+J163</f>
        <v>0</v>
      </c>
      <c r="M163" s="144"/>
      <c r="N163" s="145"/>
      <c r="O163" s="141">
        <f>N163+M163</f>
        <v>0</v>
      </c>
      <c r="P163" s="129"/>
    </row>
    <row r="164" spans="1:16" ht="12" hidden="1" customHeight="1" x14ac:dyDescent="0.25">
      <c r="A164" s="69">
        <v>2400</v>
      </c>
      <c r="B164" s="183" t="s">
        <v>180</v>
      </c>
      <c r="C164" s="70">
        <f t="shared" si="48"/>
        <v>0</v>
      </c>
      <c r="D164" s="205"/>
      <c r="E164" s="206"/>
      <c r="F164" s="73">
        <f>D164+E164</f>
        <v>0</v>
      </c>
      <c r="G164" s="71"/>
      <c r="H164" s="72"/>
      <c r="I164" s="73">
        <f>G164+H164</f>
        <v>0</v>
      </c>
      <c r="J164" s="71"/>
      <c r="K164" s="72"/>
      <c r="L164" s="73">
        <f>K164+J164</f>
        <v>0</v>
      </c>
      <c r="M164" s="71"/>
      <c r="N164" s="72"/>
      <c r="O164" s="73">
        <f>N164+M164</f>
        <v>0</v>
      </c>
      <c r="P164" s="77"/>
    </row>
    <row r="165" spans="1:16" ht="29.25" customHeight="1" x14ac:dyDescent="0.25">
      <c r="A165" s="69">
        <v>2500</v>
      </c>
      <c r="B165" s="183" t="s">
        <v>181</v>
      </c>
      <c r="C165" s="70">
        <f t="shared" si="48"/>
        <v>237</v>
      </c>
      <c r="D165" s="184">
        <f>SUM(D166,D171)</f>
        <v>237</v>
      </c>
      <c r="E165" s="185">
        <f>SUM(E166,E171)</f>
        <v>0</v>
      </c>
      <c r="F165" s="73">
        <f>SUM(F166,F171)</f>
        <v>237</v>
      </c>
      <c r="G165" s="184">
        <f t="shared" ref="G165:M165" si="55">SUM(G166,G171)</f>
        <v>0</v>
      </c>
      <c r="H165" s="185">
        <f>SUM(H166,H171)</f>
        <v>0</v>
      </c>
      <c r="I165" s="73">
        <f>SUM(I166,I171)</f>
        <v>0</v>
      </c>
      <c r="J165" s="184">
        <f t="shared" si="55"/>
        <v>0</v>
      </c>
      <c r="K165" s="185">
        <f>SUM(K166,K171)</f>
        <v>0</v>
      </c>
      <c r="L165" s="73">
        <f>SUM(L166,L171)</f>
        <v>0</v>
      </c>
      <c r="M165" s="184">
        <f t="shared" si="55"/>
        <v>0</v>
      </c>
      <c r="N165" s="185">
        <f>SUM(N166,N171)</f>
        <v>0</v>
      </c>
      <c r="O165" s="73">
        <f>SUM(O166,O171)</f>
        <v>0</v>
      </c>
      <c r="P165" s="77"/>
    </row>
    <row r="166" spans="1:16" ht="23.25" customHeight="1" x14ac:dyDescent="0.25">
      <c r="A166" s="1373">
        <v>2510</v>
      </c>
      <c r="B166" s="82" t="s">
        <v>182</v>
      </c>
      <c r="C166" s="83">
        <f t="shared" si="48"/>
        <v>237</v>
      </c>
      <c r="D166" s="194">
        <f>SUM(D167:D170)</f>
        <v>237</v>
      </c>
      <c r="E166" s="195">
        <f>SUM(E167:E170)</f>
        <v>0</v>
      </c>
      <c r="F166" s="134">
        <f>SUM(F167:F170)</f>
        <v>237</v>
      </c>
      <c r="G166" s="194">
        <f t="shared" ref="G166:M166" si="56">SUM(G167:G170)</f>
        <v>0</v>
      </c>
      <c r="H166" s="195">
        <f>SUM(H167:H170)</f>
        <v>0</v>
      </c>
      <c r="I166" s="134">
        <f>SUM(I167:I170)</f>
        <v>0</v>
      </c>
      <c r="J166" s="194">
        <f t="shared" si="56"/>
        <v>0</v>
      </c>
      <c r="K166" s="195">
        <f>SUM(K167:K170)</f>
        <v>0</v>
      </c>
      <c r="L166" s="134">
        <f>SUM(L167:L170)</f>
        <v>0</v>
      </c>
      <c r="M166" s="194">
        <f t="shared" si="56"/>
        <v>0</v>
      </c>
      <c r="N166" s="195">
        <f>SUM(N167:N170)</f>
        <v>0</v>
      </c>
      <c r="O166" s="134">
        <f>SUM(O167:O170)</f>
        <v>0</v>
      </c>
      <c r="P166" s="49"/>
    </row>
    <row r="167" spans="1:16" ht="1.5" customHeight="1" x14ac:dyDescent="0.25">
      <c r="A167" s="51">
        <v>2512</v>
      </c>
      <c r="B167" s="89" t="s">
        <v>183</v>
      </c>
      <c r="C167" s="90">
        <f t="shared" si="48"/>
        <v>0</v>
      </c>
      <c r="D167" s="196"/>
      <c r="E167" s="197"/>
      <c r="F167" s="55">
        <f t="shared" ref="F167:F172" si="57">D167+E167</f>
        <v>0</v>
      </c>
      <c r="G167" s="53"/>
      <c r="H167" s="54"/>
      <c r="I167" s="55">
        <f t="shared" ref="I167:I172" si="58">G167+H167</f>
        <v>0</v>
      </c>
      <c r="J167" s="53"/>
      <c r="K167" s="54"/>
      <c r="L167" s="55">
        <f t="shared" ref="L167:L172" si="59">K167+J167</f>
        <v>0</v>
      </c>
      <c r="M167" s="53"/>
      <c r="N167" s="54"/>
      <c r="O167" s="55">
        <f t="shared" ref="O167:O172" si="60">N167+M167</f>
        <v>0</v>
      </c>
      <c r="P167" s="57"/>
    </row>
    <row r="168" spans="1:16" ht="39" customHeight="1" x14ac:dyDescent="0.25">
      <c r="A168" s="51">
        <v>2513</v>
      </c>
      <c r="B168" s="89" t="s">
        <v>184</v>
      </c>
      <c r="C168" s="90">
        <f t="shared" si="48"/>
        <v>237</v>
      </c>
      <c r="D168" s="196">
        <v>237</v>
      </c>
      <c r="E168" s="197"/>
      <c r="F168" s="55">
        <f t="shared" si="57"/>
        <v>237</v>
      </c>
      <c r="G168" s="53"/>
      <c r="H168" s="54"/>
      <c r="I168" s="55">
        <f t="shared" si="58"/>
        <v>0</v>
      </c>
      <c r="J168" s="53"/>
      <c r="K168" s="54"/>
      <c r="L168" s="55">
        <f t="shared" si="59"/>
        <v>0</v>
      </c>
      <c r="M168" s="53"/>
      <c r="N168" s="54"/>
      <c r="O168" s="55">
        <f t="shared" si="60"/>
        <v>0</v>
      </c>
      <c r="P168" s="57"/>
    </row>
    <row r="169" spans="1:16" ht="24" hidden="1" customHeight="1" x14ac:dyDescent="0.25">
      <c r="A169" s="51">
        <v>2515</v>
      </c>
      <c r="B169" s="89" t="s">
        <v>185</v>
      </c>
      <c r="C169" s="90">
        <f t="shared" si="48"/>
        <v>0</v>
      </c>
      <c r="D169" s="196"/>
      <c r="E169" s="197"/>
      <c r="F169" s="55">
        <f t="shared" si="57"/>
        <v>0</v>
      </c>
      <c r="G169" s="53"/>
      <c r="H169" s="54"/>
      <c r="I169" s="55">
        <f t="shared" si="58"/>
        <v>0</v>
      </c>
      <c r="J169" s="53"/>
      <c r="K169" s="54"/>
      <c r="L169" s="55">
        <f t="shared" si="59"/>
        <v>0</v>
      </c>
      <c r="M169" s="53"/>
      <c r="N169" s="54"/>
      <c r="O169" s="55">
        <f t="shared" si="60"/>
        <v>0</v>
      </c>
      <c r="P169" s="57"/>
    </row>
    <row r="170" spans="1:16" ht="24" hidden="1" customHeight="1" x14ac:dyDescent="0.25">
      <c r="A170" s="51">
        <v>2519</v>
      </c>
      <c r="B170" s="89" t="s">
        <v>186</v>
      </c>
      <c r="C170" s="90">
        <f t="shared" si="48"/>
        <v>0</v>
      </c>
      <c r="D170" s="196"/>
      <c r="E170" s="197"/>
      <c r="F170" s="55">
        <f t="shared" si="57"/>
        <v>0</v>
      </c>
      <c r="G170" s="53"/>
      <c r="H170" s="54"/>
      <c r="I170" s="55">
        <f t="shared" si="58"/>
        <v>0</v>
      </c>
      <c r="J170" s="53"/>
      <c r="K170" s="54"/>
      <c r="L170" s="55">
        <f t="shared" si="59"/>
        <v>0</v>
      </c>
      <c r="M170" s="53"/>
      <c r="N170" s="54"/>
      <c r="O170" s="55">
        <f t="shared" si="60"/>
        <v>0</v>
      </c>
      <c r="P170" s="57"/>
    </row>
    <row r="171" spans="1:16" ht="24" hidden="1" customHeight="1" x14ac:dyDescent="0.25">
      <c r="A171" s="189">
        <v>2520</v>
      </c>
      <c r="B171" s="89" t="s">
        <v>187</v>
      </c>
      <c r="C171" s="90">
        <f t="shared" si="48"/>
        <v>0</v>
      </c>
      <c r="D171" s="196"/>
      <c r="E171" s="197"/>
      <c r="F171" s="55">
        <f t="shared" si="57"/>
        <v>0</v>
      </c>
      <c r="G171" s="53"/>
      <c r="H171" s="54"/>
      <c r="I171" s="55">
        <f t="shared" si="58"/>
        <v>0</v>
      </c>
      <c r="J171" s="53"/>
      <c r="K171" s="54"/>
      <c r="L171" s="55">
        <f t="shared" si="59"/>
        <v>0</v>
      </c>
      <c r="M171" s="53"/>
      <c r="N171" s="54"/>
      <c r="O171" s="55">
        <f t="shared" si="60"/>
        <v>0</v>
      </c>
      <c r="P171" s="57"/>
    </row>
    <row r="172" spans="1:16" s="207" customFormat="1" ht="36" hidden="1" customHeight="1" x14ac:dyDescent="0.25">
      <c r="A172" s="23">
        <v>2800</v>
      </c>
      <c r="B172" s="82" t="s">
        <v>188</v>
      </c>
      <c r="C172" s="83">
        <f t="shared" si="48"/>
        <v>0</v>
      </c>
      <c r="D172" s="46"/>
      <c r="E172" s="47"/>
      <c r="F172" s="134">
        <f t="shared" si="57"/>
        <v>0</v>
      </c>
      <c r="G172" s="46"/>
      <c r="H172" s="47"/>
      <c r="I172" s="134">
        <f t="shared" si="58"/>
        <v>0</v>
      </c>
      <c r="J172" s="46"/>
      <c r="K172" s="47"/>
      <c r="L172" s="134">
        <f t="shared" si="59"/>
        <v>0</v>
      </c>
      <c r="M172" s="46"/>
      <c r="N172" s="47"/>
      <c r="O172" s="134">
        <f t="shared" si="60"/>
        <v>0</v>
      </c>
      <c r="P172" s="49"/>
    </row>
    <row r="173" spans="1:16" hidden="1" x14ac:dyDescent="0.25">
      <c r="A173" s="177">
        <v>3000</v>
      </c>
      <c r="B173" s="177" t="s">
        <v>189</v>
      </c>
      <c r="C173" s="178">
        <f t="shared" si="48"/>
        <v>0</v>
      </c>
      <c r="D173" s="179">
        <f t="shared" ref="D173:O173" si="61">SUM(D174,D184)</f>
        <v>0</v>
      </c>
      <c r="E173" s="180">
        <f t="shared" si="61"/>
        <v>0</v>
      </c>
      <c r="F173" s="181">
        <f t="shared" si="61"/>
        <v>0</v>
      </c>
      <c r="G173" s="179">
        <f t="shared" si="61"/>
        <v>0</v>
      </c>
      <c r="H173" s="180">
        <f t="shared" si="61"/>
        <v>0</v>
      </c>
      <c r="I173" s="181">
        <f t="shared" si="61"/>
        <v>0</v>
      </c>
      <c r="J173" s="179">
        <f t="shared" si="61"/>
        <v>0</v>
      </c>
      <c r="K173" s="180">
        <f t="shared" si="61"/>
        <v>0</v>
      </c>
      <c r="L173" s="181">
        <f t="shared" si="61"/>
        <v>0</v>
      </c>
      <c r="M173" s="179">
        <f t="shared" si="61"/>
        <v>0</v>
      </c>
      <c r="N173" s="180">
        <f t="shared" si="61"/>
        <v>0</v>
      </c>
      <c r="O173" s="181">
        <f t="shared" si="61"/>
        <v>0</v>
      </c>
      <c r="P173" s="182"/>
    </row>
    <row r="174" spans="1:16" ht="24" hidden="1" x14ac:dyDescent="0.25">
      <c r="A174" s="69">
        <v>3200</v>
      </c>
      <c r="B174" s="208" t="s">
        <v>190</v>
      </c>
      <c r="C174" s="70">
        <f t="shared" si="48"/>
        <v>0</v>
      </c>
      <c r="D174" s="184">
        <f>SUM(D175,D179)</f>
        <v>0</v>
      </c>
      <c r="E174" s="185">
        <f>SUM(E175,E179)</f>
        <v>0</v>
      </c>
      <c r="F174" s="73">
        <f>SUM(F175,F179)</f>
        <v>0</v>
      </c>
      <c r="G174" s="184">
        <f t="shared" ref="G174:M174" si="62">SUM(G175,G179)</f>
        <v>0</v>
      </c>
      <c r="H174" s="185">
        <f>SUM(H175,H179)</f>
        <v>0</v>
      </c>
      <c r="I174" s="73">
        <f>SUM(I175,I179)</f>
        <v>0</v>
      </c>
      <c r="J174" s="184">
        <f t="shared" si="62"/>
        <v>0</v>
      </c>
      <c r="K174" s="185">
        <f>SUM(K175,K179)</f>
        <v>0</v>
      </c>
      <c r="L174" s="73">
        <f>SUM(L175,L179)</f>
        <v>0</v>
      </c>
      <c r="M174" s="184">
        <f t="shared" si="62"/>
        <v>0</v>
      </c>
      <c r="N174" s="185">
        <f>SUM(N175,N179)</f>
        <v>0</v>
      </c>
      <c r="O174" s="73">
        <f>SUM(O175,O179)</f>
        <v>0</v>
      </c>
      <c r="P174" s="77"/>
    </row>
    <row r="175" spans="1:16" ht="36" hidden="1" x14ac:dyDescent="0.25">
      <c r="A175" s="1373">
        <v>3260</v>
      </c>
      <c r="B175" s="82" t="s">
        <v>191</v>
      </c>
      <c r="C175" s="83">
        <f t="shared" si="48"/>
        <v>0</v>
      </c>
      <c r="D175" s="194">
        <f t="shared" ref="D175:O175" si="63">SUM(D176:D178)</f>
        <v>0</v>
      </c>
      <c r="E175" s="195">
        <f t="shared" si="63"/>
        <v>0</v>
      </c>
      <c r="F175" s="134">
        <f t="shared" si="63"/>
        <v>0</v>
      </c>
      <c r="G175" s="194">
        <f t="shared" si="63"/>
        <v>0</v>
      </c>
      <c r="H175" s="195">
        <f t="shared" si="63"/>
        <v>0</v>
      </c>
      <c r="I175" s="134">
        <f t="shared" si="63"/>
        <v>0</v>
      </c>
      <c r="J175" s="194">
        <f t="shared" si="63"/>
        <v>0</v>
      </c>
      <c r="K175" s="195">
        <f t="shared" si="63"/>
        <v>0</v>
      </c>
      <c r="L175" s="134">
        <f t="shared" si="63"/>
        <v>0</v>
      </c>
      <c r="M175" s="194">
        <f t="shared" si="63"/>
        <v>0</v>
      </c>
      <c r="N175" s="195">
        <f t="shared" si="63"/>
        <v>0</v>
      </c>
      <c r="O175" s="134">
        <f t="shared" si="63"/>
        <v>0</v>
      </c>
      <c r="P175" s="49"/>
    </row>
    <row r="176" spans="1:16" ht="24" hidden="1" customHeight="1" x14ac:dyDescent="0.25">
      <c r="A176" s="51">
        <v>3261</v>
      </c>
      <c r="B176" s="89" t="s">
        <v>192</v>
      </c>
      <c r="C176" s="90">
        <f t="shared" si="48"/>
        <v>0</v>
      </c>
      <c r="D176" s="196"/>
      <c r="E176" s="197"/>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9" t="s">
        <v>193</v>
      </c>
      <c r="C177" s="90">
        <f t="shared" si="48"/>
        <v>0</v>
      </c>
      <c r="D177" s="196"/>
      <c r="E177" s="197"/>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9" t="s">
        <v>194</v>
      </c>
      <c r="C178" s="90">
        <f t="shared" si="48"/>
        <v>0</v>
      </c>
      <c r="D178" s="196"/>
      <c r="E178" s="197"/>
      <c r="F178" s="55">
        <f>D178+E178</f>
        <v>0</v>
      </c>
      <c r="G178" s="53"/>
      <c r="H178" s="54"/>
      <c r="I178" s="55">
        <f>G178+H178</f>
        <v>0</v>
      </c>
      <c r="J178" s="53"/>
      <c r="K178" s="54"/>
      <c r="L178" s="55">
        <f>K178+J178</f>
        <v>0</v>
      </c>
      <c r="M178" s="53"/>
      <c r="N178" s="54"/>
      <c r="O178" s="55">
        <f>N178+M178</f>
        <v>0</v>
      </c>
      <c r="P178" s="57"/>
    </row>
    <row r="179" spans="1:16" ht="84" hidden="1" x14ac:dyDescent="0.25">
      <c r="A179" s="1373">
        <v>3290</v>
      </c>
      <c r="B179" s="82" t="s">
        <v>195</v>
      </c>
      <c r="C179" s="209">
        <f t="shared" si="48"/>
        <v>0</v>
      </c>
      <c r="D179" s="194">
        <f>SUM(D180:D183)</f>
        <v>0</v>
      </c>
      <c r="E179" s="195">
        <f>SUM(E180:E183)</f>
        <v>0</v>
      </c>
      <c r="F179" s="134">
        <f>SUM(F180:F183)</f>
        <v>0</v>
      </c>
      <c r="G179" s="194">
        <f t="shared" ref="G179:M179" si="64">SUM(G180:G183)</f>
        <v>0</v>
      </c>
      <c r="H179" s="195">
        <f>SUM(H180:H183)</f>
        <v>0</v>
      </c>
      <c r="I179" s="134">
        <f>SUM(I180:I183)</f>
        <v>0</v>
      </c>
      <c r="J179" s="194">
        <f t="shared" si="64"/>
        <v>0</v>
      </c>
      <c r="K179" s="195">
        <f>SUM(K180:K183)</f>
        <v>0</v>
      </c>
      <c r="L179" s="134">
        <f>SUM(L180:L183)</f>
        <v>0</v>
      </c>
      <c r="M179" s="194">
        <f t="shared" si="64"/>
        <v>0</v>
      </c>
      <c r="N179" s="195">
        <f>SUM(N180:N183)</f>
        <v>0</v>
      </c>
      <c r="O179" s="134">
        <f>SUM(O180:O183)</f>
        <v>0</v>
      </c>
      <c r="P179" s="49"/>
    </row>
    <row r="180" spans="1:16" ht="72" hidden="1" customHeight="1" x14ac:dyDescent="0.25">
      <c r="A180" s="51">
        <v>3291</v>
      </c>
      <c r="B180" s="89" t="s">
        <v>196</v>
      </c>
      <c r="C180" s="90">
        <f t="shared" si="48"/>
        <v>0</v>
      </c>
      <c r="D180" s="196"/>
      <c r="E180" s="197"/>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9" t="s">
        <v>197</v>
      </c>
      <c r="C181" s="90">
        <f t="shared" si="48"/>
        <v>0</v>
      </c>
      <c r="D181" s="196"/>
      <c r="E181" s="197"/>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9" t="s">
        <v>198</v>
      </c>
      <c r="C182" s="90">
        <f t="shared" si="48"/>
        <v>0</v>
      </c>
      <c r="D182" s="196"/>
      <c r="E182" s="197"/>
      <c r="F182" s="55">
        <f>D182+E182</f>
        <v>0</v>
      </c>
      <c r="G182" s="53"/>
      <c r="H182" s="54"/>
      <c r="I182" s="55">
        <f>G182+H182</f>
        <v>0</v>
      </c>
      <c r="J182" s="53"/>
      <c r="K182" s="54"/>
      <c r="L182" s="55">
        <f>K182+J182</f>
        <v>0</v>
      </c>
      <c r="M182" s="53"/>
      <c r="N182" s="54"/>
      <c r="O182" s="55">
        <f>N182+M182</f>
        <v>0</v>
      </c>
      <c r="P182" s="57"/>
    </row>
    <row r="183" spans="1:16" ht="60" hidden="1" customHeight="1" x14ac:dyDescent="0.25">
      <c r="A183" s="210">
        <v>3294</v>
      </c>
      <c r="B183" s="89" t="s">
        <v>199</v>
      </c>
      <c r="C183" s="209">
        <f t="shared" si="48"/>
        <v>0</v>
      </c>
      <c r="D183" s="211"/>
      <c r="E183" s="212"/>
      <c r="F183" s="213">
        <f>D183+E183</f>
        <v>0</v>
      </c>
      <c r="G183" s="214"/>
      <c r="H183" s="215"/>
      <c r="I183" s="213">
        <f>G183+H183</f>
        <v>0</v>
      </c>
      <c r="J183" s="214"/>
      <c r="K183" s="215"/>
      <c r="L183" s="213">
        <f>K183+J183</f>
        <v>0</v>
      </c>
      <c r="M183" s="214"/>
      <c r="N183" s="215"/>
      <c r="O183" s="213">
        <f>N183+M183</f>
        <v>0</v>
      </c>
      <c r="P183" s="216"/>
    </row>
    <row r="184" spans="1:16" ht="48" hidden="1" x14ac:dyDescent="0.25">
      <c r="A184" s="217">
        <v>3300</v>
      </c>
      <c r="B184" s="208" t="s">
        <v>200</v>
      </c>
      <c r="C184" s="218">
        <f t="shared" si="48"/>
        <v>0</v>
      </c>
      <c r="D184" s="219">
        <f>SUM(D185:D186)</f>
        <v>0</v>
      </c>
      <c r="E184" s="220">
        <f>SUM(E185:E186)</f>
        <v>0</v>
      </c>
      <c r="F184" s="221">
        <f>SUM(F185:F186)</f>
        <v>0</v>
      </c>
      <c r="G184" s="219">
        <f t="shared" ref="G184:M184" si="65">SUM(G185:G186)</f>
        <v>0</v>
      </c>
      <c r="H184" s="220">
        <f>SUM(H185:H186)</f>
        <v>0</v>
      </c>
      <c r="I184" s="221">
        <f>SUM(I185:I186)</f>
        <v>0</v>
      </c>
      <c r="J184" s="219">
        <f t="shared" si="65"/>
        <v>0</v>
      </c>
      <c r="K184" s="220">
        <f>SUM(K185:K186)</f>
        <v>0</v>
      </c>
      <c r="L184" s="221">
        <f>SUM(L185:L186)</f>
        <v>0</v>
      </c>
      <c r="M184" s="219">
        <f t="shared" si="65"/>
        <v>0</v>
      </c>
      <c r="N184" s="220">
        <f>SUM(N185:N186)</f>
        <v>0</v>
      </c>
      <c r="O184" s="221">
        <f>SUM(O185:O186)</f>
        <v>0</v>
      </c>
      <c r="P184" s="222"/>
    </row>
    <row r="185" spans="1:16" ht="48" hidden="1" customHeight="1" x14ac:dyDescent="0.25">
      <c r="A185" s="137">
        <v>3310</v>
      </c>
      <c r="B185" s="138" t="s">
        <v>201</v>
      </c>
      <c r="C185" s="143">
        <f t="shared" si="48"/>
        <v>0</v>
      </c>
      <c r="D185" s="203"/>
      <c r="E185" s="204"/>
      <c r="F185" s="141">
        <f>D185+E185</f>
        <v>0</v>
      </c>
      <c r="G185" s="144"/>
      <c r="H185" s="145"/>
      <c r="I185" s="141">
        <f>G185+H185</f>
        <v>0</v>
      </c>
      <c r="J185" s="144"/>
      <c r="K185" s="145"/>
      <c r="L185" s="141">
        <f>K185+J185</f>
        <v>0</v>
      </c>
      <c r="M185" s="144"/>
      <c r="N185" s="145"/>
      <c r="O185" s="141">
        <f>N185+M185</f>
        <v>0</v>
      </c>
      <c r="P185" s="129"/>
    </row>
    <row r="186" spans="1:16" ht="48.75" hidden="1" customHeight="1" x14ac:dyDescent="0.25">
      <c r="A186" s="44">
        <v>3320</v>
      </c>
      <c r="B186" s="82" t="s">
        <v>202</v>
      </c>
      <c r="C186" s="83">
        <f t="shared" si="48"/>
        <v>0</v>
      </c>
      <c r="D186" s="199"/>
      <c r="E186" s="200"/>
      <c r="F186" s="134">
        <f>D186+E186</f>
        <v>0</v>
      </c>
      <c r="G186" s="46"/>
      <c r="H186" s="47"/>
      <c r="I186" s="134">
        <f>G186+H186</f>
        <v>0</v>
      </c>
      <c r="J186" s="46"/>
      <c r="K186" s="47"/>
      <c r="L186" s="134">
        <f>K186+J186</f>
        <v>0</v>
      </c>
      <c r="M186" s="46"/>
      <c r="N186" s="47"/>
      <c r="O186" s="134">
        <f>N186+M186</f>
        <v>0</v>
      </c>
      <c r="P186" s="49"/>
    </row>
    <row r="187" spans="1:16" hidden="1" x14ac:dyDescent="0.25">
      <c r="A187" s="223">
        <v>4000</v>
      </c>
      <c r="B187" s="177" t="s">
        <v>203</v>
      </c>
      <c r="C187" s="178">
        <f t="shared" si="48"/>
        <v>0</v>
      </c>
      <c r="D187" s="179">
        <f t="shared" ref="D187:O187" si="66">SUM(D188,D191)</f>
        <v>0</v>
      </c>
      <c r="E187" s="180">
        <f t="shared" si="66"/>
        <v>0</v>
      </c>
      <c r="F187" s="181">
        <f t="shared" si="66"/>
        <v>0</v>
      </c>
      <c r="G187" s="179">
        <f t="shared" si="66"/>
        <v>0</v>
      </c>
      <c r="H187" s="180">
        <f t="shared" si="66"/>
        <v>0</v>
      </c>
      <c r="I187" s="181">
        <f t="shared" si="66"/>
        <v>0</v>
      </c>
      <c r="J187" s="179">
        <f t="shared" si="66"/>
        <v>0</v>
      </c>
      <c r="K187" s="180">
        <f t="shared" si="66"/>
        <v>0</v>
      </c>
      <c r="L187" s="181">
        <f t="shared" si="66"/>
        <v>0</v>
      </c>
      <c r="M187" s="179">
        <f t="shared" si="66"/>
        <v>0</v>
      </c>
      <c r="N187" s="180">
        <f t="shared" si="66"/>
        <v>0</v>
      </c>
      <c r="O187" s="181">
        <f t="shared" si="66"/>
        <v>0</v>
      </c>
      <c r="P187" s="182"/>
    </row>
    <row r="188" spans="1:16" ht="24" hidden="1" x14ac:dyDescent="0.25">
      <c r="A188" s="224">
        <v>4200</v>
      </c>
      <c r="B188" s="183" t="s">
        <v>204</v>
      </c>
      <c r="C188" s="70">
        <f t="shared" si="48"/>
        <v>0</v>
      </c>
      <c r="D188" s="184">
        <f t="shared" ref="D188:O188" si="67">SUM(D189,D190)</f>
        <v>0</v>
      </c>
      <c r="E188" s="185">
        <f t="shared" si="67"/>
        <v>0</v>
      </c>
      <c r="F188" s="73">
        <f t="shared" si="67"/>
        <v>0</v>
      </c>
      <c r="G188" s="184">
        <f t="shared" si="67"/>
        <v>0</v>
      </c>
      <c r="H188" s="185">
        <f t="shared" si="67"/>
        <v>0</v>
      </c>
      <c r="I188" s="73">
        <f t="shared" si="67"/>
        <v>0</v>
      </c>
      <c r="J188" s="184">
        <f t="shared" si="67"/>
        <v>0</v>
      </c>
      <c r="K188" s="185">
        <f t="shared" si="67"/>
        <v>0</v>
      </c>
      <c r="L188" s="73">
        <f t="shared" si="67"/>
        <v>0</v>
      </c>
      <c r="M188" s="184">
        <f t="shared" si="67"/>
        <v>0</v>
      </c>
      <c r="N188" s="185">
        <f t="shared" si="67"/>
        <v>0</v>
      </c>
      <c r="O188" s="73">
        <f t="shared" si="67"/>
        <v>0</v>
      </c>
      <c r="P188" s="77"/>
    </row>
    <row r="189" spans="1:16" ht="36" hidden="1" customHeight="1" x14ac:dyDescent="0.25">
      <c r="A189" s="1373">
        <v>4240</v>
      </c>
      <c r="B189" s="82" t="s">
        <v>205</v>
      </c>
      <c r="C189" s="83">
        <f t="shared" si="48"/>
        <v>0</v>
      </c>
      <c r="D189" s="199"/>
      <c r="E189" s="200"/>
      <c r="F189" s="134">
        <f>D189+E189</f>
        <v>0</v>
      </c>
      <c r="G189" s="46"/>
      <c r="H189" s="47"/>
      <c r="I189" s="134">
        <f>G189+H189</f>
        <v>0</v>
      </c>
      <c r="J189" s="46"/>
      <c r="K189" s="47"/>
      <c r="L189" s="134">
        <f>K189+J189</f>
        <v>0</v>
      </c>
      <c r="M189" s="46"/>
      <c r="N189" s="47"/>
      <c r="O189" s="134">
        <f>N189+M189</f>
        <v>0</v>
      </c>
      <c r="P189" s="49"/>
    </row>
    <row r="190" spans="1:16" ht="24" hidden="1" customHeight="1" x14ac:dyDescent="0.25">
      <c r="A190" s="189">
        <v>4250</v>
      </c>
      <c r="B190" s="89" t="s">
        <v>206</v>
      </c>
      <c r="C190" s="90">
        <f t="shared" si="48"/>
        <v>0</v>
      </c>
      <c r="D190" s="196"/>
      <c r="E190" s="197"/>
      <c r="F190" s="55">
        <f>D190+E190</f>
        <v>0</v>
      </c>
      <c r="G190" s="53"/>
      <c r="H190" s="54"/>
      <c r="I190" s="55">
        <f>G190+H190</f>
        <v>0</v>
      </c>
      <c r="J190" s="53"/>
      <c r="K190" s="54"/>
      <c r="L190" s="55">
        <f>K190+J190</f>
        <v>0</v>
      </c>
      <c r="M190" s="53"/>
      <c r="N190" s="54"/>
      <c r="O190" s="55">
        <f>N190+M190</f>
        <v>0</v>
      </c>
      <c r="P190" s="57"/>
    </row>
    <row r="191" spans="1:16" hidden="1" x14ac:dyDescent="0.25">
      <c r="A191" s="69">
        <v>4300</v>
      </c>
      <c r="B191" s="183" t="s">
        <v>207</v>
      </c>
      <c r="C191" s="70">
        <f t="shared" si="48"/>
        <v>0</v>
      </c>
      <c r="D191" s="184">
        <f t="shared" ref="D191:O191" si="68">SUM(D192)</f>
        <v>0</v>
      </c>
      <c r="E191" s="185">
        <f t="shared" si="68"/>
        <v>0</v>
      </c>
      <c r="F191" s="73">
        <f t="shared" si="68"/>
        <v>0</v>
      </c>
      <c r="G191" s="184">
        <f t="shared" si="68"/>
        <v>0</v>
      </c>
      <c r="H191" s="185">
        <f t="shared" si="68"/>
        <v>0</v>
      </c>
      <c r="I191" s="73">
        <f t="shared" si="68"/>
        <v>0</v>
      </c>
      <c r="J191" s="184">
        <f t="shared" si="68"/>
        <v>0</v>
      </c>
      <c r="K191" s="185">
        <f t="shared" si="68"/>
        <v>0</v>
      </c>
      <c r="L191" s="73">
        <f t="shared" si="68"/>
        <v>0</v>
      </c>
      <c r="M191" s="184">
        <f t="shared" si="68"/>
        <v>0</v>
      </c>
      <c r="N191" s="185">
        <f t="shared" si="68"/>
        <v>0</v>
      </c>
      <c r="O191" s="73">
        <f t="shared" si="68"/>
        <v>0</v>
      </c>
      <c r="P191" s="77"/>
    </row>
    <row r="192" spans="1:16" ht="24" hidden="1" x14ac:dyDescent="0.25">
      <c r="A192" s="1373">
        <v>4310</v>
      </c>
      <c r="B192" s="82" t="s">
        <v>208</v>
      </c>
      <c r="C192" s="83">
        <f t="shared" si="48"/>
        <v>0</v>
      </c>
      <c r="D192" s="194">
        <f t="shared" ref="D192:O192" si="69">SUM(D193:D193)</f>
        <v>0</v>
      </c>
      <c r="E192" s="195">
        <f t="shared" si="69"/>
        <v>0</v>
      </c>
      <c r="F192" s="134">
        <f t="shared" si="69"/>
        <v>0</v>
      </c>
      <c r="G192" s="194">
        <f t="shared" si="69"/>
        <v>0</v>
      </c>
      <c r="H192" s="195">
        <f t="shared" si="69"/>
        <v>0</v>
      </c>
      <c r="I192" s="134">
        <f t="shared" si="69"/>
        <v>0</v>
      </c>
      <c r="J192" s="194">
        <f t="shared" si="69"/>
        <v>0</v>
      </c>
      <c r="K192" s="195">
        <f t="shared" si="69"/>
        <v>0</v>
      </c>
      <c r="L192" s="134">
        <f t="shared" si="69"/>
        <v>0</v>
      </c>
      <c r="M192" s="194">
        <f t="shared" si="69"/>
        <v>0</v>
      </c>
      <c r="N192" s="195">
        <f t="shared" si="69"/>
        <v>0</v>
      </c>
      <c r="O192" s="134">
        <f t="shared" si="69"/>
        <v>0</v>
      </c>
      <c r="P192" s="49"/>
    </row>
    <row r="193" spans="1:16" ht="36" hidden="1" customHeight="1" x14ac:dyDescent="0.25">
      <c r="A193" s="51">
        <v>4311</v>
      </c>
      <c r="B193" s="89" t="s">
        <v>209</v>
      </c>
      <c r="C193" s="90">
        <f t="shared" si="48"/>
        <v>0</v>
      </c>
      <c r="D193" s="196"/>
      <c r="E193" s="197"/>
      <c r="F193" s="55">
        <f>D193+E193</f>
        <v>0</v>
      </c>
      <c r="G193" s="53"/>
      <c r="H193" s="54"/>
      <c r="I193" s="55">
        <f>G193+H193</f>
        <v>0</v>
      </c>
      <c r="J193" s="53"/>
      <c r="K193" s="54"/>
      <c r="L193" s="55">
        <f>K193+J193</f>
        <v>0</v>
      </c>
      <c r="M193" s="53"/>
      <c r="N193" s="54"/>
      <c r="O193" s="55">
        <f>N193+M193</f>
        <v>0</v>
      </c>
      <c r="P193" s="57"/>
    </row>
    <row r="194" spans="1:16" s="28" customFormat="1" ht="26.25" customHeight="1" x14ac:dyDescent="0.25">
      <c r="A194" s="225"/>
      <c r="B194" s="23" t="s">
        <v>210</v>
      </c>
      <c r="C194" s="172">
        <f t="shared" si="48"/>
        <v>20315</v>
      </c>
      <c r="D194" s="173">
        <f t="shared" ref="D194:O194" si="70">SUM(D195,D230,D269,D283)</f>
        <v>11315</v>
      </c>
      <c r="E194" s="174">
        <f t="shared" si="70"/>
        <v>0</v>
      </c>
      <c r="F194" s="175">
        <f t="shared" si="70"/>
        <v>11315</v>
      </c>
      <c r="G194" s="173">
        <f t="shared" si="70"/>
        <v>6000</v>
      </c>
      <c r="H194" s="174">
        <f t="shared" si="70"/>
        <v>0</v>
      </c>
      <c r="I194" s="175">
        <f t="shared" si="70"/>
        <v>6000</v>
      </c>
      <c r="J194" s="173">
        <f t="shared" si="70"/>
        <v>3000</v>
      </c>
      <c r="K194" s="174">
        <f t="shared" si="70"/>
        <v>0</v>
      </c>
      <c r="L194" s="175">
        <f t="shared" si="70"/>
        <v>3000</v>
      </c>
      <c r="M194" s="173">
        <f t="shared" si="70"/>
        <v>0</v>
      </c>
      <c r="N194" s="174">
        <f t="shared" si="70"/>
        <v>0</v>
      </c>
      <c r="O194" s="175">
        <f t="shared" si="70"/>
        <v>0</v>
      </c>
      <c r="P194" s="176"/>
    </row>
    <row r="195" spans="1:16" x14ac:dyDescent="0.25">
      <c r="A195" s="177">
        <v>5000</v>
      </c>
      <c r="B195" s="177" t="s">
        <v>211</v>
      </c>
      <c r="C195" s="178">
        <f t="shared" si="48"/>
        <v>20315</v>
      </c>
      <c r="D195" s="179">
        <f t="shared" ref="D195:O195" si="71">D196+D204</f>
        <v>11315</v>
      </c>
      <c r="E195" s="180">
        <f t="shared" si="71"/>
        <v>0</v>
      </c>
      <c r="F195" s="181">
        <f t="shared" si="71"/>
        <v>11315</v>
      </c>
      <c r="G195" s="179">
        <f t="shared" si="71"/>
        <v>6000</v>
      </c>
      <c r="H195" s="180">
        <f t="shared" si="71"/>
        <v>0</v>
      </c>
      <c r="I195" s="181">
        <f t="shared" si="71"/>
        <v>6000</v>
      </c>
      <c r="J195" s="179">
        <f t="shared" si="71"/>
        <v>3000</v>
      </c>
      <c r="K195" s="180">
        <f t="shared" si="71"/>
        <v>0</v>
      </c>
      <c r="L195" s="181">
        <f t="shared" si="71"/>
        <v>3000</v>
      </c>
      <c r="M195" s="179">
        <f t="shared" si="71"/>
        <v>0</v>
      </c>
      <c r="N195" s="180">
        <f t="shared" si="71"/>
        <v>0</v>
      </c>
      <c r="O195" s="181">
        <f t="shared" si="71"/>
        <v>0</v>
      </c>
      <c r="P195" s="182"/>
    </row>
    <row r="196" spans="1:16" hidden="1" x14ac:dyDescent="0.25">
      <c r="A196" s="69">
        <v>5100</v>
      </c>
      <c r="B196" s="183" t="s">
        <v>212</v>
      </c>
      <c r="C196" s="70">
        <f t="shared" si="48"/>
        <v>0</v>
      </c>
      <c r="D196" s="184">
        <f t="shared" ref="D196:O196" si="72">D197+D198+D201+D202+D203</f>
        <v>0</v>
      </c>
      <c r="E196" s="185">
        <f t="shared" si="72"/>
        <v>0</v>
      </c>
      <c r="F196" s="73">
        <f t="shared" si="72"/>
        <v>0</v>
      </c>
      <c r="G196" s="184">
        <f t="shared" si="72"/>
        <v>0</v>
      </c>
      <c r="H196" s="185">
        <f t="shared" si="72"/>
        <v>0</v>
      </c>
      <c r="I196" s="73">
        <f t="shared" si="72"/>
        <v>0</v>
      </c>
      <c r="J196" s="184">
        <f t="shared" si="72"/>
        <v>0</v>
      </c>
      <c r="K196" s="185">
        <f t="shared" si="72"/>
        <v>0</v>
      </c>
      <c r="L196" s="73">
        <f t="shared" si="72"/>
        <v>0</v>
      </c>
      <c r="M196" s="184">
        <f t="shared" si="72"/>
        <v>0</v>
      </c>
      <c r="N196" s="185">
        <f t="shared" si="72"/>
        <v>0</v>
      </c>
      <c r="O196" s="73">
        <f t="shared" si="72"/>
        <v>0</v>
      </c>
      <c r="P196" s="77"/>
    </row>
    <row r="197" spans="1:16" ht="12" hidden="1" customHeight="1" x14ac:dyDescent="0.25">
      <c r="A197" s="1373">
        <v>5110</v>
      </c>
      <c r="B197" s="82" t="s">
        <v>213</v>
      </c>
      <c r="C197" s="83">
        <f t="shared" si="48"/>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48"/>
        <v>0</v>
      </c>
      <c r="D198" s="190">
        <f t="shared" ref="D198:O198" si="73">D199+D200</f>
        <v>0</v>
      </c>
      <c r="E198" s="191">
        <f t="shared" si="73"/>
        <v>0</v>
      </c>
      <c r="F198" s="55">
        <f t="shared" si="73"/>
        <v>0</v>
      </c>
      <c r="G198" s="190">
        <f t="shared" si="73"/>
        <v>0</v>
      </c>
      <c r="H198" s="191">
        <f t="shared" si="73"/>
        <v>0</v>
      </c>
      <c r="I198" s="55">
        <f t="shared" si="73"/>
        <v>0</v>
      </c>
      <c r="J198" s="190">
        <f t="shared" si="73"/>
        <v>0</v>
      </c>
      <c r="K198" s="191">
        <f t="shared" si="73"/>
        <v>0</v>
      </c>
      <c r="L198" s="55">
        <f t="shared" si="73"/>
        <v>0</v>
      </c>
      <c r="M198" s="190">
        <f t="shared" si="73"/>
        <v>0</v>
      </c>
      <c r="N198" s="191">
        <f t="shared" si="73"/>
        <v>0</v>
      </c>
      <c r="O198" s="55">
        <f t="shared" si="73"/>
        <v>0</v>
      </c>
      <c r="P198" s="57"/>
    </row>
    <row r="199" spans="1:16" ht="12" hidden="1" customHeight="1" x14ac:dyDescent="0.25">
      <c r="A199" s="51">
        <v>5121</v>
      </c>
      <c r="B199" s="89" t="s">
        <v>215</v>
      </c>
      <c r="C199" s="90">
        <f t="shared" si="48"/>
        <v>0</v>
      </c>
      <c r="D199" s="196"/>
      <c r="E199" s="197"/>
      <c r="F199" s="55">
        <f>D199+E199</f>
        <v>0</v>
      </c>
      <c r="G199" s="53"/>
      <c r="H199" s="54"/>
      <c r="I199" s="55">
        <f>G199+H199</f>
        <v>0</v>
      </c>
      <c r="J199" s="53"/>
      <c r="K199" s="54"/>
      <c r="L199" s="55">
        <f>K199+J199</f>
        <v>0</v>
      </c>
      <c r="M199" s="53"/>
      <c r="N199" s="54"/>
      <c r="O199" s="55">
        <f>N199+M199</f>
        <v>0</v>
      </c>
      <c r="P199" s="57"/>
    </row>
    <row r="200" spans="1:16" ht="24" hidden="1" customHeight="1" x14ac:dyDescent="0.25">
      <c r="A200" s="51">
        <v>5129</v>
      </c>
      <c r="B200" s="89" t="s">
        <v>216</v>
      </c>
      <c r="C200" s="90">
        <f t="shared" si="48"/>
        <v>0</v>
      </c>
      <c r="D200" s="196"/>
      <c r="E200" s="197"/>
      <c r="F200" s="55">
        <f>D200+E200</f>
        <v>0</v>
      </c>
      <c r="G200" s="53"/>
      <c r="H200" s="54"/>
      <c r="I200" s="55">
        <f>G200+H200</f>
        <v>0</v>
      </c>
      <c r="J200" s="53"/>
      <c r="K200" s="54"/>
      <c r="L200" s="55">
        <f>K200+J200</f>
        <v>0</v>
      </c>
      <c r="M200" s="53"/>
      <c r="N200" s="54"/>
      <c r="O200" s="55">
        <f>N200+M200</f>
        <v>0</v>
      </c>
      <c r="P200" s="57"/>
    </row>
    <row r="201" spans="1:16" ht="12" hidden="1" customHeight="1" x14ac:dyDescent="0.25">
      <c r="A201" s="189">
        <v>5130</v>
      </c>
      <c r="B201" s="89" t="s">
        <v>217</v>
      </c>
      <c r="C201" s="90">
        <f t="shared" si="48"/>
        <v>0</v>
      </c>
      <c r="D201" s="196"/>
      <c r="E201" s="197"/>
      <c r="F201" s="55">
        <f>D201+E201</f>
        <v>0</v>
      </c>
      <c r="G201" s="53"/>
      <c r="H201" s="54"/>
      <c r="I201" s="55">
        <f>G201+H201</f>
        <v>0</v>
      </c>
      <c r="J201" s="53"/>
      <c r="K201" s="54"/>
      <c r="L201" s="55">
        <f>K201+J201</f>
        <v>0</v>
      </c>
      <c r="M201" s="53"/>
      <c r="N201" s="54"/>
      <c r="O201" s="55">
        <f>N201+M201</f>
        <v>0</v>
      </c>
      <c r="P201" s="57"/>
    </row>
    <row r="202" spans="1:16" ht="12" hidden="1" customHeight="1" x14ac:dyDescent="0.25">
      <c r="A202" s="189">
        <v>5140</v>
      </c>
      <c r="B202" s="89" t="s">
        <v>218</v>
      </c>
      <c r="C202" s="90">
        <f t="shared" si="48"/>
        <v>0</v>
      </c>
      <c r="D202" s="196"/>
      <c r="E202" s="197"/>
      <c r="F202" s="55">
        <f>D202+E202</f>
        <v>0</v>
      </c>
      <c r="G202" s="53"/>
      <c r="H202" s="54"/>
      <c r="I202" s="55">
        <f>G202+H202</f>
        <v>0</v>
      </c>
      <c r="J202" s="53"/>
      <c r="K202" s="54"/>
      <c r="L202" s="55">
        <f>K202+J202</f>
        <v>0</v>
      </c>
      <c r="M202" s="53"/>
      <c r="N202" s="54"/>
      <c r="O202" s="55">
        <f>N202+M202</f>
        <v>0</v>
      </c>
      <c r="P202" s="57"/>
    </row>
    <row r="203" spans="1:16" ht="24" hidden="1" customHeight="1" x14ac:dyDescent="0.25">
      <c r="A203" s="189">
        <v>5170</v>
      </c>
      <c r="B203" s="89" t="s">
        <v>219</v>
      </c>
      <c r="C203" s="90">
        <f t="shared" si="48"/>
        <v>0</v>
      </c>
      <c r="D203" s="196"/>
      <c r="E203" s="197"/>
      <c r="F203" s="55">
        <f>D203+E203</f>
        <v>0</v>
      </c>
      <c r="G203" s="53"/>
      <c r="H203" s="54"/>
      <c r="I203" s="55">
        <f>G203+H203</f>
        <v>0</v>
      </c>
      <c r="J203" s="53"/>
      <c r="K203" s="54"/>
      <c r="L203" s="55">
        <f>K203+J203</f>
        <v>0</v>
      </c>
      <c r="M203" s="53"/>
      <c r="N203" s="54"/>
      <c r="O203" s="55">
        <f>N203+M203</f>
        <v>0</v>
      </c>
      <c r="P203" s="57"/>
    </row>
    <row r="204" spans="1:16" x14ac:dyDescent="0.25">
      <c r="A204" s="69">
        <v>5200</v>
      </c>
      <c r="B204" s="183" t="s">
        <v>220</v>
      </c>
      <c r="C204" s="70">
        <f t="shared" si="48"/>
        <v>20315</v>
      </c>
      <c r="D204" s="184">
        <f t="shared" ref="D204:O204" si="74">D205+D215+D216+D225+D226+D227+D229</f>
        <v>11315</v>
      </c>
      <c r="E204" s="185">
        <f t="shared" si="74"/>
        <v>0</v>
      </c>
      <c r="F204" s="73">
        <f t="shared" si="74"/>
        <v>11315</v>
      </c>
      <c r="G204" s="184">
        <f t="shared" si="74"/>
        <v>6000</v>
      </c>
      <c r="H204" s="185">
        <f t="shared" si="74"/>
        <v>0</v>
      </c>
      <c r="I204" s="73">
        <f t="shared" si="74"/>
        <v>6000</v>
      </c>
      <c r="J204" s="184">
        <f t="shared" si="74"/>
        <v>3000</v>
      </c>
      <c r="K204" s="185">
        <f t="shared" si="74"/>
        <v>0</v>
      </c>
      <c r="L204" s="73">
        <f t="shared" si="74"/>
        <v>3000</v>
      </c>
      <c r="M204" s="184">
        <f t="shared" si="74"/>
        <v>0</v>
      </c>
      <c r="N204" s="185">
        <f t="shared" si="74"/>
        <v>0</v>
      </c>
      <c r="O204" s="73">
        <f t="shared" si="74"/>
        <v>0</v>
      </c>
      <c r="P204" s="77"/>
    </row>
    <row r="205" spans="1:16" hidden="1" x14ac:dyDescent="0.25">
      <c r="A205" s="186">
        <v>5210</v>
      </c>
      <c r="B205" s="138" t="s">
        <v>221</v>
      </c>
      <c r="C205" s="143">
        <f t="shared" si="48"/>
        <v>0</v>
      </c>
      <c r="D205" s="187">
        <f t="shared" ref="D205:O205" si="75">SUM(D206:D214)</f>
        <v>0</v>
      </c>
      <c r="E205" s="188">
        <f t="shared" si="75"/>
        <v>0</v>
      </c>
      <c r="F205" s="141">
        <f t="shared" si="75"/>
        <v>0</v>
      </c>
      <c r="G205" s="187">
        <f t="shared" si="75"/>
        <v>0</v>
      </c>
      <c r="H205" s="188">
        <f t="shared" si="75"/>
        <v>0</v>
      </c>
      <c r="I205" s="141">
        <f t="shared" si="75"/>
        <v>0</v>
      </c>
      <c r="J205" s="187">
        <f t="shared" si="75"/>
        <v>0</v>
      </c>
      <c r="K205" s="188">
        <f t="shared" si="75"/>
        <v>0</v>
      </c>
      <c r="L205" s="141">
        <f t="shared" si="75"/>
        <v>0</v>
      </c>
      <c r="M205" s="187">
        <f t="shared" si="75"/>
        <v>0</v>
      </c>
      <c r="N205" s="188">
        <f t="shared" si="75"/>
        <v>0</v>
      </c>
      <c r="O205" s="141">
        <f t="shared" si="75"/>
        <v>0</v>
      </c>
      <c r="P205" s="129"/>
    </row>
    <row r="206" spans="1:16" ht="12" hidden="1" customHeight="1" x14ac:dyDescent="0.25">
      <c r="A206" s="44">
        <v>5211</v>
      </c>
      <c r="B206" s="82" t="s">
        <v>222</v>
      </c>
      <c r="C206" s="83">
        <f t="shared" si="48"/>
        <v>0</v>
      </c>
      <c r="D206" s="199"/>
      <c r="E206" s="200"/>
      <c r="F206" s="134">
        <f t="shared" ref="F206:F215" si="76">D206+E206</f>
        <v>0</v>
      </c>
      <c r="G206" s="46"/>
      <c r="H206" s="47"/>
      <c r="I206" s="134">
        <f t="shared" ref="I206:I215" si="77">G206+H206</f>
        <v>0</v>
      </c>
      <c r="J206" s="46"/>
      <c r="K206" s="47"/>
      <c r="L206" s="134">
        <f t="shared" ref="L206:L215" si="78">K206+J206</f>
        <v>0</v>
      </c>
      <c r="M206" s="46"/>
      <c r="N206" s="47"/>
      <c r="O206" s="134">
        <f t="shared" ref="O206:O215" si="79">N206+M206</f>
        <v>0</v>
      </c>
      <c r="P206" s="49"/>
    </row>
    <row r="207" spans="1:16" ht="12" hidden="1" customHeight="1" x14ac:dyDescent="0.25">
      <c r="A207" s="51">
        <v>5212</v>
      </c>
      <c r="B207" s="89" t="s">
        <v>223</v>
      </c>
      <c r="C207" s="90">
        <f t="shared" si="48"/>
        <v>0</v>
      </c>
      <c r="D207" s="196"/>
      <c r="E207" s="197"/>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9" t="s">
        <v>224</v>
      </c>
      <c r="C208" s="90">
        <f t="shared" si="48"/>
        <v>0</v>
      </c>
      <c r="D208" s="196"/>
      <c r="E208" s="197"/>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9" t="s">
        <v>225</v>
      </c>
      <c r="C209" s="90">
        <f t="shared" si="48"/>
        <v>0</v>
      </c>
      <c r="D209" s="196"/>
      <c r="E209" s="197"/>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9" t="s">
        <v>226</v>
      </c>
      <c r="C210" s="90">
        <f t="shared" si="48"/>
        <v>0</v>
      </c>
      <c r="D210" s="196"/>
      <c r="E210" s="197"/>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9" t="s">
        <v>227</v>
      </c>
      <c r="C211" s="90">
        <f t="shared" si="48"/>
        <v>0</v>
      </c>
      <c r="D211" s="196"/>
      <c r="E211" s="197"/>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9" t="s">
        <v>228</v>
      </c>
      <c r="C212" s="90">
        <f t="shared" ref="C212:C275" si="80">F212+I212+L212+O212</f>
        <v>0</v>
      </c>
      <c r="D212" s="196"/>
      <c r="E212" s="197"/>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9" t="s">
        <v>229</v>
      </c>
      <c r="C213" s="90">
        <f t="shared" si="80"/>
        <v>0</v>
      </c>
      <c r="D213" s="196"/>
      <c r="E213" s="197"/>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9" t="s">
        <v>230</v>
      </c>
      <c r="C214" s="90">
        <f t="shared" si="80"/>
        <v>0</v>
      </c>
      <c r="D214" s="196"/>
      <c r="E214" s="197"/>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9">
        <v>5220</v>
      </c>
      <c r="B215" s="89" t="s">
        <v>231</v>
      </c>
      <c r="C215" s="90">
        <f t="shared" si="80"/>
        <v>0</v>
      </c>
      <c r="D215" s="196"/>
      <c r="E215" s="197"/>
      <c r="F215" s="55">
        <f t="shared" si="76"/>
        <v>0</v>
      </c>
      <c r="G215" s="53"/>
      <c r="H215" s="54"/>
      <c r="I215" s="55">
        <f t="shared" si="77"/>
        <v>0</v>
      </c>
      <c r="J215" s="53"/>
      <c r="K215" s="54"/>
      <c r="L215" s="55">
        <f t="shared" si="78"/>
        <v>0</v>
      </c>
      <c r="M215" s="53"/>
      <c r="N215" s="54"/>
      <c r="O215" s="55">
        <f t="shared" si="79"/>
        <v>0</v>
      </c>
      <c r="P215" s="57"/>
    </row>
    <row r="216" spans="1:16" x14ac:dyDescent="0.25">
      <c r="A216" s="189">
        <v>5230</v>
      </c>
      <c r="B216" s="89" t="s">
        <v>232</v>
      </c>
      <c r="C216" s="90">
        <f t="shared" si="80"/>
        <v>20315</v>
      </c>
      <c r="D216" s="190">
        <f t="shared" ref="D216:O216" si="81">SUM(D217:D224)</f>
        <v>11315</v>
      </c>
      <c r="E216" s="191">
        <f t="shared" si="81"/>
        <v>0</v>
      </c>
      <c r="F216" s="55">
        <f t="shared" si="81"/>
        <v>11315</v>
      </c>
      <c r="G216" s="190">
        <f t="shared" si="81"/>
        <v>6000</v>
      </c>
      <c r="H216" s="191">
        <f t="shared" si="81"/>
        <v>0</v>
      </c>
      <c r="I216" s="55">
        <f t="shared" si="81"/>
        <v>6000</v>
      </c>
      <c r="J216" s="190">
        <f t="shared" si="81"/>
        <v>3000</v>
      </c>
      <c r="K216" s="191">
        <f t="shared" si="81"/>
        <v>0</v>
      </c>
      <c r="L216" s="55">
        <f t="shared" si="81"/>
        <v>3000</v>
      </c>
      <c r="M216" s="190">
        <f t="shared" si="81"/>
        <v>0</v>
      </c>
      <c r="N216" s="191">
        <f t="shared" si="81"/>
        <v>0</v>
      </c>
      <c r="O216" s="55">
        <f t="shared" si="81"/>
        <v>0</v>
      </c>
      <c r="P216" s="57"/>
    </row>
    <row r="217" spans="1:16" ht="12" hidden="1" customHeight="1" x14ac:dyDescent="0.25">
      <c r="A217" s="51">
        <v>5231</v>
      </c>
      <c r="B217" s="89" t="s">
        <v>233</v>
      </c>
      <c r="C217" s="90">
        <f t="shared" si="80"/>
        <v>0</v>
      </c>
      <c r="D217" s="196"/>
      <c r="E217" s="197"/>
      <c r="F217" s="55">
        <f t="shared" ref="F217:F226" si="82">D217+E217</f>
        <v>0</v>
      </c>
      <c r="G217" s="53"/>
      <c r="H217" s="54"/>
      <c r="I217" s="55">
        <f t="shared" ref="I217:I226" si="83">G217+H217</f>
        <v>0</v>
      </c>
      <c r="J217" s="53"/>
      <c r="K217" s="54"/>
      <c r="L217" s="55">
        <f t="shared" ref="L217:L226" si="84">K217+J217</f>
        <v>0</v>
      </c>
      <c r="M217" s="53"/>
      <c r="N217" s="54"/>
      <c r="O217" s="55">
        <f t="shared" ref="O217:O226" si="85">N217+M217</f>
        <v>0</v>
      </c>
      <c r="P217" s="57"/>
    </row>
    <row r="218" spans="1:16" ht="12" hidden="1" customHeight="1" x14ac:dyDescent="0.25">
      <c r="A218" s="51">
        <v>5232</v>
      </c>
      <c r="B218" s="89" t="s">
        <v>234</v>
      </c>
      <c r="C218" s="90">
        <f t="shared" si="80"/>
        <v>0</v>
      </c>
      <c r="D218" s="196"/>
      <c r="E218" s="197"/>
      <c r="F218" s="55">
        <f t="shared" si="82"/>
        <v>0</v>
      </c>
      <c r="G218" s="53"/>
      <c r="H218" s="54"/>
      <c r="I218" s="55">
        <f t="shared" si="83"/>
        <v>0</v>
      </c>
      <c r="J218" s="53"/>
      <c r="K218" s="54"/>
      <c r="L218" s="55">
        <f t="shared" si="84"/>
        <v>0</v>
      </c>
      <c r="M218" s="53"/>
      <c r="N218" s="54"/>
      <c r="O218" s="55">
        <f t="shared" si="85"/>
        <v>0</v>
      </c>
      <c r="P218" s="57"/>
    </row>
    <row r="219" spans="1:16" ht="12" customHeight="1" x14ac:dyDescent="0.25">
      <c r="A219" s="51">
        <v>5233</v>
      </c>
      <c r="B219" s="89" t="s">
        <v>235</v>
      </c>
      <c r="C219" s="90">
        <f t="shared" si="80"/>
        <v>13755</v>
      </c>
      <c r="D219" s="196">
        <v>7755</v>
      </c>
      <c r="E219" s="197"/>
      <c r="F219" s="55">
        <f t="shared" si="82"/>
        <v>7755</v>
      </c>
      <c r="G219" s="53">
        <v>6000</v>
      </c>
      <c r="H219" s="54"/>
      <c r="I219" s="55">
        <f t="shared" si="83"/>
        <v>6000</v>
      </c>
      <c r="J219" s="53"/>
      <c r="K219" s="54"/>
      <c r="L219" s="55">
        <f t="shared" si="84"/>
        <v>0</v>
      </c>
      <c r="M219" s="53"/>
      <c r="N219" s="54"/>
      <c r="O219" s="55">
        <f t="shared" si="85"/>
        <v>0</v>
      </c>
      <c r="P219" s="57"/>
    </row>
    <row r="220" spans="1:16" ht="24" hidden="1" customHeight="1" x14ac:dyDescent="0.25">
      <c r="A220" s="51">
        <v>5234</v>
      </c>
      <c r="B220" s="89" t="s">
        <v>236</v>
      </c>
      <c r="C220" s="90">
        <f t="shared" si="80"/>
        <v>0</v>
      </c>
      <c r="D220" s="196"/>
      <c r="E220" s="197"/>
      <c r="F220" s="55">
        <f t="shared" si="82"/>
        <v>0</v>
      </c>
      <c r="G220" s="53"/>
      <c r="H220" s="54"/>
      <c r="I220" s="55">
        <f t="shared" si="83"/>
        <v>0</v>
      </c>
      <c r="J220" s="53"/>
      <c r="K220" s="54"/>
      <c r="L220" s="55">
        <f t="shared" si="84"/>
        <v>0</v>
      </c>
      <c r="M220" s="53"/>
      <c r="N220" s="54"/>
      <c r="O220" s="55">
        <f t="shared" si="85"/>
        <v>0</v>
      </c>
      <c r="P220" s="57"/>
    </row>
    <row r="221" spans="1:16" ht="14.25" hidden="1" customHeight="1" x14ac:dyDescent="0.25">
      <c r="A221" s="51">
        <v>5236</v>
      </c>
      <c r="B221" s="89" t="s">
        <v>237</v>
      </c>
      <c r="C221" s="90">
        <f t="shared" si="80"/>
        <v>0</v>
      </c>
      <c r="D221" s="196"/>
      <c r="E221" s="197"/>
      <c r="F221" s="55">
        <f t="shared" si="82"/>
        <v>0</v>
      </c>
      <c r="G221" s="53"/>
      <c r="H221" s="54"/>
      <c r="I221" s="55">
        <f t="shared" si="83"/>
        <v>0</v>
      </c>
      <c r="J221" s="53"/>
      <c r="K221" s="54"/>
      <c r="L221" s="55">
        <f t="shared" si="84"/>
        <v>0</v>
      </c>
      <c r="M221" s="53"/>
      <c r="N221" s="54"/>
      <c r="O221" s="55">
        <f t="shared" si="85"/>
        <v>0</v>
      </c>
      <c r="P221" s="57"/>
    </row>
    <row r="222" spans="1:16" ht="14.25" hidden="1" customHeight="1" x14ac:dyDescent="0.25">
      <c r="A222" s="51">
        <v>5237</v>
      </c>
      <c r="B222" s="89" t="s">
        <v>238</v>
      </c>
      <c r="C222" s="90">
        <f t="shared" si="80"/>
        <v>0</v>
      </c>
      <c r="D222" s="196"/>
      <c r="E222" s="197"/>
      <c r="F222" s="55">
        <f t="shared" si="82"/>
        <v>0</v>
      </c>
      <c r="G222" s="53"/>
      <c r="H222" s="54"/>
      <c r="I222" s="55">
        <f t="shared" si="83"/>
        <v>0</v>
      </c>
      <c r="J222" s="53"/>
      <c r="K222" s="54"/>
      <c r="L222" s="55">
        <f t="shared" si="84"/>
        <v>0</v>
      </c>
      <c r="M222" s="53"/>
      <c r="N222" s="54"/>
      <c r="O222" s="55">
        <f t="shared" si="85"/>
        <v>0</v>
      </c>
      <c r="P222" s="57"/>
    </row>
    <row r="223" spans="1:16" ht="24" customHeight="1" x14ac:dyDescent="0.25">
      <c r="A223" s="51">
        <v>5238</v>
      </c>
      <c r="B223" s="89" t="s">
        <v>239</v>
      </c>
      <c r="C223" s="90">
        <f t="shared" si="80"/>
        <v>3111</v>
      </c>
      <c r="D223" s="196">
        <v>3111</v>
      </c>
      <c r="E223" s="197"/>
      <c r="F223" s="55">
        <f t="shared" si="82"/>
        <v>3111</v>
      </c>
      <c r="G223" s="53"/>
      <c r="H223" s="54"/>
      <c r="I223" s="55">
        <f t="shared" si="83"/>
        <v>0</v>
      </c>
      <c r="J223" s="53"/>
      <c r="K223" s="54"/>
      <c r="L223" s="55">
        <f t="shared" si="84"/>
        <v>0</v>
      </c>
      <c r="M223" s="53"/>
      <c r="N223" s="54"/>
      <c r="O223" s="55">
        <f t="shared" si="85"/>
        <v>0</v>
      </c>
      <c r="P223" s="57"/>
    </row>
    <row r="224" spans="1:16" ht="24" customHeight="1" x14ac:dyDescent="0.25">
      <c r="A224" s="51">
        <v>5239</v>
      </c>
      <c r="B224" s="89" t="s">
        <v>240</v>
      </c>
      <c r="C224" s="90">
        <f t="shared" si="80"/>
        <v>3449</v>
      </c>
      <c r="D224" s="196">
        <v>449</v>
      </c>
      <c r="E224" s="197"/>
      <c r="F224" s="55">
        <f t="shared" si="82"/>
        <v>449</v>
      </c>
      <c r="G224" s="53"/>
      <c r="H224" s="54"/>
      <c r="I224" s="55">
        <f t="shared" si="83"/>
        <v>0</v>
      </c>
      <c r="J224" s="53">
        <v>3000</v>
      </c>
      <c r="K224" s="54"/>
      <c r="L224" s="55">
        <f t="shared" si="84"/>
        <v>3000</v>
      </c>
      <c r="M224" s="53"/>
      <c r="N224" s="54"/>
      <c r="O224" s="55">
        <f t="shared" si="85"/>
        <v>0</v>
      </c>
      <c r="P224" s="57"/>
    </row>
    <row r="225" spans="1:16" ht="24" hidden="1" customHeight="1" x14ac:dyDescent="0.25">
      <c r="A225" s="189">
        <v>5240</v>
      </c>
      <c r="B225" s="89" t="s">
        <v>241</v>
      </c>
      <c r="C225" s="90">
        <f t="shared" si="80"/>
        <v>0</v>
      </c>
      <c r="D225" s="196"/>
      <c r="E225" s="197"/>
      <c r="F225" s="55">
        <f t="shared" si="82"/>
        <v>0</v>
      </c>
      <c r="G225" s="53"/>
      <c r="H225" s="54"/>
      <c r="I225" s="55">
        <f t="shared" si="83"/>
        <v>0</v>
      </c>
      <c r="J225" s="53"/>
      <c r="K225" s="54"/>
      <c r="L225" s="55">
        <f t="shared" si="84"/>
        <v>0</v>
      </c>
      <c r="M225" s="53"/>
      <c r="N225" s="54"/>
      <c r="O225" s="55">
        <f t="shared" si="85"/>
        <v>0</v>
      </c>
      <c r="P225" s="57"/>
    </row>
    <row r="226" spans="1:16" ht="12" hidden="1" customHeight="1" x14ac:dyDescent="0.25">
      <c r="A226" s="189">
        <v>5250</v>
      </c>
      <c r="B226" s="89" t="s">
        <v>242</v>
      </c>
      <c r="C226" s="90">
        <f t="shared" si="80"/>
        <v>0</v>
      </c>
      <c r="D226" s="196"/>
      <c r="E226" s="197"/>
      <c r="F226" s="55">
        <f t="shared" si="82"/>
        <v>0</v>
      </c>
      <c r="G226" s="53"/>
      <c r="H226" s="54"/>
      <c r="I226" s="55">
        <f t="shared" si="83"/>
        <v>0</v>
      </c>
      <c r="J226" s="53"/>
      <c r="K226" s="54"/>
      <c r="L226" s="55">
        <f t="shared" si="84"/>
        <v>0</v>
      </c>
      <c r="M226" s="53"/>
      <c r="N226" s="54"/>
      <c r="O226" s="55">
        <f t="shared" si="85"/>
        <v>0</v>
      </c>
      <c r="P226" s="57"/>
    </row>
    <row r="227" spans="1:16" hidden="1" x14ac:dyDescent="0.25">
      <c r="A227" s="189">
        <v>5260</v>
      </c>
      <c r="B227" s="89" t="s">
        <v>243</v>
      </c>
      <c r="C227" s="90">
        <f t="shared" si="80"/>
        <v>0</v>
      </c>
      <c r="D227" s="190">
        <f t="shared" ref="D227:O227" si="86">SUM(D228)</f>
        <v>0</v>
      </c>
      <c r="E227" s="191">
        <f t="shared" si="86"/>
        <v>0</v>
      </c>
      <c r="F227" s="55">
        <f t="shared" si="86"/>
        <v>0</v>
      </c>
      <c r="G227" s="190">
        <f t="shared" si="86"/>
        <v>0</v>
      </c>
      <c r="H227" s="191">
        <f t="shared" si="86"/>
        <v>0</v>
      </c>
      <c r="I227" s="55">
        <f t="shared" si="86"/>
        <v>0</v>
      </c>
      <c r="J227" s="190">
        <f t="shared" si="86"/>
        <v>0</v>
      </c>
      <c r="K227" s="191">
        <f t="shared" si="86"/>
        <v>0</v>
      </c>
      <c r="L227" s="55">
        <f t="shared" si="86"/>
        <v>0</v>
      </c>
      <c r="M227" s="190">
        <f t="shared" si="86"/>
        <v>0</v>
      </c>
      <c r="N227" s="191">
        <f t="shared" si="86"/>
        <v>0</v>
      </c>
      <c r="O227" s="55">
        <f t="shared" si="86"/>
        <v>0</v>
      </c>
      <c r="P227" s="57"/>
    </row>
    <row r="228" spans="1:16" ht="24" hidden="1" customHeight="1" x14ac:dyDescent="0.25">
      <c r="A228" s="51">
        <v>5269</v>
      </c>
      <c r="B228" s="89" t="s">
        <v>244</v>
      </c>
      <c r="C228" s="90">
        <f t="shared" si="80"/>
        <v>0</v>
      </c>
      <c r="D228" s="196"/>
      <c r="E228" s="197"/>
      <c r="F228" s="55">
        <f>D228+E228</f>
        <v>0</v>
      </c>
      <c r="G228" s="53"/>
      <c r="H228" s="54"/>
      <c r="I228" s="55">
        <f>G228+H228</f>
        <v>0</v>
      </c>
      <c r="J228" s="53"/>
      <c r="K228" s="54"/>
      <c r="L228" s="55">
        <f>K228+J228</f>
        <v>0</v>
      </c>
      <c r="M228" s="53"/>
      <c r="N228" s="54"/>
      <c r="O228" s="55">
        <f>N228+M228</f>
        <v>0</v>
      </c>
      <c r="P228" s="57"/>
    </row>
    <row r="229" spans="1:16" ht="24" hidden="1" customHeight="1" x14ac:dyDescent="0.25">
      <c r="A229" s="186">
        <v>5270</v>
      </c>
      <c r="B229" s="138" t="s">
        <v>245</v>
      </c>
      <c r="C229" s="143">
        <f t="shared" si="80"/>
        <v>0</v>
      </c>
      <c r="D229" s="203"/>
      <c r="E229" s="204"/>
      <c r="F229" s="141">
        <f>D229+E229</f>
        <v>0</v>
      </c>
      <c r="G229" s="144"/>
      <c r="H229" s="145"/>
      <c r="I229" s="141">
        <f>G229+H229</f>
        <v>0</v>
      </c>
      <c r="J229" s="144"/>
      <c r="K229" s="145"/>
      <c r="L229" s="141">
        <f>K229+J229</f>
        <v>0</v>
      </c>
      <c r="M229" s="144"/>
      <c r="N229" s="145"/>
      <c r="O229" s="141">
        <f>N229+M229</f>
        <v>0</v>
      </c>
      <c r="P229" s="129"/>
    </row>
    <row r="230" spans="1:16" hidden="1" x14ac:dyDescent="0.25">
      <c r="A230" s="177">
        <v>6000</v>
      </c>
      <c r="B230" s="177" t="s">
        <v>246</v>
      </c>
      <c r="C230" s="178">
        <f t="shared" si="80"/>
        <v>0</v>
      </c>
      <c r="D230" s="179">
        <f t="shared" ref="D230:O230" si="87">D231+D251+D259</f>
        <v>0</v>
      </c>
      <c r="E230" s="180">
        <f t="shared" si="87"/>
        <v>0</v>
      </c>
      <c r="F230" s="181">
        <f t="shared" si="87"/>
        <v>0</v>
      </c>
      <c r="G230" s="179">
        <f t="shared" si="87"/>
        <v>0</v>
      </c>
      <c r="H230" s="180">
        <f t="shared" si="87"/>
        <v>0</v>
      </c>
      <c r="I230" s="181">
        <f t="shared" si="87"/>
        <v>0</v>
      </c>
      <c r="J230" s="179">
        <f t="shared" si="87"/>
        <v>0</v>
      </c>
      <c r="K230" s="180">
        <f t="shared" si="87"/>
        <v>0</v>
      </c>
      <c r="L230" s="181">
        <f t="shared" si="87"/>
        <v>0</v>
      </c>
      <c r="M230" s="179">
        <f t="shared" si="87"/>
        <v>0</v>
      </c>
      <c r="N230" s="180">
        <f t="shared" si="87"/>
        <v>0</v>
      </c>
      <c r="O230" s="181">
        <f t="shared" si="87"/>
        <v>0</v>
      </c>
      <c r="P230" s="182"/>
    </row>
    <row r="231" spans="1:16" ht="14.25" hidden="1" customHeight="1" x14ac:dyDescent="0.25">
      <c r="A231" s="217">
        <v>6200</v>
      </c>
      <c r="B231" s="208" t="s">
        <v>247</v>
      </c>
      <c r="C231" s="218">
        <f t="shared" si="80"/>
        <v>0</v>
      </c>
      <c r="D231" s="219">
        <f t="shared" ref="D231:O231" si="88">SUM(D232,D233,D235,D238,D244,D245,D246)</f>
        <v>0</v>
      </c>
      <c r="E231" s="220">
        <f t="shared" si="88"/>
        <v>0</v>
      </c>
      <c r="F231" s="221">
        <f t="shared" si="88"/>
        <v>0</v>
      </c>
      <c r="G231" s="219">
        <f t="shared" si="88"/>
        <v>0</v>
      </c>
      <c r="H231" s="220">
        <f t="shared" si="88"/>
        <v>0</v>
      </c>
      <c r="I231" s="221">
        <f t="shared" si="88"/>
        <v>0</v>
      </c>
      <c r="J231" s="219">
        <f t="shared" si="88"/>
        <v>0</v>
      </c>
      <c r="K231" s="220">
        <f t="shared" si="88"/>
        <v>0</v>
      </c>
      <c r="L231" s="221">
        <f t="shared" si="88"/>
        <v>0</v>
      </c>
      <c r="M231" s="219">
        <f t="shared" si="88"/>
        <v>0</v>
      </c>
      <c r="N231" s="220">
        <f t="shared" si="88"/>
        <v>0</v>
      </c>
      <c r="O231" s="221">
        <f t="shared" si="88"/>
        <v>0</v>
      </c>
      <c r="P231" s="222"/>
    </row>
    <row r="232" spans="1:16" ht="24" hidden="1" customHeight="1" x14ac:dyDescent="0.25">
      <c r="A232" s="1373">
        <v>6220</v>
      </c>
      <c r="B232" s="82" t="s">
        <v>248</v>
      </c>
      <c r="C232" s="83">
        <f t="shared" si="80"/>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80"/>
        <v>0</v>
      </c>
      <c r="D233" s="190">
        <f t="shared" ref="D233:O233" si="89">SUM(D234)</f>
        <v>0</v>
      </c>
      <c r="E233" s="191">
        <f t="shared" si="89"/>
        <v>0</v>
      </c>
      <c r="F233" s="55">
        <f t="shared" si="89"/>
        <v>0</v>
      </c>
      <c r="G233" s="190">
        <f t="shared" si="89"/>
        <v>0</v>
      </c>
      <c r="H233" s="191">
        <f t="shared" si="89"/>
        <v>0</v>
      </c>
      <c r="I233" s="55">
        <f t="shared" si="89"/>
        <v>0</v>
      </c>
      <c r="J233" s="190">
        <f t="shared" si="89"/>
        <v>0</v>
      </c>
      <c r="K233" s="191">
        <f t="shared" si="89"/>
        <v>0</v>
      </c>
      <c r="L233" s="55">
        <f t="shared" si="89"/>
        <v>0</v>
      </c>
      <c r="M233" s="190">
        <f t="shared" si="89"/>
        <v>0</v>
      </c>
      <c r="N233" s="191">
        <f t="shared" si="89"/>
        <v>0</v>
      </c>
      <c r="O233" s="55">
        <f t="shared" si="89"/>
        <v>0</v>
      </c>
      <c r="P233" s="57"/>
    </row>
    <row r="234" spans="1:16" ht="24" hidden="1" customHeight="1" x14ac:dyDescent="0.25">
      <c r="A234" s="51">
        <v>6239</v>
      </c>
      <c r="B234" s="82" t="s">
        <v>250</v>
      </c>
      <c r="C234" s="90">
        <f t="shared" si="80"/>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80"/>
        <v>0</v>
      </c>
      <c r="D235" s="190">
        <f t="shared" ref="D235:O235" si="90">SUM(D236:D237)</f>
        <v>0</v>
      </c>
      <c r="E235" s="191">
        <f t="shared" si="90"/>
        <v>0</v>
      </c>
      <c r="F235" s="55">
        <f t="shared" si="90"/>
        <v>0</v>
      </c>
      <c r="G235" s="190">
        <f t="shared" si="90"/>
        <v>0</v>
      </c>
      <c r="H235" s="191">
        <f t="shared" si="90"/>
        <v>0</v>
      </c>
      <c r="I235" s="55">
        <f t="shared" si="90"/>
        <v>0</v>
      </c>
      <c r="J235" s="190">
        <f t="shared" si="90"/>
        <v>0</v>
      </c>
      <c r="K235" s="191">
        <f t="shared" si="90"/>
        <v>0</v>
      </c>
      <c r="L235" s="55">
        <f t="shared" si="90"/>
        <v>0</v>
      </c>
      <c r="M235" s="190">
        <f t="shared" si="90"/>
        <v>0</v>
      </c>
      <c r="N235" s="191">
        <f t="shared" si="90"/>
        <v>0</v>
      </c>
      <c r="O235" s="55">
        <f t="shared" si="90"/>
        <v>0</v>
      </c>
      <c r="P235" s="57"/>
    </row>
    <row r="236" spans="1:16" ht="12" hidden="1" customHeight="1" x14ac:dyDescent="0.25">
      <c r="A236" s="51">
        <v>6241</v>
      </c>
      <c r="B236" s="89" t="s">
        <v>252</v>
      </c>
      <c r="C236" s="90">
        <f t="shared" si="80"/>
        <v>0</v>
      </c>
      <c r="D236" s="196"/>
      <c r="E236" s="197"/>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9" t="s">
        <v>253</v>
      </c>
      <c r="C237" s="90">
        <f t="shared" si="80"/>
        <v>0</v>
      </c>
      <c r="D237" s="196"/>
      <c r="E237" s="197"/>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9">
        <v>6250</v>
      </c>
      <c r="B238" s="89" t="s">
        <v>254</v>
      </c>
      <c r="C238" s="90">
        <f t="shared" si="80"/>
        <v>0</v>
      </c>
      <c r="D238" s="190">
        <f t="shared" ref="D238:O238" si="91">SUM(D239:D243)</f>
        <v>0</v>
      </c>
      <c r="E238" s="191">
        <f t="shared" si="91"/>
        <v>0</v>
      </c>
      <c r="F238" s="55">
        <f t="shared" si="91"/>
        <v>0</v>
      </c>
      <c r="G238" s="190">
        <f t="shared" si="91"/>
        <v>0</v>
      </c>
      <c r="H238" s="191">
        <f t="shared" si="91"/>
        <v>0</v>
      </c>
      <c r="I238" s="55">
        <f t="shared" si="91"/>
        <v>0</v>
      </c>
      <c r="J238" s="190">
        <f t="shared" si="91"/>
        <v>0</v>
      </c>
      <c r="K238" s="191">
        <f t="shared" si="91"/>
        <v>0</v>
      </c>
      <c r="L238" s="55">
        <f t="shared" si="91"/>
        <v>0</v>
      </c>
      <c r="M238" s="190">
        <f t="shared" si="91"/>
        <v>0</v>
      </c>
      <c r="N238" s="191">
        <f t="shared" si="91"/>
        <v>0</v>
      </c>
      <c r="O238" s="55">
        <f t="shared" si="91"/>
        <v>0</v>
      </c>
      <c r="P238" s="57"/>
    </row>
    <row r="239" spans="1:16" ht="14.25" hidden="1" customHeight="1" x14ac:dyDescent="0.25">
      <c r="A239" s="51">
        <v>6252</v>
      </c>
      <c r="B239" s="89" t="s">
        <v>255</v>
      </c>
      <c r="C239" s="90">
        <f t="shared" si="80"/>
        <v>0</v>
      </c>
      <c r="D239" s="196"/>
      <c r="E239" s="197"/>
      <c r="F239" s="55">
        <f t="shared" ref="F239:F245" si="92">D239+E239</f>
        <v>0</v>
      </c>
      <c r="G239" s="53"/>
      <c r="H239" s="54"/>
      <c r="I239" s="55">
        <f t="shared" ref="I239:I245" si="93">G239+H239</f>
        <v>0</v>
      </c>
      <c r="J239" s="53"/>
      <c r="K239" s="54"/>
      <c r="L239" s="55">
        <f t="shared" ref="L239:L245" si="94">K239+J239</f>
        <v>0</v>
      </c>
      <c r="M239" s="53"/>
      <c r="N239" s="54"/>
      <c r="O239" s="55">
        <f t="shared" ref="O239:O245" si="95">N239+M239</f>
        <v>0</v>
      </c>
      <c r="P239" s="57"/>
    </row>
    <row r="240" spans="1:16" ht="14.25" hidden="1" customHeight="1" x14ac:dyDescent="0.25">
      <c r="A240" s="51">
        <v>6253</v>
      </c>
      <c r="B240" s="89" t="s">
        <v>256</v>
      </c>
      <c r="C240" s="90">
        <f t="shared" si="80"/>
        <v>0</v>
      </c>
      <c r="D240" s="196"/>
      <c r="E240" s="197"/>
      <c r="F240" s="55">
        <f t="shared" si="92"/>
        <v>0</v>
      </c>
      <c r="G240" s="53"/>
      <c r="H240" s="54"/>
      <c r="I240" s="55">
        <f t="shared" si="93"/>
        <v>0</v>
      </c>
      <c r="J240" s="53"/>
      <c r="K240" s="54"/>
      <c r="L240" s="55">
        <f t="shared" si="94"/>
        <v>0</v>
      </c>
      <c r="M240" s="53"/>
      <c r="N240" s="54"/>
      <c r="O240" s="55">
        <f t="shared" si="95"/>
        <v>0</v>
      </c>
      <c r="P240" s="57"/>
    </row>
    <row r="241" spans="1:16" ht="24" hidden="1" customHeight="1" x14ac:dyDescent="0.25">
      <c r="A241" s="51">
        <v>6254</v>
      </c>
      <c r="B241" s="89" t="s">
        <v>257</v>
      </c>
      <c r="C241" s="90">
        <f t="shared" si="80"/>
        <v>0</v>
      </c>
      <c r="D241" s="196"/>
      <c r="E241" s="197"/>
      <c r="F241" s="55">
        <f t="shared" si="92"/>
        <v>0</v>
      </c>
      <c r="G241" s="53"/>
      <c r="H241" s="54"/>
      <c r="I241" s="55">
        <f t="shared" si="93"/>
        <v>0</v>
      </c>
      <c r="J241" s="53"/>
      <c r="K241" s="54"/>
      <c r="L241" s="55">
        <f t="shared" si="94"/>
        <v>0</v>
      </c>
      <c r="M241" s="53"/>
      <c r="N241" s="54"/>
      <c r="O241" s="55">
        <f t="shared" si="95"/>
        <v>0</v>
      </c>
      <c r="P241" s="57"/>
    </row>
    <row r="242" spans="1:16" ht="24" hidden="1" customHeight="1" x14ac:dyDescent="0.25">
      <c r="A242" s="51">
        <v>6255</v>
      </c>
      <c r="B242" s="89" t="s">
        <v>258</v>
      </c>
      <c r="C242" s="90">
        <f t="shared" si="80"/>
        <v>0</v>
      </c>
      <c r="D242" s="196"/>
      <c r="E242" s="197"/>
      <c r="F242" s="55">
        <f t="shared" si="92"/>
        <v>0</v>
      </c>
      <c r="G242" s="53"/>
      <c r="H242" s="54"/>
      <c r="I242" s="55">
        <f t="shared" si="93"/>
        <v>0</v>
      </c>
      <c r="J242" s="53"/>
      <c r="K242" s="54"/>
      <c r="L242" s="55">
        <f t="shared" si="94"/>
        <v>0</v>
      </c>
      <c r="M242" s="53"/>
      <c r="N242" s="54"/>
      <c r="O242" s="55">
        <f t="shared" si="95"/>
        <v>0</v>
      </c>
      <c r="P242" s="57"/>
    </row>
    <row r="243" spans="1:16" ht="12" hidden="1" customHeight="1" x14ac:dyDescent="0.25">
      <c r="A243" s="51">
        <v>6259</v>
      </c>
      <c r="B243" s="89" t="s">
        <v>259</v>
      </c>
      <c r="C243" s="90">
        <f t="shared" si="80"/>
        <v>0</v>
      </c>
      <c r="D243" s="196"/>
      <c r="E243" s="197"/>
      <c r="F243" s="55">
        <f t="shared" si="92"/>
        <v>0</v>
      </c>
      <c r="G243" s="53"/>
      <c r="H243" s="54"/>
      <c r="I243" s="55">
        <f t="shared" si="93"/>
        <v>0</v>
      </c>
      <c r="J243" s="53"/>
      <c r="K243" s="54"/>
      <c r="L243" s="55">
        <f t="shared" si="94"/>
        <v>0</v>
      </c>
      <c r="M243" s="53"/>
      <c r="N243" s="54"/>
      <c r="O243" s="55">
        <f t="shared" si="95"/>
        <v>0</v>
      </c>
      <c r="P243" s="57"/>
    </row>
    <row r="244" spans="1:16" ht="24" hidden="1" customHeight="1" x14ac:dyDescent="0.25">
      <c r="A244" s="189">
        <v>6260</v>
      </c>
      <c r="B244" s="89" t="s">
        <v>260</v>
      </c>
      <c r="C244" s="90">
        <f t="shared" si="80"/>
        <v>0</v>
      </c>
      <c r="D244" s="196"/>
      <c r="E244" s="197"/>
      <c r="F244" s="55">
        <f t="shared" si="92"/>
        <v>0</v>
      </c>
      <c r="G244" s="53"/>
      <c r="H244" s="54"/>
      <c r="I244" s="55">
        <f t="shared" si="93"/>
        <v>0</v>
      </c>
      <c r="J244" s="53"/>
      <c r="K244" s="54"/>
      <c r="L244" s="55">
        <f t="shared" si="94"/>
        <v>0</v>
      </c>
      <c r="M244" s="53"/>
      <c r="N244" s="54"/>
      <c r="O244" s="55">
        <f t="shared" si="95"/>
        <v>0</v>
      </c>
      <c r="P244" s="57"/>
    </row>
    <row r="245" spans="1:16" ht="12" hidden="1" customHeight="1" x14ac:dyDescent="0.25">
      <c r="A245" s="189">
        <v>6270</v>
      </c>
      <c r="B245" s="89" t="s">
        <v>261</v>
      </c>
      <c r="C245" s="90">
        <f t="shared" si="80"/>
        <v>0</v>
      </c>
      <c r="D245" s="196"/>
      <c r="E245" s="197"/>
      <c r="F245" s="55">
        <f t="shared" si="92"/>
        <v>0</v>
      </c>
      <c r="G245" s="53"/>
      <c r="H245" s="54"/>
      <c r="I245" s="55">
        <f t="shared" si="93"/>
        <v>0</v>
      </c>
      <c r="J245" s="53"/>
      <c r="K245" s="54"/>
      <c r="L245" s="55">
        <f t="shared" si="94"/>
        <v>0</v>
      </c>
      <c r="M245" s="53"/>
      <c r="N245" s="54"/>
      <c r="O245" s="55">
        <f t="shared" si="95"/>
        <v>0</v>
      </c>
      <c r="P245" s="57"/>
    </row>
    <row r="246" spans="1:16" ht="24" hidden="1" x14ac:dyDescent="0.25">
      <c r="A246" s="1373">
        <v>6290</v>
      </c>
      <c r="B246" s="82" t="s">
        <v>262</v>
      </c>
      <c r="C246" s="209">
        <f t="shared" si="80"/>
        <v>0</v>
      </c>
      <c r="D246" s="194">
        <f>SUM(D247:D250)</f>
        <v>0</v>
      </c>
      <c r="E246" s="195">
        <f>SUM(E247:E250)</f>
        <v>0</v>
      </c>
      <c r="F246" s="134">
        <f>SUM(F247:F250)</f>
        <v>0</v>
      </c>
      <c r="G246" s="194">
        <f t="shared" ref="G246:M246" si="96">SUM(G247:G250)</f>
        <v>0</v>
      </c>
      <c r="H246" s="195">
        <f>SUM(H247:H250)</f>
        <v>0</v>
      </c>
      <c r="I246" s="134">
        <f>SUM(I247:I250)</f>
        <v>0</v>
      </c>
      <c r="J246" s="194">
        <f t="shared" si="96"/>
        <v>0</v>
      </c>
      <c r="K246" s="195">
        <f>SUM(K247:K250)</f>
        <v>0</v>
      </c>
      <c r="L246" s="134">
        <f>SUM(L247:L250)</f>
        <v>0</v>
      </c>
      <c r="M246" s="194">
        <f t="shared" si="96"/>
        <v>0</v>
      </c>
      <c r="N246" s="195">
        <f>SUM(N247:N250)</f>
        <v>0</v>
      </c>
      <c r="O246" s="134">
        <f>SUM(O247:O250)</f>
        <v>0</v>
      </c>
      <c r="P246" s="49"/>
    </row>
    <row r="247" spans="1:16" ht="12" hidden="1" customHeight="1" x14ac:dyDescent="0.25">
      <c r="A247" s="51">
        <v>6291</v>
      </c>
      <c r="B247" s="89" t="s">
        <v>263</v>
      </c>
      <c r="C247" s="90">
        <f t="shared" si="80"/>
        <v>0</v>
      </c>
      <c r="D247" s="196"/>
      <c r="E247" s="197"/>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9" t="s">
        <v>264</v>
      </c>
      <c r="C248" s="90">
        <f t="shared" si="80"/>
        <v>0</v>
      </c>
      <c r="D248" s="196"/>
      <c r="E248" s="197"/>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9" t="s">
        <v>265</v>
      </c>
      <c r="C249" s="90">
        <f t="shared" si="80"/>
        <v>0</v>
      </c>
      <c r="D249" s="196"/>
      <c r="E249" s="197"/>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9" t="s">
        <v>266</v>
      </c>
      <c r="C250" s="90">
        <f t="shared" si="80"/>
        <v>0</v>
      </c>
      <c r="D250" s="196"/>
      <c r="E250" s="197"/>
      <c r="F250" s="55">
        <f>D250+E250</f>
        <v>0</v>
      </c>
      <c r="G250" s="53"/>
      <c r="H250" s="54"/>
      <c r="I250" s="55">
        <f>G250+H250</f>
        <v>0</v>
      </c>
      <c r="J250" s="53"/>
      <c r="K250" s="54"/>
      <c r="L250" s="55">
        <f>K250+J250</f>
        <v>0</v>
      </c>
      <c r="M250" s="53"/>
      <c r="N250" s="54"/>
      <c r="O250" s="55">
        <f>N250+M250</f>
        <v>0</v>
      </c>
      <c r="P250" s="57"/>
    </row>
    <row r="251" spans="1:16" hidden="1" x14ac:dyDescent="0.25">
      <c r="A251" s="69">
        <v>6300</v>
      </c>
      <c r="B251" s="183" t="s">
        <v>267</v>
      </c>
      <c r="C251" s="70">
        <f t="shared" si="80"/>
        <v>0</v>
      </c>
      <c r="D251" s="184">
        <f>SUM(D252,D257,D258)</f>
        <v>0</v>
      </c>
      <c r="E251" s="185">
        <f>SUM(E252,E257,E258)</f>
        <v>0</v>
      </c>
      <c r="F251" s="73">
        <f>SUM(F252,F257,F258)</f>
        <v>0</v>
      </c>
      <c r="G251" s="184">
        <f t="shared" ref="G251:M251" si="97">SUM(G252,G257,G258)</f>
        <v>0</v>
      </c>
      <c r="H251" s="185">
        <f>SUM(H252,H257,H258)</f>
        <v>0</v>
      </c>
      <c r="I251" s="73">
        <f>SUM(I252,I257,I258)</f>
        <v>0</v>
      </c>
      <c r="J251" s="184">
        <f t="shared" si="97"/>
        <v>0</v>
      </c>
      <c r="K251" s="185">
        <f>SUM(K252,K257,K258)</f>
        <v>0</v>
      </c>
      <c r="L251" s="73">
        <f>SUM(L252,L257,L258)</f>
        <v>0</v>
      </c>
      <c r="M251" s="184">
        <f t="shared" si="97"/>
        <v>0</v>
      </c>
      <c r="N251" s="185">
        <f>SUM(N252,N257,N258)</f>
        <v>0</v>
      </c>
      <c r="O251" s="73">
        <f>SUM(O252,O257,O258)</f>
        <v>0</v>
      </c>
      <c r="P251" s="77"/>
    </row>
    <row r="252" spans="1:16" ht="24" hidden="1" x14ac:dyDescent="0.25">
      <c r="A252" s="1373">
        <v>6320</v>
      </c>
      <c r="B252" s="82" t="s">
        <v>268</v>
      </c>
      <c r="C252" s="209">
        <f t="shared" si="80"/>
        <v>0</v>
      </c>
      <c r="D252" s="194">
        <f>SUM(D253:D256)</f>
        <v>0</v>
      </c>
      <c r="E252" s="195">
        <f>SUM(E253:E256)</f>
        <v>0</v>
      </c>
      <c r="F252" s="134">
        <f>SUM(F253:F256)</f>
        <v>0</v>
      </c>
      <c r="G252" s="194">
        <f t="shared" ref="G252:M252" si="98">SUM(G253:G256)</f>
        <v>0</v>
      </c>
      <c r="H252" s="195">
        <f>SUM(H253:H256)</f>
        <v>0</v>
      </c>
      <c r="I252" s="134">
        <f>SUM(I253:I256)</f>
        <v>0</v>
      </c>
      <c r="J252" s="194">
        <f t="shared" si="98"/>
        <v>0</v>
      </c>
      <c r="K252" s="195">
        <f>SUM(K253:K256)</f>
        <v>0</v>
      </c>
      <c r="L252" s="134">
        <f>SUM(L253:L256)</f>
        <v>0</v>
      </c>
      <c r="M252" s="194">
        <f t="shared" si="98"/>
        <v>0</v>
      </c>
      <c r="N252" s="195">
        <f>SUM(N253:N256)</f>
        <v>0</v>
      </c>
      <c r="O252" s="134">
        <f>SUM(O253:O256)</f>
        <v>0</v>
      </c>
      <c r="P252" s="49"/>
    </row>
    <row r="253" spans="1:16" ht="12" hidden="1" customHeight="1" x14ac:dyDescent="0.25">
      <c r="A253" s="51">
        <v>6322</v>
      </c>
      <c r="B253" s="89" t="s">
        <v>269</v>
      </c>
      <c r="C253" s="90">
        <f t="shared" si="80"/>
        <v>0</v>
      </c>
      <c r="D253" s="196"/>
      <c r="E253" s="197"/>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9" t="s">
        <v>270</v>
      </c>
      <c r="C254" s="90">
        <f t="shared" si="80"/>
        <v>0</v>
      </c>
      <c r="D254" s="196"/>
      <c r="E254" s="197"/>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9" t="s">
        <v>271</v>
      </c>
      <c r="C255" s="90">
        <f t="shared" si="80"/>
        <v>0</v>
      </c>
      <c r="D255" s="196"/>
      <c r="E255" s="197"/>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2" t="s">
        <v>272</v>
      </c>
      <c r="C256" s="83">
        <f t="shared" si="80"/>
        <v>0</v>
      </c>
      <c r="D256" s="199"/>
      <c r="E256" s="200"/>
      <c r="F256" s="134">
        <f t="shared" si="99"/>
        <v>0</v>
      </c>
      <c r="G256" s="46"/>
      <c r="H256" s="47"/>
      <c r="I256" s="134">
        <f t="shared" si="100"/>
        <v>0</v>
      </c>
      <c r="J256" s="46"/>
      <c r="K256" s="47"/>
      <c r="L256" s="134">
        <f t="shared" si="101"/>
        <v>0</v>
      </c>
      <c r="M256" s="46"/>
      <c r="N256" s="47"/>
      <c r="O256" s="134">
        <f t="shared" si="102"/>
        <v>0</v>
      </c>
      <c r="P256" s="49"/>
    </row>
    <row r="257" spans="1:16" ht="24" hidden="1" customHeight="1" x14ac:dyDescent="0.25">
      <c r="A257" s="226">
        <v>6330</v>
      </c>
      <c r="B257" s="227" t="s">
        <v>273</v>
      </c>
      <c r="C257" s="209">
        <f t="shared" si="80"/>
        <v>0</v>
      </c>
      <c r="D257" s="211"/>
      <c r="E257" s="212"/>
      <c r="F257" s="213">
        <f t="shared" si="99"/>
        <v>0</v>
      </c>
      <c r="G257" s="214"/>
      <c r="H257" s="215"/>
      <c r="I257" s="213">
        <f t="shared" si="100"/>
        <v>0</v>
      </c>
      <c r="J257" s="214"/>
      <c r="K257" s="215"/>
      <c r="L257" s="213">
        <f t="shared" si="101"/>
        <v>0</v>
      </c>
      <c r="M257" s="214"/>
      <c r="N257" s="215"/>
      <c r="O257" s="213">
        <f t="shared" si="102"/>
        <v>0</v>
      </c>
      <c r="P257" s="216"/>
    </row>
    <row r="258" spans="1:16" ht="12" hidden="1" customHeight="1" x14ac:dyDescent="0.25">
      <c r="A258" s="189">
        <v>6360</v>
      </c>
      <c r="B258" s="89" t="s">
        <v>274</v>
      </c>
      <c r="C258" s="90">
        <f t="shared" si="80"/>
        <v>0</v>
      </c>
      <c r="D258" s="196"/>
      <c r="E258" s="197"/>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9">
        <v>6400</v>
      </c>
      <c r="B259" s="183" t="s">
        <v>275</v>
      </c>
      <c r="C259" s="70">
        <f t="shared" si="80"/>
        <v>0</v>
      </c>
      <c r="D259" s="184">
        <f>SUM(D260,D264)</f>
        <v>0</v>
      </c>
      <c r="E259" s="185">
        <f>SUM(E260,E264)</f>
        <v>0</v>
      </c>
      <c r="F259" s="73">
        <f>SUM(F260,F264)</f>
        <v>0</v>
      </c>
      <c r="G259" s="184">
        <f t="shared" ref="G259:M259" si="103">SUM(G260,G264)</f>
        <v>0</v>
      </c>
      <c r="H259" s="185">
        <f>SUM(H260,H264)</f>
        <v>0</v>
      </c>
      <c r="I259" s="73">
        <f>SUM(I260,I264)</f>
        <v>0</v>
      </c>
      <c r="J259" s="184">
        <f t="shared" si="103"/>
        <v>0</v>
      </c>
      <c r="K259" s="185">
        <f>SUM(K260,K264)</f>
        <v>0</v>
      </c>
      <c r="L259" s="73">
        <f>SUM(L260,L264)</f>
        <v>0</v>
      </c>
      <c r="M259" s="184">
        <f t="shared" si="103"/>
        <v>0</v>
      </c>
      <c r="N259" s="185">
        <f>SUM(N260,N264)</f>
        <v>0</v>
      </c>
      <c r="O259" s="73">
        <f>SUM(O260,O264)</f>
        <v>0</v>
      </c>
      <c r="P259" s="77"/>
    </row>
    <row r="260" spans="1:16" ht="24" hidden="1" x14ac:dyDescent="0.25">
      <c r="A260" s="1373">
        <v>6410</v>
      </c>
      <c r="B260" s="82" t="s">
        <v>276</v>
      </c>
      <c r="C260" s="83">
        <f t="shared" si="80"/>
        <v>0</v>
      </c>
      <c r="D260" s="194">
        <f>SUM(D261:D263)</f>
        <v>0</v>
      </c>
      <c r="E260" s="195">
        <f>SUM(E261:E263)</f>
        <v>0</v>
      </c>
      <c r="F260" s="134">
        <f>SUM(F261:F263)</f>
        <v>0</v>
      </c>
      <c r="G260" s="194">
        <f t="shared" ref="G260:M260" si="104">SUM(G261:G263)</f>
        <v>0</v>
      </c>
      <c r="H260" s="195">
        <f>SUM(H261:H263)</f>
        <v>0</v>
      </c>
      <c r="I260" s="134">
        <f>SUM(I261:I263)</f>
        <v>0</v>
      </c>
      <c r="J260" s="194">
        <f t="shared" si="104"/>
        <v>0</v>
      </c>
      <c r="K260" s="195">
        <f>SUM(K261:K263)</f>
        <v>0</v>
      </c>
      <c r="L260" s="134">
        <f>SUM(L261:L263)</f>
        <v>0</v>
      </c>
      <c r="M260" s="194">
        <f t="shared" si="104"/>
        <v>0</v>
      </c>
      <c r="N260" s="195">
        <f>SUM(N261:N263)</f>
        <v>0</v>
      </c>
      <c r="O260" s="134">
        <f>SUM(O261:O263)</f>
        <v>0</v>
      </c>
      <c r="P260" s="49"/>
    </row>
    <row r="261" spans="1:16" ht="12" hidden="1" customHeight="1" x14ac:dyDescent="0.25">
      <c r="A261" s="51">
        <v>6411</v>
      </c>
      <c r="B261" s="201" t="s">
        <v>277</v>
      </c>
      <c r="C261" s="90">
        <f t="shared" si="80"/>
        <v>0</v>
      </c>
      <c r="D261" s="196"/>
      <c r="E261" s="197"/>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9" t="s">
        <v>278</v>
      </c>
      <c r="C262" s="90">
        <f t="shared" si="80"/>
        <v>0</v>
      </c>
      <c r="D262" s="196"/>
      <c r="E262" s="197"/>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9" t="s">
        <v>279</v>
      </c>
      <c r="C263" s="90">
        <f t="shared" si="80"/>
        <v>0</v>
      </c>
      <c r="D263" s="196"/>
      <c r="E263" s="197"/>
      <c r="F263" s="55">
        <f>D263+E263</f>
        <v>0</v>
      </c>
      <c r="G263" s="53"/>
      <c r="H263" s="54"/>
      <c r="I263" s="55">
        <f>G263+H263</f>
        <v>0</v>
      </c>
      <c r="J263" s="53"/>
      <c r="K263" s="54"/>
      <c r="L263" s="55">
        <f>K263+J263</f>
        <v>0</v>
      </c>
      <c r="M263" s="53"/>
      <c r="N263" s="54"/>
      <c r="O263" s="55">
        <f>N263+M263</f>
        <v>0</v>
      </c>
      <c r="P263" s="57"/>
    </row>
    <row r="264" spans="1:16" ht="48" hidden="1" x14ac:dyDescent="0.25">
      <c r="A264" s="189">
        <v>6420</v>
      </c>
      <c r="B264" s="89" t="s">
        <v>280</v>
      </c>
      <c r="C264" s="90">
        <f t="shared" si="80"/>
        <v>0</v>
      </c>
      <c r="D264" s="190">
        <f t="shared" ref="D264:O264" si="105">SUM(D265:D268)</f>
        <v>0</v>
      </c>
      <c r="E264" s="191">
        <f t="shared" si="105"/>
        <v>0</v>
      </c>
      <c r="F264" s="55">
        <f t="shared" si="105"/>
        <v>0</v>
      </c>
      <c r="G264" s="190">
        <f t="shared" si="105"/>
        <v>0</v>
      </c>
      <c r="H264" s="191">
        <f t="shared" si="105"/>
        <v>0</v>
      </c>
      <c r="I264" s="55">
        <f t="shared" si="105"/>
        <v>0</v>
      </c>
      <c r="J264" s="190">
        <f t="shared" si="105"/>
        <v>0</v>
      </c>
      <c r="K264" s="191">
        <f t="shared" si="105"/>
        <v>0</v>
      </c>
      <c r="L264" s="55">
        <f t="shared" si="105"/>
        <v>0</v>
      </c>
      <c r="M264" s="190">
        <f t="shared" si="105"/>
        <v>0</v>
      </c>
      <c r="N264" s="191">
        <f t="shared" si="105"/>
        <v>0</v>
      </c>
      <c r="O264" s="55">
        <f t="shared" si="105"/>
        <v>0</v>
      </c>
      <c r="P264" s="57"/>
    </row>
    <row r="265" spans="1:16" ht="36" hidden="1" customHeight="1" x14ac:dyDescent="0.25">
      <c r="A265" s="51">
        <v>6421</v>
      </c>
      <c r="B265" s="89" t="s">
        <v>281</v>
      </c>
      <c r="C265" s="90">
        <f t="shared" si="80"/>
        <v>0</v>
      </c>
      <c r="D265" s="196"/>
      <c r="E265" s="197"/>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9" t="s">
        <v>282</v>
      </c>
      <c r="C266" s="90">
        <f t="shared" si="80"/>
        <v>0</v>
      </c>
      <c r="D266" s="196"/>
      <c r="E266" s="197"/>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9" t="s">
        <v>283</v>
      </c>
      <c r="C267" s="90">
        <f t="shared" si="80"/>
        <v>0</v>
      </c>
      <c r="D267" s="196"/>
      <c r="E267" s="197"/>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9" t="s">
        <v>284</v>
      </c>
      <c r="C268" s="90">
        <f t="shared" si="80"/>
        <v>0</v>
      </c>
      <c r="D268" s="196"/>
      <c r="E268" s="197"/>
      <c r="F268" s="55">
        <f>D268+E268</f>
        <v>0</v>
      </c>
      <c r="G268" s="53"/>
      <c r="H268" s="54"/>
      <c r="I268" s="55">
        <f>G268+H268</f>
        <v>0</v>
      </c>
      <c r="J268" s="53"/>
      <c r="K268" s="54"/>
      <c r="L268" s="55">
        <f>K268+J268</f>
        <v>0</v>
      </c>
      <c r="M268" s="53"/>
      <c r="N268" s="54"/>
      <c r="O268" s="55">
        <f>N268+M268</f>
        <v>0</v>
      </c>
      <c r="P268" s="57"/>
    </row>
    <row r="269" spans="1:16" ht="48" hidden="1" x14ac:dyDescent="0.25">
      <c r="A269" s="228">
        <v>7000</v>
      </c>
      <c r="B269" s="228" t="s">
        <v>285</v>
      </c>
      <c r="C269" s="229">
        <f t="shared" si="80"/>
        <v>0</v>
      </c>
      <c r="D269" s="230">
        <f t="shared" ref="D269:O269" si="106">SUM(D270,D281)</f>
        <v>0</v>
      </c>
      <c r="E269" s="231">
        <f t="shared" si="106"/>
        <v>0</v>
      </c>
      <c r="F269" s="232">
        <f t="shared" si="106"/>
        <v>0</v>
      </c>
      <c r="G269" s="230">
        <f t="shared" si="106"/>
        <v>0</v>
      </c>
      <c r="H269" s="231">
        <f t="shared" si="106"/>
        <v>0</v>
      </c>
      <c r="I269" s="232">
        <f t="shared" si="106"/>
        <v>0</v>
      </c>
      <c r="J269" s="230">
        <f t="shared" si="106"/>
        <v>0</v>
      </c>
      <c r="K269" s="231">
        <f t="shared" si="106"/>
        <v>0</v>
      </c>
      <c r="L269" s="232">
        <f t="shared" si="106"/>
        <v>0</v>
      </c>
      <c r="M269" s="230">
        <f t="shared" si="106"/>
        <v>0</v>
      </c>
      <c r="N269" s="231">
        <f t="shared" si="106"/>
        <v>0</v>
      </c>
      <c r="O269" s="232">
        <f t="shared" si="106"/>
        <v>0</v>
      </c>
      <c r="P269" s="233"/>
    </row>
    <row r="270" spans="1:16" ht="24" hidden="1" x14ac:dyDescent="0.25">
      <c r="A270" s="69">
        <v>7200</v>
      </c>
      <c r="B270" s="183" t="s">
        <v>286</v>
      </c>
      <c r="C270" s="70">
        <f t="shared" si="80"/>
        <v>0</v>
      </c>
      <c r="D270" s="184">
        <f t="shared" ref="D270:O270" si="107">SUM(D271,D272,D275,D276,D280)</f>
        <v>0</v>
      </c>
      <c r="E270" s="185">
        <f t="shared" si="107"/>
        <v>0</v>
      </c>
      <c r="F270" s="73">
        <f t="shared" si="107"/>
        <v>0</v>
      </c>
      <c r="G270" s="184">
        <f t="shared" si="107"/>
        <v>0</v>
      </c>
      <c r="H270" s="185">
        <f t="shared" si="107"/>
        <v>0</v>
      </c>
      <c r="I270" s="73">
        <f t="shared" si="107"/>
        <v>0</v>
      </c>
      <c r="J270" s="184">
        <f t="shared" si="107"/>
        <v>0</v>
      </c>
      <c r="K270" s="185">
        <f t="shared" si="107"/>
        <v>0</v>
      </c>
      <c r="L270" s="73">
        <f t="shared" si="107"/>
        <v>0</v>
      </c>
      <c r="M270" s="184">
        <f t="shared" si="107"/>
        <v>0</v>
      </c>
      <c r="N270" s="185">
        <f t="shared" si="107"/>
        <v>0</v>
      </c>
      <c r="O270" s="73">
        <f t="shared" si="107"/>
        <v>0</v>
      </c>
      <c r="P270" s="77"/>
    </row>
    <row r="271" spans="1:16" ht="24" hidden="1" customHeight="1" x14ac:dyDescent="0.25">
      <c r="A271" s="1373">
        <v>7210</v>
      </c>
      <c r="B271" s="82" t="s">
        <v>287</v>
      </c>
      <c r="C271" s="83">
        <f t="shared" si="80"/>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80"/>
        <v>0</v>
      </c>
      <c r="D272" s="190">
        <f t="shared" ref="D272:O272" si="108">SUM(D273:D274)</f>
        <v>0</v>
      </c>
      <c r="E272" s="191">
        <f t="shared" si="108"/>
        <v>0</v>
      </c>
      <c r="F272" s="55">
        <f t="shared" si="108"/>
        <v>0</v>
      </c>
      <c r="G272" s="190">
        <f t="shared" si="108"/>
        <v>0</v>
      </c>
      <c r="H272" s="191">
        <f t="shared" si="108"/>
        <v>0</v>
      </c>
      <c r="I272" s="55">
        <f t="shared" si="108"/>
        <v>0</v>
      </c>
      <c r="J272" s="190">
        <f t="shared" si="108"/>
        <v>0</v>
      </c>
      <c r="K272" s="191">
        <f t="shared" si="108"/>
        <v>0</v>
      </c>
      <c r="L272" s="55">
        <f t="shared" si="108"/>
        <v>0</v>
      </c>
      <c r="M272" s="190">
        <f t="shared" si="108"/>
        <v>0</v>
      </c>
      <c r="N272" s="191">
        <f t="shared" si="108"/>
        <v>0</v>
      </c>
      <c r="O272" s="55">
        <f t="shared" si="108"/>
        <v>0</v>
      </c>
      <c r="P272" s="57"/>
    </row>
    <row r="273" spans="1:16" s="234" customFormat="1" ht="36" hidden="1" customHeight="1" x14ac:dyDescent="0.25">
      <c r="A273" s="51">
        <v>7221</v>
      </c>
      <c r="B273" s="89" t="s">
        <v>289</v>
      </c>
      <c r="C273" s="90">
        <f t="shared" si="80"/>
        <v>0</v>
      </c>
      <c r="D273" s="196"/>
      <c r="E273" s="197"/>
      <c r="F273" s="55">
        <f>D273+E273</f>
        <v>0</v>
      </c>
      <c r="G273" s="53"/>
      <c r="H273" s="54"/>
      <c r="I273" s="55">
        <f>G273+H273</f>
        <v>0</v>
      </c>
      <c r="J273" s="53"/>
      <c r="K273" s="54"/>
      <c r="L273" s="55">
        <f>K273+J273</f>
        <v>0</v>
      </c>
      <c r="M273" s="53"/>
      <c r="N273" s="54"/>
      <c r="O273" s="55">
        <f>N273+M273</f>
        <v>0</v>
      </c>
      <c r="P273" s="57"/>
    </row>
    <row r="274" spans="1:16" s="234" customFormat="1" ht="36" hidden="1" customHeight="1" x14ac:dyDescent="0.25">
      <c r="A274" s="51">
        <v>7222</v>
      </c>
      <c r="B274" s="89" t="s">
        <v>290</v>
      </c>
      <c r="C274" s="90">
        <f t="shared" si="80"/>
        <v>0</v>
      </c>
      <c r="D274" s="196"/>
      <c r="E274" s="197"/>
      <c r="F274" s="55">
        <f>D274+E274</f>
        <v>0</v>
      </c>
      <c r="G274" s="53"/>
      <c r="H274" s="54"/>
      <c r="I274" s="55">
        <f>G274+H274</f>
        <v>0</v>
      </c>
      <c r="J274" s="53"/>
      <c r="K274" s="54"/>
      <c r="L274" s="55">
        <f>K274+J274</f>
        <v>0</v>
      </c>
      <c r="M274" s="53"/>
      <c r="N274" s="54"/>
      <c r="O274" s="55">
        <f>N274+M274</f>
        <v>0</v>
      </c>
      <c r="P274" s="57"/>
    </row>
    <row r="275" spans="1:16" ht="24" hidden="1" customHeight="1" x14ac:dyDescent="0.25">
      <c r="A275" s="189">
        <v>7230</v>
      </c>
      <c r="B275" s="89" t="s">
        <v>291</v>
      </c>
      <c r="C275" s="90">
        <f t="shared" si="80"/>
        <v>0</v>
      </c>
      <c r="D275" s="196"/>
      <c r="E275" s="197"/>
      <c r="F275" s="55">
        <f>D275+E275</f>
        <v>0</v>
      </c>
      <c r="G275" s="53"/>
      <c r="H275" s="54"/>
      <c r="I275" s="55">
        <f>G275+H275</f>
        <v>0</v>
      </c>
      <c r="J275" s="53"/>
      <c r="K275" s="54"/>
      <c r="L275" s="55">
        <f>K275+J275</f>
        <v>0</v>
      </c>
      <c r="M275" s="53"/>
      <c r="N275" s="54"/>
      <c r="O275" s="55">
        <f>N275+M275</f>
        <v>0</v>
      </c>
      <c r="P275" s="57"/>
    </row>
    <row r="276" spans="1:16" ht="24" hidden="1" x14ac:dyDescent="0.25">
      <c r="A276" s="189">
        <v>7240</v>
      </c>
      <c r="B276" s="89" t="s">
        <v>292</v>
      </c>
      <c r="C276" s="90">
        <f t="shared" ref="C276:C301" si="109">F276+I276+L276+O276</f>
        <v>0</v>
      </c>
      <c r="D276" s="190">
        <f t="shared" ref="D276:O276" si="110">SUM(D277:D279)</f>
        <v>0</v>
      </c>
      <c r="E276" s="191">
        <f t="shared" si="110"/>
        <v>0</v>
      </c>
      <c r="F276" s="55">
        <f t="shared" si="110"/>
        <v>0</v>
      </c>
      <c r="G276" s="190">
        <f t="shared" si="110"/>
        <v>0</v>
      </c>
      <c r="H276" s="191">
        <f t="shared" si="110"/>
        <v>0</v>
      </c>
      <c r="I276" s="55">
        <f t="shared" si="110"/>
        <v>0</v>
      </c>
      <c r="J276" s="190">
        <f t="shared" si="110"/>
        <v>0</v>
      </c>
      <c r="K276" s="191">
        <f t="shared" si="110"/>
        <v>0</v>
      </c>
      <c r="L276" s="55">
        <f t="shared" si="110"/>
        <v>0</v>
      </c>
      <c r="M276" s="190">
        <f t="shared" si="110"/>
        <v>0</v>
      </c>
      <c r="N276" s="191">
        <f t="shared" si="110"/>
        <v>0</v>
      </c>
      <c r="O276" s="55">
        <f t="shared" si="110"/>
        <v>0</v>
      </c>
      <c r="P276" s="57"/>
    </row>
    <row r="277" spans="1:16" ht="48" hidden="1" customHeight="1" x14ac:dyDescent="0.25">
      <c r="A277" s="51">
        <v>7245</v>
      </c>
      <c r="B277" s="89" t="s">
        <v>293</v>
      </c>
      <c r="C277" s="90">
        <f t="shared" si="109"/>
        <v>0</v>
      </c>
      <c r="D277" s="196"/>
      <c r="E277" s="197"/>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9" t="s">
        <v>294</v>
      </c>
      <c r="C278" s="90">
        <f t="shared" si="109"/>
        <v>0</v>
      </c>
      <c r="D278" s="196"/>
      <c r="E278" s="197"/>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9" t="s">
        <v>295</v>
      </c>
      <c r="C279" s="90">
        <f t="shared" si="109"/>
        <v>0</v>
      </c>
      <c r="D279" s="196"/>
      <c r="E279" s="197"/>
      <c r="F279" s="55">
        <f>D279+E279</f>
        <v>0</v>
      </c>
      <c r="G279" s="53"/>
      <c r="H279" s="54"/>
      <c r="I279" s="55">
        <f>G279+H279</f>
        <v>0</v>
      </c>
      <c r="J279" s="53"/>
      <c r="K279" s="54"/>
      <c r="L279" s="55">
        <f>K279+J279</f>
        <v>0</v>
      </c>
      <c r="M279" s="53"/>
      <c r="N279" s="54"/>
      <c r="O279" s="55">
        <f>N279+M279</f>
        <v>0</v>
      </c>
      <c r="P279" s="57"/>
    </row>
    <row r="280" spans="1:16" ht="24" hidden="1" customHeight="1" x14ac:dyDescent="0.25">
      <c r="A280" s="1373">
        <v>7260</v>
      </c>
      <c r="B280" s="82" t="s">
        <v>296</v>
      </c>
      <c r="C280" s="83">
        <f t="shared" si="109"/>
        <v>0</v>
      </c>
      <c r="D280" s="199"/>
      <c r="E280" s="200"/>
      <c r="F280" s="134">
        <f>D280+E280</f>
        <v>0</v>
      </c>
      <c r="G280" s="46"/>
      <c r="H280" s="47"/>
      <c r="I280" s="134">
        <f>G280+H280</f>
        <v>0</v>
      </c>
      <c r="J280" s="46"/>
      <c r="K280" s="47"/>
      <c r="L280" s="134">
        <f>K280+J280</f>
        <v>0</v>
      </c>
      <c r="M280" s="46"/>
      <c r="N280" s="47"/>
      <c r="O280" s="134">
        <f>N280+M280</f>
        <v>0</v>
      </c>
      <c r="P280" s="49"/>
    </row>
    <row r="281" spans="1:16" hidden="1" x14ac:dyDescent="0.25">
      <c r="A281" s="136">
        <v>7700</v>
      </c>
      <c r="B281" s="109" t="s">
        <v>297</v>
      </c>
      <c r="C281" s="110">
        <f t="shared" si="109"/>
        <v>0</v>
      </c>
      <c r="D281" s="235">
        <f t="shared" ref="D281:O281" si="111">D282</f>
        <v>0</v>
      </c>
      <c r="E281" s="236">
        <f t="shared" si="111"/>
        <v>0</v>
      </c>
      <c r="F281" s="131">
        <f t="shared" si="111"/>
        <v>0</v>
      </c>
      <c r="G281" s="235">
        <f t="shared" si="111"/>
        <v>0</v>
      </c>
      <c r="H281" s="236">
        <f t="shared" si="111"/>
        <v>0</v>
      </c>
      <c r="I281" s="131">
        <f t="shared" si="111"/>
        <v>0</v>
      </c>
      <c r="J281" s="235">
        <f t="shared" si="111"/>
        <v>0</v>
      </c>
      <c r="K281" s="236">
        <f t="shared" si="111"/>
        <v>0</v>
      </c>
      <c r="L281" s="131">
        <f t="shared" si="111"/>
        <v>0</v>
      </c>
      <c r="M281" s="235">
        <f t="shared" si="111"/>
        <v>0</v>
      </c>
      <c r="N281" s="236">
        <f t="shared" si="111"/>
        <v>0</v>
      </c>
      <c r="O281" s="131">
        <f t="shared" si="111"/>
        <v>0</v>
      </c>
      <c r="P281" s="119"/>
    </row>
    <row r="282" spans="1:16" ht="12" hidden="1" customHeight="1" x14ac:dyDescent="0.25">
      <c r="A282" s="186">
        <v>7720</v>
      </c>
      <c r="B282" s="82" t="s">
        <v>298</v>
      </c>
      <c r="C282" s="98">
        <f t="shared" si="109"/>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109"/>
        <v>0</v>
      </c>
      <c r="D283" s="243">
        <f t="shared" ref="D283:O284" si="112">D284</f>
        <v>0</v>
      </c>
      <c r="E283" s="244">
        <f t="shared" si="112"/>
        <v>0</v>
      </c>
      <c r="F283" s="245">
        <f t="shared" si="112"/>
        <v>0</v>
      </c>
      <c r="G283" s="243">
        <f>G284</f>
        <v>0</v>
      </c>
      <c r="H283" s="244">
        <f>H284</f>
        <v>0</v>
      </c>
      <c r="I283" s="245">
        <f>I284</f>
        <v>0</v>
      </c>
      <c r="J283" s="243">
        <f t="shared" si="112"/>
        <v>0</v>
      </c>
      <c r="K283" s="244">
        <f t="shared" si="112"/>
        <v>0</v>
      </c>
      <c r="L283" s="245">
        <f t="shared" si="112"/>
        <v>0</v>
      </c>
      <c r="M283" s="243">
        <f t="shared" si="112"/>
        <v>0</v>
      </c>
      <c r="N283" s="244">
        <f t="shared" si="112"/>
        <v>0</v>
      </c>
      <c r="O283" s="245">
        <f t="shared" si="112"/>
        <v>0</v>
      </c>
      <c r="P283" s="246"/>
    </row>
    <row r="284" spans="1:16" ht="24" hidden="1" x14ac:dyDescent="0.25">
      <c r="A284" s="247">
        <v>9200</v>
      </c>
      <c r="B284" s="89" t="s">
        <v>300</v>
      </c>
      <c r="C284" s="143">
        <f t="shared" si="109"/>
        <v>0</v>
      </c>
      <c r="D284" s="187">
        <f t="shared" si="112"/>
        <v>0</v>
      </c>
      <c r="E284" s="188">
        <f t="shared" si="112"/>
        <v>0</v>
      </c>
      <c r="F284" s="141">
        <f t="shared" si="112"/>
        <v>0</v>
      </c>
      <c r="G284" s="187">
        <f t="shared" si="112"/>
        <v>0</v>
      </c>
      <c r="H284" s="188">
        <f t="shared" si="112"/>
        <v>0</v>
      </c>
      <c r="I284" s="141">
        <f t="shared" si="112"/>
        <v>0</v>
      </c>
      <c r="J284" s="187">
        <f t="shared" si="112"/>
        <v>0</v>
      </c>
      <c r="K284" s="188">
        <f t="shared" si="112"/>
        <v>0</v>
      </c>
      <c r="L284" s="141">
        <f t="shared" si="112"/>
        <v>0</v>
      </c>
      <c r="M284" s="187">
        <f t="shared" si="112"/>
        <v>0</v>
      </c>
      <c r="N284" s="188">
        <f t="shared" si="112"/>
        <v>0</v>
      </c>
      <c r="O284" s="141">
        <f t="shared" si="112"/>
        <v>0</v>
      </c>
      <c r="P284" s="129"/>
    </row>
    <row r="285" spans="1:16" ht="24" hidden="1" customHeight="1" x14ac:dyDescent="0.25">
      <c r="A285" s="248">
        <v>9230</v>
      </c>
      <c r="B285" s="89" t="s">
        <v>301</v>
      </c>
      <c r="C285" s="143">
        <f t="shared" si="109"/>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109"/>
        <v>4</v>
      </c>
      <c r="D286" s="190">
        <f t="shared" ref="D286:O286" si="113">SUM(D287:D288)</f>
        <v>0</v>
      </c>
      <c r="E286" s="191">
        <f t="shared" si="113"/>
        <v>0</v>
      </c>
      <c r="F286" s="55">
        <f t="shared" si="113"/>
        <v>0</v>
      </c>
      <c r="G286" s="190">
        <f t="shared" si="113"/>
        <v>4</v>
      </c>
      <c r="H286" s="191">
        <f t="shared" si="113"/>
        <v>0</v>
      </c>
      <c r="I286" s="55">
        <f t="shared" si="113"/>
        <v>4</v>
      </c>
      <c r="J286" s="190">
        <f t="shared" si="113"/>
        <v>0</v>
      </c>
      <c r="K286" s="191">
        <f t="shared" si="113"/>
        <v>0</v>
      </c>
      <c r="L286" s="55">
        <f t="shared" si="113"/>
        <v>0</v>
      </c>
      <c r="M286" s="190">
        <f t="shared" si="113"/>
        <v>0</v>
      </c>
      <c r="N286" s="191">
        <f t="shared" si="113"/>
        <v>0</v>
      </c>
      <c r="O286" s="55">
        <f t="shared" si="113"/>
        <v>0</v>
      </c>
      <c r="P286" s="57"/>
    </row>
    <row r="287" spans="1:16" ht="12" hidden="1" customHeight="1" x14ac:dyDescent="0.25">
      <c r="A287" s="201" t="s">
        <v>303</v>
      </c>
      <c r="B287" s="51" t="s">
        <v>304</v>
      </c>
      <c r="C287" s="90">
        <f t="shared" si="109"/>
        <v>0</v>
      </c>
      <c r="D287" s="196"/>
      <c r="E287" s="197"/>
      <c r="F287" s="55">
        <f>D287+E287</f>
        <v>0</v>
      </c>
      <c r="G287" s="53"/>
      <c r="H287" s="54"/>
      <c r="I287" s="55">
        <f>G287+H287</f>
        <v>0</v>
      </c>
      <c r="J287" s="53"/>
      <c r="K287" s="54"/>
      <c r="L287" s="55">
        <f>K287+J287</f>
        <v>0</v>
      </c>
      <c r="M287" s="53"/>
      <c r="N287" s="54"/>
      <c r="O287" s="55">
        <f>N287+M287</f>
        <v>0</v>
      </c>
      <c r="P287" s="57"/>
    </row>
    <row r="288" spans="1:16" ht="24" customHeight="1" x14ac:dyDescent="0.25">
      <c r="A288" s="201" t="s">
        <v>305</v>
      </c>
      <c r="B288" s="249" t="s">
        <v>306</v>
      </c>
      <c r="C288" s="83">
        <f t="shared" si="109"/>
        <v>4</v>
      </c>
      <c r="D288" s="199"/>
      <c r="E288" s="200"/>
      <c r="F288" s="134">
        <f>D288+E288</f>
        <v>0</v>
      </c>
      <c r="G288" s="46">
        <v>4</v>
      </c>
      <c r="H288" s="47"/>
      <c r="I288" s="134">
        <f>G288+H288</f>
        <v>4</v>
      </c>
      <c r="J288" s="46"/>
      <c r="K288" s="47"/>
      <c r="L288" s="134">
        <f>K288+J288</f>
        <v>0</v>
      </c>
      <c r="M288" s="46"/>
      <c r="N288" s="47"/>
      <c r="O288" s="134">
        <f>N288+M288</f>
        <v>0</v>
      </c>
      <c r="P288" s="49"/>
    </row>
    <row r="289" spans="1:16" ht="12.75" thickBot="1" x14ac:dyDescent="0.3">
      <c r="A289" s="250"/>
      <c r="B289" s="250" t="s">
        <v>307</v>
      </c>
      <c r="C289" s="251">
        <f t="shared" si="109"/>
        <v>1491829</v>
      </c>
      <c r="D289" s="252">
        <f t="shared" ref="D289:O289" si="114">SUM(D286,D269,D230,D195,D187,D173,D75,D53,D283)</f>
        <v>663536</v>
      </c>
      <c r="E289" s="253">
        <f t="shared" si="114"/>
        <v>-4740</v>
      </c>
      <c r="F289" s="254">
        <f t="shared" si="114"/>
        <v>658796</v>
      </c>
      <c r="G289" s="252">
        <f t="shared" si="114"/>
        <v>801358</v>
      </c>
      <c r="H289" s="253">
        <f t="shared" si="114"/>
        <v>-465</v>
      </c>
      <c r="I289" s="254">
        <f t="shared" si="114"/>
        <v>800893</v>
      </c>
      <c r="J289" s="252">
        <f t="shared" si="114"/>
        <v>27400</v>
      </c>
      <c r="K289" s="253">
        <f t="shared" si="114"/>
        <v>4740</v>
      </c>
      <c r="L289" s="254">
        <f t="shared" si="114"/>
        <v>32140</v>
      </c>
      <c r="M289" s="252">
        <f t="shared" si="114"/>
        <v>0</v>
      </c>
      <c r="N289" s="253">
        <f t="shared" si="114"/>
        <v>0</v>
      </c>
      <c r="O289" s="254">
        <f t="shared" si="114"/>
        <v>0</v>
      </c>
      <c r="P289" s="255"/>
    </row>
    <row r="290" spans="1:16" s="28" customFormat="1" ht="13.5" thickTop="1" thickBot="1" x14ac:dyDescent="0.3">
      <c r="A290" s="1544" t="s">
        <v>308</v>
      </c>
      <c r="B290" s="1545"/>
      <c r="C290" s="256">
        <f t="shared" si="109"/>
        <v>-6324</v>
      </c>
      <c r="D290" s="257">
        <f t="shared" ref="D290:I290" si="115">SUM(D24,D25,D41)-D51</f>
        <v>0</v>
      </c>
      <c r="E290" s="258">
        <f t="shared" si="115"/>
        <v>0</v>
      </c>
      <c r="F290" s="259">
        <f t="shared" si="115"/>
        <v>0</v>
      </c>
      <c r="G290" s="257">
        <f t="shared" si="115"/>
        <v>4</v>
      </c>
      <c r="H290" s="258">
        <f t="shared" si="115"/>
        <v>0</v>
      </c>
      <c r="I290" s="259">
        <f t="shared" si="115"/>
        <v>4</v>
      </c>
      <c r="J290" s="257">
        <f>(J26+J43)-J51</f>
        <v>-6328</v>
      </c>
      <c r="K290" s="258">
        <f>(K26+K43)-K51</f>
        <v>0</v>
      </c>
      <c r="L290" s="259">
        <f>(L26+L43)-L51</f>
        <v>-6328</v>
      </c>
      <c r="M290" s="257">
        <f>M45-M51</f>
        <v>0</v>
      </c>
      <c r="N290" s="258">
        <f>N45-N51</f>
        <v>0</v>
      </c>
      <c r="O290" s="259">
        <f>O45-O51</f>
        <v>0</v>
      </c>
      <c r="P290" s="260"/>
    </row>
    <row r="291" spans="1:16" s="28" customFormat="1" ht="12.75" thickTop="1" x14ac:dyDescent="0.25">
      <c r="A291" s="1546" t="s">
        <v>309</v>
      </c>
      <c r="B291" s="1547"/>
      <c r="C291" s="261">
        <f t="shared" si="109"/>
        <v>6324</v>
      </c>
      <c r="D291" s="262">
        <f t="shared" ref="D291:O291" si="116">SUM(D292,D293)-D300+D301</f>
        <v>0</v>
      </c>
      <c r="E291" s="263">
        <f t="shared" si="116"/>
        <v>0</v>
      </c>
      <c r="F291" s="264">
        <f t="shared" si="116"/>
        <v>0</v>
      </c>
      <c r="G291" s="262">
        <f t="shared" si="116"/>
        <v>-4</v>
      </c>
      <c r="H291" s="263">
        <f t="shared" si="116"/>
        <v>0</v>
      </c>
      <c r="I291" s="264">
        <f t="shared" si="116"/>
        <v>-4</v>
      </c>
      <c r="J291" s="262">
        <f t="shared" si="116"/>
        <v>6328</v>
      </c>
      <c r="K291" s="263">
        <f t="shared" si="116"/>
        <v>0</v>
      </c>
      <c r="L291" s="264">
        <f t="shared" si="116"/>
        <v>6328</v>
      </c>
      <c r="M291" s="262">
        <f t="shared" si="116"/>
        <v>0</v>
      </c>
      <c r="N291" s="263">
        <f t="shared" si="116"/>
        <v>0</v>
      </c>
      <c r="O291" s="264">
        <f t="shared" si="116"/>
        <v>0</v>
      </c>
      <c r="P291" s="265"/>
    </row>
    <row r="292" spans="1:16" s="28" customFormat="1" ht="12.75" thickBot="1" x14ac:dyDescent="0.3">
      <c r="A292" s="157" t="s">
        <v>310</v>
      </c>
      <c r="B292" s="157" t="s">
        <v>311</v>
      </c>
      <c r="C292" s="158">
        <f t="shared" si="109"/>
        <v>6324</v>
      </c>
      <c r="D292" s="159">
        <f t="shared" ref="D292:O292" si="117">D21-D286</f>
        <v>0</v>
      </c>
      <c r="E292" s="160">
        <f t="shared" si="117"/>
        <v>0</v>
      </c>
      <c r="F292" s="161">
        <f t="shared" si="117"/>
        <v>0</v>
      </c>
      <c r="G292" s="159">
        <f t="shared" si="117"/>
        <v>-4</v>
      </c>
      <c r="H292" s="160">
        <f t="shared" si="117"/>
        <v>0</v>
      </c>
      <c r="I292" s="161">
        <f t="shared" si="117"/>
        <v>-4</v>
      </c>
      <c r="J292" s="159">
        <f t="shared" si="117"/>
        <v>6328</v>
      </c>
      <c r="K292" s="160">
        <f t="shared" si="117"/>
        <v>0</v>
      </c>
      <c r="L292" s="161">
        <f t="shared" si="117"/>
        <v>6328</v>
      </c>
      <c r="M292" s="159">
        <f t="shared" si="117"/>
        <v>0</v>
      </c>
      <c r="N292" s="160">
        <f t="shared" si="117"/>
        <v>0</v>
      </c>
      <c r="O292" s="161">
        <f t="shared" si="117"/>
        <v>0</v>
      </c>
      <c r="P292" s="35"/>
    </row>
    <row r="293" spans="1:16" s="28" customFormat="1" ht="12.75" hidden="1" thickTop="1" x14ac:dyDescent="0.25">
      <c r="A293" s="266" t="s">
        <v>312</v>
      </c>
      <c r="B293" s="266" t="s">
        <v>313</v>
      </c>
      <c r="C293" s="261">
        <f t="shared" si="109"/>
        <v>0</v>
      </c>
      <c r="D293" s="262">
        <f t="shared" ref="D293:O293" si="118">SUM(D294,D296,D298)-SUM(D295,D297,D299)</f>
        <v>0</v>
      </c>
      <c r="E293" s="263">
        <f t="shared" si="118"/>
        <v>0</v>
      </c>
      <c r="F293" s="264">
        <f t="shared" si="118"/>
        <v>0</v>
      </c>
      <c r="G293" s="262">
        <f t="shared" si="118"/>
        <v>0</v>
      </c>
      <c r="H293" s="263">
        <f t="shared" si="118"/>
        <v>0</v>
      </c>
      <c r="I293" s="264">
        <f t="shared" si="118"/>
        <v>0</v>
      </c>
      <c r="J293" s="262">
        <f t="shared" si="118"/>
        <v>0</v>
      </c>
      <c r="K293" s="263">
        <f t="shared" si="118"/>
        <v>0</v>
      </c>
      <c r="L293" s="264">
        <f t="shared" si="118"/>
        <v>0</v>
      </c>
      <c r="M293" s="262">
        <f t="shared" si="118"/>
        <v>0</v>
      </c>
      <c r="N293" s="263">
        <f t="shared" si="118"/>
        <v>0</v>
      </c>
      <c r="O293" s="264">
        <f t="shared" si="118"/>
        <v>0</v>
      </c>
      <c r="P293" s="265"/>
    </row>
    <row r="294" spans="1:16" ht="12" hidden="1" customHeight="1" x14ac:dyDescent="0.25">
      <c r="A294" s="267" t="s">
        <v>314</v>
      </c>
      <c r="B294" s="142" t="s">
        <v>315</v>
      </c>
      <c r="C294" s="98">
        <f t="shared" si="109"/>
        <v>0</v>
      </c>
      <c r="D294" s="237"/>
      <c r="E294" s="238"/>
      <c r="F294" s="239">
        <f t="shared" ref="F294:F301" si="119">D294+E294</f>
        <v>0</v>
      </c>
      <c r="G294" s="102"/>
      <c r="H294" s="103"/>
      <c r="I294" s="239">
        <f t="shared" ref="I294:I301" si="120">G294+H294</f>
        <v>0</v>
      </c>
      <c r="J294" s="102"/>
      <c r="K294" s="103"/>
      <c r="L294" s="239">
        <f t="shared" ref="L294:L301" si="121">K294+J294</f>
        <v>0</v>
      </c>
      <c r="M294" s="102"/>
      <c r="N294" s="103"/>
      <c r="O294" s="239">
        <f t="shared" ref="O294:O301" si="122">N294+M294</f>
        <v>0</v>
      </c>
      <c r="P294" s="107"/>
    </row>
    <row r="295" spans="1:16" ht="24" hidden="1" customHeight="1" x14ac:dyDescent="0.25">
      <c r="A295" s="201" t="s">
        <v>316</v>
      </c>
      <c r="B295" s="50" t="s">
        <v>317</v>
      </c>
      <c r="C295" s="90">
        <f t="shared" si="109"/>
        <v>0</v>
      </c>
      <c r="D295" s="196"/>
      <c r="E295" s="197"/>
      <c r="F295" s="55">
        <f t="shared" si="119"/>
        <v>0</v>
      </c>
      <c r="G295" s="53"/>
      <c r="H295" s="54"/>
      <c r="I295" s="55">
        <f t="shared" si="120"/>
        <v>0</v>
      </c>
      <c r="J295" s="53"/>
      <c r="K295" s="54"/>
      <c r="L295" s="55">
        <f t="shared" si="121"/>
        <v>0</v>
      </c>
      <c r="M295" s="53"/>
      <c r="N295" s="54"/>
      <c r="O295" s="55">
        <f t="shared" si="122"/>
        <v>0</v>
      </c>
      <c r="P295" s="57"/>
    </row>
    <row r="296" spans="1:16" ht="12" hidden="1" customHeight="1" x14ac:dyDescent="0.25">
      <c r="A296" s="201" t="s">
        <v>318</v>
      </c>
      <c r="B296" s="50" t="s">
        <v>319</v>
      </c>
      <c r="C296" s="90">
        <f t="shared" si="109"/>
        <v>0</v>
      </c>
      <c r="D296" s="196"/>
      <c r="E296" s="197"/>
      <c r="F296" s="55">
        <f t="shared" si="119"/>
        <v>0</v>
      </c>
      <c r="G296" s="53"/>
      <c r="H296" s="54"/>
      <c r="I296" s="55">
        <f t="shared" si="120"/>
        <v>0</v>
      </c>
      <c r="J296" s="53"/>
      <c r="K296" s="54"/>
      <c r="L296" s="55">
        <f t="shared" si="121"/>
        <v>0</v>
      </c>
      <c r="M296" s="53"/>
      <c r="N296" s="54"/>
      <c r="O296" s="55">
        <f t="shared" si="122"/>
        <v>0</v>
      </c>
      <c r="P296" s="57"/>
    </row>
    <row r="297" spans="1:16" ht="24" hidden="1" customHeight="1" x14ac:dyDescent="0.25">
      <c r="A297" s="201" t="s">
        <v>320</v>
      </c>
      <c r="B297" s="50" t="s">
        <v>321</v>
      </c>
      <c r="C297" s="90">
        <f t="shared" si="109"/>
        <v>0</v>
      </c>
      <c r="D297" s="196"/>
      <c r="E297" s="197"/>
      <c r="F297" s="55">
        <f t="shared" si="119"/>
        <v>0</v>
      </c>
      <c r="G297" s="53"/>
      <c r="H297" s="54"/>
      <c r="I297" s="55">
        <f t="shared" si="120"/>
        <v>0</v>
      </c>
      <c r="J297" s="53"/>
      <c r="K297" s="54"/>
      <c r="L297" s="55">
        <f t="shared" si="121"/>
        <v>0</v>
      </c>
      <c r="M297" s="53"/>
      <c r="N297" s="54"/>
      <c r="O297" s="55">
        <f t="shared" si="122"/>
        <v>0</v>
      </c>
      <c r="P297" s="57"/>
    </row>
    <row r="298" spans="1:16" ht="12" hidden="1" customHeight="1" x14ac:dyDescent="0.25">
      <c r="A298" s="201" t="s">
        <v>322</v>
      </c>
      <c r="B298" s="50" t="s">
        <v>323</v>
      </c>
      <c r="C298" s="90">
        <f t="shared" si="109"/>
        <v>0</v>
      </c>
      <c r="D298" s="196"/>
      <c r="E298" s="197"/>
      <c r="F298" s="55">
        <f t="shared" si="119"/>
        <v>0</v>
      </c>
      <c r="G298" s="53"/>
      <c r="H298" s="54"/>
      <c r="I298" s="55">
        <f t="shared" si="120"/>
        <v>0</v>
      </c>
      <c r="J298" s="53"/>
      <c r="K298" s="54"/>
      <c r="L298" s="55">
        <f t="shared" si="121"/>
        <v>0</v>
      </c>
      <c r="M298" s="53"/>
      <c r="N298" s="54"/>
      <c r="O298" s="55">
        <f t="shared" si="122"/>
        <v>0</v>
      </c>
      <c r="P298" s="57"/>
    </row>
    <row r="299" spans="1:16" ht="24.75" hidden="1" customHeight="1" thickBot="1" x14ac:dyDescent="0.3">
      <c r="A299" s="268" t="s">
        <v>324</v>
      </c>
      <c r="B299" s="269" t="s">
        <v>325</v>
      </c>
      <c r="C299" s="209">
        <f t="shared" si="109"/>
        <v>0</v>
      </c>
      <c r="D299" s="211"/>
      <c r="E299" s="212"/>
      <c r="F299" s="213">
        <f t="shared" si="119"/>
        <v>0</v>
      </c>
      <c r="G299" s="214"/>
      <c r="H299" s="215"/>
      <c r="I299" s="213">
        <f t="shared" si="120"/>
        <v>0</v>
      </c>
      <c r="J299" s="214"/>
      <c r="K299" s="215"/>
      <c r="L299" s="213">
        <f t="shared" si="121"/>
        <v>0</v>
      </c>
      <c r="M299" s="214"/>
      <c r="N299" s="215"/>
      <c r="O299" s="213">
        <f t="shared" si="122"/>
        <v>0</v>
      </c>
      <c r="P299" s="216"/>
    </row>
    <row r="300" spans="1:16" s="28" customFormat="1" ht="13.5" hidden="1" customHeight="1" thickTop="1" thickBot="1" x14ac:dyDescent="0.3">
      <c r="A300" s="270" t="s">
        <v>326</v>
      </c>
      <c r="B300" s="270" t="s">
        <v>327</v>
      </c>
      <c r="C300" s="256">
        <f t="shared" si="109"/>
        <v>0</v>
      </c>
      <c r="D300" s="271"/>
      <c r="E300" s="272"/>
      <c r="F300" s="259">
        <f t="shared" si="119"/>
        <v>0</v>
      </c>
      <c r="G300" s="271"/>
      <c r="H300" s="272"/>
      <c r="I300" s="273">
        <f t="shared" si="120"/>
        <v>0</v>
      </c>
      <c r="J300" s="271"/>
      <c r="K300" s="272"/>
      <c r="L300" s="273">
        <f t="shared" si="121"/>
        <v>0</v>
      </c>
      <c r="M300" s="271"/>
      <c r="N300" s="272"/>
      <c r="O300" s="273">
        <f t="shared" si="122"/>
        <v>0</v>
      </c>
      <c r="P300" s="274"/>
    </row>
    <row r="301" spans="1:16" s="28" customFormat="1" ht="48.75" hidden="1" customHeight="1" thickTop="1" x14ac:dyDescent="0.25">
      <c r="A301" s="266" t="s">
        <v>328</v>
      </c>
      <c r="B301" s="275" t="s">
        <v>329</v>
      </c>
      <c r="C301" s="261">
        <f t="shared" si="109"/>
        <v>0</v>
      </c>
      <c r="D301" s="205"/>
      <c r="E301" s="206"/>
      <c r="F301" s="73">
        <f t="shared" si="119"/>
        <v>0</v>
      </c>
      <c r="G301" s="205"/>
      <c r="H301" s="206"/>
      <c r="I301" s="73">
        <f t="shared" si="120"/>
        <v>0</v>
      </c>
      <c r="J301" s="205"/>
      <c r="K301" s="206"/>
      <c r="L301" s="73">
        <f t="shared" si="121"/>
        <v>0</v>
      </c>
      <c r="M301" s="205"/>
      <c r="N301" s="206"/>
      <c r="O301" s="73">
        <f t="shared" si="122"/>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PGlN+SBpq7nQBQrdLLQhCoVivK0u9bQGOo3/8W0SOHsALNHggRQ7kDKmMCZyHfVyyX5G6o66ygqMDfbJv9x/Q==" saltValue="iUxm34pREEd1P5OVyCHpRQ==" spinCount="100000" sheet="1" objects="1" scenarios="1" formatCells="0" formatColumns="0" formatRows="0" deleteColumns="0"/>
  <autoFilter ref="A18:P301">
    <filterColumn colId="2">
      <filters>
        <filter val="1 048"/>
        <filter val="1 114"/>
        <filter val="1 284 825"/>
        <filter val="1 312"/>
        <filter val="1 459 689"/>
        <filter val="1 471 510"/>
        <filter val="1 491 825"/>
        <filter val="1 491 829"/>
        <filter val="1 547"/>
        <filter val="1 560"/>
        <filter val="1 561"/>
        <filter val="1 666"/>
        <filter val="1 783"/>
        <filter val="10 000"/>
        <filter val="10 012"/>
        <filter val="10 375"/>
        <filter val="100"/>
        <filter val="11 887"/>
        <filter val="128 837"/>
        <filter val="13 755"/>
        <filter val="13 865"/>
        <filter val="130"/>
        <filter val="138"/>
        <filter val="17 532"/>
        <filter val="173"/>
        <filter val="186 685"/>
        <filter val="19 528"/>
        <filter val="2 058"/>
        <filter val="2 538"/>
        <filter val="2 624"/>
        <filter val="20 315"/>
        <filter val="23 478"/>
        <filter val="23 824"/>
        <filter val="237"/>
        <filter val="243 959"/>
        <filter val="25 752"/>
        <filter val="3 111"/>
        <filter val="3 449"/>
        <filter val="3 850"/>
        <filter val="300"/>
        <filter val="312"/>
        <filter val="315 046"/>
        <filter val="32 003"/>
        <filter val="4"/>
        <filter val="4 200"/>
        <filter val="4 223"/>
        <filter val="42 372"/>
        <filter val="46 561"/>
        <filter val="5 250"/>
        <filter val="5 576"/>
        <filter val="5 798"/>
        <filter val="5 851"/>
        <filter val="52 020"/>
        <filter val="55"/>
        <filter val="57 556"/>
        <filter val="6 324"/>
        <filter val="-6 324"/>
        <filter val="6 328"/>
        <filter val="6 604"/>
        <filter val="60"/>
        <filter val="626"/>
        <filter val="67 371"/>
        <filter val="7 532"/>
        <filter val="71 087"/>
        <filter val="8 343"/>
        <filter val="8 398"/>
        <filter val="841"/>
        <filter val="85"/>
        <filter val="896 832"/>
        <filter val="9 400"/>
        <filter val="94 087"/>
        <filter val="969 77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66.pielikums Jūrmalas pilsētas domes
2019.gada 31.oktobra saistošajiem noteikumiem Nr.46
(protokols Nr.14, 28.punkts)
 </firstHeader>
    <firstFooter>&amp;L&amp;9&amp;D; &amp;T&amp;R&amp;9&amp;P (&amp;N)</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4" sqref="T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3"/>
      <c r="O1" s="3" t="s">
        <v>1778</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1779</v>
      </c>
      <c r="D3" s="1517"/>
      <c r="E3" s="1517"/>
      <c r="F3" s="1517"/>
      <c r="G3" s="1517"/>
      <c r="H3" s="1517"/>
      <c r="I3" s="1517"/>
      <c r="J3" s="1517"/>
      <c r="K3" s="1517"/>
      <c r="L3" s="1517"/>
      <c r="M3" s="1517"/>
      <c r="N3" s="1517"/>
      <c r="O3" s="1517"/>
      <c r="P3" s="1518"/>
      <c r="Q3" s="277"/>
    </row>
    <row r="4" spans="1:17" ht="12.75" customHeight="1" x14ac:dyDescent="0.25">
      <c r="A4" s="5" t="s">
        <v>4</v>
      </c>
      <c r="B4" s="6"/>
      <c r="C4" s="1517" t="s">
        <v>1780</v>
      </c>
      <c r="D4" s="1517"/>
      <c r="E4" s="1517"/>
      <c r="F4" s="1517"/>
      <c r="G4" s="1517"/>
      <c r="H4" s="1517"/>
      <c r="I4" s="1517"/>
      <c r="J4" s="1517"/>
      <c r="K4" s="1517"/>
      <c r="L4" s="1517"/>
      <c r="M4" s="1517"/>
      <c r="N4" s="1517"/>
      <c r="O4" s="1517"/>
      <c r="P4" s="1518"/>
      <c r="Q4" s="277"/>
    </row>
    <row r="5" spans="1:17" ht="12.75" customHeight="1" x14ac:dyDescent="0.25">
      <c r="A5" s="7" t="s">
        <v>6</v>
      </c>
      <c r="B5" s="8"/>
      <c r="C5" s="1512" t="s">
        <v>1781</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785" t="s">
        <v>1782</v>
      </c>
      <c r="D9" s="1785"/>
      <c r="E9" s="1785"/>
      <c r="F9" s="1785"/>
      <c r="G9" s="1785"/>
      <c r="H9" s="1785"/>
      <c r="I9" s="1785"/>
      <c r="J9" s="1785"/>
      <c r="K9" s="1785"/>
      <c r="L9" s="1785"/>
      <c r="M9" s="1785"/>
      <c r="N9" s="1785"/>
      <c r="O9" s="1785"/>
      <c r="P9" s="1786"/>
      <c r="Q9" s="277"/>
    </row>
    <row r="10" spans="1:17" ht="12.75" customHeight="1" x14ac:dyDescent="0.25">
      <c r="A10" s="7"/>
      <c r="B10" s="8" t="s">
        <v>15</v>
      </c>
      <c r="C10" s="1512" t="s">
        <v>1783</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1784</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787" t="s">
        <v>24</v>
      </c>
      <c r="F16" s="1537" t="s">
        <v>25</v>
      </c>
      <c r="G16" s="1539" t="s">
        <v>26</v>
      </c>
      <c r="H16" s="1789"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788"/>
      <c r="F17" s="1538"/>
      <c r="G17" s="1539"/>
      <c r="H17" s="1789"/>
      <c r="I17" s="1541"/>
      <c r="J17" s="1539"/>
      <c r="K17" s="1540"/>
      <c r="L17" s="1541"/>
      <c r="M17" s="1539"/>
      <c r="N17" s="1540"/>
      <c r="O17" s="1541"/>
      <c r="P17" s="1543"/>
    </row>
    <row r="18" spans="1:16" s="13" customFormat="1" ht="9.75" customHeight="1" thickTop="1" x14ac:dyDescent="0.25">
      <c r="A18" s="14" t="s">
        <v>36</v>
      </c>
      <c r="B18" s="14">
        <v>2</v>
      </c>
      <c r="C18" s="15">
        <v>3</v>
      </c>
      <c r="D18" s="16">
        <v>4</v>
      </c>
      <c r="E18" s="1419">
        <v>5</v>
      </c>
      <c r="F18" s="18">
        <v>6</v>
      </c>
      <c r="G18" s="16">
        <v>7</v>
      </c>
      <c r="H18" s="1420">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439998</v>
      </c>
      <c r="D20" s="32">
        <f>SUM(D21,D24,D25,D41,D43)</f>
        <v>289904</v>
      </c>
      <c r="E20" s="160">
        <f t="shared" ref="E20:F20" si="1">SUM(E21,E24,E25,E41,E43)</f>
        <v>0</v>
      </c>
      <c r="F20" s="34">
        <f t="shared" si="1"/>
        <v>289904</v>
      </c>
      <c r="G20" s="32">
        <f>SUM(G21,G24,G43)</f>
        <v>130704</v>
      </c>
      <c r="H20" s="160">
        <f t="shared" ref="H20:I20" si="2">SUM(H21,H24,H43)</f>
        <v>11091</v>
      </c>
      <c r="I20" s="34">
        <f t="shared" si="2"/>
        <v>141795</v>
      </c>
      <c r="J20" s="32">
        <f>SUM(J21,J26,J43)</f>
        <v>8299</v>
      </c>
      <c r="K20" s="33">
        <f t="shared" ref="K20:L20" si="3">SUM(K21,K26,K43)</f>
        <v>0</v>
      </c>
      <c r="L20" s="34">
        <f t="shared" si="3"/>
        <v>8299</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1421">
        <f t="shared" ref="E21:F21" si="5">SUM(E22:E23)</f>
        <v>0</v>
      </c>
      <c r="F21" s="41">
        <f t="shared" si="5"/>
        <v>0</v>
      </c>
      <c r="G21" s="39">
        <f>SUM(G22:G23)</f>
        <v>0</v>
      </c>
      <c r="H21" s="1421">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200"/>
      <c r="F22" s="48">
        <f>D22+E22</f>
        <v>0</v>
      </c>
      <c r="G22" s="46"/>
      <c r="H22" s="200"/>
      <c r="I22" s="48">
        <f>G22+H22</f>
        <v>0</v>
      </c>
      <c r="J22" s="46"/>
      <c r="K22" s="47"/>
      <c r="L22" s="48">
        <f>K22+J22</f>
        <v>0</v>
      </c>
      <c r="M22" s="46"/>
      <c r="N22" s="47"/>
      <c r="O22" s="48">
        <f>N22+M22</f>
        <v>0</v>
      </c>
      <c r="P22" s="49"/>
    </row>
    <row r="23" spans="1:16" ht="10.5" hidden="1" customHeight="1" x14ac:dyDescent="0.25">
      <c r="A23" s="50"/>
      <c r="B23" s="210" t="s">
        <v>41</v>
      </c>
      <c r="C23" s="1422">
        <f t="shared" si="0"/>
        <v>0</v>
      </c>
      <c r="D23" s="214"/>
      <c r="E23" s="212"/>
      <c r="F23" s="213">
        <f t="shared" ref="F23:F25" si="9">D23+E23</f>
        <v>0</v>
      </c>
      <c r="G23" s="214"/>
      <c r="H23" s="212"/>
      <c r="I23" s="213">
        <f t="shared" ref="I23:I24" si="10">G23+H23</f>
        <v>0</v>
      </c>
      <c r="J23" s="53"/>
      <c r="K23" s="54"/>
      <c r="L23" s="56">
        <f>K23+J23</f>
        <v>0</v>
      </c>
      <c r="M23" s="53"/>
      <c r="N23" s="54"/>
      <c r="O23" s="55">
        <f>N23+M23</f>
        <v>0</v>
      </c>
      <c r="P23" s="216"/>
    </row>
    <row r="24" spans="1:16" s="28" customFormat="1" ht="45" customHeight="1" thickTop="1" thickBot="1" x14ac:dyDescent="0.3">
      <c r="A24" s="58">
        <v>19300</v>
      </c>
      <c r="B24" s="30" t="s">
        <v>42</v>
      </c>
      <c r="C24" s="251">
        <f>F24+I24</f>
        <v>431699</v>
      </c>
      <c r="D24" s="1429">
        <v>289904</v>
      </c>
      <c r="E24" s="1430"/>
      <c r="F24" s="254">
        <f t="shared" si="9"/>
        <v>289904</v>
      </c>
      <c r="G24" s="1429">
        <v>130704</v>
      </c>
      <c r="H24" s="1430">
        <f>9600-4004+5075+420</f>
        <v>11091</v>
      </c>
      <c r="I24" s="254">
        <f t="shared" si="10"/>
        <v>141795</v>
      </c>
      <c r="J24" s="64" t="s">
        <v>43</v>
      </c>
      <c r="K24" s="65" t="s">
        <v>43</v>
      </c>
      <c r="L24" s="66" t="s">
        <v>43</v>
      </c>
      <c r="M24" s="64" t="s">
        <v>43</v>
      </c>
      <c r="N24" s="65" t="s">
        <v>43</v>
      </c>
      <c r="O24" s="66" t="s">
        <v>43</v>
      </c>
      <c r="P24" s="1431" t="s">
        <v>1785</v>
      </c>
    </row>
    <row r="25" spans="1:16" s="28" customFormat="1" ht="24.75" hidden="1" customHeight="1" thickTop="1" x14ac:dyDescent="0.25">
      <c r="A25" s="69"/>
      <c r="B25" s="69" t="s">
        <v>44</v>
      </c>
      <c r="C25" s="70">
        <f>F25</f>
        <v>0</v>
      </c>
      <c r="D25" s="71"/>
      <c r="E25" s="206"/>
      <c r="F25" s="73">
        <f t="shared" si="9"/>
        <v>0</v>
      </c>
      <c r="G25" s="74" t="s">
        <v>43</v>
      </c>
      <c r="H25" s="18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8299</v>
      </c>
      <c r="D26" s="74" t="s">
        <v>43</v>
      </c>
      <c r="E26" s="75" t="s">
        <v>43</v>
      </c>
      <c r="F26" s="76" t="s">
        <v>43</v>
      </c>
      <c r="G26" s="74" t="s">
        <v>43</v>
      </c>
      <c r="H26" s="75" t="s">
        <v>43</v>
      </c>
      <c r="I26" s="76" t="s">
        <v>43</v>
      </c>
      <c r="J26" s="78">
        <f>SUM(J27,J31,J33,J36)</f>
        <v>8299</v>
      </c>
      <c r="K26" s="79">
        <f t="shared" ref="K26:L26" si="11">SUM(K27,K31,K33,K36)</f>
        <v>0</v>
      </c>
      <c r="L26" s="80">
        <f t="shared" si="11"/>
        <v>8299</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1900</v>
      </c>
      <c r="D33" s="74" t="s">
        <v>43</v>
      </c>
      <c r="E33" s="75" t="s">
        <v>43</v>
      </c>
      <c r="F33" s="76" t="s">
        <v>43</v>
      </c>
      <c r="G33" s="74" t="s">
        <v>43</v>
      </c>
      <c r="H33" s="75" t="s">
        <v>43</v>
      </c>
      <c r="I33" s="76" t="s">
        <v>43</v>
      </c>
      <c r="J33" s="78">
        <f>SUM(J34:J35)</f>
        <v>1900</v>
      </c>
      <c r="K33" s="79">
        <f t="shared" ref="K33:L33" si="17">SUM(K34:K35)</f>
        <v>0</v>
      </c>
      <c r="L33" s="80">
        <f t="shared" si="17"/>
        <v>1900</v>
      </c>
      <c r="M33" s="78" t="s">
        <v>43</v>
      </c>
      <c r="N33" s="79" t="s">
        <v>43</v>
      </c>
      <c r="O33" s="80" t="s">
        <v>43</v>
      </c>
      <c r="P33" s="77"/>
    </row>
    <row r="34" spans="1:16" ht="12" customHeight="1" x14ac:dyDescent="0.25">
      <c r="A34" s="44">
        <v>21381</v>
      </c>
      <c r="B34" s="82" t="s">
        <v>53</v>
      </c>
      <c r="C34" s="83">
        <f t="shared" si="16"/>
        <v>1900</v>
      </c>
      <c r="D34" s="84" t="s">
        <v>43</v>
      </c>
      <c r="E34" s="85" t="s">
        <v>43</v>
      </c>
      <c r="F34" s="86" t="s">
        <v>43</v>
      </c>
      <c r="G34" s="84" t="s">
        <v>43</v>
      </c>
      <c r="H34" s="85" t="s">
        <v>43</v>
      </c>
      <c r="I34" s="86" t="s">
        <v>43</v>
      </c>
      <c r="J34" s="46">
        <v>1900</v>
      </c>
      <c r="K34" s="47"/>
      <c r="L34" s="48">
        <f t="shared" ref="L34:L35" si="18">K34+J34</f>
        <v>1900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6399</v>
      </c>
      <c r="D36" s="74" t="s">
        <v>43</v>
      </c>
      <c r="E36" s="75" t="s">
        <v>43</v>
      </c>
      <c r="F36" s="76" t="s">
        <v>43</v>
      </c>
      <c r="G36" s="74" t="s">
        <v>43</v>
      </c>
      <c r="H36" s="75" t="s">
        <v>43</v>
      </c>
      <c r="I36" s="76" t="s">
        <v>43</v>
      </c>
      <c r="J36" s="78">
        <f>SUM(J37:J40)</f>
        <v>6399</v>
      </c>
      <c r="K36" s="79">
        <f t="shared" ref="K36:L36" si="19">SUM(K37:K40)</f>
        <v>0</v>
      </c>
      <c r="L36" s="80">
        <f t="shared" si="19"/>
        <v>6399</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30" customHeight="1" x14ac:dyDescent="0.25">
      <c r="A40" s="108">
        <v>21399</v>
      </c>
      <c r="B40" s="109" t="s">
        <v>59</v>
      </c>
      <c r="C40" s="110">
        <f t="shared" si="16"/>
        <v>6399</v>
      </c>
      <c r="D40" s="111" t="s">
        <v>43</v>
      </c>
      <c r="E40" s="112" t="s">
        <v>43</v>
      </c>
      <c r="F40" s="113" t="s">
        <v>43</v>
      </c>
      <c r="G40" s="111" t="s">
        <v>43</v>
      </c>
      <c r="H40" s="112" t="s">
        <v>43</v>
      </c>
      <c r="I40" s="113" t="s">
        <v>43</v>
      </c>
      <c r="J40" s="114">
        <v>6399</v>
      </c>
      <c r="K40" s="349"/>
      <c r="L40" s="484">
        <f t="shared" si="20"/>
        <v>6399</v>
      </c>
      <c r="M40" s="485" t="s">
        <v>43</v>
      </c>
      <c r="N40" s="486" t="s">
        <v>43</v>
      </c>
      <c r="O40" s="484" t="s">
        <v>43</v>
      </c>
      <c r="P40" s="1423"/>
    </row>
    <row r="41" spans="1:16" s="28" customFormat="1" ht="26.25" hidden="1" customHeight="1" x14ac:dyDescent="0.25">
      <c r="A41" s="120">
        <v>21420</v>
      </c>
      <c r="B41" s="121" t="s">
        <v>60</v>
      </c>
      <c r="C41" s="122">
        <f>F41</f>
        <v>0</v>
      </c>
      <c r="D41" s="123">
        <f>SUM(D42)</f>
        <v>0</v>
      </c>
      <c r="E41" s="188">
        <f t="shared" ref="E41:F41" si="21">SUM(E42)</f>
        <v>0</v>
      </c>
      <c r="F41" s="125">
        <f t="shared" si="21"/>
        <v>0</v>
      </c>
      <c r="G41" s="126" t="s">
        <v>43</v>
      </c>
      <c r="H41" s="188"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424"/>
      <c r="F42" s="131">
        <f>D42+E42</f>
        <v>0</v>
      </c>
      <c r="G42" s="111" t="s">
        <v>43</v>
      </c>
      <c r="H42" s="236"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185">
        <f t="shared" ref="E43:L43" si="22">E44</f>
        <v>0</v>
      </c>
      <c r="F43" s="80">
        <f t="shared" si="22"/>
        <v>0</v>
      </c>
      <c r="G43" s="78">
        <f t="shared" si="22"/>
        <v>0</v>
      </c>
      <c r="H43" s="185">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200"/>
      <c r="F44" s="134">
        <f>D44+E44</f>
        <v>0</v>
      </c>
      <c r="G44" s="46"/>
      <c r="H44" s="200"/>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236" t="s">
        <v>43</v>
      </c>
      <c r="F45" s="113" t="s">
        <v>43</v>
      </c>
      <c r="G45" s="111" t="s">
        <v>43</v>
      </c>
      <c r="H45" s="236"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88" t="s">
        <v>43</v>
      </c>
      <c r="F46" s="128" t="s">
        <v>43</v>
      </c>
      <c r="G46" s="126" t="s">
        <v>43</v>
      </c>
      <c r="H46" s="188"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88" t="s">
        <v>43</v>
      </c>
      <c r="F47" s="128" t="s">
        <v>43</v>
      </c>
      <c r="G47" s="126" t="s">
        <v>43</v>
      </c>
      <c r="H47" s="188" t="s">
        <v>43</v>
      </c>
      <c r="I47" s="128" t="s">
        <v>43</v>
      </c>
      <c r="J47" s="126" t="s">
        <v>43</v>
      </c>
      <c r="K47" s="127" t="s">
        <v>43</v>
      </c>
      <c r="L47" s="128" t="s">
        <v>43</v>
      </c>
      <c r="M47" s="139"/>
      <c r="N47" s="140"/>
      <c r="O47" s="141">
        <f t="shared" si="25"/>
        <v>0</v>
      </c>
      <c r="P47" s="129"/>
    </row>
    <row r="48" spans="1:16" ht="27.75" hidden="1" customHeight="1" x14ac:dyDescent="0.25">
      <c r="A48" s="142"/>
      <c r="B48" s="138"/>
      <c r="C48" s="143"/>
      <c r="D48" s="144"/>
      <c r="E48" s="204"/>
      <c r="F48" s="141"/>
      <c r="G48" s="144"/>
      <c r="H48" s="204"/>
      <c r="I48" s="141"/>
      <c r="J48" s="144"/>
      <c r="K48" s="145"/>
      <c r="L48" s="125"/>
      <c r="M48" s="144"/>
      <c r="N48" s="145"/>
      <c r="O48" s="141"/>
      <c r="P48" s="129"/>
    </row>
    <row r="49" spans="1:16" s="28" customFormat="1" ht="12" hidden="1" customHeight="1" x14ac:dyDescent="0.25">
      <c r="A49" s="146"/>
      <c r="B49" s="147" t="s">
        <v>67</v>
      </c>
      <c r="C49" s="148"/>
      <c r="D49" s="149"/>
      <c r="E49" s="1425"/>
      <c r="F49" s="151"/>
      <c r="G49" s="152"/>
      <c r="H49" s="1426"/>
      <c r="I49" s="154"/>
      <c r="J49" s="152"/>
      <c r="K49" s="153"/>
      <c r="L49" s="155"/>
      <c r="M49" s="152"/>
      <c r="N49" s="153"/>
      <c r="O49" s="154"/>
      <c r="P49" s="156"/>
    </row>
    <row r="50" spans="1:16" s="28" customFormat="1" ht="12.75" thickBot="1" x14ac:dyDescent="0.3">
      <c r="A50" s="157"/>
      <c r="B50" s="29" t="s">
        <v>68</v>
      </c>
      <c r="C50" s="158">
        <f t="shared" si="0"/>
        <v>439998</v>
      </c>
      <c r="D50" s="159">
        <f>SUM(D51,D286)</f>
        <v>289904</v>
      </c>
      <c r="E50" s="160">
        <f t="shared" ref="E50:F50" si="26">SUM(E51,E286)</f>
        <v>0</v>
      </c>
      <c r="F50" s="161">
        <f t="shared" si="26"/>
        <v>289904</v>
      </c>
      <c r="G50" s="159">
        <f>SUM(G51,G286)</f>
        <v>130704</v>
      </c>
      <c r="H50" s="160">
        <f>SUM(H51,H286)</f>
        <v>11091</v>
      </c>
      <c r="I50" s="161">
        <f t="shared" ref="I50" si="27">SUM(I51,I286)</f>
        <v>141795</v>
      </c>
      <c r="J50" s="32">
        <f>SUM(J51,J286)</f>
        <v>8299</v>
      </c>
      <c r="K50" s="33">
        <f t="shared" ref="K50:L50" si="28">SUM(K51,K286)</f>
        <v>0</v>
      </c>
      <c r="L50" s="34">
        <f t="shared" si="28"/>
        <v>8299</v>
      </c>
      <c r="M50" s="32">
        <f>SUM(M51,M286)</f>
        <v>0</v>
      </c>
      <c r="N50" s="33">
        <f t="shared" ref="N50:O50" si="29">SUM(N51,N286)</f>
        <v>0</v>
      </c>
      <c r="O50" s="34">
        <f t="shared" si="29"/>
        <v>0</v>
      </c>
      <c r="P50" s="35"/>
    </row>
    <row r="51" spans="1:16" s="28" customFormat="1" ht="36.75" thickTop="1" x14ac:dyDescent="0.25">
      <c r="A51" s="162"/>
      <c r="B51" s="163" t="s">
        <v>69</v>
      </c>
      <c r="C51" s="164">
        <f t="shared" si="0"/>
        <v>439998</v>
      </c>
      <c r="D51" s="165">
        <f>SUM(D52,D194)</f>
        <v>289904</v>
      </c>
      <c r="E51" s="166">
        <f t="shared" ref="E51:F51" si="30">SUM(E52,E194)</f>
        <v>0</v>
      </c>
      <c r="F51" s="167">
        <f t="shared" si="30"/>
        <v>289904</v>
      </c>
      <c r="G51" s="165">
        <f>SUM(G52,G194)</f>
        <v>130704</v>
      </c>
      <c r="H51" s="166">
        <f t="shared" ref="H51:I51" si="31">SUM(H52,H194)</f>
        <v>11091</v>
      </c>
      <c r="I51" s="167">
        <f t="shared" si="31"/>
        <v>141795</v>
      </c>
      <c r="J51" s="168">
        <f>SUM(J52,J194)</f>
        <v>8299</v>
      </c>
      <c r="K51" s="169">
        <f t="shared" ref="K51:L51" si="32">SUM(K52,K194)</f>
        <v>0</v>
      </c>
      <c r="L51" s="170">
        <f t="shared" si="32"/>
        <v>8299</v>
      </c>
      <c r="M51" s="168">
        <f>SUM(M52,M194)</f>
        <v>0</v>
      </c>
      <c r="N51" s="169">
        <f t="shared" ref="N51:O51" si="33">SUM(N52,N194)</f>
        <v>0</v>
      </c>
      <c r="O51" s="170">
        <f t="shared" si="33"/>
        <v>0</v>
      </c>
      <c r="P51" s="171"/>
    </row>
    <row r="52" spans="1:16" s="28" customFormat="1" ht="24" x14ac:dyDescent="0.25">
      <c r="A52" s="24"/>
      <c r="B52" s="22" t="s">
        <v>70</v>
      </c>
      <c r="C52" s="172">
        <f t="shared" si="0"/>
        <v>435557</v>
      </c>
      <c r="D52" s="173">
        <f>SUM(D53,D75,D173,D187)</f>
        <v>286463</v>
      </c>
      <c r="E52" s="174">
        <f t="shared" ref="E52:F52" si="34">SUM(E53,E75,E173,E187)</f>
        <v>0</v>
      </c>
      <c r="F52" s="175">
        <f t="shared" si="34"/>
        <v>286463</v>
      </c>
      <c r="G52" s="173">
        <f>SUM(G53,G75,G173,G187)</f>
        <v>129704</v>
      </c>
      <c r="H52" s="174">
        <f t="shared" ref="H52:I52" si="35">SUM(H53,H75,H173,H187)</f>
        <v>11091</v>
      </c>
      <c r="I52" s="175">
        <f t="shared" si="35"/>
        <v>140795</v>
      </c>
      <c r="J52" s="173">
        <f>SUM(J53,J75,J173,J187)</f>
        <v>8299</v>
      </c>
      <c r="K52" s="174">
        <f t="shared" ref="K52:L52" si="36">SUM(K53,K75,K173,K187)</f>
        <v>0</v>
      </c>
      <c r="L52" s="175">
        <f t="shared" si="36"/>
        <v>8299</v>
      </c>
      <c r="M52" s="173">
        <f>SUM(M53,M75,M173,M187)</f>
        <v>0</v>
      </c>
      <c r="N52" s="174">
        <f t="shared" ref="N52:O52" si="37">SUM(N53,N75,N173,N187)</f>
        <v>0</v>
      </c>
      <c r="O52" s="175">
        <f t="shared" si="37"/>
        <v>0</v>
      </c>
      <c r="P52" s="176"/>
    </row>
    <row r="53" spans="1:16" s="28" customFormat="1" x14ac:dyDescent="0.25">
      <c r="A53" s="177">
        <v>1000</v>
      </c>
      <c r="B53" s="177" t="s">
        <v>71</v>
      </c>
      <c r="C53" s="178">
        <f t="shared" si="0"/>
        <v>360439</v>
      </c>
      <c r="D53" s="179">
        <f>SUM(D54,D67)</f>
        <v>222310</v>
      </c>
      <c r="E53" s="180">
        <f t="shared" ref="E53:F53" si="38">SUM(E54,E67)</f>
        <v>0</v>
      </c>
      <c r="F53" s="181">
        <f t="shared" si="38"/>
        <v>222310</v>
      </c>
      <c r="G53" s="179">
        <f>SUM(G54,G67)</f>
        <v>127038</v>
      </c>
      <c r="H53" s="180">
        <f t="shared" ref="H53:I53" si="39">SUM(H54,H67)</f>
        <v>11091</v>
      </c>
      <c r="I53" s="181">
        <f t="shared" si="39"/>
        <v>138129</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271884</v>
      </c>
      <c r="D54" s="184">
        <f>SUM(D55,D58,D66)</f>
        <v>161571</v>
      </c>
      <c r="E54" s="185">
        <f t="shared" ref="E54:F54" si="42">SUM(E55,E58,E66)</f>
        <v>0</v>
      </c>
      <c r="F54" s="73">
        <f t="shared" si="42"/>
        <v>161571</v>
      </c>
      <c r="G54" s="184">
        <f>SUM(G55,G58,G66)</f>
        <v>100660</v>
      </c>
      <c r="H54" s="185">
        <f t="shared" ref="H54:I54" si="43">SUM(H55,H58,H66)</f>
        <v>9653</v>
      </c>
      <c r="I54" s="73">
        <f t="shared" si="43"/>
        <v>110313</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240343</v>
      </c>
      <c r="D55" s="187">
        <f>SUM(D56:D57)</f>
        <v>130838</v>
      </c>
      <c r="E55" s="188">
        <f t="shared" ref="E55:F55" si="46">SUM(E56:E57)</f>
        <v>0</v>
      </c>
      <c r="F55" s="141">
        <f t="shared" si="46"/>
        <v>130838</v>
      </c>
      <c r="G55" s="187">
        <f>SUM(G56:G57)</f>
        <v>99701</v>
      </c>
      <c r="H55" s="188">
        <f t="shared" ref="H55:I55" si="47">SUM(H56:H57)</f>
        <v>9804</v>
      </c>
      <c r="I55" s="141">
        <f t="shared" si="47"/>
        <v>109505</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200"/>
      <c r="F56" s="134">
        <f t="shared" ref="F56:F57" si="50">D56+E56</f>
        <v>0</v>
      </c>
      <c r="G56" s="46"/>
      <c r="H56" s="200"/>
      <c r="I56" s="134">
        <f t="shared" ref="I56:I57" si="51">G56+H56</f>
        <v>0</v>
      </c>
      <c r="J56" s="46"/>
      <c r="K56" s="47"/>
      <c r="L56" s="134">
        <f t="shared" ref="L56:L57" si="52">K56+J56</f>
        <v>0</v>
      </c>
      <c r="M56" s="46"/>
      <c r="N56" s="47"/>
      <c r="O56" s="134">
        <f t="shared" ref="O56:O57" si="53">N56+M56</f>
        <v>0</v>
      </c>
      <c r="P56" s="49"/>
    </row>
    <row r="57" spans="1:16" ht="29.25" customHeight="1" x14ac:dyDescent="0.25">
      <c r="A57" s="51">
        <v>1119</v>
      </c>
      <c r="B57" s="89" t="s">
        <v>75</v>
      </c>
      <c r="C57" s="90">
        <f t="shared" si="0"/>
        <v>240343</v>
      </c>
      <c r="D57" s="53">
        <v>130838</v>
      </c>
      <c r="E57" s="197"/>
      <c r="F57" s="55">
        <f t="shared" si="50"/>
        <v>130838</v>
      </c>
      <c r="G57" s="53">
        <v>99701</v>
      </c>
      <c r="H57" s="197">
        <f>4729+5075</f>
        <v>9804</v>
      </c>
      <c r="I57" s="55">
        <f t="shared" si="51"/>
        <v>109505</v>
      </c>
      <c r="J57" s="53"/>
      <c r="K57" s="54"/>
      <c r="L57" s="55">
        <f t="shared" si="52"/>
        <v>0</v>
      </c>
      <c r="M57" s="53"/>
      <c r="N57" s="54"/>
      <c r="O57" s="55">
        <f t="shared" si="53"/>
        <v>0</v>
      </c>
      <c r="P57" s="57" t="s">
        <v>1786</v>
      </c>
    </row>
    <row r="58" spans="1:16" x14ac:dyDescent="0.25">
      <c r="A58" s="189">
        <v>1140</v>
      </c>
      <c r="B58" s="89" t="s">
        <v>76</v>
      </c>
      <c r="C58" s="90">
        <f t="shared" si="0"/>
        <v>25085</v>
      </c>
      <c r="D58" s="190">
        <f>SUM(D59:D65)</f>
        <v>24277</v>
      </c>
      <c r="E58" s="191">
        <f>SUM(E59:E65)</f>
        <v>0</v>
      </c>
      <c r="F58" s="55">
        <f t="shared" ref="F58" si="54">SUM(F59:F65)</f>
        <v>24277</v>
      </c>
      <c r="G58" s="190">
        <f>SUM(G59:G65)</f>
        <v>959</v>
      </c>
      <c r="H58" s="191">
        <f t="shared" ref="H58:I58" si="55">SUM(H59:H65)</f>
        <v>-151</v>
      </c>
      <c r="I58" s="55">
        <f t="shared" si="55"/>
        <v>808</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197"/>
      <c r="F59" s="55">
        <f t="shared" ref="F59:F66" si="58">D59+E59</f>
        <v>4172</v>
      </c>
      <c r="G59" s="53"/>
      <c r="H59" s="197"/>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197"/>
      <c r="F60" s="55">
        <f t="shared" si="58"/>
        <v>1029</v>
      </c>
      <c r="G60" s="53"/>
      <c r="H60" s="197"/>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197"/>
      <c r="F61" s="55">
        <f t="shared" si="58"/>
        <v>0</v>
      </c>
      <c r="G61" s="53"/>
      <c r="H61" s="197"/>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197"/>
      <c r="F62" s="55">
        <f t="shared" si="58"/>
        <v>0</v>
      </c>
      <c r="G62" s="53"/>
      <c r="H62" s="197"/>
      <c r="I62" s="55">
        <f t="shared" si="59"/>
        <v>0</v>
      </c>
      <c r="J62" s="53"/>
      <c r="K62" s="54"/>
      <c r="L62" s="55">
        <f t="shared" si="60"/>
        <v>0</v>
      </c>
      <c r="M62" s="53"/>
      <c r="N62" s="54"/>
      <c r="O62" s="55">
        <f t="shared" si="61"/>
        <v>0</v>
      </c>
      <c r="P62" s="57"/>
    </row>
    <row r="63" spans="1:16" ht="15.75" customHeight="1" x14ac:dyDescent="0.25">
      <c r="A63" s="51">
        <v>1147</v>
      </c>
      <c r="B63" s="89" t="s">
        <v>81</v>
      </c>
      <c r="C63" s="90">
        <f t="shared" si="0"/>
        <v>2256</v>
      </c>
      <c r="D63" s="54">
        <v>2256</v>
      </c>
      <c r="E63" s="197"/>
      <c r="F63" s="55">
        <f t="shared" si="58"/>
        <v>2256</v>
      </c>
      <c r="G63" s="53"/>
      <c r="H63" s="197"/>
      <c r="I63" s="55">
        <f t="shared" si="59"/>
        <v>0</v>
      </c>
      <c r="J63" s="53"/>
      <c r="K63" s="54"/>
      <c r="L63" s="55">
        <f t="shared" si="60"/>
        <v>0</v>
      </c>
      <c r="M63" s="53"/>
      <c r="N63" s="54"/>
      <c r="O63" s="55">
        <f t="shared" si="61"/>
        <v>0</v>
      </c>
      <c r="P63" s="57"/>
    </row>
    <row r="64" spans="1:16" ht="15" customHeight="1" x14ac:dyDescent="0.25">
      <c r="A64" s="51">
        <v>1148</v>
      </c>
      <c r="B64" s="89" t="s">
        <v>82</v>
      </c>
      <c r="C64" s="90">
        <f t="shared" si="0"/>
        <v>16820</v>
      </c>
      <c r="D64" s="54">
        <v>16820</v>
      </c>
      <c r="E64" s="197"/>
      <c r="F64" s="55">
        <f t="shared" si="58"/>
        <v>16820</v>
      </c>
      <c r="G64" s="53"/>
      <c r="H64" s="197"/>
      <c r="I64" s="55">
        <f t="shared" si="59"/>
        <v>0</v>
      </c>
      <c r="J64" s="53"/>
      <c r="K64" s="54"/>
      <c r="L64" s="55">
        <f t="shared" si="60"/>
        <v>0</v>
      </c>
      <c r="M64" s="53"/>
      <c r="N64" s="54"/>
      <c r="O64" s="55">
        <f t="shared" si="61"/>
        <v>0</v>
      </c>
      <c r="P64" s="57"/>
    </row>
    <row r="65" spans="1:16" ht="28.5" customHeight="1" x14ac:dyDescent="0.25">
      <c r="A65" s="51">
        <v>1149</v>
      </c>
      <c r="B65" s="89" t="s">
        <v>83</v>
      </c>
      <c r="C65" s="90">
        <f t="shared" si="0"/>
        <v>808</v>
      </c>
      <c r="D65" s="53"/>
      <c r="E65" s="197"/>
      <c r="F65" s="55">
        <f t="shared" si="58"/>
        <v>0</v>
      </c>
      <c r="G65" s="53">
        <v>959</v>
      </c>
      <c r="H65" s="197">
        <v>-151</v>
      </c>
      <c r="I65" s="55">
        <f t="shared" si="59"/>
        <v>808</v>
      </c>
      <c r="J65" s="53"/>
      <c r="K65" s="54"/>
      <c r="L65" s="55">
        <f t="shared" si="60"/>
        <v>0</v>
      </c>
      <c r="M65" s="53"/>
      <c r="N65" s="54"/>
      <c r="O65" s="55">
        <f t="shared" si="61"/>
        <v>0</v>
      </c>
      <c r="P65" s="57" t="s">
        <v>1787</v>
      </c>
    </row>
    <row r="66" spans="1:16" ht="39.75" customHeight="1" x14ac:dyDescent="0.25">
      <c r="A66" s="186">
        <v>1150</v>
      </c>
      <c r="B66" s="138" t="s">
        <v>84</v>
      </c>
      <c r="C66" s="143">
        <f t="shared" si="0"/>
        <v>6456</v>
      </c>
      <c r="D66" s="144">
        <v>6456</v>
      </c>
      <c r="E66" s="1427"/>
      <c r="F66" s="781">
        <f t="shared" si="58"/>
        <v>6456</v>
      </c>
      <c r="G66" s="780"/>
      <c r="H66" s="811"/>
      <c r="I66" s="781">
        <f t="shared" si="59"/>
        <v>0</v>
      </c>
      <c r="J66" s="780"/>
      <c r="K66" s="727"/>
      <c r="L66" s="781">
        <f t="shared" si="60"/>
        <v>0</v>
      </c>
      <c r="M66" s="780"/>
      <c r="N66" s="727"/>
      <c r="O66" s="781">
        <f t="shared" si="61"/>
        <v>0</v>
      </c>
      <c r="P66" s="354"/>
    </row>
    <row r="67" spans="1:16" ht="24" x14ac:dyDescent="0.25">
      <c r="A67" s="69">
        <v>1200</v>
      </c>
      <c r="B67" s="183" t="s">
        <v>85</v>
      </c>
      <c r="C67" s="70">
        <f t="shared" si="0"/>
        <v>88555</v>
      </c>
      <c r="D67" s="184">
        <f>SUM(D68:D69)</f>
        <v>60739</v>
      </c>
      <c r="E67" s="185">
        <f t="shared" ref="E67:F67" si="62">SUM(E68:E69)</f>
        <v>0</v>
      </c>
      <c r="F67" s="73">
        <f t="shared" si="62"/>
        <v>60739</v>
      </c>
      <c r="G67" s="184">
        <f>SUM(G68:G69)</f>
        <v>26378</v>
      </c>
      <c r="H67" s="185">
        <f t="shared" ref="H67:I67" si="63">SUM(H68:H69)</f>
        <v>1438</v>
      </c>
      <c r="I67" s="73">
        <f t="shared" si="63"/>
        <v>27816</v>
      </c>
      <c r="J67" s="184">
        <f>SUM(J68:J69)</f>
        <v>0</v>
      </c>
      <c r="K67" s="185">
        <f t="shared" ref="K67:L67" si="64">SUM(K68:K69)</f>
        <v>0</v>
      </c>
      <c r="L67" s="73">
        <f t="shared" si="64"/>
        <v>0</v>
      </c>
      <c r="M67" s="184">
        <f>SUM(M68:M69)</f>
        <v>0</v>
      </c>
      <c r="N67" s="185">
        <f t="shared" ref="N67:O67" si="65">SUM(N68:N69)</f>
        <v>0</v>
      </c>
      <c r="O67" s="73">
        <f t="shared" si="65"/>
        <v>0</v>
      </c>
      <c r="P67" s="77"/>
    </row>
    <row r="68" spans="1:16" ht="26.25" customHeight="1" x14ac:dyDescent="0.25">
      <c r="A68" s="1373">
        <v>1210</v>
      </c>
      <c r="B68" s="82" t="s">
        <v>86</v>
      </c>
      <c r="C68" s="83">
        <f t="shared" si="0"/>
        <v>68119</v>
      </c>
      <c r="D68" s="46">
        <v>41693</v>
      </c>
      <c r="E68" s="200"/>
      <c r="F68" s="134">
        <f>D68+E68</f>
        <v>41693</v>
      </c>
      <c r="G68" s="46">
        <v>24658</v>
      </c>
      <c r="H68" s="200">
        <f>1348+420</f>
        <v>1768</v>
      </c>
      <c r="I68" s="134">
        <f>G68+H68</f>
        <v>26426</v>
      </c>
      <c r="J68" s="46"/>
      <c r="K68" s="47"/>
      <c r="L68" s="134">
        <f>K68+J68</f>
        <v>0</v>
      </c>
      <c r="M68" s="46"/>
      <c r="N68" s="47"/>
      <c r="O68" s="134">
        <f>N68+M68</f>
        <v>0</v>
      </c>
      <c r="P68" s="57" t="s">
        <v>1788</v>
      </c>
    </row>
    <row r="69" spans="1:16" ht="24" x14ac:dyDescent="0.25">
      <c r="A69" s="189">
        <v>1220</v>
      </c>
      <c r="B69" s="89" t="s">
        <v>87</v>
      </c>
      <c r="C69" s="90">
        <f t="shared" si="0"/>
        <v>20436</v>
      </c>
      <c r="D69" s="190">
        <f>SUM(D70:D74)</f>
        <v>19046</v>
      </c>
      <c r="E69" s="191">
        <f t="shared" ref="E69:F69" si="66">SUM(E70:E74)</f>
        <v>0</v>
      </c>
      <c r="F69" s="55">
        <f t="shared" si="66"/>
        <v>19046</v>
      </c>
      <c r="G69" s="190">
        <f>SUM(G70:G74)</f>
        <v>1720</v>
      </c>
      <c r="H69" s="191">
        <f t="shared" ref="H69:I69" si="67">SUM(H70:H74)</f>
        <v>-330</v>
      </c>
      <c r="I69" s="55">
        <f t="shared" si="67"/>
        <v>1390</v>
      </c>
      <c r="J69" s="190">
        <f>SUM(J70:J74)</f>
        <v>0</v>
      </c>
      <c r="K69" s="191">
        <f t="shared" ref="K69:L69" si="68">SUM(K70:K74)</f>
        <v>0</v>
      </c>
      <c r="L69" s="55">
        <f t="shared" si="68"/>
        <v>0</v>
      </c>
      <c r="M69" s="190">
        <f>SUM(M70:M74)</f>
        <v>0</v>
      </c>
      <c r="N69" s="191">
        <f t="shared" ref="N69:O69" si="69">SUM(N70:N74)</f>
        <v>0</v>
      </c>
      <c r="O69" s="55">
        <f t="shared" si="69"/>
        <v>0</v>
      </c>
      <c r="P69" s="57"/>
    </row>
    <row r="70" spans="1:16" ht="51" customHeight="1" x14ac:dyDescent="0.25">
      <c r="A70" s="51">
        <v>1221</v>
      </c>
      <c r="B70" s="89" t="s">
        <v>88</v>
      </c>
      <c r="C70" s="90">
        <f t="shared" si="0"/>
        <v>12892</v>
      </c>
      <c r="D70" s="53">
        <v>11502</v>
      </c>
      <c r="E70" s="197"/>
      <c r="F70" s="55">
        <f t="shared" ref="F70:F74" si="70">D70+E70</f>
        <v>11502</v>
      </c>
      <c r="G70" s="53">
        <v>1720</v>
      </c>
      <c r="H70" s="197">
        <v>-330</v>
      </c>
      <c r="I70" s="55">
        <f t="shared" ref="I70:I74" si="71">G70+H70</f>
        <v>1390</v>
      </c>
      <c r="J70" s="53"/>
      <c r="K70" s="54"/>
      <c r="L70" s="55">
        <f t="shared" ref="L70:L74" si="72">K70+J70</f>
        <v>0</v>
      </c>
      <c r="M70" s="53"/>
      <c r="N70" s="54"/>
      <c r="O70" s="55">
        <f t="shared" ref="O70:O74" si="73">N70+M70</f>
        <v>0</v>
      </c>
      <c r="P70" s="1432" t="s">
        <v>1789</v>
      </c>
    </row>
    <row r="71" spans="1:16" ht="12" hidden="1" customHeight="1" x14ac:dyDescent="0.25">
      <c r="A71" s="51">
        <v>1223</v>
      </c>
      <c r="B71" s="89" t="s">
        <v>89</v>
      </c>
      <c r="C71" s="90">
        <f t="shared" si="0"/>
        <v>0</v>
      </c>
      <c r="D71" s="53"/>
      <c r="E71" s="197"/>
      <c r="F71" s="55">
        <f t="shared" si="70"/>
        <v>0</v>
      </c>
      <c r="G71" s="53"/>
      <c r="H71" s="197"/>
      <c r="I71" s="55">
        <f t="shared" si="71"/>
        <v>0</v>
      </c>
      <c r="J71" s="53"/>
      <c r="K71" s="54"/>
      <c r="L71" s="55">
        <f t="shared" si="72"/>
        <v>0</v>
      </c>
      <c r="M71" s="53"/>
      <c r="N71" s="54"/>
      <c r="O71" s="55">
        <f t="shared" si="73"/>
        <v>0</v>
      </c>
      <c r="P71" s="57"/>
    </row>
    <row r="72" spans="1:16" ht="39.75" hidden="1" customHeight="1" x14ac:dyDescent="0.25">
      <c r="A72" s="51">
        <v>1225</v>
      </c>
      <c r="B72" s="89" t="s">
        <v>90</v>
      </c>
      <c r="C72" s="90">
        <f t="shared" si="0"/>
        <v>0</v>
      </c>
      <c r="D72" s="53"/>
      <c r="E72" s="197"/>
      <c r="F72" s="55">
        <f t="shared" si="70"/>
        <v>0</v>
      </c>
      <c r="G72" s="53"/>
      <c r="H72" s="197"/>
      <c r="I72" s="55">
        <f t="shared" si="71"/>
        <v>0</v>
      </c>
      <c r="J72" s="53"/>
      <c r="K72" s="54"/>
      <c r="L72" s="55">
        <f t="shared" si="72"/>
        <v>0</v>
      </c>
      <c r="M72" s="53"/>
      <c r="N72" s="54"/>
      <c r="O72" s="55">
        <f t="shared" si="73"/>
        <v>0</v>
      </c>
      <c r="P72" s="57"/>
    </row>
    <row r="73" spans="1:16" ht="36" customHeight="1" x14ac:dyDescent="0.25">
      <c r="A73" s="51">
        <v>1227</v>
      </c>
      <c r="B73" s="89" t="s">
        <v>91</v>
      </c>
      <c r="C73" s="90">
        <f t="shared" si="0"/>
        <v>7044</v>
      </c>
      <c r="D73" s="54">
        <v>7044</v>
      </c>
      <c r="E73" s="197"/>
      <c r="F73" s="55">
        <f t="shared" si="70"/>
        <v>7044</v>
      </c>
      <c r="G73" s="53"/>
      <c r="H73" s="197"/>
      <c r="I73" s="55">
        <f t="shared" si="71"/>
        <v>0</v>
      </c>
      <c r="J73" s="53"/>
      <c r="K73" s="54"/>
      <c r="L73" s="55">
        <f t="shared" si="72"/>
        <v>0</v>
      </c>
      <c r="M73" s="53"/>
      <c r="N73" s="54"/>
      <c r="O73" s="55">
        <f t="shared" si="73"/>
        <v>0</v>
      </c>
      <c r="P73" s="57"/>
    </row>
    <row r="74" spans="1:16" ht="53.25" customHeight="1" x14ac:dyDescent="0.25">
      <c r="A74" s="51">
        <v>1228</v>
      </c>
      <c r="B74" s="89" t="s">
        <v>92</v>
      </c>
      <c r="C74" s="90">
        <f t="shared" si="0"/>
        <v>500</v>
      </c>
      <c r="D74" s="54">
        <v>500</v>
      </c>
      <c r="E74" s="197"/>
      <c r="F74" s="55">
        <f t="shared" si="70"/>
        <v>500</v>
      </c>
      <c r="G74" s="53"/>
      <c r="H74" s="197"/>
      <c r="I74" s="55">
        <f t="shared" si="71"/>
        <v>0</v>
      </c>
      <c r="J74" s="53"/>
      <c r="K74" s="54"/>
      <c r="L74" s="55">
        <f t="shared" si="72"/>
        <v>0</v>
      </c>
      <c r="M74" s="53"/>
      <c r="N74" s="54"/>
      <c r="O74" s="55">
        <f t="shared" si="73"/>
        <v>0</v>
      </c>
      <c r="P74" s="57"/>
    </row>
    <row r="75" spans="1:16" x14ac:dyDescent="0.25">
      <c r="A75" s="177">
        <v>2000</v>
      </c>
      <c r="B75" s="177" t="s">
        <v>93</v>
      </c>
      <c r="C75" s="178">
        <f t="shared" si="0"/>
        <v>75118</v>
      </c>
      <c r="D75" s="179">
        <f>SUM(D76,D83,D130,D164,D165,D172)</f>
        <v>64153</v>
      </c>
      <c r="E75" s="180">
        <f t="shared" ref="E75:F75" si="74">SUM(E76,E83,E130,E164,E165,E172)</f>
        <v>0</v>
      </c>
      <c r="F75" s="181">
        <f t="shared" si="74"/>
        <v>64153</v>
      </c>
      <c r="G75" s="179">
        <f>SUM(G76,G83,G130,G164,G165,G172)</f>
        <v>2666</v>
      </c>
      <c r="H75" s="180">
        <f t="shared" ref="H75:I75" si="75">SUM(H76,H83,H130,H164,H165,H172)</f>
        <v>0</v>
      </c>
      <c r="I75" s="181">
        <f t="shared" si="75"/>
        <v>2666</v>
      </c>
      <c r="J75" s="179">
        <f>SUM(J76,J83,J130,J164,J165,J172)</f>
        <v>8299</v>
      </c>
      <c r="K75" s="180">
        <f t="shared" ref="K75:L75" si="76">SUM(K76,K83,K130,K164,K165,K172)</f>
        <v>0</v>
      </c>
      <c r="L75" s="181">
        <f t="shared" si="76"/>
        <v>8299</v>
      </c>
      <c r="M75" s="179">
        <f>SUM(M76,M83,M130,M164,M165,M172)</f>
        <v>0</v>
      </c>
      <c r="N75" s="180">
        <f t="shared" ref="N75:O75" si="77">SUM(N76,N83,N130,N164,N165,N172)</f>
        <v>0</v>
      </c>
      <c r="O75" s="181">
        <f t="shared" si="77"/>
        <v>0</v>
      </c>
      <c r="P75" s="182"/>
    </row>
    <row r="76" spans="1:16" ht="28.5" customHeight="1" x14ac:dyDescent="0.25">
      <c r="A76" s="69">
        <v>2100</v>
      </c>
      <c r="B76" s="183" t="s">
        <v>94</v>
      </c>
      <c r="C76" s="70">
        <f t="shared" si="0"/>
        <v>50</v>
      </c>
      <c r="D76" s="184">
        <f>SUM(D77,D80)</f>
        <v>50</v>
      </c>
      <c r="E76" s="185">
        <f t="shared" ref="E76:F76" si="78">SUM(E77,E80)</f>
        <v>0</v>
      </c>
      <c r="F76" s="73">
        <f t="shared" si="78"/>
        <v>50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1373">
        <v>2110</v>
      </c>
      <c r="B77" s="82" t="s">
        <v>95</v>
      </c>
      <c r="C77" s="83">
        <f t="shared" si="0"/>
        <v>50</v>
      </c>
      <c r="D77" s="194">
        <f>SUM(D78:D79)</f>
        <v>50</v>
      </c>
      <c r="E77" s="195">
        <f t="shared" ref="E77:F77" si="82">SUM(E78:E79)</f>
        <v>0</v>
      </c>
      <c r="F77" s="134">
        <f t="shared" si="82"/>
        <v>50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197"/>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50</v>
      </c>
      <c r="D79" s="196">
        <v>50</v>
      </c>
      <c r="E79" s="197"/>
      <c r="F79" s="55">
        <f t="shared" si="86"/>
        <v>50</v>
      </c>
      <c r="G79" s="53"/>
      <c r="H79" s="197"/>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197"/>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197"/>
      <c r="I82" s="55">
        <f t="shared" si="95"/>
        <v>0</v>
      </c>
      <c r="J82" s="53"/>
      <c r="K82" s="54"/>
      <c r="L82" s="55">
        <f t="shared" si="96"/>
        <v>0</v>
      </c>
      <c r="M82" s="53"/>
      <c r="N82" s="54"/>
      <c r="O82" s="55">
        <f t="shared" si="97"/>
        <v>0</v>
      </c>
      <c r="P82" s="57"/>
    </row>
    <row r="83" spans="1:16" x14ac:dyDescent="0.25">
      <c r="A83" s="69">
        <v>2200</v>
      </c>
      <c r="B83" s="183" t="s">
        <v>99</v>
      </c>
      <c r="C83" s="70">
        <f t="shared" si="0"/>
        <v>61268</v>
      </c>
      <c r="D83" s="184">
        <f>SUM(D84,D89,D95,D103,D112,D116,D122,D128)</f>
        <v>51387</v>
      </c>
      <c r="E83" s="185">
        <f t="shared" ref="E83:F83" si="98">SUM(E84,E89,E95,E103,E112,E116,E122,E128)</f>
        <v>0</v>
      </c>
      <c r="F83" s="73">
        <f t="shared" si="98"/>
        <v>51387</v>
      </c>
      <c r="G83" s="184">
        <f>SUM(G84,G89,G95,G103,G112,G116,G122,G128)</f>
        <v>1582</v>
      </c>
      <c r="H83" s="185">
        <f t="shared" ref="H83:I83" si="99">SUM(H84,H89,H95,H103,H112,H116,H122,H128)</f>
        <v>0</v>
      </c>
      <c r="I83" s="73">
        <f t="shared" si="99"/>
        <v>1582</v>
      </c>
      <c r="J83" s="184">
        <f>SUM(J84,J89,J95,J103,J112,J116,J122,J128)</f>
        <v>8299</v>
      </c>
      <c r="K83" s="185">
        <f t="shared" ref="K83:L83" si="100">SUM(K84,K89,K95,K103,K112,K116,K122,K128)</f>
        <v>0</v>
      </c>
      <c r="L83" s="73">
        <f t="shared" si="100"/>
        <v>8299</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1363</v>
      </c>
      <c r="D84" s="187">
        <f>SUM(D85:D88)</f>
        <v>1363</v>
      </c>
      <c r="E84" s="188">
        <f t="shared" ref="E84:F84" si="103">SUM(E85:E88)</f>
        <v>0</v>
      </c>
      <c r="F84" s="141">
        <f t="shared" si="103"/>
        <v>1363</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200"/>
      <c r="I85" s="134">
        <f t="shared" ref="I85:I88" si="108">G85+H85</f>
        <v>0</v>
      </c>
      <c r="J85" s="46"/>
      <c r="K85" s="47"/>
      <c r="L85" s="134">
        <f t="shared" ref="L85:L88" si="109">K85+J85</f>
        <v>0</v>
      </c>
      <c r="M85" s="46"/>
      <c r="N85" s="47"/>
      <c r="O85" s="134">
        <f t="shared" ref="O85:O88" si="110">N85+M85</f>
        <v>0</v>
      </c>
      <c r="P85" s="49"/>
    </row>
    <row r="86" spans="1:16" ht="41.25" customHeight="1" x14ac:dyDescent="0.25">
      <c r="A86" s="51">
        <v>2212</v>
      </c>
      <c r="B86" s="89" t="s">
        <v>102</v>
      </c>
      <c r="C86" s="90">
        <f t="shared" si="102"/>
        <v>1177</v>
      </c>
      <c r="D86" s="197">
        <v>1177</v>
      </c>
      <c r="E86" s="1427"/>
      <c r="F86" s="350">
        <f t="shared" si="107"/>
        <v>1177</v>
      </c>
      <c r="G86" s="348"/>
      <c r="H86" s="353"/>
      <c r="I86" s="350">
        <f t="shared" si="108"/>
        <v>0</v>
      </c>
      <c r="J86" s="348"/>
      <c r="K86" s="349"/>
      <c r="L86" s="350">
        <f t="shared" si="109"/>
        <v>0</v>
      </c>
      <c r="M86" s="348"/>
      <c r="N86" s="349"/>
      <c r="O86" s="350">
        <f t="shared" si="110"/>
        <v>0</v>
      </c>
      <c r="P86" s="354"/>
    </row>
    <row r="87" spans="1:16" ht="24" customHeight="1" x14ac:dyDescent="0.25">
      <c r="A87" s="51">
        <v>2214</v>
      </c>
      <c r="B87" s="89" t="s">
        <v>103</v>
      </c>
      <c r="C87" s="90">
        <f t="shared" si="102"/>
        <v>102</v>
      </c>
      <c r="D87" s="197">
        <v>102</v>
      </c>
      <c r="E87" s="197"/>
      <c r="F87" s="55">
        <f t="shared" si="107"/>
        <v>102</v>
      </c>
      <c r="G87" s="53"/>
      <c r="H87" s="197"/>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84</v>
      </c>
      <c r="D88" s="197">
        <v>84</v>
      </c>
      <c r="E88" s="197"/>
      <c r="F88" s="55">
        <f t="shared" si="107"/>
        <v>84</v>
      </c>
      <c r="G88" s="53"/>
      <c r="H88" s="197"/>
      <c r="I88" s="55">
        <f t="shared" si="108"/>
        <v>0</v>
      </c>
      <c r="J88" s="53"/>
      <c r="K88" s="54"/>
      <c r="L88" s="55">
        <f t="shared" si="109"/>
        <v>0</v>
      </c>
      <c r="M88" s="53"/>
      <c r="N88" s="54"/>
      <c r="O88" s="55">
        <f t="shared" si="110"/>
        <v>0</v>
      </c>
      <c r="P88" s="57"/>
    </row>
    <row r="89" spans="1:16" ht="24" x14ac:dyDescent="0.25">
      <c r="A89" s="189">
        <v>2220</v>
      </c>
      <c r="B89" s="89" t="s">
        <v>105</v>
      </c>
      <c r="C89" s="90">
        <f t="shared" si="102"/>
        <v>40593</v>
      </c>
      <c r="D89" s="190">
        <f>SUM(D90:D94)</f>
        <v>34094</v>
      </c>
      <c r="E89" s="191">
        <f t="shared" ref="E89:F89" si="111">SUM(E90:E94)</f>
        <v>0</v>
      </c>
      <c r="F89" s="55">
        <f t="shared" si="111"/>
        <v>34094</v>
      </c>
      <c r="G89" s="190">
        <f>SUM(G90:G94)</f>
        <v>0</v>
      </c>
      <c r="H89" s="191">
        <f t="shared" ref="H89:I89" si="112">SUM(H90:H94)</f>
        <v>0</v>
      </c>
      <c r="I89" s="55">
        <f t="shared" si="112"/>
        <v>0</v>
      </c>
      <c r="J89" s="190">
        <f>SUM(J90:J94)</f>
        <v>6499</v>
      </c>
      <c r="K89" s="191">
        <f t="shared" ref="K89:L89" si="113">SUM(K90:K94)</f>
        <v>0</v>
      </c>
      <c r="L89" s="55">
        <f t="shared" si="113"/>
        <v>6499</v>
      </c>
      <c r="M89" s="190">
        <f>SUM(M90:M94)</f>
        <v>0</v>
      </c>
      <c r="N89" s="191">
        <f t="shared" ref="N89:O89" si="114">SUM(N90:N94)</f>
        <v>0</v>
      </c>
      <c r="O89" s="55">
        <f t="shared" si="114"/>
        <v>0</v>
      </c>
      <c r="P89" s="57"/>
    </row>
    <row r="90" spans="1:16" ht="29.25" customHeight="1" x14ac:dyDescent="0.25">
      <c r="A90" s="51">
        <v>2221</v>
      </c>
      <c r="B90" s="89" t="s">
        <v>106</v>
      </c>
      <c r="C90" s="90">
        <f t="shared" si="102"/>
        <v>31640</v>
      </c>
      <c r="D90" s="197">
        <v>26886</v>
      </c>
      <c r="E90" s="1427"/>
      <c r="F90" s="350">
        <f t="shared" ref="F90:F94" si="115">D90+E90</f>
        <v>26886</v>
      </c>
      <c r="G90" s="348"/>
      <c r="H90" s="353"/>
      <c r="I90" s="350">
        <f t="shared" ref="I90:I94" si="116">G90+H90</f>
        <v>0</v>
      </c>
      <c r="J90" s="348">
        <v>4754</v>
      </c>
      <c r="K90" s="1427"/>
      <c r="L90" s="350">
        <f t="shared" ref="L90:L94" si="117">K90+J90</f>
        <v>4754</v>
      </c>
      <c r="M90" s="348"/>
      <c r="N90" s="349"/>
      <c r="O90" s="350">
        <f t="shared" ref="O90:O94" si="118">N90+M90</f>
        <v>0</v>
      </c>
      <c r="P90" s="354"/>
    </row>
    <row r="91" spans="1:16" ht="19.5" customHeight="1" x14ac:dyDescent="0.25">
      <c r="A91" s="51">
        <v>2222</v>
      </c>
      <c r="B91" s="89" t="s">
        <v>107</v>
      </c>
      <c r="C91" s="90">
        <f t="shared" si="102"/>
        <v>1318</v>
      </c>
      <c r="D91" s="197">
        <v>798</v>
      </c>
      <c r="E91" s="1427"/>
      <c r="F91" s="350">
        <f t="shared" si="115"/>
        <v>798</v>
      </c>
      <c r="G91" s="348"/>
      <c r="H91" s="353"/>
      <c r="I91" s="350">
        <f t="shared" si="116"/>
        <v>0</v>
      </c>
      <c r="J91" s="348">
        <v>520</v>
      </c>
      <c r="K91" s="354"/>
      <c r="L91" s="350">
        <f t="shared" si="117"/>
        <v>520</v>
      </c>
      <c r="M91" s="348"/>
      <c r="N91" s="349"/>
      <c r="O91" s="350">
        <f t="shared" si="118"/>
        <v>0</v>
      </c>
      <c r="P91" s="354"/>
    </row>
    <row r="92" spans="1:16" ht="16.5" customHeight="1" x14ac:dyDescent="0.25">
      <c r="A92" s="51">
        <v>2223</v>
      </c>
      <c r="B92" s="89" t="s">
        <v>108</v>
      </c>
      <c r="C92" s="90">
        <f t="shared" si="102"/>
        <v>7246</v>
      </c>
      <c r="D92" s="196">
        <v>6096</v>
      </c>
      <c r="E92" s="1427"/>
      <c r="F92" s="350">
        <f t="shared" si="115"/>
        <v>6096</v>
      </c>
      <c r="G92" s="348"/>
      <c r="H92" s="353"/>
      <c r="I92" s="350">
        <f t="shared" si="116"/>
        <v>0</v>
      </c>
      <c r="J92" s="348">
        <v>1150</v>
      </c>
      <c r="K92" s="354"/>
      <c r="L92" s="350">
        <f t="shared" si="117"/>
        <v>1150</v>
      </c>
      <c r="M92" s="348"/>
      <c r="N92" s="349"/>
      <c r="O92" s="350">
        <f t="shared" si="118"/>
        <v>0</v>
      </c>
      <c r="P92" s="354"/>
    </row>
    <row r="93" spans="1:16" ht="48" customHeight="1" x14ac:dyDescent="0.25">
      <c r="A93" s="51">
        <v>2224</v>
      </c>
      <c r="B93" s="89" t="s">
        <v>109</v>
      </c>
      <c r="C93" s="90">
        <f t="shared" si="102"/>
        <v>389</v>
      </c>
      <c r="D93" s="196">
        <v>314</v>
      </c>
      <c r="E93" s="353"/>
      <c r="F93" s="350">
        <f t="shared" si="115"/>
        <v>314</v>
      </c>
      <c r="G93" s="348"/>
      <c r="H93" s="353"/>
      <c r="I93" s="350">
        <f t="shared" si="116"/>
        <v>0</v>
      </c>
      <c r="J93" s="348">
        <v>75</v>
      </c>
      <c r="K93" s="349"/>
      <c r="L93" s="350">
        <f t="shared" si="117"/>
        <v>75</v>
      </c>
      <c r="M93" s="348"/>
      <c r="N93" s="349"/>
      <c r="O93" s="350">
        <f t="shared" si="118"/>
        <v>0</v>
      </c>
      <c r="P93" s="354"/>
    </row>
    <row r="94" spans="1:16" ht="24" hidden="1" customHeight="1" x14ac:dyDescent="0.25">
      <c r="A94" s="51">
        <v>2229</v>
      </c>
      <c r="B94" s="89" t="s">
        <v>110</v>
      </c>
      <c r="C94" s="90">
        <f t="shared" si="102"/>
        <v>0</v>
      </c>
      <c r="D94" s="196"/>
      <c r="E94" s="353"/>
      <c r="F94" s="350">
        <f t="shared" si="115"/>
        <v>0</v>
      </c>
      <c r="G94" s="348"/>
      <c r="H94" s="353"/>
      <c r="I94" s="350">
        <f t="shared" si="116"/>
        <v>0</v>
      </c>
      <c r="J94" s="348"/>
      <c r="K94" s="349"/>
      <c r="L94" s="350">
        <f t="shared" si="117"/>
        <v>0</v>
      </c>
      <c r="M94" s="348"/>
      <c r="N94" s="349"/>
      <c r="O94" s="350">
        <f t="shared" si="118"/>
        <v>0</v>
      </c>
      <c r="P94" s="354"/>
    </row>
    <row r="95" spans="1:16" ht="24" customHeight="1" x14ac:dyDescent="0.25">
      <c r="A95" s="189">
        <v>2230</v>
      </c>
      <c r="B95" s="89" t="s">
        <v>111</v>
      </c>
      <c r="C95" s="90">
        <f t="shared" si="102"/>
        <v>4074</v>
      </c>
      <c r="D95" s="190">
        <f>SUM(D96:D102)</f>
        <v>4074</v>
      </c>
      <c r="E95" s="365">
        <f t="shared" ref="E95:F95" si="119">SUM(E96:E102)</f>
        <v>0</v>
      </c>
      <c r="F95" s="350">
        <f t="shared" si="119"/>
        <v>4074</v>
      </c>
      <c r="G95" s="806">
        <f>SUM(G96:G102)</f>
        <v>0</v>
      </c>
      <c r="H95" s="365">
        <f t="shared" ref="H95:I95" si="120">SUM(H96:H102)</f>
        <v>0</v>
      </c>
      <c r="I95" s="350">
        <f t="shared" si="120"/>
        <v>0</v>
      </c>
      <c r="J95" s="806">
        <f>SUM(J96:J102)</f>
        <v>0</v>
      </c>
      <c r="K95" s="365">
        <f t="shared" ref="K95:L95" si="121">SUM(K96:K102)</f>
        <v>0</v>
      </c>
      <c r="L95" s="350">
        <f t="shared" si="121"/>
        <v>0</v>
      </c>
      <c r="M95" s="806">
        <f>SUM(M96:M102)</f>
        <v>0</v>
      </c>
      <c r="N95" s="365">
        <f t="shared" ref="N95:O95" si="122">SUM(N96:N102)</f>
        <v>0</v>
      </c>
      <c r="O95" s="350">
        <f t="shared" si="122"/>
        <v>0</v>
      </c>
      <c r="P95" s="354"/>
    </row>
    <row r="96" spans="1:16" ht="24" hidden="1" customHeight="1" x14ac:dyDescent="0.25">
      <c r="A96" s="51">
        <v>2231</v>
      </c>
      <c r="B96" s="89" t="s">
        <v>112</v>
      </c>
      <c r="C96" s="90">
        <f t="shared" si="102"/>
        <v>0</v>
      </c>
      <c r="D96" s="196"/>
      <c r="E96" s="353"/>
      <c r="F96" s="350">
        <f t="shared" ref="F96:F102" si="123">D96+E96</f>
        <v>0</v>
      </c>
      <c r="G96" s="348"/>
      <c r="H96" s="353"/>
      <c r="I96" s="350">
        <f t="shared" ref="I96:I102" si="124">G96+H96</f>
        <v>0</v>
      </c>
      <c r="J96" s="348"/>
      <c r="K96" s="349"/>
      <c r="L96" s="350">
        <f t="shared" ref="L96:L102" si="125">K96+J96</f>
        <v>0</v>
      </c>
      <c r="M96" s="348"/>
      <c r="N96" s="349"/>
      <c r="O96" s="350">
        <f t="shared" ref="O96:O102" si="126">N96+M96</f>
        <v>0</v>
      </c>
      <c r="P96" s="354"/>
    </row>
    <row r="97" spans="1:16" ht="24.75" hidden="1" customHeight="1" x14ac:dyDescent="0.25">
      <c r="A97" s="51">
        <v>2232</v>
      </c>
      <c r="B97" s="89" t="s">
        <v>113</v>
      </c>
      <c r="C97" s="90">
        <f t="shared" si="102"/>
        <v>0</v>
      </c>
      <c r="D97" s="196"/>
      <c r="E97" s="353"/>
      <c r="F97" s="350">
        <f t="shared" si="123"/>
        <v>0</v>
      </c>
      <c r="G97" s="348"/>
      <c r="H97" s="353"/>
      <c r="I97" s="350">
        <f t="shared" si="124"/>
        <v>0</v>
      </c>
      <c r="J97" s="348"/>
      <c r="K97" s="349"/>
      <c r="L97" s="350">
        <f t="shared" si="125"/>
        <v>0</v>
      </c>
      <c r="M97" s="348"/>
      <c r="N97" s="349"/>
      <c r="O97" s="350">
        <f t="shared" si="126"/>
        <v>0</v>
      </c>
      <c r="P97" s="354"/>
    </row>
    <row r="98" spans="1:16" ht="24" hidden="1" customHeight="1" x14ac:dyDescent="0.25">
      <c r="A98" s="44">
        <v>2233</v>
      </c>
      <c r="B98" s="82" t="s">
        <v>114</v>
      </c>
      <c r="C98" s="83">
        <f t="shared" si="102"/>
        <v>0</v>
      </c>
      <c r="D98" s="199"/>
      <c r="E98" s="490"/>
      <c r="F98" s="491">
        <f t="shared" si="123"/>
        <v>0</v>
      </c>
      <c r="G98" s="460"/>
      <c r="H98" s="490"/>
      <c r="I98" s="491">
        <f t="shared" si="124"/>
        <v>0</v>
      </c>
      <c r="J98" s="460"/>
      <c r="K98" s="461"/>
      <c r="L98" s="491">
        <f t="shared" si="125"/>
        <v>0</v>
      </c>
      <c r="M98" s="460"/>
      <c r="N98" s="461"/>
      <c r="O98" s="491">
        <f t="shared" si="126"/>
        <v>0</v>
      </c>
      <c r="P98" s="463"/>
    </row>
    <row r="99" spans="1:16" ht="36" hidden="1" customHeight="1" x14ac:dyDescent="0.25">
      <c r="A99" s="51">
        <v>2234</v>
      </c>
      <c r="B99" s="89" t="s">
        <v>115</v>
      </c>
      <c r="C99" s="90">
        <f t="shared" si="102"/>
        <v>0</v>
      </c>
      <c r="D99" s="196"/>
      <c r="E99" s="353"/>
      <c r="F99" s="350">
        <f t="shared" si="123"/>
        <v>0</v>
      </c>
      <c r="G99" s="348"/>
      <c r="H99" s="353"/>
      <c r="I99" s="350">
        <f t="shared" si="124"/>
        <v>0</v>
      </c>
      <c r="J99" s="348"/>
      <c r="K99" s="349"/>
      <c r="L99" s="350">
        <f t="shared" si="125"/>
        <v>0</v>
      </c>
      <c r="M99" s="348"/>
      <c r="N99" s="349"/>
      <c r="O99" s="350">
        <f t="shared" si="126"/>
        <v>0</v>
      </c>
      <c r="P99" s="354"/>
    </row>
    <row r="100" spans="1:16" ht="24" hidden="1" customHeight="1" x14ac:dyDescent="0.25">
      <c r="A100" s="51">
        <v>2235</v>
      </c>
      <c r="B100" s="89" t="s">
        <v>116</v>
      </c>
      <c r="C100" s="90">
        <f t="shared" si="102"/>
        <v>0</v>
      </c>
      <c r="D100" s="196"/>
      <c r="E100" s="353"/>
      <c r="F100" s="350">
        <f t="shared" si="123"/>
        <v>0</v>
      </c>
      <c r="G100" s="348"/>
      <c r="H100" s="353"/>
      <c r="I100" s="350">
        <f t="shared" si="124"/>
        <v>0</v>
      </c>
      <c r="J100" s="348"/>
      <c r="K100" s="349"/>
      <c r="L100" s="350">
        <f t="shared" si="125"/>
        <v>0</v>
      </c>
      <c r="M100" s="348"/>
      <c r="N100" s="349"/>
      <c r="O100" s="350">
        <f t="shared" si="126"/>
        <v>0</v>
      </c>
      <c r="P100" s="354"/>
    </row>
    <row r="101" spans="1:16" ht="12" hidden="1" customHeight="1" x14ac:dyDescent="0.25">
      <c r="A101" s="51">
        <v>2236</v>
      </c>
      <c r="B101" s="89" t="s">
        <v>117</v>
      </c>
      <c r="C101" s="90">
        <f t="shared" si="102"/>
        <v>0</v>
      </c>
      <c r="D101" s="196"/>
      <c r="E101" s="353"/>
      <c r="F101" s="350">
        <f t="shared" si="123"/>
        <v>0</v>
      </c>
      <c r="G101" s="348"/>
      <c r="H101" s="353"/>
      <c r="I101" s="350">
        <f t="shared" si="124"/>
        <v>0</v>
      </c>
      <c r="J101" s="348"/>
      <c r="K101" s="349"/>
      <c r="L101" s="350">
        <f t="shared" si="125"/>
        <v>0</v>
      </c>
      <c r="M101" s="348"/>
      <c r="N101" s="349"/>
      <c r="O101" s="350">
        <f t="shared" si="126"/>
        <v>0</v>
      </c>
      <c r="P101" s="354"/>
    </row>
    <row r="102" spans="1:16" ht="23.25" customHeight="1" x14ac:dyDescent="0.25">
      <c r="A102" s="51">
        <v>2239</v>
      </c>
      <c r="B102" s="89" t="s">
        <v>118</v>
      </c>
      <c r="C102" s="90">
        <f t="shared" si="102"/>
        <v>4074</v>
      </c>
      <c r="D102" s="196">
        <v>4074</v>
      </c>
      <c r="E102" s="1427"/>
      <c r="F102" s="350">
        <f t="shared" si="123"/>
        <v>4074</v>
      </c>
      <c r="G102" s="348"/>
      <c r="H102" s="353"/>
      <c r="I102" s="350">
        <f t="shared" si="124"/>
        <v>0</v>
      </c>
      <c r="J102" s="348"/>
      <c r="K102" s="349"/>
      <c r="L102" s="350">
        <f t="shared" si="125"/>
        <v>0</v>
      </c>
      <c r="M102" s="348"/>
      <c r="N102" s="349"/>
      <c r="O102" s="350">
        <f t="shared" si="126"/>
        <v>0</v>
      </c>
      <c r="P102" s="354"/>
    </row>
    <row r="103" spans="1:16" ht="36" x14ac:dyDescent="0.25">
      <c r="A103" s="189">
        <v>2240</v>
      </c>
      <c r="B103" s="89" t="s">
        <v>119</v>
      </c>
      <c r="C103" s="90">
        <f t="shared" si="102"/>
        <v>6074</v>
      </c>
      <c r="D103" s="190">
        <f>SUM(D104:D111)</f>
        <v>6074</v>
      </c>
      <c r="E103" s="365">
        <f t="shared" ref="E103:F103" si="127">SUM(E104:E111)</f>
        <v>0</v>
      </c>
      <c r="F103" s="350">
        <f t="shared" si="127"/>
        <v>6074</v>
      </c>
      <c r="G103" s="806">
        <f>SUM(G104:G111)</f>
        <v>0</v>
      </c>
      <c r="H103" s="365">
        <f t="shared" ref="H103:I103" si="128">SUM(H104:H111)</f>
        <v>0</v>
      </c>
      <c r="I103" s="350">
        <f t="shared" si="128"/>
        <v>0</v>
      </c>
      <c r="J103" s="806">
        <f>SUM(J104:J111)</f>
        <v>0</v>
      </c>
      <c r="K103" s="365">
        <f t="shared" ref="K103:L103" si="129">SUM(K104:K111)</f>
        <v>0</v>
      </c>
      <c r="L103" s="350">
        <f t="shared" si="129"/>
        <v>0</v>
      </c>
      <c r="M103" s="806">
        <f>SUM(M104:M111)</f>
        <v>0</v>
      </c>
      <c r="N103" s="365">
        <f t="shared" ref="N103:O103" si="130">SUM(N104:N111)</f>
        <v>0</v>
      </c>
      <c r="O103" s="350">
        <f t="shared" si="130"/>
        <v>0</v>
      </c>
      <c r="P103" s="354"/>
    </row>
    <row r="104" spans="1:16" ht="12" hidden="1" customHeight="1" x14ac:dyDescent="0.25">
      <c r="A104" s="51">
        <v>2241</v>
      </c>
      <c r="B104" s="89" t="s">
        <v>120</v>
      </c>
      <c r="C104" s="90">
        <f t="shared" si="102"/>
        <v>0</v>
      </c>
      <c r="D104" s="196"/>
      <c r="E104" s="353"/>
      <c r="F104" s="350">
        <f t="shared" ref="F104:F111" si="131">D104+E104</f>
        <v>0</v>
      </c>
      <c r="G104" s="348"/>
      <c r="H104" s="353"/>
      <c r="I104" s="350">
        <f t="shared" ref="I104:I111" si="132">G104+H104</f>
        <v>0</v>
      </c>
      <c r="J104" s="348"/>
      <c r="K104" s="349"/>
      <c r="L104" s="350">
        <f t="shared" ref="L104:L111" si="133">K104+J104</f>
        <v>0</v>
      </c>
      <c r="M104" s="348"/>
      <c r="N104" s="349"/>
      <c r="O104" s="350">
        <f t="shared" ref="O104:O111" si="134">N104+M104</f>
        <v>0</v>
      </c>
      <c r="P104" s="354"/>
    </row>
    <row r="105" spans="1:16" ht="23.25" customHeight="1" x14ac:dyDescent="0.25">
      <c r="A105" s="51">
        <v>2242</v>
      </c>
      <c r="B105" s="89" t="s">
        <v>121</v>
      </c>
      <c r="C105" s="90">
        <f t="shared" si="102"/>
        <v>687</v>
      </c>
      <c r="D105" s="196">
        <v>687</v>
      </c>
      <c r="E105" s="1427"/>
      <c r="F105" s="350">
        <f t="shared" si="131"/>
        <v>687</v>
      </c>
      <c r="G105" s="348"/>
      <c r="H105" s="353"/>
      <c r="I105" s="350">
        <f t="shared" si="132"/>
        <v>0</v>
      </c>
      <c r="J105" s="348"/>
      <c r="K105" s="349"/>
      <c r="L105" s="350">
        <f t="shared" si="133"/>
        <v>0</v>
      </c>
      <c r="M105" s="348"/>
      <c r="N105" s="349"/>
      <c r="O105" s="350">
        <f t="shared" si="134"/>
        <v>0</v>
      </c>
      <c r="P105" s="354"/>
    </row>
    <row r="106" spans="1:16" ht="24" customHeight="1" x14ac:dyDescent="0.25">
      <c r="A106" s="51">
        <v>2243</v>
      </c>
      <c r="B106" s="89" t="s">
        <v>122</v>
      </c>
      <c r="C106" s="90">
        <f t="shared" si="102"/>
        <v>531</v>
      </c>
      <c r="D106" s="196">
        <v>531</v>
      </c>
      <c r="E106" s="353"/>
      <c r="F106" s="350">
        <f t="shared" si="131"/>
        <v>531</v>
      </c>
      <c r="G106" s="348"/>
      <c r="H106" s="353"/>
      <c r="I106" s="350">
        <f t="shared" si="132"/>
        <v>0</v>
      </c>
      <c r="J106" s="348"/>
      <c r="K106" s="349"/>
      <c r="L106" s="350">
        <f t="shared" si="133"/>
        <v>0</v>
      </c>
      <c r="M106" s="348"/>
      <c r="N106" s="349"/>
      <c r="O106" s="350">
        <f t="shared" si="134"/>
        <v>0</v>
      </c>
      <c r="P106" s="354"/>
    </row>
    <row r="107" spans="1:16" ht="18.75" customHeight="1" x14ac:dyDescent="0.25">
      <c r="A107" s="51">
        <v>2244</v>
      </c>
      <c r="B107" s="89" t="s">
        <v>123</v>
      </c>
      <c r="C107" s="90">
        <f t="shared" si="102"/>
        <v>4856</v>
      </c>
      <c r="D107" s="196">
        <v>4856</v>
      </c>
      <c r="E107" s="1427"/>
      <c r="F107" s="350">
        <f t="shared" si="131"/>
        <v>4856</v>
      </c>
      <c r="G107" s="348"/>
      <c r="H107" s="353"/>
      <c r="I107" s="350">
        <f t="shared" si="132"/>
        <v>0</v>
      </c>
      <c r="J107" s="348"/>
      <c r="K107" s="349"/>
      <c r="L107" s="350">
        <f t="shared" si="133"/>
        <v>0</v>
      </c>
      <c r="M107" s="348"/>
      <c r="N107" s="349"/>
      <c r="O107" s="350">
        <f t="shared" si="134"/>
        <v>0</v>
      </c>
      <c r="P107" s="354"/>
    </row>
    <row r="108" spans="1:16" ht="24" hidden="1" customHeight="1" x14ac:dyDescent="0.25">
      <c r="A108" s="51">
        <v>2246</v>
      </c>
      <c r="B108" s="89" t="s">
        <v>124</v>
      </c>
      <c r="C108" s="90">
        <f t="shared" si="102"/>
        <v>0</v>
      </c>
      <c r="D108" s="196"/>
      <c r="E108" s="353"/>
      <c r="F108" s="350">
        <f t="shared" si="131"/>
        <v>0</v>
      </c>
      <c r="G108" s="348"/>
      <c r="H108" s="353"/>
      <c r="I108" s="350">
        <f t="shared" si="132"/>
        <v>0</v>
      </c>
      <c r="J108" s="348"/>
      <c r="K108" s="349"/>
      <c r="L108" s="350">
        <f t="shared" si="133"/>
        <v>0</v>
      </c>
      <c r="M108" s="348"/>
      <c r="N108" s="349"/>
      <c r="O108" s="350">
        <f t="shared" si="134"/>
        <v>0</v>
      </c>
      <c r="P108" s="354"/>
    </row>
    <row r="109" spans="1:16" ht="12" hidden="1" customHeight="1" x14ac:dyDescent="0.25">
      <c r="A109" s="51">
        <v>2247</v>
      </c>
      <c r="B109" s="89" t="s">
        <v>125</v>
      </c>
      <c r="C109" s="90">
        <f t="shared" si="102"/>
        <v>0</v>
      </c>
      <c r="D109" s="196"/>
      <c r="E109" s="353"/>
      <c r="F109" s="350">
        <f t="shared" si="131"/>
        <v>0</v>
      </c>
      <c r="G109" s="348"/>
      <c r="H109" s="353"/>
      <c r="I109" s="350">
        <f t="shared" si="132"/>
        <v>0</v>
      </c>
      <c r="J109" s="348"/>
      <c r="K109" s="349"/>
      <c r="L109" s="350">
        <f t="shared" si="133"/>
        <v>0</v>
      </c>
      <c r="M109" s="348"/>
      <c r="N109" s="349"/>
      <c r="O109" s="350">
        <f t="shared" si="134"/>
        <v>0</v>
      </c>
      <c r="P109" s="354"/>
    </row>
    <row r="110" spans="1:16" ht="23.25" hidden="1" customHeight="1" x14ac:dyDescent="0.25">
      <c r="A110" s="51">
        <v>2248</v>
      </c>
      <c r="B110" s="89" t="s">
        <v>126</v>
      </c>
      <c r="C110" s="90">
        <f t="shared" si="102"/>
        <v>0</v>
      </c>
      <c r="D110" s="196"/>
      <c r="E110" s="353"/>
      <c r="F110" s="350">
        <f t="shared" si="131"/>
        <v>0</v>
      </c>
      <c r="G110" s="348"/>
      <c r="H110" s="353"/>
      <c r="I110" s="350">
        <f t="shared" si="132"/>
        <v>0</v>
      </c>
      <c r="J110" s="348"/>
      <c r="K110" s="349"/>
      <c r="L110" s="350">
        <f t="shared" si="133"/>
        <v>0</v>
      </c>
      <c r="M110" s="348"/>
      <c r="N110" s="349"/>
      <c r="O110" s="350">
        <f t="shared" si="134"/>
        <v>0</v>
      </c>
      <c r="P110" s="354"/>
    </row>
    <row r="111" spans="1:16" ht="23.25" hidden="1" customHeight="1" x14ac:dyDescent="0.25">
      <c r="A111" s="51">
        <v>2249</v>
      </c>
      <c r="B111" s="89" t="s">
        <v>127</v>
      </c>
      <c r="C111" s="90">
        <f t="shared" si="102"/>
        <v>0</v>
      </c>
      <c r="D111" s="196"/>
      <c r="E111" s="353"/>
      <c r="F111" s="350">
        <f t="shared" si="131"/>
        <v>0</v>
      </c>
      <c r="G111" s="348"/>
      <c r="H111" s="353"/>
      <c r="I111" s="350">
        <f t="shared" si="132"/>
        <v>0</v>
      </c>
      <c r="J111" s="348"/>
      <c r="K111" s="349"/>
      <c r="L111" s="350">
        <f t="shared" si="133"/>
        <v>0</v>
      </c>
      <c r="M111" s="348"/>
      <c r="N111" s="349"/>
      <c r="O111" s="350">
        <f t="shared" si="134"/>
        <v>0</v>
      </c>
      <c r="P111" s="354"/>
    </row>
    <row r="112" spans="1:16" x14ac:dyDescent="0.25">
      <c r="A112" s="189">
        <v>2250</v>
      </c>
      <c r="B112" s="89" t="s">
        <v>128</v>
      </c>
      <c r="C112" s="90">
        <f t="shared" si="102"/>
        <v>1042</v>
      </c>
      <c r="D112" s="190">
        <f>SUM(D113:D115)</f>
        <v>1042</v>
      </c>
      <c r="E112" s="365">
        <f t="shared" ref="E112:F112" si="135">SUM(E113:E115)</f>
        <v>0</v>
      </c>
      <c r="F112" s="350">
        <f t="shared" si="135"/>
        <v>1042</v>
      </c>
      <c r="G112" s="806">
        <f>SUM(G113:G115)</f>
        <v>0</v>
      </c>
      <c r="H112" s="365">
        <f t="shared" ref="H112:I112" si="136">SUM(H113:H115)</f>
        <v>0</v>
      </c>
      <c r="I112" s="350">
        <f t="shared" si="136"/>
        <v>0</v>
      </c>
      <c r="J112" s="806">
        <f>SUM(J113:J115)</f>
        <v>0</v>
      </c>
      <c r="K112" s="365">
        <f t="shared" ref="K112:L112" si="137">SUM(K113:K115)</f>
        <v>0</v>
      </c>
      <c r="L112" s="350">
        <f t="shared" si="137"/>
        <v>0</v>
      </c>
      <c r="M112" s="806">
        <f>SUM(M113:M115)</f>
        <v>0</v>
      </c>
      <c r="N112" s="365">
        <f t="shared" ref="N112:O112" si="138">SUM(N113:N115)</f>
        <v>0</v>
      </c>
      <c r="O112" s="350">
        <f t="shared" si="138"/>
        <v>0</v>
      </c>
      <c r="P112" s="354"/>
    </row>
    <row r="113" spans="1:16" ht="12" customHeight="1" x14ac:dyDescent="0.25">
      <c r="A113" s="51">
        <v>2251</v>
      </c>
      <c r="B113" s="89" t="s">
        <v>129</v>
      </c>
      <c r="C113" s="90">
        <f t="shared" si="102"/>
        <v>85</v>
      </c>
      <c r="D113" s="196">
        <v>85</v>
      </c>
      <c r="E113" s="353"/>
      <c r="F113" s="350">
        <f t="shared" ref="F113:F115" si="139">D113+E113</f>
        <v>85</v>
      </c>
      <c r="G113" s="348"/>
      <c r="H113" s="353"/>
      <c r="I113" s="350">
        <f t="shared" ref="I113:I115" si="140">G113+H113</f>
        <v>0</v>
      </c>
      <c r="J113" s="348"/>
      <c r="K113" s="349"/>
      <c r="L113" s="350">
        <f t="shared" ref="L113:L115" si="141">K113+J113</f>
        <v>0</v>
      </c>
      <c r="M113" s="348"/>
      <c r="N113" s="349"/>
      <c r="O113" s="350">
        <f t="shared" ref="O113:O115" si="142">N113+M113</f>
        <v>0</v>
      </c>
      <c r="P113" s="354"/>
    </row>
    <row r="114" spans="1:16" ht="24" customHeight="1" x14ac:dyDescent="0.25">
      <c r="A114" s="51">
        <v>2252</v>
      </c>
      <c r="B114" s="89" t="s">
        <v>130</v>
      </c>
      <c r="C114" s="90">
        <f t="shared" si="102"/>
        <v>411</v>
      </c>
      <c r="D114" s="196">
        <v>411</v>
      </c>
      <c r="E114" s="353"/>
      <c r="F114" s="350">
        <f t="shared" si="139"/>
        <v>411</v>
      </c>
      <c r="G114" s="348"/>
      <c r="H114" s="353"/>
      <c r="I114" s="350">
        <f t="shared" si="140"/>
        <v>0</v>
      </c>
      <c r="J114" s="348"/>
      <c r="K114" s="349"/>
      <c r="L114" s="350">
        <f t="shared" si="141"/>
        <v>0</v>
      </c>
      <c r="M114" s="348"/>
      <c r="N114" s="349"/>
      <c r="O114" s="350">
        <f t="shared" si="142"/>
        <v>0</v>
      </c>
      <c r="P114" s="354"/>
    </row>
    <row r="115" spans="1:16" ht="24" customHeight="1" x14ac:dyDescent="0.25">
      <c r="A115" s="51">
        <v>2259</v>
      </c>
      <c r="B115" s="89" t="s">
        <v>131</v>
      </c>
      <c r="C115" s="90">
        <f t="shared" si="102"/>
        <v>546</v>
      </c>
      <c r="D115" s="196">
        <v>546</v>
      </c>
      <c r="E115" s="353"/>
      <c r="F115" s="350">
        <f t="shared" si="139"/>
        <v>546</v>
      </c>
      <c r="G115" s="348"/>
      <c r="H115" s="353"/>
      <c r="I115" s="350">
        <f t="shared" si="140"/>
        <v>0</v>
      </c>
      <c r="J115" s="348"/>
      <c r="K115" s="349"/>
      <c r="L115" s="350">
        <f t="shared" si="141"/>
        <v>0</v>
      </c>
      <c r="M115" s="348"/>
      <c r="N115" s="349"/>
      <c r="O115" s="350">
        <f t="shared" si="142"/>
        <v>0</v>
      </c>
      <c r="P115" s="354"/>
    </row>
    <row r="116" spans="1:16" x14ac:dyDescent="0.25">
      <c r="A116" s="189">
        <v>2260</v>
      </c>
      <c r="B116" s="89" t="s">
        <v>132</v>
      </c>
      <c r="C116" s="90">
        <f t="shared" si="102"/>
        <v>6342</v>
      </c>
      <c r="D116" s="190">
        <f>SUM(D117:D121)</f>
        <v>4302</v>
      </c>
      <c r="E116" s="365">
        <f t="shared" ref="E116:F116" si="143">SUM(E117:E121)</f>
        <v>0</v>
      </c>
      <c r="F116" s="350">
        <f t="shared" si="143"/>
        <v>4302</v>
      </c>
      <c r="G116" s="806">
        <f>SUM(G117:G121)</f>
        <v>240</v>
      </c>
      <c r="H116" s="365">
        <f t="shared" ref="H116:I116" si="144">SUM(H117:H121)</f>
        <v>0</v>
      </c>
      <c r="I116" s="350">
        <f t="shared" si="144"/>
        <v>240</v>
      </c>
      <c r="J116" s="806">
        <f>SUM(J117:J121)</f>
        <v>1800</v>
      </c>
      <c r="K116" s="365">
        <f t="shared" ref="K116:L116" si="145">SUM(K117:K121)</f>
        <v>0</v>
      </c>
      <c r="L116" s="350">
        <f t="shared" si="145"/>
        <v>1800</v>
      </c>
      <c r="M116" s="806">
        <f>SUM(M117:M121)</f>
        <v>0</v>
      </c>
      <c r="N116" s="365">
        <f t="shared" ref="N116:O116" si="146">SUM(N117:N121)</f>
        <v>0</v>
      </c>
      <c r="O116" s="350">
        <f t="shared" si="146"/>
        <v>0</v>
      </c>
      <c r="P116" s="354"/>
    </row>
    <row r="117" spans="1:16" ht="18" customHeight="1" x14ac:dyDescent="0.25">
      <c r="A117" s="51">
        <v>2261</v>
      </c>
      <c r="B117" s="89" t="s">
        <v>133</v>
      </c>
      <c r="C117" s="90">
        <f t="shared" si="102"/>
        <v>4026</v>
      </c>
      <c r="D117" s="196">
        <v>4026</v>
      </c>
      <c r="E117" s="1427"/>
      <c r="F117" s="350">
        <f t="shared" ref="F117:F121" si="147">D117+E117</f>
        <v>4026</v>
      </c>
      <c r="G117" s="348"/>
      <c r="H117" s="353"/>
      <c r="I117" s="350">
        <f t="shared" ref="I117:I121" si="148">G117+H117</f>
        <v>0</v>
      </c>
      <c r="J117" s="348"/>
      <c r="K117" s="349"/>
      <c r="L117" s="350">
        <f t="shared" ref="L117:L121" si="149">K117+J117</f>
        <v>0</v>
      </c>
      <c r="M117" s="348"/>
      <c r="N117" s="349"/>
      <c r="O117" s="350">
        <f t="shared" ref="O117:O121" si="150">N117+M117</f>
        <v>0</v>
      </c>
      <c r="P117" s="354"/>
    </row>
    <row r="118" spans="1:16" ht="15.75" customHeight="1" x14ac:dyDescent="0.25">
      <c r="A118" s="51">
        <v>2262</v>
      </c>
      <c r="B118" s="89" t="s">
        <v>134</v>
      </c>
      <c r="C118" s="90">
        <f t="shared" si="102"/>
        <v>2290</v>
      </c>
      <c r="D118" s="196">
        <v>250</v>
      </c>
      <c r="E118" s="353"/>
      <c r="F118" s="350">
        <f t="shared" si="147"/>
        <v>250</v>
      </c>
      <c r="G118" s="348">
        <v>240</v>
      </c>
      <c r="H118" s="1427"/>
      <c r="I118" s="350">
        <f t="shared" si="148"/>
        <v>240</v>
      </c>
      <c r="J118" s="348">
        <v>1800</v>
      </c>
      <c r="K118" s="349"/>
      <c r="L118" s="350">
        <f t="shared" si="149"/>
        <v>1800</v>
      </c>
      <c r="M118" s="348"/>
      <c r="N118" s="349"/>
      <c r="O118" s="350">
        <f t="shared" si="150"/>
        <v>0</v>
      </c>
      <c r="P118" s="354"/>
    </row>
    <row r="119" spans="1:16" ht="12" hidden="1" customHeight="1" x14ac:dyDescent="0.25">
      <c r="A119" s="51">
        <v>2263</v>
      </c>
      <c r="B119" s="89" t="s">
        <v>135</v>
      </c>
      <c r="C119" s="90">
        <f t="shared" si="102"/>
        <v>0</v>
      </c>
      <c r="D119" s="196"/>
      <c r="E119" s="353"/>
      <c r="F119" s="350">
        <f t="shared" si="147"/>
        <v>0</v>
      </c>
      <c r="G119" s="348"/>
      <c r="H119" s="353"/>
      <c r="I119" s="350">
        <f t="shared" si="148"/>
        <v>0</v>
      </c>
      <c r="J119" s="348"/>
      <c r="K119" s="349"/>
      <c r="L119" s="350">
        <f t="shared" si="149"/>
        <v>0</v>
      </c>
      <c r="M119" s="348"/>
      <c r="N119" s="349"/>
      <c r="O119" s="350">
        <f t="shared" si="150"/>
        <v>0</v>
      </c>
      <c r="P119" s="354"/>
    </row>
    <row r="120" spans="1:16" ht="24" hidden="1" customHeight="1" x14ac:dyDescent="0.25">
      <c r="A120" s="51">
        <v>2264</v>
      </c>
      <c r="B120" s="89" t="s">
        <v>136</v>
      </c>
      <c r="C120" s="90">
        <f t="shared" si="102"/>
        <v>0</v>
      </c>
      <c r="D120" s="196"/>
      <c r="E120" s="353"/>
      <c r="F120" s="350">
        <f t="shared" si="147"/>
        <v>0</v>
      </c>
      <c r="G120" s="348"/>
      <c r="H120" s="353"/>
      <c r="I120" s="350">
        <f t="shared" si="148"/>
        <v>0</v>
      </c>
      <c r="J120" s="348"/>
      <c r="K120" s="349"/>
      <c r="L120" s="350">
        <f t="shared" si="149"/>
        <v>0</v>
      </c>
      <c r="M120" s="348"/>
      <c r="N120" s="349"/>
      <c r="O120" s="350">
        <f t="shared" si="150"/>
        <v>0</v>
      </c>
      <c r="P120" s="354"/>
    </row>
    <row r="121" spans="1:16" ht="12" customHeight="1" x14ac:dyDescent="0.25">
      <c r="A121" s="51">
        <v>2269</v>
      </c>
      <c r="B121" s="89" t="s">
        <v>137</v>
      </c>
      <c r="C121" s="90">
        <f t="shared" si="102"/>
        <v>26</v>
      </c>
      <c r="D121" s="196">
        <v>26</v>
      </c>
      <c r="E121" s="353"/>
      <c r="F121" s="350">
        <f t="shared" si="147"/>
        <v>26</v>
      </c>
      <c r="G121" s="348"/>
      <c r="H121" s="353"/>
      <c r="I121" s="350">
        <f t="shared" si="148"/>
        <v>0</v>
      </c>
      <c r="J121" s="348"/>
      <c r="K121" s="349"/>
      <c r="L121" s="350">
        <f t="shared" si="149"/>
        <v>0</v>
      </c>
      <c r="M121" s="348"/>
      <c r="N121" s="349"/>
      <c r="O121" s="350">
        <f t="shared" si="150"/>
        <v>0</v>
      </c>
      <c r="P121" s="354"/>
    </row>
    <row r="122" spans="1:16" x14ac:dyDescent="0.25">
      <c r="A122" s="189">
        <v>2270</v>
      </c>
      <c r="B122" s="89" t="s">
        <v>138</v>
      </c>
      <c r="C122" s="90">
        <f t="shared" si="102"/>
        <v>1780</v>
      </c>
      <c r="D122" s="190">
        <f>SUM(D123:D127)</f>
        <v>438</v>
      </c>
      <c r="E122" s="365">
        <f t="shared" ref="E122:F122" si="151">SUM(E123:E127)</f>
        <v>0</v>
      </c>
      <c r="F122" s="350">
        <f t="shared" si="151"/>
        <v>438</v>
      </c>
      <c r="G122" s="806">
        <f>SUM(G123:G127)</f>
        <v>1342</v>
      </c>
      <c r="H122" s="365">
        <f t="shared" ref="H122:I122" si="152">SUM(H123:H127)</f>
        <v>0</v>
      </c>
      <c r="I122" s="350">
        <f t="shared" si="152"/>
        <v>1342</v>
      </c>
      <c r="J122" s="806">
        <f>SUM(J123:J127)</f>
        <v>0</v>
      </c>
      <c r="K122" s="365">
        <f t="shared" ref="K122:L122" si="153">SUM(K123:K127)</f>
        <v>0</v>
      </c>
      <c r="L122" s="350">
        <f t="shared" si="153"/>
        <v>0</v>
      </c>
      <c r="M122" s="806">
        <f>SUM(M123:M127)</f>
        <v>0</v>
      </c>
      <c r="N122" s="365">
        <f t="shared" ref="N122:O122" si="154">SUM(N123:N127)</f>
        <v>0</v>
      </c>
      <c r="O122" s="350">
        <f t="shared" si="154"/>
        <v>0</v>
      </c>
      <c r="P122" s="354"/>
    </row>
    <row r="123" spans="1:16" ht="12" hidden="1" customHeight="1" x14ac:dyDescent="0.25">
      <c r="A123" s="51">
        <v>2272</v>
      </c>
      <c r="B123" s="201" t="s">
        <v>139</v>
      </c>
      <c r="C123" s="90">
        <f t="shared" si="102"/>
        <v>0</v>
      </c>
      <c r="D123" s="196"/>
      <c r="E123" s="353"/>
      <c r="F123" s="350">
        <f t="shared" ref="F123:F127" si="155">D123+E123</f>
        <v>0</v>
      </c>
      <c r="G123" s="348"/>
      <c r="H123" s="353"/>
      <c r="I123" s="350">
        <f t="shared" ref="I123:I127" si="156">G123+H123</f>
        <v>0</v>
      </c>
      <c r="J123" s="348"/>
      <c r="K123" s="349"/>
      <c r="L123" s="350">
        <f t="shared" ref="L123:L127" si="157">K123+J123</f>
        <v>0</v>
      </c>
      <c r="M123" s="348"/>
      <c r="N123" s="349"/>
      <c r="O123" s="350">
        <f t="shared" ref="O123:O127" si="158">N123+M123</f>
        <v>0</v>
      </c>
      <c r="P123" s="354"/>
    </row>
    <row r="124" spans="1:16" ht="24" hidden="1" customHeight="1" x14ac:dyDescent="0.25">
      <c r="A124" s="51">
        <v>2274</v>
      </c>
      <c r="B124" s="202" t="s">
        <v>140</v>
      </c>
      <c r="C124" s="90">
        <f t="shared" si="102"/>
        <v>0</v>
      </c>
      <c r="D124" s="196"/>
      <c r="E124" s="353"/>
      <c r="F124" s="350">
        <f t="shared" si="155"/>
        <v>0</v>
      </c>
      <c r="G124" s="348"/>
      <c r="H124" s="353"/>
      <c r="I124" s="350">
        <f t="shared" si="156"/>
        <v>0</v>
      </c>
      <c r="J124" s="348"/>
      <c r="K124" s="349"/>
      <c r="L124" s="350">
        <f t="shared" si="157"/>
        <v>0</v>
      </c>
      <c r="M124" s="348"/>
      <c r="N124" s="349"/>
      <c r="O124" s="350">
        <f t="shared" si="158"/>
        <v>0</v>
      </c>
      <c r="P124" s="354"/>
    </row>
    <row r="125" spans="1:16" ht="33" hidden="1" customHeight="1" x14ac:dyDescent="0.25">
      <c r="A125" s="51">
        <v>2275</v>
      </c>
      <c r="B125" s="89" t="s">
        <v>141</v>
      </c>
      <c r="C125" s="90">
        <f t="shared" si="102"/>
        <v>0</v>
      </c>
      <c r="D125" s="196">
        <v>0</v>
      </c>
      <c r="E125" s="353"/>
      <c r="F125" s="350">
        <f t="shared" si="155"/>
        <v>0</v>
      </c>
      <c r="G125" s="348"/>
      <c r="H125" s="353"/>
      <c r="I125" s="350">
        <f t="shared" si="156"/>
        <v>0</v>
      </c>
      <c r="J125" s="348"/>
      <c r="K125" s="349"/>
      <c r="L125" s="350">
        <f t="shared" si="157"/>
        <v>0</v>
      </c>
      <c r="M125" s="348"/>
      <c r="N125" s="349"/>
      <c r="O125" s="350">
        <f t="shared" si="158"/>
        <v>0</v>
      </c>
      <c r="P125" s="354"/>
    </row>
    <row r="126" spans="1:16" ht="36" hidden="1" customHeight="1" x14ac:dyDescent="0.25">
      <c r="A126" s="51">
        <v>2276</v>
      </c>
      <c r="B126" s="89" t="s">
        <v>142</v>
      </c>
      <c r="C126" s="90">
        <f t="shared" si="102"/>
        <v>0</v>
      </c>
      <c r="D126" s="196"/>
      <c r="E126" s="353"/>
      <c r="F126" s="350">
        <f t="shared" si="155"/>
        <v>0</v>
      </c>
      <c r="G126" s="348"/>
      <c r="H126" s="353"/>
      <c r="I126" s="350">
        <f t="shared" si="156"/>
        <v>0</v>
      </c>
      <c r="J126" s="348"/>
      <c r="K126" s="349"/>
      <c r="L126" s="350">
        <f t="shared" si="157"/>
        <v>0</v>
      </c>
      <c r="M126" s="348"/>
      <c r="N126" s="349"/>
      <c r="O126" s="350">
        <f t="shared" si="158"/>
        <v>0</v>
      </c>
      <c r="P126" s="354"/>
    </row>
    <row r="127" spans="1:16" ht="28.5" customHeight="1" x14ac:dyDescent="0.25">
      <c r="A127" s="51">
        <v>2279</v>
      </c>
      <c r="B127" s="89" t="s">
        <v>143</v>
      </c>
      <c r="C127" s="90">
        <f t="shared" si="102"/>
        <v>1780</v>
      </c>
      <c r="D127" s="196">
        <v>438</v>
      </c>
      <c r="E127" s="353"/>
      <c r="F127" s="350">
        <f t="shared" si="155"/>
        <v>438</v>
      </c>
      <c r="G127" s="348">
        <v>1342</v>
      </c>
      <c r="H127" s="1427"/>
      <c r="I127" s="350">
        <f t="shared" si="156"/>
        <v>1342</v>
      </c>
      <c r="J127" s="348"/>
      <c r="K127" s="349"/>
      <c r="L127" s="350">
        <f t="shared" si="157"/>
        <v>0</v>
      </c>
      <c r="M127" s="348"/>
      <c r="N127" s="349"/>
      <c r="O127" s="350">
        <f t="shared" si="158"/>
        <v>0</v>
      </c>
      <c r="P127" s="354"/>
    </row>
    <row r="128" spans="1:16" ht="24" hidden="1" customHeight="1" x14ac:dyDescent="0.25">
      <c r="A128" s="1373">
        <v>2280</v>
      </c>
      <c r="B128" s="82" t="s">
        <v>144</v>
      </c>
      <c r="C128" s="83">
        <f t="shared" si="102"/>
        <v>0</v>
      </c>
      <c r="D128" s="194">
        <f t="shared" ref="D128:O128" si="159">SUM(D129)</f>
        <v>0</v>
      </c>
      <c r="E128" s="808">
        <f t="shared" si="159"/>
        <v>0</v>
      </c>
      <c r="F128" s="491">
        <f t="shared" si="159"/>
        <v>0</v>
      </c>
      <c r="G128" s="807">
        <f t="shared" si="159"/>
        <v>0</v>
      </c>
      <c r="H128" s="808">
        <f t="shared" si="159"/>
        <v>0</v>
      </c>
      <c r="I128" s="491">
        <f t="shared" si="159"/>
        <v>0</v>
      </c>
      <c r="J128" s="807">
        <f t="shared" si="159"/>
        <v>0</v>
      </c>
      <c r="K128" s="808">
        <f t="shared" si="159"/>
        <v>0</v>
      </c>
      <c r="L128" s="491">
        <f t="shared" si="159"/>
        <v>0</v>
      </c>
      <c r="M128" s="807">
        <f t="shared" si="159"/>
        <v>0</v>
      </c>
      <c r="N128" s="808">
        <f t="shared" si="159"/>
        <v>0</v>
      </c>
      <c r="O128" s="491">
        <f t="shared" si="159"/>
        <v>0</v>
      </c>
      <c r="P128" s="463"/>
    </row>
    <row r="129" spans="1:16" ht="21.75" hidden="1" customHeight="1" x14ac:dyDescent="0.25">
      <c r="A129" s="51">
        <v>2283</v>
      </c>
      <c r="B129" s="89" t="s">
        <v>145</v>
      </c>
      <c r="C129" s="90">
        <f t="shared" si="102"/>
        <v>0</v>
      </c>
      <c r="D129" s="196"/>
      <c r="E129" s="353"/>
      <c r="F129" s="350">
        <f>D129+E129</f>
        <v>0</v>
      </c>
      <c r="G129" s="348"/>
      <c r="H129" s="353"/>
      <c r="I129" s="350">
        <f>G129+H129</f>
        <v>0</v>
      </c>
      <c r="J129" s="348"/>
      <c r="K129" s="349"/>
      <c r="L129" s="350">
        <f>K129+J129</f>
        <v>0</v>
      </c>
      <c r="M129" s="348"/>
      <c r="N129" s="349"/>
      <c r="O129" s="350">
        <f>N129+M129</f>
        <v>0</v>
      </c>
      <c r="P129" s="354"/>
    </row>
    <row r="130" spans="1:16" ht="35.25" customHeight="1" x14ac:dyDescent="0.25">
      <c r="A130" s="69">
        <v>2300</v>
      </c>
      <c r="B130" s="183" t="s">
        <v>146</v>
      </c>
      <c r="C130" s="70">
        <f t="shared" si="102"/>
        <v>13526</v>
      </c>
      <c r="D130" s="184">
        <f>SUM(D131,D136,D140,D141,D144,D151,D159,D160,D163)</f>
        <v>12442</v>
      </c>
      <c r="E130" s="803">
        <f t="shared" ref="E130:F130" si="160">SUM(E131,E136,E140,E141,E144,E151,E159,E160,E163)</f>
        <v>0</v>
      </c>
      <c r="F130" s="756">
        <f t="shared" si="160"/>
        <v>12442</v>
      </c>
      <c r="G130" s="802">
        <f>SUM(G131,G136,G140,G141,G144,G151,G159,G160,G163)</f>
        <v>1084</v>
      </c>
      <c r="H130" s="803">
        <f t="shared" ref="H130:I130" si="161">SUM(H131,H136,H140,H141,H144,H151,H159,H160,H163)</f>
        <v>0</v>
      </c>
      <c r="I130" s="756">
        <f t="shared" si="161"/>
        <v>1084</v>
      </c>
      <c r="J130" s="802">
        <f>SUM(J131,J136,J140,J141,J144,J151,J159,J160,J163)</f>
        <v>0</v>
      </c>
      <c r="K130" s="803">
        <f t="shared" ref="K130:L130" si="162">SUM(K131,K136,K140,K141,K144,K151,K159,K160,K163)</f>
        <v>0</v>
      </c>
      <c r="L130" s="756">
        <f t="shared" si="162"/>
        <v>0</v>
      </c>
      <c r="M130" s="802">
        <f>SUM(M131,M136,M140,M141,M144,M151,M159,M160,M163)</f>
        <v>0</v>
      </c>
      <c r="N130" s="803">
        <f t="shared" ref="N130:O130" si="163">SUM(N131,N136,N140,N141,N144,N151,N159,N160,N163)</f>
        <v>0</v>
      </c>
      <c r="O130" s="756">
        <f t="shared" si="163"/>
        <v>0</v>
      </c>
      <c r="P130" s="1428"/>
    </row>
    <row r="131" spans="1:16" ht="24" x14ac:dyDescent="0.25">
      <c r="A131" s="1373">
        <v>2310</v>
      </c>
      <c r="B131" s="82" t="s">
        <v>147</v>
      </c>
      <c r="C131" s="83">
        <f t="shared" si="102"/>
        <v>4075</v>
      </c>
      <c r="D131" s="194">
        <f t="shared" ref="D131:O131" si="164">SUM(D132:D135)</f>
        <v>4075</v>
      </c>
      <c r="E131" s="808">
        <f t="shared" si="164"/>
        <v>0</v>
      </c>
      <c r="F131" s="491">
        <f t="shared" si="164"/>
        <v>4075</v>
      </c>
      <c r="G131" s="807">
        <f t="shared" si="164"/>
        <v>0</v>
      </c>
      <c r="H131" s="808">
        <f t="shared" si="164"/>
        <v>0</v>
      </c>
      <c r="I131" s="491">
        <f t="shared" si="164"/>
        <v>0</v>
      </c>
      <c r="J131" s="807">
        <f t="shared" si="164"/>
        <v>0</v>
      </c>
      <c r="K131" s="808">
        <f t="shared" si="164"/>
        <v>0</v>
      </c>
      <c r="L131" s="491">
        <f t="shared" si="164"/>
        <v>0</v>
      </c>
      <c r="M131" s="807">
        <f t="shared" si="164"/>
        <v>0</v>
      </c>
      <c r="N131" s="808">
        <f t="shared" si="164"/>
        <v>0</v>
      </c>
      <c r="O131" s="491">
        <f t="shared" si="164"/>
        <v>0</v>
      </c>
      <c r="P131" s="463"/>
    </row>
    <row r="132" spans="1:16" ht="12" customHeight="1" x14ac:dyDescent="0.25">
      <c r="A132" s="51">
        <v>2311</v>
      </c>
      <c r="B132" s="89" t="s">
        <v>148</v>
      </c>
      <c r="C132" s="90">
        <f t="shared" si="102"/>
        <v>700</v>
      </c>
      <c r="D132" s="196">
        <v>700</v>
      </c>
      <c r="E132" s="353"/>
      <c r="F132" s="350">
        <f t="shared" ref="F132:F135" si="165">D132+E132</f>
        <v>700</v>
      </c>
      <c r="G132" s="348"/>
      <c r="H132" s="353"/>
      <c r="I132" s="350">
        <f t="shared" ref="I132:I135" si="166">G132+H132</f>
        <v>0</v>
      </c>
      <c r="J132" s="348"/>
      <c r="K132" s="349"/>
      <c r="L132" s="350">
        <f t="shared" ref="L132:L135" si="167">K132+J132</f>
        <v>0</v>
      </c>
      <c r="M132" s="348"/>
      <c r="N132" s="349"/>
      <c r="O132" s="350">
        <f t="shared" ref="O132:O135" si="168">N132+M132</f>
        <v>0</v>
      </c>
      <c r="P132" s="354"/>
    </row>
    <row r="133" spans="1:16" ht="12" customHeight="1" x14ac:dyDescent="0.25">
      <c r="A133" s="51">
        <v>2312</v>
      </c>
      <c r="B133" s="89" t="s">
        <v>149</v>
      </c>
      <c r="C133" s="90">
        <f t="shared" si="102"/>
        <v>2870</v>
      </c>
      <c r="D133" s="196">
        <v>2870</v>
      </c>
      <c r="E133" s="353"/>
      <c r="F133" s="350">
        <f t="shared" si="165"/>
        <v>2870</v>
      </c>
      <c r="G133" s="348"/>
      <c r="H133" s="353"/>
      <c r="I133" s="350">
        <f t="shared" si="166"/>
        <v>0</v>
      </c>
      <c r="J133" s="348"/>
      <c r="K133" s="349"/>
      <c r="L133" s="350">
        <f t="shared" si="167"/>
        <v>0</v>
      </c>
      <c r="M133" s="348"/>
      <c r="N133" s="349"/>
      <c r="O133" s="350">
        <f t="shared" si="168"/>
        <v>0</v>
      </c>
      <c r="P133" s="354"/>
    </row>
    <row r="134" spans="1:16" ht="12" hidden="1" customHeight="1" x14ac:dyDescent="0.25">
      <c r="A134" s="51">
        <v>2313</v>
      </c>
      <c r="B134" s="89" t="s">
        <v>150</v>
      </c>
      <c r="C134" s="90">
        <f t="shared" si="102"/>
        <v>0</v>
      </c>
      <c r="D134" s="196"/>
      <c r="E134" s="353"/>
      <c r="F134" s="350">
        <f t="shared" si="165"/>
        <v>0</v>
      </c>
      <c r="G134" s="348"/>
      <c r="H134" s="353"/>
      <c r="I134" s="350">
        <f t="shared" si="166"/>
        <v>0</v>
      </c>
      <c r="J134" s="348"/>
      <c r="K134" s="349"/>
      <c r="L134" s="350">
        <f t="shared" si="167"/>
        <v>0</v>
      </c>
      <c r="M134" s="348"/>
      <c r="N134" s="349"/>
      <c r="O134" s="350">
        <f t="shared" si="168"/>
        <v>0</v>
      </c>
      <c r="P134" s="354"/>
    </row>
    <row r="135" spans="1:16" ht="39" customHeight="1" x14ac:dyDescent="0.25">
      <c r="A135" s="51">
        <v>2314</v>
      </c>
      <c r="B135" s="89" t="s">
        <v>151</v>
      </c>
      <c r="C135" s="90">
        <f t="shared" si="102"/>
        <v>505</v>
      </c>
      <c r="D135" s="196">
        <v>505</v>
      </c>
      <c r="E135" s="353"/>
      <c r="F135" s="350">
        <f t="shared" si="165"/>
        <v>505</v>
      </c>
      <c r="G135" s="348"/>
      <c r="H135" s="353"/>
      <c r="I135" s="350">
        <f t="shared" si="166"/>
        <v>0</v>
      </c>
      <c r="J135" s="348"/>
      <c r="K135" s="349"/>
      <c r="L135" s="350">
        <f t="shared" si="167"/>
        <v>0</v>
      </c>
      <c r="M135" s="348"/>
      <c r="N135" s="349"/>
      <c r="O135" s="350">
        <f t="shared" si="168"/>
        <v>0</v>
      </c>
      <c r="P135" s="354"/>
    </row>
    <row r="136" spans="1:16" x14ac:dyDescent="0.25">
      <c r="A136" s="189">
        <v>2320</v>
      </c>
      <c r="B136" s="89" t="s">
        <v>152</v>
      </c>
      <c r="C136" s="90">
        <f t="shared" si="102"/>
        <v>813</v>
      </c>
      <c r="D136" s="190">
        <f>SUM(D137:D139)</f>
        <v>813</v>
      </c>
      <c r="E136" s="365">
        <f t="shared" ref="E136:F136" si="169">SUM(E137:E139)</f>
        <v>0</v>
      </c>
      <c r="F136" s="350">
        <f t="shared" si="169"/>
        <v>813</v>
      </c>
      <c r="G136" s="806">
        <f>SUM(G137:G139)</f>
        <v>0</v>
      </c>
      <c r="H136" s="365">
        <f t="shared" ref="H136:I136" si="170">SUM(H137:H139)</f>
        <v>0</v>
      </c>
      <c r="I136" s="350">
        <f t="shared" si="170"/>
        <v>0</v>
      </c>
      <c r="J136" s="806">
        <f>SUM(J137:J139)</f>
        <v>0</v>
      </c>
      <c r="K136" s="365">
        <f t="shared" ref="K136:L136" si="171">SUM(K137:K139)</f>
        <v>0</v>
      </c>
      <c r="L136" s="350">
        <f t="shared" si="171"/>
        <v>0</v>
      </c>
      <c r="M136" s="806">
        <f>SUM(M137:M139)</f>
        <v>0</v>
      </c>
      <c r="N136" s="365">
        <f t="shared" ref="N136:O136" si="172">SUM(N137:N139)</f>
        <v>0</v>
      </c>
      <c r="O136" s="350">
        <f t="shared" si="172"/>
        <v>0</v>
      </c>
      <c r="P136" s="354"/>
    </row>
    <row r="137" spans="1:16" ht="12" hidden="1" customHeight="1" x14ac:dyDescent="0.25">
      <c r="A137" s="51">
        <v>2321</v>
      </c>
      <c r="B137" s="89" t="s">
        <v>153</v>
      </c>
      <c r="C137" s="90">
        <f t="shared" si="102"/>
        <v>0</v>
      </c>
      <c r="D137" s="196"/>
      <c r="E137" s="353"/>
      <c r="F137" s="350">
        <f t="shared" ref="F137:F140" si="173">D137+E137</f>
        <v>0</v>
      </c>
      <c r="G137" s="348"/>
      <c r="H137" s="353"/>
      <c r="I137" s="350">
        <f t="shared" ref="I137:I140" si="174">G137+H137</f>
        <v>0</v>
      </c>
      <c r="J137" s="348"/>
      <c r="K137" s="349"/>
      <c r="L137" s="350">
        <f t="shared" ref="L137:L140" si="175">K137+J137</f>
        <v>0</v>
      </c>
      <c r="M137" s="348"/>
      <c r="N137" s="349"/>
      <c r="O137" s="350">
        <f t="shared" ref="O137:O140" si="176">N137+M137</f>
        <v>0</v>
      </c>
      <c r="P137" s="354"/>
    </row>
    <row r="138" spans="1:16" ht="15.75" customHeight="1" x14ac:dyDescent="0.25">
      <c r="A138" s="51">
        <v>2322</v>
      </c>
      <c r="B138" s="89" t="s">
        <v>154</v>
      </c>
      <c r="C138" s="90">
        <f t="shared" si="102"/>
        <v>813</v>
      </c>
      <c r="D138" s="196">
        <v>813</v>
      </c>
      <c r="E138" s="1427"/>
      <c r="F138" s="350">
        <f t="shared" si="173"/>
        <v>813</v>
      </c>
      <c r="G138" s="348"/>
      <c r="H138" s="353"/>
      <c r="I138" s="350">
        <f t="shared" si="174"/>
        <v>0</v>
      </c>
      <c r="J138" s="348"/>
      <c r="K138" s="349"/>
      <c r="L138" s="350">
        <f t="shared" si="175"/>
        <v>0</v>
      </c>
      <c r="M138" s="348"/>
      <c r="N138" s="349"/>
      <c r="O138" s="350">
        <f t="shared" si="176"/>
        <v>0</v>
      </c>
      <c r="P138" s="354"/>
    </row>
    <row r="139" spans="1:16" ht="13.5" hidden="1" customHeight="1" x14ac:dyDescent="0.25">
      <c r="A139" s="51">
        <v>2329</v>
      </c>
      <c r="B139" s="89" t="s">
        <v>155</v>
      </c>
      <c r="C139" s="90">
        <f t="shared" si="102"/>
        <v>0</v>
      </c>
      <c r="D139" s="196"/>
      <c r="E139" s="353"/>
      <c r="F139" s="350">
        <f t="shared" si="173"/>
        <v>0</v>
      </c>
      <c r="G139" s="348"/>
      <c r="H139" s="353"/>
      <c r="I139" s="350">
        <f t="shared" si="174"/>
        <v>0</v>
      </c>
      <c r="J139" s="348"/>
      <c r="K139" s="349"/>
      <c r="L139" s="350">
        <f t="shared" si="175"/>
        <v>0</v>
      </c>
      <c r="M139" s="348"/>
      <c r="N139" s="349"/>
      <c r="O139" s="350">
        <f t="shared" si="176"/>
        <v>0</v>
      </c>
      <c r="P139" s="354"/>
    </row>
    <row r="140" spans="1:16" ht="12.75" hidden="1" customHeight="1" x14ac:dyDescent="0.25">
      <c r="A140" s="189">
        <v>2330</v>
      </c>
      <c r="B140" s="89" t="s">
        <v>156</v>
      </c>
      <c r="C140" s="90">
        <f t="shared" si="102"/>
        <v>0</v>
      </c>
      <c r="D140" s="196"/>
      <c r="E140" s="353"/>
      <c r="F140" s="350">
        <f t="shared" si="173"/>
        <v>0</v>
      </c>
      <c r="G140" s="348"/>
      <c r="H140" s="353"/>
      <c r="I140" s="350">
        <f t="shared" si="174"/>
        <v>0</v>
      </c>
      <c r="J140" s="348"/>
      <c r="K140" s="349"/>
      <c r="L140" s="350">
        <f t="shared" si="175"/>
        <v>0</v>
      </c>
      <c r="M140" s="348"/>
      <c r="N140" s="349"/>
      <c r="O140" s="350">
        <f t="shared" si="176"/>
        <v>0</v>
      </c>
      <c r="P140" s="354"/>
    </row>
    <row r="141" spans="1:16" ht="48" x14ac:dyDescent="0.25">
      <c r="A141" s="189">
        <v>2340</v>
      </c>
      <c r="B141" s="89" t="s">
        <v>157</v>
      </c>
      <c r="C141" s="90">
        <f t="shared" si="102"/>
        <v>100</v>
      </c>
      <c r="D141" s="190">
        <f>SUM(D142:D143)</f>
        <v>100</v>
      </c>
      <c r="E141" s="365">
        <f t="shared" ref="E141:F141" si="177">SUM(E142:E143)</f>
        <v>0</v>
      </c>
      <c r="F141" s="350">
        <f t="shared" si="177"/>
        <v>100</v>
      </c>
      <c r="G141" s="806">
        <f>SUM(G142:G143)</f>
        <v>0</v>
      </c>
      <c r="H141" s="365">
        <f t="shared" ref="H141:I141" si="178">SUM(H142:H143)</f>
        <v>0</v>
      </c>
      <c r="I141" s="350">
        <f t="shared" si="178"/>
        <v>0</v>
      </c>
      <c r="J141" s="806">
        <f>SUM(J142:J143)</f>
        <v>0</v>
      </c>
      <c r="K141" s="365">
        <f t="shared" ref="K141:L141" si="179">SUM(K142:K143)</f>
        <v>0</v>
      </c>
      <c r="L141" s="350">
        <f t="shared" si="179"/>
        <v>0</v>
      </c>
      <c r="M141" s="806">
        <f>SUM(M142:M143)</f>
        <v>0</v>
      </c>
      <c r="N141" s="365">
        <f t="shared" ref="N141:O141" si="180">SUM(N142:N143)</f>
        <v>0</v>
      </c>
      <c r="O141" s="350">
        <f t="shared" si="180"/>
        <v>0</v>
      </c>
      <c r="P141" s="354"/>
    </row>
    <row r="142" spans="1:16" ht="12" customHeight="1" x14ac:dyDescent="0.25">
      <c r="A142" s="51">
        <v>2341</v>
      </c>
      <c r="B142" s="89" t="s">
        <v>158</v>
      </c>
      <c r="C142" s="90">
        <f t="shared" si="102"/>
        <v>100</v>
      </c>
      <c r="D142" s="196">
        <v>100</v>
      </c>
      <c r="E142" s="353"/>
      <c r="F142" s="350">
        <f t="shared" ref="F142:F143" si="181">D142+E142</f>
        <v>100</v>
      </c>
      <c r="G142" s="348"/>
      <c r="H142" s="353"/>
      <c r="I142" s="350">
        <f t="shared" ref="I142:I143" si="182">G142+H142</f>
        <v>0</v>
      </c>
      <c r="J142" s="348"/>
      <c r="K142" s="349"/>
      <c r="L142" s="350">
        <f t="shared" ref="L142:L143" si="183">K142+J142</f>
        <v>0</v>
      </c>
      <c r="M142" s="348"/>
      <c r="N142" s="349"/>
      <c r="O142" s="350">
        <f t="shared" ref="O142:O143" si="184">N142+M142</f>
        <v>0</v>
      </c>
      <c r="P142" s="354"/>
    </row>
    <row r="143" spans="1:16" ht="24" hidden="1" customHeight="1" x14ac:dyDescent="0.25">
      <c r="A143" s="51">
        <v>2344</v>
      </c>
      <c r="B143" s="89" t="s">
        <v>159</v>
      </c>
      <c r="C143" s="90">
        <f t="shared" si="102"/>
        <v>0</v>
      </c>
      <c r="D143" s="196"/>
      <c r="E143" s="353"/>
      <c r="F143" s="350">
        <f t="shared" si="181"/>
        <v>0</v>
      </c>
      <c r="G143" s="348"/>
      <c r="H143" s="353"/>
      <c r="I143" s="350">
        <f t="shared" si="182"/>
        <v>0</v>
      </c>
      <c r="J143" s="348"/>
      <c r="K143" s="349"/>
      <c r="L143" s="350">
        <f t="shared" si="183"/>
        <v>0</v>
      </c>
      <c r="M143" s="348"/>
      <c r="N143" s="349"/>
      <c r="O143" s="350">
        <f t="shared" si="184"/>
        <v>0</v>
      </c>
      <c r="P143" s="354"/>
    </row>
    <row r="144" spans="1:16" ht="24" x14ac:dyDescent="0.25">
      <c r="A144" s="186">
        <v>2350</v>
      </c>
      <c r="B144" s="138" t="s">
        <v>160</v>
      </c>
      <c r="C144" s="143">
        <f t="shared" si="102"/>
        <v>2979</v>
      </c>
      <c r="D144" s="187">
        <f>SUM(D145:D150)</f>
        <v>2979</v>
      </c>
      <c r="E144" s="805">
        <f t="shared" ref="E144:F144" si="185">SUM(E145:E150)</f>
        <v>0</v>
      </c>
      <c r="F144" s="781">
        <f t="shared" si="185"/>
        <v>2979</v>
      </c>
      <c r="G144" s="804">
        <f>SUM(G145:G150)</f>
        <v>0</v>
      </c>
      <c r="H144" s="805">
        <f t="shared" ref="H144:I144" si="186">SUM(H145:H150)</f>
        <v>0</v>
      </c>
      <c r="I144" s="781">
        <f t="shared" si="186"/>
        <v>0</v>
      </c>
      <c r="J144" s="804">
        <f>SUM(J145:J150)</f>
        <v>0</v>
      </c>
      <c r="K144" s="805">
        <f t="shared" ref="K144:L144" si="187">SUM(K145:K150)</f>
        <v>0</v>
      </c>
      <c r="L144" s="781">
        <f t="shared" si="187"/>
        <v>0</v>
      </c>
      <c r="M144" s="804">
        <f>SUM(M145:M150)</f>
        <v>0</v>
      </c>
      <c r="N144" s="805">
        <f t="shared" ref="N144:O144" si="188">SUM(N145:N150)</f>
        <v>0</v>
      </c>
      <c r="O144" s="781">
        <f t="shared" si="188"/>
        <v>0</v>
      </c>
      <c r="P144" s="311"/>
    </row>
    <row r="145" spans="1:16" ht="12" customHeight="1" x14ac:dyDescent="0.25">
      <c r="A145" s="44">
        <v>2351</v>
      </c>
      <c r="B145" s="82" t="s">
        <v>161</v>
      </c>
      <c r="C145" s="83">
        <f t="shared" si="102"/>
        <v>830</v>
      </c>
      <c r="D145" s="199">
        <v>830</v>
      </c>
      <c r="E145" s="490"/>
      <c r="F145" s="491">
        <f t="shared" ref="F145:F150" si="189">D145+E145</f>
        <v>830</v>
      </c>
      <c r="G145" s="460"/>
      <c r="H145" s="490"/>
      <c r="I145" s="491">
        <f t="shared" ref="I145:I150" si="190">G145+H145</f>
        <v>0</v>
      </c>
      <c r="J145" s="460"/>
      <c r="K145" s="461"/>
      <c r="L145" s="491">
        <f t="shared" ref="L145:L150" si="191">K145+J145</f>
        <v>0</v>
      </c>
      <c r="M145" s="460"/>
      <c r="N145" s="461"/>
      <c r="O145" s="491">
        <f t="shared" ref="O145:O150" si="192">N145+M145</f>
        <v>0</v>
      </c>
      <c r="P145" s="463"/>
    </row>
    <row r="146" spans="1:16" ht="12" customHeight="1" x14ac:dyDescent="0.25">
      <c r="A146" s="51">
        <v>2352</v>
      </c>
      <c r="B146" s="89" t="s">
        <v>162</v>
      </c>
      <c r="C146" s="90">
        <f t="shared" si="102"/>
        <v>1482</v>
      </c>
      <c r="D146" s="196">
        <v>1482</v>
      </c>
      <c r="E146" s="353"/>
      <c r="F146" s="350">
        <f t="shared" si="189"/>
        <v>1482</v>
      </c>
      <c r="G146" s="348"/>
      <c r="H146" s="353"/>
      <c r="I146" s="350">
        <f t="shared" si="190"/>
        <v>0</v>
      </c>
      <c r="J146" s="348"/>
      <c r="K146" s="349"/>
      <c r="L146" s="350">
        <f t="shared" si="191"/>
        <v>0</v>
      </c>
      <c r="M146" s="348"/>
      <c r="N146" s="349"/>
      <c r="O146" s="350">
        <f t="shared" si="192"/>
        <v>0</v>
      </c>
      <c r="P146" s="354"/>
    </row>
    <row r="147" spans="1:16" ht="24" hidden="1" customHeight="1" x14ac:dyDescent="0.25">
      <c r="A147" s="51">
        <v>2353</v>
      </c>
      <c r="B147" s="89" t="s">
        <v>163</v>
      </c>
      <c r="C147" s="90">
        <f t="shared" si="102"/>
        <v>0</v>
      </c>
      <c r="D147" s="196"/>
      <c r="E147" s="353"/>
      <c r="F147" s="350">
        <f t="shared" si="189"/>
        <v>0</v>
      </c>
      <c r="G147" s="348"/>
      <c r="H147" s="353"/>
      <c r="I147" s="350">
        <f t="shared" si="190"/>
        <v>0</v>
      </c>
      <c r="J147" s="348"/>
      <c r="K147" s="349"/>
      <c r="L147" s="350">
        <f t="shared" si="191"/>
        <v>0</v>
      </c>
      <c r="M147" s="348"/>
      <c r="N147" s="349"/>
      <c r="O147" s="350">
        <f t="shared" si="192"/>
        <v>0</v>
      </c>
      <c r="P147" s="354"/>
    </row>
    <row r="148" spans="1:16" ht="25.5" customHeight="1" x14ac:dyDescent="0.25">
      <c r="A148" s="51">
        <v>2354</v>
      </c>
      <c r="B148" s="89" t="s">
        <v>164</v>
      </c>
      <c r="C148" s="90">
        <f t="shared" ref="C148:C211" si="193">F148+I148+L148+O148</f>
        <v>287</v>
      </c>
      <c r="D148" s="196">
        <v>287</v>
      </c>
      <c r="E148" s="353"/>
      <c r="F148" s="350">
        <f t="shared" si="189"/>
        <v>287</v>
      </c>
      <c r="G148" s="348"/>
      <c r="H148" s="353"/>
      <c r="I148" s="350">
        <f t="shared" si="190"/>
        <v>0</v>
      </c>
      <c r="J148" s="348"/>
      <c r="K148" s="349"/>
      <c r="L148" s="350">
        <f t="shared" si="191"/>
        <v>0</v>
      </c>
      <c r="M148" s="348"/>
      <c r="N148" s="349"/>
      <c r="O148" s="350">
        <f t="shared" si="192"/>
        <v>0</v>
      </c>
      <c r="P148" s="354"/>
    </row>
    <row r="149" spans="1:16" ht="24" customHeight="1" x14ac:dyDescent="0.25">
      <c r="A149" s="51">
        <v>2355</v>
      </c>
      <c r="B149" s="89" t="s">
        <v>165</v>
      </c>
      <c r="C149" s="90">
        <f t="shared" si="193"/>
        <v>380</v>
      </c>
      <c r="D149" s="196">
        <v>380</v>
      </c>
      <c r="E149" s="353"/>
      <c r="F149" s="350">
        <f t="shared" si="189"/>
        <v>380</v>
      </c>
      <c r="G149" s="348"/>
      <c r="H149" s="353"/>
      <c r="I149" s="350">
        <f t="shared" si="190"/>
        <v>0</v>
      </c>
      <c r="J149" s="348"/>
      <c r="K149" s="349"/>
      <c r="L149" s="350">
        <f t="shared" si="191"/>
        <v>0</v>
      </c>
      <c r="M149" s="348"/>
      <c r="N149" s="349"/>
      <c r="O149" s="350">
        <f t="shared" si="192"/>
        <v>0</v>
      </c>
      <c r="P149" s="354"/>
    </row>
    <row r="150" spans="1:16" ht="24" hidden="1" customHeight="1" x14ac:dyDescent="0.25">
      <c r="A150" s="51">
        <v>2359</v>
      </c>
      <c r="B150" s="89" t="s">
        <v>166</v>
      </c>
      <c r="C150" s="90">
        <f t="shared" si="193"/>
        <v>0</v>
      </c>
      <c r="D150" s="196"/>
      <c r="E150" s="353"/>
      <c r="F150" s="350">
        <f t="shared" si="189"/>
        <v>0</v>
      </c>
      <c r="G150" s="348"/>
      <c r="H150" s="353"/>
      <c r="I150" s="350">
        <f t="shared" si="190"/>
        <v>0</v>
      </c>
      <c r="J150" s="348"/>
      <c r="K150" s="349"/>
      <c r="L150" s="350">
        <f t="shared" si="191"/>
        <v>0</v>
      </c>
      <c r="M150" s="348"/>
      <c r="N150" s="349"/>
      <c r="O150" s="350">
        <f t="shared" si="192"/>
        <v>0</v>
      </c>
      <c r="P150" s="354"/>
    </row>
    <row r="151" spans="1:16" ht="24.75" customHeight="1" x14ac:dyDescent="0.25">
      <c r="A151" s="189">
        <v>2360</v>
      </c>
      <c r="B151" s="89" t="s">
        <v>167</v>
      </c>
      <c r="C151" s="90">
        <f t="shared" si="193"/>
        <v>1750</v>
      </c>
      <c r="D151" s="190">
        <f>SUM(D152:D158)</f>
        <v>1750</v>
      </c>
      <c r="E151" s="365">
        <f t="shared" ref="E151:F151" si="194">SUM(E152:E158)</f>
        <v>0</v>
      </c>
      <c r="F151" s="350">
        <f t="shared" si="194"/>
        <v>1750</v>
      </c>
      <c r="G151" s="806">
        <f>SUM(G152:G158)</f>
        <v>0</v>
      </c>
      <c r="H151" s="365">
        <f t="shared" ref="H151:I151" si="195">SUM(H152:H158)</f>
        <v>0</v>
      </c>
      <c r="I151" s="350">
        <f t="shared" si="195"/>
        <v>0</v>
      </c>
      <c r="J151" s="806">
        <f>SUM(J152:J158)</f>
        <v>0</v>
      </c>
      <c r="K151" s="365">
        <f t="shared" ref="K151:L151" si="196">SUM(K152:K158)</f>
        <v>0</v>
      </c>
      <c r="L151" s="350">
        <f t="shared" si="196"/>
        <v>0</v>
      </c>
      <c r="M151" s="806">
        <f>SUM(M152:M158)</f>
        <v>0</v>
      </c>
      <c r="N151" s="365">
        <f t="shared" ref="N151:O151" si="197">SUM(N152:N158)</f>
        <v>0</v>
      </c>
      <c r="O151" s="350">
        <f t="shared" si="197"/>
        <v>0</v>
      </c>
      <c r="P151" s="354"/>
    </row>
    <row r="152" spans="1:16" ht="12" hidden="1" customHeight="1" x14ac:dyDescent="0.25">
      <c r="A152" s="50">
        <v>2361</v>
      </c>
      <c r="B152" s="89" t="s">
        <v>168</v>
      </c>
      <c r="C152" s="90">
        <f t="shared" si="193"/>
        <v>0</v>
      </c>
      <c r="D152" s="196"/>
      <c r="E152" s="353"/>
      <c r="F152" s="350">
        <f t="shared" ref="F152:F159" si="198">D152+E152</f>
        <v>0</v>
      </c>
      <c r="G152" s="348"/>
      <c r="H152" s="353"/>
      <c r="I152" s="350">
        <f t="shared" ref="I152:I159" si="199">G152+H152</f>
        <v>0</v>
      </c>
      <c r="J152" s="348"/>
      <c r="K152" s="349"/>
      <c r="L152" s="350">
        <f t="shared" ref="L152:L159" si="200">K152+J152</f>
        <v>0</v>
      </c>
      <c r="M152" s="348"/>
      <c r="N152" s="349"/>
      <c r="O152" s="350">
        <f t="shared" ref="O152:O159" si="201">N152+M152</f>
        <v>0</v>
      </c>
      <c r="P152" s="354"/>
    </row>
    <row r="153" spans="1:16" ht="24" hidden="1" customHeight="1" x14ac:dyDescent="0.25">
      <c r="A153" s="50">
        <v>2362</v>
      </c>
      <c r="B153" s="89" t="s">
        <v>169</v>
      </c>
      <c r="C153" s="90">
        <f t="shared" si="193"/>
        <v>0</v>
      </c>
      <c r="D153" s="196"/>
      <c r="E153" s="353"/>
      <c r="F153" s="350">
        <f t="shared" si="198"/>
        <v>0</v>
      </c>
      <c r="G153" s="348"/>
      <c r="H153" s="353"/>
      <c r="I153" s="350">
        <f t="shared" si="199"/>
        <v>0</v>
      </c>
      <c r="J153" s="348"/>
      <c r="K153" s="349"/>
      <c r="L153" s="350">
        <f t="shared" si="200"/>
        <v>0</v>
      </c>
      <c r="M153" s="348"/>
      <c r="N153" s="349"/>
      <c r="O153" s="350">
        <f t="shared" si="201"/>
        <v>0</v>
      </c>
      <c r="P153" s="354"/>
    </row>
    <row r="154" spans="1:16" ht="15.75" customHeight="1" x14ac:dyDescent="0.25">
      <c r="A154" s="50">
        <v>2363</v>
      </c>
      <c r="B154" s="89" t="s">
        <v>170</v>
      </c>
      <c r="C154" s="90">
        <f t="shared" si="193"/>
        <v>1750</v>
      </c>
      <c r="D154" s="196">
        <v>1750</v>
      </c>
      <c r="E154" s="353"/>
      <c r="F154" s="350">
        <f t="shared" si="198"/>
        <v>1750</v>
      </c>
      <c r="G154" s="348"/>
      <c r="H154" s="353"/>
      <c r="I154" s="350">
        <f t="shared" si="199"/>
        <v>0</v>
      </c>
      <c r="J154" s="348"/>
      <c r="K154" s="349"/>
      <c r="L154" s="350">
        <f t="shared" si="200"/>
        <v>0</v>
      </c>
      <c r="M154" s="348"/>
      <c r="N154" s="349"/>
      <c r="O154" s="350">
        <f t="shared" si="201"/>
        <v>0</v>
      </c>
      <c r="P154" s="354"/>
    </row>
    <row r="155" spans="1:16" ht="12" hidden="1" customHeight="1" x14ac:dyDescent="0.25">
      <c r="A155" s="50">
        <v>2364</v>
      </c>
      <c r="B155" s="89" t="s">
        <v>171</v>
      </c>
      <c r="C155" s="90">
        <f t="shared" si="193"/>
        <v>0</v>
      </c>
      <c r="D155" s="196"/>
      <c r="E155" s="197"/>
      <c r="F155" s="55">
        <f t="shared" si="198"/>
        <v>0</v>
      </c>
      <c r="G155" s="53"/>
      <c r="H155" s="197"/>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197"/>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197"/>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197"/>
      <c r="I158" s="55">
        <f t="shared" si="199"/>
        <v>0</v>
      </c>
      <c r="J158" s="53"/>
      <c r="K158" s="54"/>
      <c r="L158" s="55">
        <f t="shared" si="200"/>
        <v>0</v>
      </c>
      <c r="M158" s="53"/>
      <c r="N158" s="54"/>
      <c r="O158" s="55">
        <f t="shared" si="201"/>
        <v>0</v>
      </c>
      <c r="P158" s="57"/>
    </row>
    <row r="159" spans="1:16" ht="15" customHeight="1" x14ac:dyDescent="0.25">
      <c r="A159" s="186">
        <v>2370</v>
      </c>
      <c r="B159" s="138" t="s">
        <v>175</v>
      </c>
      <c r="C159" s="143">
        <f t="shared" si="193"/>
        <v>3609</v>
      </c>
      <c r="D159" s="203">
        <v>2525</v>
      </c>
      <c r="E159" s="204"/>
      <c r="F159" s="141">
        <f t="shared" si="198"/>
        <v>2525</v>
      </c>
      <c r="G159" s="144">
        <v>1084</v>
      </c>
      <c r="H159" s="204"/>
      <c r="I159" s="141">
        <f t="shared" si="199"/>
        <v>1084</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200"/>
      <c r="I161" s="134">
        <f t="shared" ref="I161:I164" si="207">G161+H161</f>
        <v>0</v>
      </c>
      <c r="J161" s="46"/>
      <c r="K161" s="47"/>
      <c r="L161" s="134">
        <f t="shared" ref="L161:L164" si="208">K161+J161</f>
        <v>0</v>
      </c>
      <c r="M161" s="46"/>
      <c r="N161" s="47"/>
      <c r="O161" s="134">
        <f t="shared" ref="O161:O164" si="209">N161+M161</f>
        <v>0</v>
      </c>
      <c r="P161" s="49"/>
    </row>
    <row r="162" spans="1:16" ht="3" hidden="1" customHeight="1" x14ac:dyDescent="0.25">
      <c r="A162" s="50">
        <v>2389</v>
      </c>
      <c r="B162" s="89" t="s">
        <v>178</v>
      </c>
      <c r="C162" s="90">
        <f t="shared" si="193"/>
        <v>0</v>
      </c>
      <c r="D162" s="196"/>
      <c r="E162" s="197"/>
      <c r="F162" s="55">
        <f t="shared" si="206"/>
        <v>0</v>
      </c>
      <c r="G162" s="53"/>
      <c r="H162" s="197"/>
      <c r="I162" s="55">
        <f t="shared" si="207"/>
        <v>0</v>
      </c>
      <c r="J162" s="53"/>
      <c r="K162" s="54"/>
      <c r="L162" s="55">
        <f t="shared" si="208"/>
        <v>0</v>
      </c>
      <c r="M162" s="53"/>
      <c r="N162" s="54"/>
      <c r="O162" s="55">
        <f t="shared" si="209"/>
        <v>0</v>
      </c>
      <c r="P162" s="57"/>
    </row>
    <row r="163" spans="1:16" ht="17.25" customHeight="1" x14ac:dyDescent="0.25">
      <c r="A163" s="186">
        <v>2390</v>
      </c>
      <c r="B163" s="138" t="s">
        <v>179</v>
      </c>
      <c r="C163" s="143">
        <f t="shared" si="193"/>
        <v>200</v>
      </c>
      <c r="D163" s="203">
        <v>200</v>
      </c>
      <c r="E163" s="204"/>
      <c r="F163" s="141">
        <f t="shared" si="206"/>
        <v>200</v>
      </c>
      <c r="G163" s="144"/>
      <c r="H163" s="204"/>
      <c r="I163" s="141">
        <f t="shared" si="207"/>
        <v>0</v>
      </c>
      <c r="J163" s="144"/>
      <c r="K163" s="145"/>
      <c r="L163" s="141">
        <f t="shared" si="208"/>
        <v>0</v>
      </c>
      <c r="M163" s="144"/>
      <c r="N163" s="145"/>
      <c r="O163" s="141">
        <f t="shared" si="209"/>
        <v>0</v>
      </c>
      <c r="P163" s="129"/>
    </row>
    <row r="164" spans="1:16" ht="12" customHeight="1" x14ac:dyDescent="0.25">
      <c r="A164" s="69">
        <v>2400</v>
      </c>
      <c r="B164" s="183" t="s">
        <v>180</v>
      </c>
      <c r="C164" s="70">
        <f t="shared" si="193"/>
        <v>193</v>
      </c>
      <c r="D164" s="205">
        <v>193</v>
      </c>
      <c r="E164" s="206"/>
      <c r="F164" s="73">
        <f t="shared" si="206"/>
        <v>193</v>
      </c>
      <c r="G164" s="71"/>
      <c r="H164" s="206"/>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81</v>
      </c>
      <c r="D165" s="184">
        <f>SUM(D166,D171)</f>
        <v>81</v>
      </c>
      <c r="E165" s="185">
        <f t="shared" ref="E165:O165" si="210">SUM(E166,E171)</f>
        <v>0</v>
      </c>
      <c r="F165" s="73">
        <f t="shared" si="210"/>
        <v>81</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1373">
        <v>2510</v>
      </c>
      <c r="B166" s="82" t="s">
        <v>182</v>
      </c>
      <c r="C166" s="83">
        <f t="shared" si="193"/>
        <v>81</v>
      </c>
      <c r="D166" s="194">
        <f>SUM(D167:D170)</f>
        <v>81</v>
      </c>
      <c r="E166" s="195">
        <f t="shared" ref="E166:O166" si="211">SUM(E167:E170)</f>
        <v>0</v>
      </c>
      <c r="F166" s="134">
        <f t="shared" si="211"/>
        <v>81</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197"/>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197"/>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197"/>
      <c r="I169" s="55">
        <f t="shared" si="213"/>
        <v>0</v>
      </c>
      <c r="J169" s="53"/>
      <c r="K169" s="54"/>
      <c r="L169" s="55">
        <f t="shared" si="214"/>
        <v>0</v>
      </c>
      <c r="M169" s="53"/>
      <c r="N169" s="54"/>
      <c r="O169" s="55">
        <f t="shared" si="215"/>
        <v>0</v>
      </c>
      <c r="P169" s="57"/>
    </row>
    <row r="170" spans="1:16" ht="24" customHeight="1" x14ac:dyDescent="0.25">
      <c r="A170" s="51">
        <v>2519</v>
      </c>
      <c r="B170" s="89" t="s">
        <v>186</v>
      </c>
      <c r="C170" s="90">
        <f t="shared" si="193"/>
        <v>81</v>
      </c>
      <c r="D170" s="196">
        <v>81</v>
      </c>
      <c r="E170" s="197"/>
      <c r="F170" s="55">
        <f t="shared" si="212"/>
        <v>81</v>
      </c>
      <c r="G170" s="53"/>
      <c r="H170" s="197"/>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197"/>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200"/>
      <c r="F172" s="134">
        <f t="shared" si="212"/>
        <v>0</v>
      </c>
      <c r="G172" s="46"/>
      <c r="H172" s="200"/>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197"/>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197"/>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197"/>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197"/>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197"/>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197"/>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2"/>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204"/>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200"/>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200"/>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197"/>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197"/>
      <c r="I193" s="55">
        <f>G193+H193</f>
        <v>0</v>
      </c>
      <c r="J193" s="53"/>
      <c r="K193" s="54"/>
      <c r="L193" s="55">
        <f>K193+J193</f>
        <v>0</v>
      </c>
      <c r="M193" s="53"/>
      <c r="N193" s="54"/>
      <c r="O193" s="55">
        <f>N193+M193</f>
        <v>0</v>
      </c>
      <c r="P193" s="57"/>
    </row>
    <row r="194" spans="1:16" s="28" customFormat="1" ht="24" x14ac:dyDescent="0.25">
      <c r="A194" s="225"/>
      <c r="B194" s="23" t="s">
        <v>210</v>
      </c>
      <c r="C194" s="172">
        <f t="shared" si="193"/>
        <v>4441</v>
      </c>
      <c r="D194" s="173">
        <f t="shared" ref="D194:O194" si="259">SUM(D195,D230,D269,D283)</f>
        <v>3441</v>
      </c>
      <c r="E194" s="174">
        <f t="shared" si="259"/>
        <v>0</v>
      </c>
      <c r="F194" s="175">
        <f t="shared" si="259"/>
        <v>3441</v>
      </c>
      <c r="G194" s="173">
        <f t="shared" si="259"/>
        <v>1000</v>
      </c>
      <c r="H194" s="174">
        <f t="shared" si="259"/>
        <v>0</v>
      </c>
      <c r="I194" s="175">
        <f t="shared" si="259"/>
        <v>1000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4441</v>
      </c>
      <c r="D195" s="179">
        <f>D196+D204</f>
        <v>3441</v>
      </c>
      <c r="E195" s="180">
        <f t="shared" ref="E195:F195" si="260">E196+E204</f>
        <v>0</v>
      </c>
      <c r="F195" s="181">
        <f t="shared" si="260"/>
        <v>3441</v>
      </c>
      <c r="G195" s="179">
        <f>G196+G204</f>
        <v>1000</v>
      </c>
      <c r="H195" s="180">
        <f t="shared" ref="H195:I195" si="261">H196+H204</f>
        <v>0</v>
      </c>
      <c r="I195" s="181">
        <f t="shared" si="261"/>
        <v>1000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200"/>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197"/>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197"/>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197"/>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197"/>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197"/>
      <c r="I203" s="55">
        <f t="shared" si="273"/>
        <v>0</v>
      </c>
      <c r="J203" s="53"/>
      <c r="K203" s="54"/>
      <c r="L203" s="55">
        <f t="shared" si="274"/>
        <v>0</v>
      </c>
      <c r="M203" s="53"/>
      <c r="N203" s="54"/>
      <c r="O203" s="55">
        <f t="shared" si="275"/>
        <v>0</v>
      </c>
      <c r="P203" s="57"/>
    </row>
    <row r="204" spans="1:16" x14ac:dyDescent="0.25">
      <c r="A204" s="69">
        <v>5200</v>
      </c>
      <c r="B204" s="183" t="s">
        <v>220</v>
      </c>
      <c r="C204" s="70">
        <f t="shared" si="193"/>
        <v>4441</v>
      </c>
      <c r="D204" s="184">
        <f>D205+D215+D216+D225+D226+D227+D229</f>
        <v>3441</v>
      </c>
      <c r="E204" s="185">
        <f t="shared" ref="E204:F204" si="276">E205+E215+E216+E225+E226+E227+E229</f>
        <v>0</v>
      </c>
      <c r="F204" s="73">
        <f t="shared" si="276"/>
        <v>3441</v>
      </c>
      <c r="G204" s="184">
        <f>G205+G215+G216+G225+G226+G227+G229</f>
        <v>1000</v>
      </c>
      <c r="H204" s="185">
        <f t="shared" ref="H204:I204" si="277">H205+H215+H216+H225+H226+H227+H229</f>
        <v>0</v>
      </c>
      <c r="I204" s="73">
        <f t="shared" si="277"/>
        <v>1000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200"/>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197"/>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197"/>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197"/>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197"/>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197"/>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197"/>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197"/>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197"/>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197"/>
      <c r="I215" s="55">
        <f t="shared" si="285"/>
        <v>0</v>
      </c>
      <c r="J215" s="53"/>
      <c r="K215" s="54"/>
      <c r="L215" s="55">
        <f t="shared" si="286"/>
        <v>0</v>
      </c>
      <c r="M215" s="53"/>
      <c r="N215" s="54"/>
      <c r="O215" s="55">
        <f t="shared" si="287"/>
        <v>0</v>
      </c>
      <c r="P215" s="57"/>
    </row>
    <row r="216" spans="1:16" x14ac:dyDescent="0.25">
      <c r="A216" s="189">
        <v>5230</v>
      </c>
      <c r="B216" s="89" t="s">
        <v>232</v>
      </c>
      <c r="C216" s="90">
        <f t="shared" si="288"/>
        <v>4441</v>
      </c>
      <c r="D216" s="190">
        <f>SUM(D217:D224)</f>
        <v>3441</v>
      </c>
      <c r="E216" s="191">
        <f t="shared" ref="E216:F216" si="289">SUM(E217:E224)</f>
        <v>0</v>
      </c>
      <c r="F216" s="55">
        <f t="shared" si="289"/>
        <v>3441</v>
      </c>
      <c r="G216" s="190">
        <f>SUM(G217:G224)</f>
        <v>1000</v>
      </c>
      <c r="H216" s="191">
        <f t="shared" ref="H216:I216" si="290">SUM(H217:H224)</f>
        <v>0</v>
      </c>
      <c r="I216" s="55">
        <f t="shared" si="290"/>
        <v>1000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197"/>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197"/>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1841</v>
      </c>
      <c r="D219" s="196">
        <v>841</v>
      </c>
      <c r="E219" s="197"/>
      <c r="F219" s="55">
        <f t="shared" si="293"/>
        <v>841</v>
      </c>
      <c r="G219" s="53">
        <v>1000</v>
      </c>
      <c r="H219" s="197"/>
      <c r="I219" s="55">
        <f t="shared" si="294"/>
        <v>1000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197"/>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197"/>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197"/>
      <c r="I222" s="55">
        <f t="shared" si="294"/>
        <v>0</v>
      </c>
      <c r="J222" s="53"/>
      <c r="K222" s="54"/>
      <c r="L222" s="55">
        <f t="shared" si="295"/>
        <v>0</v>
      </c>
      <c r="M222" s="53"/>
      <c r="N222" s="54"/>
      <c r="O222" s="55">
        <f t="shared" si="296"/>
        <v>0</v>
      </c>
      <c r="P222" s="57"/>
    </row>
    <row r="223" spans="1:16" ht="31.5" customHeight="1" x14ac:dyDescent="0.25">
      <c r="A223" s="51">
        <v>5238</v>
      </c>
      <c r="B223" s="89" t="s">
        <v>239</v>
      </c>
      <c r="C223" s="90">
        <f t="shared" si="288"/>
        <v>2600</v>
      </c>
      <c r="D223" s="196">
        <v>2600</v>
      </c>
      <c r="E223" s="197"/>
      <c r="F223" s="55">
        <f t="shared" si="293"/>
        <v>2600</v>
      </c>
      <c r="G223" s="53"/>
      <c r="H223" s="197"/>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197"/>
      <c r="I224" s="55">
        <f t="shared" si="294"/>
        <v>0</v>
      </c>
      <c r="J224" s="53"/>
      <c r="K224" s="54"/>
      <c r="L224" s="55">
        <f t="shared" si="295"/>
        <v>0</v>
      </c>
      <c r="M224" s="53"/>
      <c r="N224" s="54"/>
      <c r="O224" s="55">
        <f t="shared" si="296"/>
        <v>0</v>
      </c>
      <c r="P224" s="57"/>
    </row>
    <row r="225" spans="1:16" ht="47.25" hidden="1" customHeight="1" x14ac:dyDescent="0.25">
      <c r="A225" s="189">
        <v>5240</v>
      </c>
      <c r="B225" s="89" t="s">
        <v>241</v>
      </c>
      <c r="C225" s="90">
        <f t="shared" si="288"/>
        <v>0</v>
      </c>
      <c r="D225" s="196"/>
      <c r="E225" s="1427"/>
      <c r="F225" s="55">
        <f t="shared" si="293"/>
        <v>0</v>
      </c>
      <c r="G225" s="53"/>
      <c r="H225" s="197"/>
      <c r="I225" s="55">
        <f t="shared" si="294"/>
        <v>0</v>
      </c>
      <c r="J225" s="53"/>
      <c r="K225" s="54"/>
      <c r="L225" s="55">
        <f t="shared" si="295"/>
        <v>0</v>
      </c>
      <c r="M225" s="53"/>
      <c r="N225" s="54"/>
      <c r="O225" s="55">
        <f t="shared" si="296"/>
        <v>0</v>
      </c>
      <c r="P225" s="354"/>
    </row>
    <row r="226" spans="1:16" ht="12" hidden="1" customHeight="1" x14ac:dyDescent="0.25">
      <c r="A226" s="189">
        <v>5250</v>
      </c>
      <c r="B226" s="89" t="s">
        <v>242</v>
      </c>
      <c r="C226" s="90">
        <f t="shared" si="288"/>
        <v>0</v>
      </c>
      <c r="D226" s="196"/>
      <c r="E226" s="197"/>
      <c r="F226" s="55">
        <f t="shared" si="293"/>
        <v>0</v>
      </c>
      <c r="G226" s="53"/>
      <c r="H226" s="197"/>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197"/>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204"/>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200"/>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200"/>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197"/>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197"/>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197"/>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197"/>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197"/>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197"/>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197"/>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197"/>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197"/>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197"/>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197"/>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197"/>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197"/>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197"/>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197"/>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197"/>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200"/>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2"/>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197"/>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197"/>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197"/>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197"/>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197"/>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197"/>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197"/>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197"/>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200"/>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197"/>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197"/>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197"/>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197"/>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197"/>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197"/>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200"/>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238"/>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204"/>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197"/>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200"/>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439998</v>
      </c>
      <c r="D289" s="252">
        <f t="shared" ref="D289:O289" si="389">SUM(D286,D269,D230,D195,D187,D173,D75,D53,D283)</f>
        <v>289904</v>
      </c>
      <c r="E289" s="253">
        <f t="shared" si="389"/>
        <v>0</v>
      </c>
      <c r="F289" s="254">
        <f t="shared" si="389"/>
        <v>289904</v>
      </c>
      <c r="G289" s="252">
        <f t="shared" si="389"/>
        <v>130704</v>
      </c>
      <c r="H289" s="253">
        <f t="shared" si="389"/>
        <v>11091</v>
      </c>
      <c r="I289" s="254">
        <f t="shared" si="389"/>
        <v>141795</v>
      </c>
      <c r="J289" s="252">
        <f t="shared" si="389"/>
        <v>8299</v>
      </c>
      <c r="K289" s="253">
        <f t="shared" si="389"/>
        <v>0</v>
      </c>
      <c r="L289" s="254">
        <f t="shared" si="389"/>
        <v>8299</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238"/>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197"/>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197"/>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197"/>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197"/>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2"/>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fMAvCpuiU6RpPD4d7lyVGhLixSXuNurjW2iaN8ePEUqwuEJ8iY8B62F16NgZRy7jVDx0LDLL7q6qcGozFfq1w==" saltValue="DIH40E5KZxHGH35weceCAQ==" spinCount="100000" sheet="1" objects="1" scenarios="1" formatCells="0" formatColumns="0" formatRows="0" deleteColumns="0"/>
  <autoFilter ref="A18:P301">
    <filterColumn colId="2">
      <filters>
        <filter val="1 029"/>
        <filter val="1 042"/>
        <filter val="1 177"/>
        <filter val="1 318"/>
        <filter val="1 363"/>
        <filter val="1 482"/>
        <filter val="1 750"/>
        <filter val="1 780"/>
        <filter val="1 841"/>
        <filter val="1 900"/>
        <filter val="100"/>
        <filter val="102"/>
        <filter val="12 892"/>
        <filter val="13 526"/>
        <filter val="16 820"/>
        <filter val="193"/>
        <filter val="2 256"/>
        <filter val="2 290"/>
        <filter val="2 600"/>
        <filter val="2 870"/>
        <filter val="2 979"/>
        <filter val="20 436"/>
        <filter val="200"/>
        <filter val="235 268"/>
        <filter val="25 085"/>
        <filter val="26"/>
        <filter val="266 809"/>
        <filter val="287"/>
        <filter val="3 609"/>
        <filter val="31 640"/>
        <filter val="354 944"/>
        <filter val="380"/>
        <filter val="389"/>
        <filter val="4 026"/>
        <filter val="4 074"/>
        <filter val="4 075"/>
        <filter val="4 172"/>
        <filter val="4 441"/>
        <filter val="4 856"/>
        <filter val="40 593"/>
        <filter val="411"/>
        <filter val="426 204"/>
        <filter val="430 062"/>
        <filter val="434 503"/>
        <filter val="50"/>
        <filter val="500"/>
        <filter val="505"/>
        <filter val="531"/>
        <filter val="546"/>
        <filter val="6 074"/>
        <filter val="6 342"/>
        <filter val="6 399"/>
        <filter val="6 456"/>
        <filter val="61 268"/>
        <filter val="67 699"/>
        <filter val="687"/>
        <filter val="7 044"/>
        <filter val="7 246"/>
        <filter val="700"/>
        <filter val="75 118"/>
        <filter val="8 299"/>
        <filter val="808"/>
        <filter val="81"/>
        <filter val="813"/>
        <filter val="830"/>
        <filter val="84"/>
        <filter val="85"/>
        <filter val="88 13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67.pielikums Jūrmalas pilsētas domes
2019.gada 31.oktobra saistošajiem noteikumiem Nr.46
(protokols Nr.14, 28.punkts)</firstHeader>
    <firstFooter>&amp;L&amp;9&amp;D; &amp;T&amp;R&amp;9&amp;P (&amp;N)</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U7" sqref="U7"/>
    </sheetView>
  </sheetViews>
  <sheetFormatPr defaultColWidth="9.140625"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1632</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896</v>
      </c>
      <c r="D3" s="1517"/>
      <c r="E3" s="1517"/>
      <c r="F3" s="1517"/>
      <c r="G3" s="1517"/>
      <c r="H3" s="1517"/>
      <c r="I3" s="1517"/>
      <c r="J3" s="1517"/>
      <c r="K3" s="1517"/>
      <c r="L3" s="1517"/>
      <c r="M3" s="1517"/>
      <c r="N3" s="1517"/>
      <c r="O3" s="1517"/>
      <c r="P3" s="1518"/>
      <c r="Q3" s="277"/>
    </row>
    <row r="4" spans="1:17" ht="12.75" customHeight="1" x14ac:dyDescent="0.25">
      <c r="A4" s="5" t="s">
        <v>4</v>
      </c>
      <c r="B4" s="6"/>
      <c r="C4" s="1517" t="s">
        <v>1640</v>
      </c>
      <c r="D4" s="1517"/>
      <c r="E4" s="1517"/>
      <c r="F4" s="1517"/>
      <c r="G4" s="1517"/>
      <c r="H4" s="1517"/>
      <c r="I4" s="1517"/>
      <c r="J4" s="1517"/>
      <c r="K4" s="1517"/>
      <c r="L4" s="1517"/>
      <c r="M4" s="1517"/>
      <c r="N4" s="1517"/>
      <c r="O4" s="1517"/>
      <c r="P4" s="1518"/>
      <c r="Q4" s="277"/>
    </row>
    <row r="5" spans="1:17" ht="12.75" customHeight="1" x14ac:dyDescent="0.25">
      <c r="A5" s="7" t="s">
        <v>6</v>
      </c>
      <c r="B5" s="8"/>
      <c r="C5" s="1512" t="s">
        <v>1633</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1634</v>
      </c>
      <c r="D7" s="1517"/>
      <c r="E7" s="1517"/>
      <c r="F7" s="1517"/>
      <c r="G7" s="1517"/>
      <c r="H7" s="1517"/>
      <c r="I7" s="1517"/>
      <c r="J7" s="1517"/>
      <c r="K7" s="1517"/>
      <c r="L7" s="1517"/>
      <c r="M7" s="1517"/>
      <c r="N7" s="1517"/>
      <c r="O7" s="1517"/>
      <c r="P7" s="1518"/>
      <c r="Q7" s="277"/>
    </row>
    <row r="8" spans="1:17" ht="12.75" customHeight="1" x14ac:dyDescent="0.25">
      <c r="A8" s="9" t="s">
        <v>12</v>
      </c>
      <c r="B8" s="8"/>
      <c r="C8" s="1395"/>
      <c r="D8" s="1395"/>
      <c r="E8" s="1396"/>
      <c r="F8" s="1396"/>
      <c r="G8" s="1396"/>
      <c r="H8" s="1395"/>
      <c r="I8" s="1395"/>
      <c r="J8" s="1395"/>
      <c r="K8" s="1395"/>
      <c r="L8" s="1395"/>
      <c r="M8" s="1395"/>
      <c r="N8" s="1395"/>
      <c r="O8" s="1395"/>
      <c r="P8" s="1397"/>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1635</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6622</v>
      </c>
      <c r="D20" s="32">
        <f>SUM(D21,D24,D25,D41,D43)</f>
        <v>6622</v>
      </c>
      <c r="E20" s="33">
        <f t="shared" ref="E20:F20" si="1">SUM(E21,E24,E25,E41,E43)</f>
        <v>0</v>
      </c>
      <c r="F20" s="34">
        <f t="shared" si="1"/>
        <v>6622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39</v>
      </c>
      <c r="C21" s="38">
        <f t="shared" si="0"/>
        <v>2058</v>
      </c>
      <c r="D21" s="39">
        <f>SUM(D22:D23)</f>
        <v>2058</v>
      </c>
      <c r="E21" s="40">
        <f t="shared" ref="E21:F21" si="5">SUM(E22:E23)</f>
        <v>0</v>
      </c>
      <c r="F21" s="41">
        <f t="shared" si="5"/>
        <v>2058</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2058</v>
      </c>
      <c r="D23" s="53">
        <v>2058</v>
      </c>
      <c r="E23" s="54">
        <v>0</v>
      </c>
      <c r="F23" s="55">
        <f t="shared" ref="F23:F25" si="9">D23+E23</f>
        <v>2058</v>
      </c>
      <c r="G23" s="53"/>
      <c r="H23" s="54"/>
      <c r="I23" s="55">
        <f t="shared" ref="I23:I24" si="10">G23+H23</f>
        <v>0</v>
      </c>
      <c r="J23" s="53"/>
      <c r="K23" s="54"/>
      <c r="L23" s="56">
        <f>K23+J23</f>
        <v>0</v>
      </c>
      <c r="M23" s="53"/>
      <c r="N23" s="54"/>
      <c r="O23" s="55">
        <f>N23+M23</f>
        <v>0</v>
      </c>
      <c r="P23" s="57"/>
    </row>
    <row r="24" spans="1:16" s="28" customFormat="1" ht="34.5" customHeight="1" thickBot="1" x14ac:dyDescent="0.3">
      <c r="A24" s="58">
        <v>19300</v>
      </c>
      <c r="B24" s="58" t="s">
        <v>42</v>
      </c>
      <c r="C24" s="59">
        <f>F24+I24</f>
        <v>2282</v>
      </c>
      <c r="D24" s="60">
        <v>2282</v>
      </c>
      <c r="E24" s="63"/>
      <c r="F24" s="62">
        <f t="shared" si="9"/>
        <v>2282</v>
      </c>
      <c r="G24" s="60"/>
      <c r="H24" s="63"/>
      <c r="I24" s="62">
        <f t="shared" si="10"/>
        <v>0</v>
      </c>
      <c r="J24" s="64" t="s">
        <v>43</v>
      </c>
      <c r="K24" s="65" t="s">
        <v>43</v>
      </c>
      <c r="L24" s="66" t="s">
        <v>43</v>
      </c>
      <c r="M24" s="64" t="s">
        <v>43</v>
      </c>
      <c r="N24" s="65" t="s">
        <v>43</v>
      </c>
      <c r="O24" s="66" t="s">
        <v>43</v>
      </c>
      <c r="P24" s="67"/>
    </row>
    <row r="25" spans="1:16" s="28" customFormat="1" ht="24.75" customHeight="1" thickTop="1" x14ac:dyDescent="0.25">
      <c r="A25" s="68">
        <v>18630</v>
      </c>
      <c r="B25" s="69" t="s">
        <v>44</v>
      </c>
      <c r="C25" s="70">
        <f>F25</f>
        <v>2282</v>
      </c>
      <c r="D25" s="71">
        <v>2282</v>
      </c>
      <c r="E25" s="72"/>
      <c r="F25" s="73">
        <f t="shared" si="9"/>
        <v>2282</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6622</v>
      </c>
      <c r="D50" s="159">
        <f>SUM(D51,D286)</f>
        <v>6622</v>
      </c>
      <c r="E50" s="160">
        <f t="shared" ref="E50:F50" si="26">SUM(E51,E286)</f>
        <v>0</v>
      </c>
      <c r="F50" s="161">
        <f t="shared" si="26"/>
        <v>6622</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4340</v>
      </c>
      <c r="D51" s="165">
        <f>SUM(D52,D194)</f>
        <v>4340</v>
      </c>
      <c r="E51" s="166">
        <f t="shared" ref="E51:F51" si="30">SUM(E52,E194)</f>
        <v>0</v>
      </c>
      <c r="F51" s="167">
        <f t="shared" si="30"/>
        <v>4340</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2190</v>
      </c>
      <c r="D52" s="173">
        <f>SUM(D53,D75,D173,D187)</f>
        <v>2180</v>
      </c>
      <c r="E52" s="174">
        <f t="shared" ref="E52:F52" si="34">SUM(E53,E75,E173,E187)</f>
        <v>10</v>
      </c>
      <c r="F52" s="175">
        <f t="shared" si="34"/>
        <v>2190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37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2190</v>
      </c>
      <c r="D75" s="179">
        <f>SUM(D76,D83,D130,D164,D165,D172)</f>
        <v>2180</v>
      </c>
      <c r="E75" s="180">
        <f t="shared" ref="E75:F75" si="74">SUM(E76,E83,E130,E164,E165,E172)</f>
        <v>10</v>
      </c>
      <c r="F75" s="181">
        <f t="shared" si="74"/>
        <v>2190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94</v>
      </c>
      <c r="C76" s="70">
        <f t="shared" si="0"/>
        <v>1777</v>
      </c>
      <c r="D76" s="184">
        <f>SUM(D77,D80)</f>
        <v>1840</v>
      </c>
      <c r="E76" s="185">
        <f t="shared" ref="E76:F76" si="78">SUM(E77,E80)</f>
        <v>-63</v>
      </c>
      <c r="F76" s="73">
        <f t="shared" si="78"/>
        <v>1777</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N79+M79</f>
        <v>0</v>
      </c>
      <c r="P79" s="57"/>
    </row>
    <row r="80" spans="1:16" ht="24" x14ac:dyDescent="0.25">
      <c r="A80" s="189">
        <v>2120</v>
      </c>
      <c r="B80" s="89" t="s">
        <v>98</v>
      </c>
      <c r="C80" s="90">
        <f t="shared" si="0"/>
        <v>1777</v>
      </c>
      <c r="D80" s="190">
        <f>SUM(D81:D82)</f>
        <v>1840</v>
      </c>
      <c r="E80" s="191">
        <f t="shared" ref="E80:F80" si="90">SUM(E81:E82)</f>
        <v>-63</v>
      </c>
      <c r="F80" s="55">
        <f t="shared" si="90"/>
        <v>1777</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25.5" customHeight="1" x14ac:dyDescent="0.25">
      <c r="A81" s="51">
        <v>2121</v>
      </c>
      <c r="B81" s="89" t="s">
        <v>96</v>
      </c>
      <c r="C81" s="90">
        <f t="shared" si="0"/>
        <v>1472</v>
      </c>
      <c r="D81" s="196">
        <v>1840</v>
      </c>
      <c r="E81" s="197">
        <v>-368</v>
      </c>
      <c r="F81" s="55">
        <f t="shared" ref="F81:F82" si="94">D81+E81</f>
        <v>1472</v>
      </c>
      <c r="G81" s="53"/>
      <c r="H81" s="54"/>
      <c r="I81" s="55">
        <f t="shared" ref="I81:I82" si="95">G81+H81</f>
        <v>0</v>
      </c>
      <c r="J81" s="53"/>
      <c r="K81" s="54"/>
      <c r="L81" s="55">
        <f t="shared" ref="L81:L82" si="96">K81+J81</f>
        <v>0</v>
      </c>
      <c r="M81" s="53"/>
      <c r="N81" s="54"/>
      <c r="O81" s="55">
        <f t="shared" ref="O81:O82" si="97">N81+M81</f>
        <v>0</v>
      </c>
      <c r="P81" s="57" t="s">
        <v>1636</v>
      </c>
    </row>
    <row r="82" spans="1:16" ht="35.25" customHeight="1" x14ac:dyDescent="0.25">
      <c r="A82" s="51">
        <v>2122</v>
      </c>
      <c r="B82" s="89" t="s">
        <v>97</v>
      </c>
      <c r="C82" s="90">
        <f t="shared" si="0"/>
        <v>305</v>
      </c>
      <c r="D82" s="196"/>
      <c r="E82" s="197">
        <v>305</v>
      </c>
      <c r="F82" s="55">
        <f t="shared" si="94"/>
        <v>305</v>
      </c>
      <c r="G82" s="53"/>
      <c r="H82" s="54"/>
      <c r="I82" s="55">
        <f t="shared" si="95"/>
        <v>0</v>
      </c>
      <c r="J82" s="53"/>
      <c r="K82" s="54"/>
      <c r="L82" s="55">
        <f t="shared" si="96"/>
        <v>0</v>
      </c>
      <c r="M82" s="53"/>
      <c r="N82" s="54"/>
      <c r="O82" s="55">
        <f t="shared" si="97"/>
        <v>0</v>
      </c>
      <c r="P82" s="57" t="s">
        <v>1637</v>
      </c>
    </row>
    <row r="83" spans="1:16" x14ac:dyDescent="0.25">
      <c r="A83" s="69">
        <v>2200</v>
      </c>
      <c r="B83" s="183" t="s">
        <v>99</v>
      </c>
      <c r="C83" s="70">
        <f t="shared" si="0"/>
        <v>120</v>
      </c>
      <c r="D83" s="184">
        <f>SUM(D84,D89,D95,D103,D112,D116,D122,D128)</f>
        <v>120</v>
      </c>
      <c r="E83" s="185">
        <f t="shared" ref="E83:F83" si="98">SUM(E84,E89,E95,E103,E112,E116,E122,E128)</f>
        <v>0</v>
      </c>
      <c r="F83" s="73">
        <f t="shared" si="98"/>
        <v>120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120</v>
      </c>
      <c r="D95" s="190">
        <f>SUM(D96:D102)</f>
        <v>120</v>
      </c>
      <c r="E95" s="191">
        <f t="shared" ref="E95:F95" si="119">SUM(E96:E102)</f>
        <v>0</v>
      </c>
      <c r="F95" s="55">
        <f t="shared" si="119"/>
        <v>120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120</v>
      </c>
      <c r="D96" s="196">
        <v>120</v>
      </c>
      <c r="E96" s="197"/>
      <c r="F96" s="55">
        <f t="shared" ref="F96:F102" si="123">D96+E96</f>
        <v>120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293</v>
      </c>
      <c r="D130" s="184">
        <f>SUM(D131,D136,D140,D141,D144,D151,D159,D160,D163)</f>
        <v>220</v>
      </c>
      <c r="E130" s="185">
        <f t="shared" ref="E130:F130" si="160">SUM(E131,E136,E140,E141,E144,E151,E159,E160,E163)</f>
        <v>73</v>
      </c>
      <c r="F130" s="73">
        <f t="shared" si="160"/>
        <v>293</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293</v>
      </c>
      <c r="D131" s="194">
        <f t="shared" ref="D131:O131" si="164">SUM(D132:D135)</f>
        <v>220</v>
      </c>
      <c r="E131" s="195">
        <f t="shared" si="164"/>
        <v>73</v>
      </c>
      <c r="F131" s="134">
        <f t="shared" si="164"/>
        <v>293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5.5" customHeight="1" x14ac:dyDescent="0.25">
      <c r="A132" s="51">
        <v>2311</v>
      </c>
      <c r="B132" s="89" t="s">
        <v>148</v>
      </c>
      <c r="C132" s="90">
        <f t="shared" si="102"/>
        <v>220</v>
      </c>
      <c r="D132" s="196">
        <v>220</v>
      </c>
      <c r="E132" s="197"/>
      <c r="F132" s="55">
        <f t="shared" ref="F132:F135" si="165">D132+E132</f>
        <v>220</v>
      </c>
      <c r="G132" s="53"/>
      <c r="H132" s="54"/>
      <c r="I132" s="55">
        <f t="shared" ref="I132:I135" si="166">G132+H132</f>
        <v>0</v>
      </c>
      <c r="J132" s="53"/>
      <c r="K132" s="54"/>
      <c r="L132" s="55">
        <f t="shared" ref="L132:L135" si="167">K132+J132</f>
        <v>0</v>
      </c>
      <c r="M132" s="53"/>
      <c r="N132" s="54"/>
      <c r="O132" s="55">
        <f t="shared" ref="O132:O135" si="168">N132+M132</f>
        <v>0</v>
      </c>
      <c r="P132" s="57"/>
    </row>
    <row r="133" spans="1:16" ht="27.75" customHeight="1" x14ac:dyDescent="0.25">
      <c r="A133" s="51">
        <v>2312</v>
      </c>
      <c r="B133" s="89" t="s">
        <v>149</v>
      </c>
      <c r="C133" s="90">
        <f t="shared" si="102"/>
        <v>73</v>
      </c>
      <c r="D133" s="196"/>
      <c r="E133" s="197">
        <v>73</v>
      </c>
      <c r="F133" s="55">
        <f t="shared" si="165"/>
        <v>73</v>
      </c>
      <c r="G133" s="53"/>
      <c r="H133" s="54"/>
      <c r="I133" s="55">
        <f t="shared" si="166"/>
        <v>0</v>
      </c>
      <c r="J133" s="53"/>
      <c r="K133" s="54"/>
      <c r="L133" s="55">
        <f t="shared" si="167"/>
        <v>0</v>
      </c>
      <c r="M133" s="53"/>
      <c r="N133" s="54"/>
      <c r="O133" s="55">
        <f t="shared" si="168"/>
        <v>0</v>
      </c>
      <c r="P133" s="57" t="s">
        <v>1638</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2150</v>
      </c>
      <c r="D194" s="173">
        <f t="shared" ref="D194:O194" si="259">SUM(D195,D230,D269,D283)</f>
        <v>2160</v>
      </c>
      <c r="E194" s="174">
        <f t="shared" si="259"/>
        <v>-10</v>
      </c>
      <c r="F194" s="175">
        <f t="shared" si="259"/>
        <v>2150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2150</v>
      </c>
      <c r="D195" s="179">
        <f>D196+D204</f>
        <v>2160</v>
      </c>
      <c r="E195" s="180">
        <f t="shared" ref="E195:F195" si="260">E196+E204</f>
        <v>-10</v>
      </c>
      <c r="F195" s="181">
        <f t="shared" si="260"/>
        <v>2150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2150</v>
      </c>
      <c r="D204" s="184">
        <f>D205+D215+D216+D225+D226+D227+D229</f>
        <v>2160</v>
      </c>
      <c r="E204" s="185">
        <f t="shared" ref="E204:F204" si="276">E205+E215+E216+E225+E226+E227+E229</f>
        <v>-10</v>
      </c>
      <c r="F204" s="73">
        <f t="shared" si="276"/>
        <v>2150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2150</v>
      </c>
      <c r="D216" s="190">
        <f>SUM(D217:D224)</f>
        <v>2160</v>
      </c>
      <c r="E216" s="191">
        <f t="shared" ref="E216:F216" si="289">SUM(E217:E224)</f>
        <v>-10</v>
      </c>
      <c r="F216" s="55">
        <f t="shared" si="289"/>
        <v>2150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38.25" customHeight="1" x14ac:dyDescent="0.25">
      <c r="A223" s="51">
        <v>5238</v>
      </c>
      <c r="B223" s="89" t="s">
        <v>239</v>
      </c>
      <c r="C223" s="90">
        <f t="shared" si="288"/>
        <v>2150</v>
      </c>
      <c r="D223" s="196">
        <v>2160</v>
      </c>
      <c r="E223" s="197">
        <v>-10</v>
      </c>
      <c r="F223" s="55">
        <f t="shared" si="293"/>
        <v>2150</v>
      </c>
      <c r="G223" s="53"/>
      <c r="H223" s="54"/>
      <c r="I223" s="55">
        <f t="shared" si="294"/>
        <v>0</v>
      </c>
      <c r="J223" s="53"/>
      <c r="K223" s="54"/>
      <c r="L223" s="55">
        <f t="shared" si="295"/>
        <v>0</v>
      </c>
      <c r="M223" s="53"/>
      <c r="N223" s="54"/>
      <c r="O223" s="55">
        <f t="shared" si="296"/>
        <v>0</v>
      </c>
      <c r="P223" s="57" t="s">
        <v>1639</v>
      </c>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2282</v>
      </c>
      <c r="D286" s="190">
        <f>SUM(D287:D288)</f>
        <v>2282</v>
      </c>
      <c r="E286" s="191">
        <f t="shared" ref="E286:F286" si="381">SUM(E287:E288)</f>
        <v>0</v>
      </c>
      <c r="F286" s="55">
        <f t="shared" si="381"/>
        <v>2282</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2282</v>
      </c>
      <c r="D288" s="199">
        <v>2282</v>
      </c>
      <c r="E288" s="200"/>
      <c r="F288" s="134">
        <f t="shared" si="385"/>
        <v>2282</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6622</v>
      </c>
      <c r="D289" s="252">
        <f t="shared" ref="D289:O289" si="389">SUM(D286,D269,D230,D195,D187,D173,D75,D53,D283)</f>
        <v>6622</v>
      </c>
      <c r="E289" s="253">
        <f t="shared" si="389"/>
        <v>0</v>
      </c>
      <c r="F289" s="254">
        <f t="shared" si="389"/>
        <v>6622</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224</v>
      </c>
      <c r="D290" s="257">
        <f>SUM(D24,D25,D41)-D51</f>
        <v>224</v>
      </c>
      <c r="E290" s="258">
        <f t="shared" ref="E290:F290" si="390">SUM(E24,E25,E41)-E51</f>
        <v>0</v>
      </c>
      <c r="F290" s="259">
        <f t="shared" si="390"/>
        <v>224</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-224</v>
      </c>
      <c r="D291" s="262">
        <f t="shared" ref="D291:O291" si="394">SUM(D292,D293)-D300+D301</f>
        <v>-224</v>
      </c>
      <c r="E291" s="263">
        <f t="shared" si="394"/>
        <v>0</v>
      </c>
      <c r="F291" s="264">
        <f t="shared" si="394"/>
        <v>-224</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-224</v>
      </c>
      <c r="D292" s="159">
        <f t="shared" ref="D292:O292" si="395">D21-D286</f>
        <v>-224</v>
      </c>
      <c r="E292" s="160">
        <f t="shared" si="395"/>
        <v>0</v>
      </c>
      <c r="F292" s="161">
        <f t="shared" si="395"/>
        <v>-224</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hidden="1" thickTop="1" x14ac:dyDescent="0.25">
      <c r="A302" s="1377"/>
      <c r="B302" s="1378"/>
      <c r="C302" s="1378"/>
      <c r="D302" s="1378"/>
      <c r="E302" s="1378"/>
      <c r="F302" s="1378"/>
      <c r="G302" s="1378"/>
      <c r="H302" s="1378"/>
      <c r="I302" s="1378"/>
      <c r="J302" s="1378"/>
      <c r="K302" s="1378"/>
      <c r="L302" s="1378"/>
      <c r="M302" s="1378"/>
      <c r="N302" s="1378"/>
      <c r="O302" s="1378"/>
      <c r="P302" s="1379"/>
    </row>
    <row r="303" spans="1:16" ht="12.75" thickTop="1"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WEXMyZl5Ho+P+E3ct3pI6nV+WT7Z5/jStY/ppz5+X5IiOfm10J4VG09QpjBvq8nOK1XxVZV9YvB1Mb4PyLvWhg==" saltValue="sNIPnWzCj5DSI49aPUCFgw==" spinCount="100000" sheet="1" objects="1" scenarios="1" formatCells="0" formatColumns="0" formatRows="0" deleteColumns="0"/>
  <autoFilter ref="A18:P301">
    <filterColumn colId="2">
      <filters>
        <filter val="1 472"/>
        <filter val="1 777"/>
        <filter val="120"/>
        <filter val="2 058"/>
        <filter val="2 150"/>
        <filter val="2 190"/>
        <filter val="2 282"/>
        <filter val="220"/>
        <filter val="224"/>
        <filter val="-224"/>
        <filter val="293"/>
        <filter val="305"/>
        <filter val="4 340"/>
        <filter val="6 622"/>
        <filter val="73"/>
      </filters>
    </filterColumn>
  </autoFilter>
  <mergeCells count="31">
    <mergeCell ref="C7:P7"/>
    <mergeCell ref="A2:P2"/>
    <mergeCell ref="C3:P3"/>
    <mergeCell ref="C4:P4"/>
    <mergeCell ref="C5:P5"/>
    <mergeCell ref="C6:P6"/>
    <mergeCell ref="C14:P14"/>
    <mergeCell ref="P16:P17"/>
    <mergeCell ref="M16:M17"/>
    <mergeCell ref="N16:N17"/>
    <mergeCell ref="O16:O17"/>
    <mergeCell ref="C9:P9"/>
    <mergeCell ref="C10:P10"/>
    <mergeCell ref="C11:P11"/>
    <mergeCell ref="C12:P12"/>
    <mergeCell ref="C13:P13"/>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68.pielikums Jūrmalas pilsētas domes
2019.gada 31.oktobra saistošajiem noteikumiem Nr.46
(protokols Nr.14, 28.punkts) </firstHeader>
    <firstFooter>&amp;L&amp;9&amp;D; &amp;T&amp;R&amp;9&amp;P (&amp;N)</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2" sqref="U2"/>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1842</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1843</v>
      </c>
      <c r="D3" s="1517"/>
      <c r="E3" s="1517"/>
      <c r="F3" s="1517"/>
      <c r="G3" s="1517"/>
      <c r="H3" s="1517"/>
      <c r="I3" s="1517"/>
      <c r="J3" s="1517"/>
      <c r="K3" s="1517"/>
      <c r="L3" s="1517"/>
      <c r="M3" s="1517"/>
      <c r="N3" s="1517"/>
      <c r="O3" s="1517"/>
      <c r="P3" s="1518"/>
      <c r="Q3" s="277"/>
    </row>
    <row r="4" spans="1:17" ht="12.75" customHeight="1" x14ac:dyDescent="0.25">
      <c r="A4" s="5" t="s">
        <v>4</v>
      </c>
      <c r="B4" s="6"/>
      <c r="C4" s="1517" t="s">
        <v>1844</v>
      </c>
      <c r="D4" s="1517"/>
      <c r="E4" s="1517"/>
      <c r="F4" s="1517"/>
      <c r="G4" s="1517"/>
      <c r="H4" s="1517"/>
      <c r="I4" s="1517"/>
      <c r="J4" s="1517"/>
      <c r="K4" s="1517"/>
      <c r="L4" s="1517"/>
      <c r="M4" s="1517"/>
      <c r="N4" s="1517"/>
      <c r="O4" s="1517"/>
      <c r="P4" s="1518"/>
      <c r="Q4" s="277"/>
    </row>
    <row r="5" spans="1:17" ht="12.75" customHeight="1" x14ac:dyDescent="0.25">
      <c r="A5" s="7" t="s">
        <v>6</v>
      </c>
      <c r="B5" s="8"/>
      <c r="C5" s="1512" t="s">
        <v>1845</v>
      </c>
      <c r="D5" s="1512"/>
      <c r="E5" s="1512"/>
      <c r="F5" s="1512"/>
      <c r="G5" s="1512"/>
      <c r="H5" s="1512"/>
      <c r="I5" s="1512"/>
      <c r="J5" s="1512"/>
      <c r="K5" s="1512"/>
      <c r="L5" s="1512"/>
      <c r="M5" s="1512"/>
      <c r="N5" s="1512"/>
      <c r="O5" s="1512"/>
      <c r="P5" s="1513"/>
      <c r="Q5" s="277"/>
    </row>
    <row r="6" spans="1:17" ht="12.75" customHeight="1" x14ac:dyDescent="0.25">
      <c r="A6" s="7" t="s">
        <v>8</v>
      </c>
      <c r="B6" s="8"/>
      <c r="C6" s="1790" t="s">
        <v>1492</v>
      </c>
      <c r="D6" s="1512"/>
      <c r="E6" s="1512"/>
      <c r="F6" s="1512"/>
      <c r="G6" s="1512"/>
      <c r="H6" s="1512"/>
      <c r="I6" s="1512"/>
      <c r="J6" s="1512"/>
      <c r="K6" s="1512"/>
      <c r="L6" s="1512"/>
      <c r="M6" s="1512"/>
      <c r="N6" s="1512"/>
      <c r="O6" s="1512"/>
      <c r="P6" s="1513"/>
      <c r="Q6" s="277"/>
    </row>
    <row r="7" spans="1:17" ht="26.25" customHeight="1" x14ac:dyDescent="0.25">
      <c r="A7" s="7" t="s">
        <v>10</v>
      </c>
      <c r="B7" s="8"/>
      <c r="C7" s="1517" t="s">
        <v>1604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750" t="s">
        <v>1846</v>
      </c>
      <c r="D9" s="1750"/>
      <c r="E9" s="1750"/>
      <c r="F9" s="1750"/>
      <c r="G9" s="1750"/>
      <c r="H9" s="1750"/>
      <c r="I9" s="1750"/>
      <c r="J9" s="1750"/>
      <c r="K9" s="1750"/>
      <c r="L9" s="1750"/>
      <c r="M9" s="1750"/>
      <c r="N9" s="1750"/>
      <c r="O9" s="1750"/>
      <c r="P9" s="1751"/>
      <c r="Q9" s="277"/>
    </row>
    <row r="10" spans="1:17" ht="12.75" customHeight="1" x14ac:dyDescent="0.25">
      <c r="A10" s="7"/>
      <c r="B10" s="8" t="s">
        <v>15</v>
      </c>
      <c r="C10" s="1519" t="s">
        <v>1847</v>
      </c>
      <c r="D10" s="1519"/>
      <c r="E10" s="1519"/>
      <c r="F10" s="1519"/>
      <c r="G10" s="1519"/>
      <c r="H10" s="1519"/>
      <c r="I10" s="1519"/>
      <c r="J10" s="1519"/>
      <c r="K10" s="1519"/>
      <c r="L10" s="1519"/>
      <c r="M10" s="1519"/>
      <c r="N10" s="1519"/>
      <c r="O10" s="1519"/>
      <c r="P10" s="1520"/>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1848</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424759</v>
      </c>
      <c r="D20" s="32">
        <f>SUM(D21,D24,D25,D41,D43)</f>
        <v>402627</v>
      </c>
      <c r="E20" s="33">
        <f t="shared" ref="E20:F20" si="1">SUM(E21,E24,E25,E41,E43)</f>
        <v>0</v>
      </c>
      <c r="F20" s="34">
        <f t="shared" si="1"/>
        <v>402627</v>
      </c>
      <c r="G20" s="32">
        <f>SUM(G21,G24,G43)</f>
        <v>25935</v>
      </c>
      <c r="H20" s="33">
        <f t="shared" ref="H20:I20" si="2">SUM(H21,H24,H43)</f>
        <v>-3879</v>
      </c>
      <c r="I20" s="34">
        <f t="shared" si="2"/>
        <v>22056</v>
      </c>
      <c r="J20" s="32">
        <f>SUM(J21,J26,J43)</f>
        <v>76</v>
      </c>
      <c r="K20" s="33">
        <f t="shared" ref="K20:L20" si="3">SUM(K21,K26,K43)</f>
        <v>0</v>
      </c>
      <c r="L20" s="34">
        <f t="shared" si="3"/>
        <v>76</v>
      </c>
      <c r="M20" s="32">
        <f>SUM(M21,M45)</f>
        <v>0</v>
      </c>
      <c r="N20" s="33">
        <f t="shared" ref="N20:O20" si="4">SUM(N21,N45)</f>
        <v>0</v>
      </c>
      <c r="O20" s="34">
        <f t="shared" si="4"/>
        <v>0</v>
      </c>
      <c r="P20" s="35"/>
    </row>
    <row r="21" spans="1:16" ht="12.75" thickTop="1" x14ac:dyDescent="0.25">
      <c r="A21" s="36"/>
      <c r="B21" s="37" t="s">
        <v>39</v>
      </c>
      <c r="C21" s="38">
        <f t="shared" si="0"/>
        <v>76</v>
      </c>
      <c r="D21" s="39">
        <f>SUM(D22:D23)</f>
        <v>0</v>
      </c>
      <c r="E21" s="40">
        <f t="shared" ref="E21:F21" si="5">SUM(E22:E23)</f>
        <v>0</v>
      </c>
      <c r="F21" s="41">
        <f t="shared" si="5"/>
        <v>0</v>
      </c>
      <c r="G21" s="39">
        <f>SUM(G22:G23)</f>
        <v>0</v>
      </c>
      <c r="H21" s="40">
        <f t="shared" ref="H21:I21" si="6">SUM(H22:H23)</f>
        <v>0</v>
      </c>
      <c r="I21" s="41">
        <f t="shared" si="6"/>
        <v>0</v>
      </c>
      <c r="J21" s="39">
        <f>SUM(J22:J23)</f>
        <v>76</v>
      </c>
      <c r="K21" s="40">
        <f t="shared" ref="K21:L21" si="7">SUM(K22:K23)</f>
        <v>0</v>
      </c>
      <c r="L21" s="41">
        <f t="shared" si="7"/>
        <v>76</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9.5" customHeight="1" x14ac:dyDescent="0.25">
      <c r="A23" s="50"/>
      <c r="B23" s="51" t="s">
        <v>41</v>
      </c>
      <c r="C23" s="52">
        <f t="shared" si="0"/>
        <v>76</v>
      </c>
      <c r="D23" s="53"/>
      <c r="E23" s="54"/>
      <c r="F23" s="55">
        <f t="shared" ref="F23:F25" si="9">D23+E23</f>
        <v>0</v>
      </c>
      <c r="G23" s="53"/>
      <c r="H23" s="54"/>
      <c r="I23" s="55">
        <f t="shared" ref="I23:I24" si="10">G23+H23</f>
        <v>0</v>
      </c>
      <c r="J23" s="53">
        <v>76</v>
      </c>
      <c r="K23" s="54"/>
      <c r="L23" s="56">
        <f>K23+J23</f>
        <v>76</v>
      </c>
      <c r="M23" s="53"/>
      <c r="N23" s="54"/>
      <c r="O23" s="55">
        <f>N23+M23</f>
        <v>0</v>
      </c>
      <c r="P23" s="601"/>
    </row>
    <row r="24" spans="1:16" s="28" customFormat="1" ht="36" customHeight="1" thickBot="1" x14ac:dyDescent="0.3">
      <c r="A24" s="58">
        <v>19300</v>
      </c>
      <c r="B24" s="58" t="s">
        <v>42</v>
      </c>
      <c r="C24" s="59">
        <f>F24+I24</f>
        <v>424683</v>
      </c>
      <c r="D24" s="1440">
        <f>D50</f>
        <v>402627</v>
      </c>
      <c r="E24" s="63"/>
      <c r="F24" s="62">
        <f t="shared" si="9"/>
        <v>402627</v>
      </c>
      <c r="G24" s="60">
        <f>G50</f>
        <v>25935</v>
      </c>
      <c r="H24" s="63">
        <f>-3907+28</f>
        <v>-3879</v>
      </c>
      <c r="I24" s="62">
        <f t="shared" si="10"/>
        <v>22056</v>
      </c>
      <c r="J24" s="64" t="s">
        <v>43</v>
      </c>
      <c r="K24" s="65" t="s">
        <v>43</v>
      </c>
      <c r="L24" s="66" t="s">
        <v>43</v>
      </c>
      <c r="M24" s="64" t="s">
        <v>43</v>
      </c>
      <c r="N24" s="65" t="s">
        <v>43</v>
      </c>
      <c r="O24" s="66" t="s">
        <v>43</v>
      </c>
      <c r="P24" s="67" t="s">
        <v>1849</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424759</v>
      </c>
      <c r="D50" s="159">
        <f>SUM(D51,D286)</f>
        <v>402627</v>
      </c>
      <c r="E50" s="160">
        <f t="shared" ref="E50:F50" si="26">SUM(E51,E286)</f>
        <v>0</v>
      </c>
      <c r="F50" s="161">
        <f t="shared" si="26"/>
        <v>402627</v>
      </c>
      <c r="G50" s="159">
        <f>SUM(G51,G286)</f>
        <v>25935</v>
      </c>
      <c r="H50" s="160">
        <f>SUM(H51,H286)</f>
        <v>-3879</v>
      </c>
      <c r="I50" s="161">
        <f t="shared" ref="I50" si="27">SUM(I51,I286)</f>
        <v>22056</v>
      </c>
      <c r="J50" s="32">
        <f>SUM(J51,J286)</f>
        <v>76</v>
      </c>
      <c r="K50" s="33">
        <f t="shared" ref="K50:L50" si="28">SUM(K51,K286)</f>
        <v>0</v>
      </c>
      <c r="L50" s="34">
        <f t="shared" si="28"/>
        <v>76</v>
      </c>
      <c r="M50" s="32">
        <f>SUM(M51,M286)</f>
        <v>0</v>
      </c>
      <c r="N50" s="33">
        <f t="shared" ref="N50:O50" si="29">SUM(N51,N286)</f>
        <v>0</v>
      </c>
      <c r="O50" s="34">
        <f t="shared" si="29"/>
        <v>0</v>
      </c>
      <c r="P50" s="35"/>
    </row>
    <row r="51" spans="1:16" s="28" customFormat="1" ht="36.75" thickTop="1" x14ac:dyDescent="0.25">
      <c r="A51" s="162"/>
      <c r="B51" s="163" t="s">
        <v>69</v>
      </c>
      <c r="C51" s="164">
        <f t="shared" si="0"/>
        <v>424759</v>
      </c>
      <c r="D51" s="165">
        <f>SUM(D52,D194)</f>
        <v>402627</v>
      </c>
      <c r="E51" s="166">
        <f t="shared" ref="E51:F51" si="30">SUM(E52,E194)</f>
        <v>0</v>
      </c>
      <c r="F51" s="167">
        <f t="shared" si="30"/>
        <v>402627</v>
      </c>
      <c r="G51" s="165">
        <f>SUM(G52,G194)</f>
        <v>25935</v>
      </c>
      <c r="H51" s="166">
        <f t="shared" ref="H51:I51" si="31">SUM(H52,H194)</f>
        <v>-3879</v>
      </c>
      <c r="I51" s="167">
        <f t="shared" si="31"/>
        <v>22056</v>
      </c>
      <c r="J51" s="168">
        <f>SUM(J52,J194)</f>
        <v>76</v>
      </c>
      <c r="K51" s="169">
        <f t="shared" ref="K51:L51" si="32">SUM(K52,K194)</f>
        <v>0</v>
      </c>
      <c r="L51" s="170">
        <f t="shared" si="32"/>
        <v>76</v>
      </c>
      <c r="M51" s="168">
        <f>SUM(M52,M194)</f>
        <v>0</v>
      </c>
      <c r="N51" s="169">
        <f t="shared" ref="N51:O51" si="33">SUM(N52,N194)</f>
        <v>0</v>
      </c>
      <c r="O51" s="170">
        <f t="shared" si="33"/>
        <v>0</v>
      </c>
      <c r="P51" s="171"/>
    </row>
    <row r="52" spans="1:16" s="28" customFormat="1" ht="24" x14ac:dyDescent="0.25">
      <c r="A52" s="24"/>
      <c r="B52" s="22" t="s">
        <v>70</v>
      </c>
      <c r="C52" s="172">
        <f t="shared" si="0"/>
        <v>422009</v>
      </c>
      <c r="D52" s="173">
        <f>SUM(D53,D75,D173,D187)</f>
        <v>400027</v>
      </c>
      <c r="E52" s="174">
        <f t="shared" ref="E52:F52" si="34">SUM(E53,E75,E173,E187)</f>
        <v>0</v>
      </c>
      <c r="F52" s="175">
        <f t="shared" si="34"/>
        <v>400027</v>
      </c>
      <c r="G52" s="173">
        <f>SUM(G53,G75,G173,G187)</f>
        <v>25785</v>
      </c>
      <c r="H52" s="174">
        <f t="shared" ref="H52:I52" si="35">SUM(H53,H75,H173,H187)</f>
        <v>-3879</v>
      </c>
      <c r="I52" s="175">
        <f t="shared" si="35"/>
        <v>21906</v>
      </c>
      <c r="J52" s="173">
        <f>SUM(J53,J75,J173,J187)</f>
        <v>76</v>
      </c>
      <c r="K52" s="174">
        <f t="shared" ref="K52:L52" si="36">SUM(K53,K75,K173,K187)</f>
        <v>0</v>
      </c>
      <c r="L52" s="175">
        <f t="shared" si="36"/>
        <v>76</v>
      </c>
      <c r="M52" s="173">
        <f>SUM(M53,M75,M173,M187)</f>
        <v>0</v>
      </c>
      <c r="N52" s="174">
        <f t="shared" ref="N52:O52" si="37">SUM(N53,N75,N173,N187)</f>
        <v>0</v>
      </c>
      <c r="O52" s="175">
        <f t="shared" si="37"/>
        <v>0</v>
      </c>
      <c r="P52" s="176"/>
    </row>
    <row r="53" spans="1:16" s="28" customFormat="1" x14ac:dyDescent="0.25">
      <c r="A53" s="177">
        <v>1000</v>
      </c>
      <c r="B53" s="177" t="s">
        <v>71</v>
      </c>
      <c r="C53" s="178">
        <f t="shared" si="0"/>
        <v>388508</v>
      </c>
      <c r="D53" s="179">
        <f>SUM(D54,D67)</f>
        <v>367060</v>
      </c>
      <c r="E53" s="180">
        <f t="shared" ref="E53:F53" si="38">SUM(E54,E67)</f>
        <v>0</v>
      </c>
      <c r="F53" s="181">
        <f t="shared" si="38"/>
        <v>367060</v>
      </c>
      <c r="G53" s="179">
        <f>SUM(G54,G67)</f>
        <v>25327</v>
      </c>
      <c r="H53" s="180">
        <f t="shared" ref="H53:I53" si="39">SUM(H54,H67)</f>
        <v>-3879</v>
      </c>
      <c r="I53" s="181">
        <f t="shared" si="39"/>
        <v>21448</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292278</v>
      </c>
      <c r="D54" s="184">
        <f>SUM(D55,D58,D66)</f>
        <v>275545</v>
      </c>
      <c r="E54" s="185">
        <f t="shared" ref="E54:F54" si="42">SUM(E55,E58,E66)</f>
        <v>0</v>
      </c>
      <c r="F54" s="73">
        <f t="shared" si="42"/>
        <v>275545</v>
      </c>
      <c r="G54" s="184">
        <f>SUM(G55,G58,G66)</f>
        <v>20072</v>
      </c>
      <c r="H54" s="185">
        <f t="shared" ref="H54:I54" si="43">SUM(H55,H58,H66)</f>
        <v>-3339</v>
      </c>
      <c r="I54" s="73">
        <f t="shared" si="43"/>
        <v>16733</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263493</v>
      </c>
      <c r="D55" s="187">
        <f>SUM(D56:D57)</f>
        <v>247205</v>
      </c>
      <c r="E55" s="188">
        <f t="shared" ref="E55:F55" si="46">SUM(E56:E57)</f>
        <v>0</v>
      </c>
      <c r="F55" s="141">
        <f t="shared" si="46"/>
        <v>247205</v>
      </c>
      <c r="G55" s="187">
        <f>SUM(G56:G57)</f>
        <v>19212</v>
      </c>
      <c r="H55" s="188">
        <f t="shared" ref="H55:I55" si="47">SUM(H56:H57)</f>
        <v>-2924</v>
      </c>
      <c r="I55" s="141">
        <f t="shared" si="47"/>
        <v>16288</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3.75" customHeight="1" x14ac:dyDescent="0.25">
      <c r="A57" s="51">
        <v>1119</v>
      </c>
      <c r="B57" s="89" t="s">
        <v>75</v>
      </c>
      <c r="C57" s="90">
        <f t="shared" si="0"/>
        <v>263493</v>
      </c>
      <c r="D57" s="53">
        <v>247205</v>
      </c>
      <c r="E57" s="54"/>
      <c r="F57" s="55">
        <f t="shared" si="50"/>
        <v>247205</v>
      </c>
      <c r="G57" s="53">
        <v>19212</v>
      </c>
      <c r="H57" s="54">
        <f>-3036+37+28+47</f>
        <v>-2924</v>
      </c>
      <c r="I57" s="55">
        <f t="shared" si="51"/>
        <v>16288</v>
      </c>
      <c r="J57" s="53"/>
      <c r="K57" s="54"/>
      <c r="L57" s="55">
        <f t="shared" si="52"/>
        <v>0</v>
      </c>
      <c r="M57" s="53"/>
      <c r="N57" s="54"/>
      <c r="O57" s="55">
        <f t="shared" si="53"/>
        <v>0</v>
      </c>
      <c r="P57" s="129" t="s">
        <v>1850</v>
      </c>
    </row>
    <row r="58" spans="1:16" x14ac:dyDescent="0.25">
      <c r="A58" s="189">
        <v>1140</v>
      </c>
      <c r="B58" s="89" t="s">
        <v>76</v>
      </c>
      <c r="C58" s="90">
        <f t="shared" si="0"/>
        <v>24465</v>
      </c>
      <c r="D58" s="190">
        <f>SUM(D59:D65)</f>
        <v>24017</v>
      </c>
      <c r="E58" s="191">
        <f>SUM(E59:E65)</f>
        <v>3</v>
      </c>
      <c r="F58" s="55">
        <f t="shared" ref="F58" si="54">SUM(F59:F65)</f>
        <v>24020</v>
      </c>
      <c r="G58" s="190">
        <f>SUM(G59:G65)</f>
        <v>860</v>
      </c>
      <c r="H58" s="191">
        <f t="shared" ref="H58:I58" si="55">SUM(H59:H65)</f>
        <v>-415</v>
      </c>
      <c r="I58" s="55">
        <f t="shared" si="55"/>
        <v>445</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7" customHeight="1" x14ac:dyDescent="0.25">
      <c r="A60" s="51">
        <v>1142</v>
      </c>
      <c r="B60" s="89" t="s">
        <v>78</v>
      </c>
      <c r="C60" s="90">
        <f t="shared" si="0"/>
        <v>1032</v>
      </c>
      <c r="D60" s="53">
        <v>1029</v>
      </c>
      <c r="E60" s="54">
        <v>3</v>
      </c>
      <c r="F60" s="55">
        <f t="shared" si="58"/>
        <v>1032</v>
      </c>
      <c r="G60" s="53"/>
      <c r="H60" s="54"/>
      <c r="I60" s="55">
        <f t="shared" si="59"/>
        <v>0</v>
      </c>
      <c r="J60" s="53"/>
      <c r="K60" s="54"/>
      <c r="L60" s="55">
        <f t="shared" si="60"/>
        <v>0</v>
      </c>
      <c r="M60" s="53"/>
      <c r="N60" s="54"/>
      <c r="O60" s="55">
        <f t="shared" si="61"/>
        <v>0</v>
      </c>
      <c r="P60" s="129" t="s">
        <v>1851</v>
      </c>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1.75" customHeight="1" x14ac:dyDescent="0.25">
      <c r="A63" s="51">
        <v>1147</v>
      </c>
      <c r="B63" s="89" t="s">
        <v>81</v>
      </c>
      <c r="C63" s="90">
        <f t="shared" si="0"/>
        <v>3173</v>
      </c>
      <c r="D63" s="53">
        <v>2890</v>
      </c>
      <c r="E63" s="54"/>
      <c r="F63" s="55">
        <f t="shared" si="58"/>
        <v>2890</v>
      </c>
      <c r="G63" s="53">
        <v>320</v>
      </c>
      <c r="H63" s="54">
        <f>28-65</f>
        <v>-37</v>
      </c>
      <c r="I63" s="55">
        <f t="shared" si="59"/>
        <v>283</v>
      </c>
      <c r="J63" s="53"/>
      <c r="K63" s="54"/>
      <c r="L63" s="55">
        <f t="shared" si="60"/>
        <v>0</v>
      </c>
      <c r="M63" s="53"/>
      <c r="N63" s="54"/>
      <c r="O63" s="55">
        <f t="shared" si="61"/>
        <v>0</v>
      </c>
      <c r="P63" s="57" t="s">
        <v>1852</v>
      </c>
    </row>
    <row r="64" spans="1:16" ht="21.75" customHeight="1" x14ac:dyDescent="0.25">
      <c r="A64" s="51">
        <v>1148</v>
      </c>
      <c r="B64" s="89" t="s">
        <v>82</v>
      </c>
      <c r="C64" s="90">
        <f t="shared" si="0"/>
        <v>14468</v>
      </c>
      <c r="D64" s="53">
        <v>14468</v>
      </c>
      <c r="E64" s="54"/>
      <c r="F64" s="55">
        <f t="shared" si="58"/>
        <v>14468</v>
      </c>
      <c r="G64" s="53"/>
      <c r="H64" s="54"/>
      <c r="I64" s="55">
        <f t="shared" si="59"/>
        <v>0</v>
      </c>
      <c r="J64" s="53"/>
      <c r="K64" s="54"/>
      <c r="L64" s="55">
        <f t="shared" si="60"/>
        <v>0</v>
      </c>
      <c r="M64" s="53"/>
      <c r="N64" s="54"/>
      <c r="O64" s="55">
        <f t="shared" si="61"/>
        <v>0</v>
      </c>
      <c r="P64" s="57"/>
    </row>
    <row r="65" spans="1:16" ht="36.75" customHeight="1" x14ac:dyDescent="0.25">
      <c r="A65" s="51">
        <v>1149</v>
      </c>
      <c r="B65" s="89" t="s">
        <v>83</v>
      </c>
      <c r="C65" s="90">
        <f t="shared" si="0"/>
        <v>1620</v>
      </c>
      <c r="D65" s="53">
        <v>1458</v>
      </c>
      <c r="E65" s="54"/>
      <c r="F65" s="55">
        <f t="shared" si="58"/>
        <v>1458</v>
      </c>
      <c r="G65" s="53">
        <v>540</v>
      </c>
      <c r="H65" s="54">
        <f>-180-(198-151)-151</f>
        <v>-378</v>
      </c>
      <c r="I65" s="55">
        <f t="shared" si="59"/>
        <v>162</v>
      </c>
      <c r="J65" s="53"/>
      <c r="K65" s="54"/>
      <c r="L65" s="55">
        <f t="shared" si="60"/>
        <v>0</v>
      </c>
      <c r="M65" s="53"/>
      <c r="N65" s="54"/>
      <c r="O65" s="55">
        <f t="shared" si="61"/>
        <v>0</v>
      </c>
      <c r="P65" s="129" t="s">
        <v>1853</v>
      </c>
    </row>
    <row r="66" spans="1:16" ht="44.25" customHeight="1" x14ac:dyDescent="0.25">
      <c r="A66" s="186">
        <v>1150</v>
      </c>
      <c r="B66" s="138" t="s">
        <v>84</v>
      </c>
      <c r="C66" s="143">
        <f t="shared" si="0"/>
        <v>4320</v>
      </c>
      <c r="D66" s="144">
        <v>4323</v>
      </c>
      <c r="E66" s="145">
        <v>-3</v>
      </c>
      <c r="F66" s="141">
        <f t="shared" si="58"/>
        <v>4320</v>
      </c>
      <c r="G66" s="144"/>
      <c r="H66" s="145"/>
      <c r="I66" s="141">
        <f t="shared" si="59"/>
        <v>0</v>
      </c>
      <c r="J66" s="144"/>
      <c r="K66" s="145"/>
      <c r="L66" s="141">
        <f t="shared" si="60"/>
        <v>0</v>
      </c>
      <c r="M66" s="144"/>
      <c r="N66" s="145"/>
      <c r="O66" s="141">
        <f t="shared" si="61"/>
        <v>0</v>
      </c>
      <c r="P66" s="129" t="s">
        <v>1854</v>
      </c>
    </row>
    <row r="67" spans="1:16" ht="24" x14ac:dyDescent="0.25">
      <c r="A67" s="69">
        <v>1200</v>
      </c>
      <c r="B67" s="183" t="s">
        <v>85</v>
      </c>
      <c r="C67" s="70">
        <f t="shared" si="0"/>
        <v>96230</v>
      </c>
      <c r="D67" s="184">
        <f>SUM(D68:D69)</f>
        <v>91515</v>
      </c>
      <c r="E67" s="185">
        <f t="shared" ref="E67:F67" si="62">SUM(E68:E69)</f>
        <v>0</v>
      </c>
      <c r="F67" s="73">
        <f t="shared" si="62"/>
        <v>91515</v>
      </c>
      <c r="G67" s="184">
        <f>SUM(G68:G69)</f>
        <v>5255</v>
      </c>
      <c r="H67" s="185">
        <f t="shared" ref="H67:I67" si="63">SUM(H68:H69)</f>
        <v>-540</v>
      </c>
      <c r="I67" s="73">
        <f t="shared" si="63"/>
        <v>4715</v>
      </c>
      <c r="J67" s="184">
        <f>SUM(J68:J69)</f>
        <v>0</v>
      </c>
      <c r="K67" s="185">
        <f t="shared" ref="K67:L67" si="64">SUM(K68:K69)</f>
        <v>0</v>
      </c>
      <c r="L67" s="73">
        <f t="shared" si="64"/>
        <v>0</v>
      </c>
      <c r="M67" s="184">
        <f>SUM(M68:M69)</f>
        <v>0</v>
      </c>
      <c r="N67" s="185">
        <f t="shared" ref="N67:O67" si="65">SUM(N68:N69)</f>
        <v>0</v>
      </c>
      <c r="O67" s="73">
        <f t="shared" si="65"/>
        <v>0</v>
      </c>
      <c r="P67" s="77"/>
    </row>
    <row r="68" spans="1:16" ht="38.25" customHeight="1" x14ac:dyDescent="0.25">
      <c r="A68" s="1373">
        <v>1210</v>
      </c>
      <c r="B68" s="82" t="s">
        <v>86</v>
      </c>
      <c r="C68" s="83">
        <f t="shared" si="0"/>
        <v>73875</v>
      </c>
      <c r="D68" s="46">
        <v>69711</v>
      </c>
      <c r="E68" s="47"/>
      <c r="F68" s="134">
        <f>D68+E68</f>
        <v>69711</v>
      </c>
      <c r="G68" s="46">
        <v>4855</v>
      </c>
      <c r="H68" s="47">
        <v>-691</v>
      </c>
      <c r="I68" s="134">
        <f>G68+H68</f>
        <v>4164</v>
      </c>
      <c r="J68" s="46"/>
      <c r="K68" s="47"/>
      <c r="L68" s="134">
        <f>K68+J68</f>
        <v>0</v>
      </c>
      <c r="M68" s="46"/>
      <c r="N68" s="47"/>
      <c r="O68" s="134">
        <f>N68+M68</f>
        <v>0</v>
      </c>
      <c r="P68" s="49" t="s">
        <v>1855</v>
      </c>
    </row>
    <row r="69" spans="1:16" ht="24" x14ac:dyDescent="0.25">
      <c r="A69" s="189">
        <v>1220</v>
      </c>
      <c r="B69" s="89" t="s">
        <v>87</v>
      </c>
      <c r="C69" s="90">
        <f t="shared" si="0"/>
        <v>22355</v>
      </c>
      <c r="D69" s="190">
        <f>SUM(D70:D74)</f>
        <v>21804</v>
      </c>
      <c r="E69" s="191">
        <f t="shared" ref="E69:F69" si="66">SUM(E70:E74)</f>
        <v>0</v>
      </c>
      <c r="F69" s="55">
        <f t="shared" si="66"/>
        <v>21804</v>
      </c>
      <c r="G69" s="190">
        <f>SUM(G70:G74)</f>
        <v>400</v>
      </c>
      <c r="H69" s="191">
        <f t="shared" ref="H69:I69" si="67">SUM(H70:H74)</f>
        <v>151</v>
      </c>
      <c r="I69" s="55">
        <f t="shared" si="67"/>
        <v>551</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14384</v>
      </c>
      <c r="D70" s="53">
        <v>13833</v>
      </c>
      <c r="E70" s="54"/>
      <c r="F70" s="55">
        <f t="shared" ref="F70:F74" si="70">D70+E70</f>
        <v>13833</v>
      </c>
      <c r="G70" s="53">
        <v>400</v>
      </c>
      <c r="H70" s="54">
        <f>151</f>
        <v>151</v>
      </c>
      <c r="I70" s="55">
        <f t="shared" ref="I70:I74" si="71">G70+H70</f>
        <v>551</v>
      </c>
      <c r="J70" s="53"/>
      <c r="K70" s="54"/>
      <c r="L70" s="55">
        <f t="shared" ref="L70:L74" si="72">K70+J70</f>
        <v>0</v>
      </c>
      <c r="M70" s="53"/>
      <c r="N70" s="54"/>
      <c r="O70" s="55">
        <f t="shared" ref="O70:O74" si="73">N70+M70</f>
        <v>0</v>
      </c>
      <c r="P70" s="49" t="s">
        <v>1856</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7471</v>
      </c>
      <c r="D73" s="53">
        <v>7471</v>
      </c>
      <c r="E73" s="54"/>
      <c r="F73" s="55">
        <f t="shared" si="70"/>
        <v>7471</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33501</v>
      </c>
      <c r="D75" s="179">
        <f>SUM(D76,D83,D130,D164,D165,D172)</f>
        <v>32967</v>
      </c>
      <c r="E75" s="180">
        <f t="shared" ref="E75:F75" si="74">SUM(E76,E83,E130,E164,E165,E172)</f>
        <v>0</v>
      </c>
      <c r="F75" s="181">
        <f t="shared" si="74"/>
        <v>32967</v>
      </c>
      <c r="G75" s="179">
        <f>SUM(G76,G83,G130,G164,G165,G172)</f>
        <v>458</v>
      </c>
      <c r="H75" s="180">
        <f t="shared" ref="H75:I75" si="75">SUM(H76,H83,H130,H164,H165,H172)</f>
        <v>0</v>
      </c>
      <c r="I75" s="181">
        <f t="shared" si="75"/>
        <v>458</v>
      </c>
      <c r="J75" s="179">
        <f>SUM(J76,J83,J130,J164,J165,J172)</f>
        <v>76</v>
      </c>
      <c r="K75" s="180">
        <f t="shared" ref="K75:L75" si="76">SUM(K76,K83,K130,K164,K165,K172)</f>
        <v>0</v>
      </c>
      <c r="L75" s="181">
        <f t="shared" si="76"/>
        <v>76</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26691</v>
      </c>
      <c r="D83" s="184">
        <f>SUM(D84,D89,D95,D103,D112,D116,D122,D128)</f>
        <v>26615</v>
      </c>
      <c r="E83" s="185">
        <f t="shared" ref="E83:F83" si="98">SUM(E84,E89,E95,E103,E112,E116,E122,E128)</f>
        <v>0</v>
      </c>
      <c r="F83" s="73">
        <f t="shared" si="98"/>
        <v>26615</v>
      </c>
      <c r="G83" s="184">
        <f>SUM(G84,G89,G95,G103,G112,G116,G122,G128)</f>
        <v>0</v>
      </c>
      <c r="H83" s="185">
        <f t="shared" ref="H83:I83" si="99">SUM(H84,H89,H95,H103,H112,H116,H122,H128)</f>
        <v>0</v>
      </c>
      <c r="I83" s="73">
        <f t="shared" si="99"/>
        <v>0</v>
      </c>
      <c r="J83" s="184">
        <f>SUM(J84,J89,J95,J103,J112,J116,J122,J128)</f>
        <v>76</v>
      </c>
      <c r="K83" s="185">
        <f t="shared" ref="K83:L83" si="100">SUM(K84,K89,K95,K103,K112,K116,K122,K128)</f>
        <v>0</v>
      </c>
      <c r="L83" s="73">
        <f t="shared" si="100"/>
        <v>76</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603</v>
      </c>
      <c r="D84" s="187">
        <f>SUM(D85:D88)</f>
        <v>603</v>
      </c>
      <c r="E84" s="188">
        <f t="shared" ref="E84:F84" si="103">SUM(E85:E88)</f>
        <v>0</v>
      </c>
      <c r="F84" s="141">
        <f t="shared" si="103"/>
        <v>603</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480</v>
      </c>
      <c r="D86" s="196">
        <v>480</v>
      </c>
      <c r="E86" s="197"/>
      <c r="F86" s="55">
        <f t="shared" si="107"/>
        <v>480</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72</v>
      </c>
      <c r="D88" s="196">
        <v>72</v>
      </c>
      <c r="E88" s="197"/>
      <c r="F88" s="55">
        <f t="shared" si="107"/>
        <v>72</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22438</v>
      </c>
      <c r="D89" s="190">
        <f>SUM(D90:D94)</f>
        <v>23032</v>
      </c>
      <c r="E89" s="191">
        <f t="shared" ref="E89:F89" si="111">SUM(E90:E94)</f>
        <v>-670</v>
      </c>
      <c r="F89" s="55">
        <f t="shared" si="111"/>
        <v>22362</v>
      </c>
      <c r="G89" s="190">
        <f>SUM(G90:G94)</f>
        <v>0</v>
      </c>
      <c r="H89" s="191">
        <f t="shared" ref="H89:I89" si="112">SUM(H90:H94)</f>
        <v>0</v>
      </c>
      <c r="I89" s="55">
        <f t="shared" si="112"/>
        <v>0</v>
      </c>
      <c r="J89" s="190">
        <f>SUM(J90:J94)</f>
        <v>76</v>
      </c>
      <c r="K89" s="191">
        <f t="shared" ref="K89:L89" si="113">SUM(K90:K94)</f>
        <v>0</v>
      </c>
      <c r="L89" s="55">
        <f t="shared" si="113"/>
        <v>76</v>
      </c>
      <c r="M89" s="190">
        <f>SUM(M90:M94)</f>
        <v>0</v>
      </c>
      <c r="N89" s="191">
        <f t="shared" ref="N89:O89" si="114">SUM(N90:N94)</f>
        <v>0</v>
      </c>
      <c r="O89" s="55">
        <f t="shared" si="114"/>
        <v>0</v>
      </c>
      <c r="P89" s="57"/>
    </row>
    <row r="90" spans="1:16" ht="27.75" customHeight="1" x14ac:dyDescent="0.25">
      <c r="A90" s="51">
        <v>2221</v>
      </c>
      <c r="B90" s="89" t="s">
        <v>106</v>
      </c>
      <c r="C90" s="90">
        <f t="shared" si="102"/>
        <v>12672</v>
      </c>
      <c r="D90" s="196">
        <v>14292</v>
      </c>
      <c r="E90" s="197">
        <v>-1620</v>
      </c>
      <c r="F90" s="55">
        <f t="shared" ref="F90:F94" si="115">D90+E90</f>
        <v>12672</v>
      </c>
      <c r="G90" s="53"/>
      <c r="H90" s="54"/>
      <c r="I90" s="55">
        <f t="shared" ref="I90:I94" si="116">G90+H90</f>
        <v>0</v>
      </c>
      <c r="J90" s="53"/>
      <c r="K90" s="54"/>
      <c r="L90" s="55">
        <f t="shared" ref="L90:L94" si="117">K90+J90</f>
        <v>0</v>
      </c>
      <c r="M90" s="53"/>
      <c r="N90" s="54"/>
      <c r="O90" s="55">
        <f t="shared" ref="O90:O94" si="118">N90+M90</f>
        <v>0</v>
      </c>
      <c r="P90" s="1439" t="s">
        <v>1857</v>
      </c>
    </row>
    <row r="91" spans="1:16" ht="24" customHeight="1" x14ac:dyDescent="0.25">
      <c r="A91" s="51">
        <v>2222</v>
      </c>
      <c r="B91" s="89" t="s">
        <v>107</v>
      </c>
      <c r="C91" s="90">
        <f t="shared" si="102"/>
        <v>2897</v>
      </c>
      <c r="D91" s="196">
        <v>2867</v>
      </c>
      <c r="E91" s="197"/>
      <c r="F91" s="55">
        <f t="shared" si="115"/>
        <v>2867</v>
      </c>
      <c r="G91" s="53"/>
      <c r="H91" s="54"/>
      <c r="I91" s="55">
        <f t="shared" si="116"/>
        <v>0</v>
      </c>
      <c r="J91" s="53">
        <v>30</v>
      </c>
      <c r="K91" s="54"/>
      <c r="L91" s="55">
        <f t="shared" si="117"/>
        <v>30</v>
      </c>
      <c r="M91" s="53"/>
      <c r="N91" s="54"/>
      <c r="O91" s="55">
        <f t="shared" si="118"/>
        <v>0</v>
      </c>
      <c r="P91" s="1439"/>
    </row>
    <row r="92" spans="1:16" ht="24" customHeight="1" x14ac:dyDescent="0.25">
      <c r="A92" s="51">
        <v>2223</v>
      </c>
      <c r="B92" s="89" t="s">
        <v>108</v>
      </c>
      <c r="C92" s="90">
        <f t="shared" si="102"/>
        <v>6257</v>
      </c>
      <c r="D92" s="196">
        <v>5307</v>
      </c>
      <c r="E92" s="197">
        <v>950</v>
      </c>
      <c r="F92" s="55">
        <f t="shared" si="115"/>
        <v>6257</v>
      </c>
      <c r="G92" s="53"/>
      <c r="H92" s="54"/>
      <c r="I92" s="55">
        <f t="shared" si="116"/>
        <v>0</v>
      </c>
      <c r="J92" s="53"/>
      <c r="K92" s="54"/>
      <c r="L92" s="55">
        <f t="shared" si="117"/>
        <v>0</v>
      </c>
      <c r="M92" s="53"/>
      <c r="N92" s="54"/>
      <c r="O92" s="55">
        <f t="shared" si="118"/>
        <v>0</v>
      </c>
      <c r="P92" s="1439" t="s">
        <v>1858</v>
      </c>
    </row>
    <row r="93" spans="1:16" ht="48" customHeight="1" x14ac:dyDescent="0.25">
      <c r="A93" s="51">
        <v>2224</v>
      </c>
      <c r="B93" s="89" t="s">
        <v>109</v>
      </c>
      <c r="C93" s="90">
        <f t="shared" si="102"/>
        <v>612</v>
      </c>
      <c r="D93" s="196">
        <v>566</v>
      </c>
      <c r="E93" s="197"/>
      <c r="F93" s="55">
        <f t="shared" si="115"/>
        <v>566</v>
      </c>
      <c r="G93" s="53"/>
      <c r="H93" s="54"/>
      <c r="I93" s="55">
        <f t="shared" si="116"/>
        <v>0</v>
      </c>
      <c r="J93" s="53">
        <v>46</v>
      </c>
      <c r="K93" s="54"/>
      <c r="L93" s="55">
        <f t="shared" si="117"/>
        <v>46</v>
      </c>
      <c r="M93" s="53"/>
      <c r="N93" s="54"/>
      <c r="O93" s="55">
        <f t="shared" si="118"/>
        <v>0</v>
      </c>
      <c r="P93" s="1439"/>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551</v>
      </c>
      <c r="D95" s="190">
        <f>SUM(D96:D102)</f>
        <v>551</v>
      </c>
      <c r="E95" s="191">
        <f t="shared" ref="E95:F95" si="119">SUM(E96:E102)</f>
        <v>0</v>
      </c>
      <c r="F95" s="55">
        <f t="shared" si="119"/>
        <v>551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551</v>
      </c>
      <c r="D102" s="196">
        <v>551</v>
      </c>
      <c r="E102" s="197"/>
      <c r="F102" s="55">
        <f t="shared" si="123"/>
        <v>551</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2882</v>
      </c>
      <c r="D103" s="190">
        <f>SUM(D104:D111)</f>
        <v>2212</v>
      </c>
      <c r="E103" s="191">
        <f t="shared" ref="E103:F103" si="127">SUM(E104:E111)</f>
        <v>670</v>
      </c>
      <c r="F103" s="55">
        <f t="shared" si="127"/>
        <v>2882</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80</v>
      </c>
      <c r="D106" s="196">
        <v>80</v>
      </c>
      <c r="E106" s="197"/>
      <c r="F106" s="55">
        <f t="shared" si="131"/>
        <v>80</v>
      </c>
      <c r="G106" s="53"/>
      <c r="H106" s="54"/>
      <c r="I106" s="55">
        <f t="shared" si="132"/>
        <v>0</v>
      </c>
      <c r="J106" s="53"/>
      <c r="K106" s="54"/>
      <c r="L106" s="55">
        <f t="shared" si="133"/>
        <v>0</v>
      </c>
      <c r="M106" s="53"/>
      <c r="N106" s="54"/>
      <c r="O106" s="55">
        <f t="shared" si="134"/>
        <v>0</v>
      </c>
      <c r="P106" s="57"/>
    </row>
    <row r="107" spans="1:16" ht="25.5" customHeight="1" x14ac:dyDescent="0.25">
      <c r="A107" s="51">
        <v>2244</v>
      </c>
      <c r="B107" s="89" t="s">
        <v>123</v>
      </c>
      <c r="C107" s="90">
        <f t="shared" si="102"/>
        <v>1058</v>
      </c>
      <c r="D107" s="196">
        <v>596</v>
      </c>
      <c r="E107" s="197">
        <v>462</v>
      </c>
      <c r="F107" s="55">
        <f t="shared" si="131"/>
        <v>1058</v>
      </c>
      <c r="G107" s="53"/>
      <c r="H107" s="54"/>
      <c r="I107" s="55">
        <f t="shared" si="132"/>
        <v>0</v>
      </c>
      <c r="J107" s="53"/>
      <c r="K107" s="54"/>
      <c r="L107" s="55">
        <f t="shared" si="133"/>
        <v>0</v>
      </c>
      <c r="M107" s="53"/>
      <c r="N107" s="54"/>
      <c r="O107" s="55">
        <f t="shared" si="134"/>
        <v>0</v>
      </c>
      <c r="P107" s="57" t="s">
        <v>1859</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32.25" customHeight="1" x14ac:dyDescent="0.25">
      <c r="A111" s="51">
        <v>2249</v>
      </c>
      <c r="B111" s="89" t="s">
        <v>127</v>
      </c>
      <c r="C111" s="90">
        <f t="shared" si="102"/>
        <v>1744</v>
      </c>
      <c r="D111" s="196">
        <v>1536</v>
      </c>
      <c r="E111" s="197">
        <v>208</v>
      </c>
      <c r="F111" s="55">
        <f t="shared" si="131"/>
        <v>1744</v>
      </c>
      <c r="G111" s="53"/>
      <c r="H111" s="54"/>
      <c r="I111" s="55">
        <f t="shared" si="132"/>
        <v>0</v>
      </c>
      <c r="J111" s="53"/>
      <c r="K111" s="54"/>
      <c r="L111" s="55">
        <f t="shared" si="133"/>
        <v>0</v>
      </c>
      <c r="M111" s="53"/>
      <c r="N111" s="54"/>
      <c r="O111" s="55">
        <f t="shared" si="134"/>
        <v>0</v>
      </c>
      <c r="P111" s="57" t="s">
        <v>1860</v>
      </c>
    </row>
    <row r="112" spans="1:16" x14ac:dyDescent="0.25">
      <c r="A112" s="189">
        <v>2250</v>
      </c>
      <c r="B112" s="89" t="s">
        <v>128</v>
      </c>
      <c r="C112" s="90">
        <f t="shared" si="102"/>
        <v>165</v>
      </c>
      <c r="D112" s="190">
        <f>SUM(D113:D115)</f>
        <v>165</v>
      </c>
      <c r="E112" s="191">
        <f t="shared" ref="E112:F112" si="135">SUM(E113:E115)</f>
        <v>0</v>
      </c>
      <c r="F112" s="55">
        <f t="shared" si="135"/>
        <v>165</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165</v>
      </c>
      <c r="D114" s="196">
        <v>165</v>
      </c>
      <c r="E114" s="197"/>
      <c r="F114" s="55">
        <f t="shared" si="139"/>
        <v>165</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52</v>
      </c>
      <c r="D116" s="190">
        <f>SUM(D117:D121)</f>
        <v>52</v>
      </c>
      <c r="E116" s="191">
        <f t="shared" ref="E116:F116" si="143">SUM(E117:E121)</f>
        <v>0</v>
      </c>
      <c r="F116" s="55">
        <f t="shared" si="143"/>
        <v>52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6810</v>
      </c>
      <c r="D130" s="184">
        <f>SUM(D131,D136,D140,D141,D144,D151,D159,D160,D163)</f>
        <v>6352</v>
      </c>
      <c r="E130" s="185">
        <f t="shared" ref="E130:F130" si="160">SUM(E131,E136,E140,E141,E144,E151,E159,E160,E163)</f>
        <v>0</v>
      </c>
      <c r="F130" s="73">
        <f t="shared" si="160"/>
        <v>6352</v>
      </c>
      <c r="G130" s="184">
        <f>SUM(G131,G136,G140,G141,G144,G151,G159,G160,G163)</f>
        <v>458</v>
      </c>
      <c r="H130" s="185">
        <f t="shared" ref="H130:I130" si="161">SUM(H131,H136,H140,H141,H144,H151,H159,H160,H163)</f>
        <v>0</v>
      </c>
      <c r="I130" s="73">
        <f t="shared" si="161"/>
        <v>458</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2571</v>
      </c>
      <c r="D131" s="194">
        <f t="shared" ref="D131:O131" si="164">SUM(D132:D135)</f>
        <v>2571</v>
      </c>
      <c r="E131" s="195">
        <f t="shared" si="164"/>
        <v>0</v>
      </c>
      <c r="F131" s="134">
        <f t="shared" si="164"/>
        <v>2571</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396</v>
      </c>
      <c r="D132" s="196">
        <v>396</v>
      </c>
      <c r="E132" s="197"/>
      <c r="F132" s="55">
        <f t="shared" ref="F132:F135" si="165">D132+E132</f>
        <v>396</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2056</v>
      </c>
      <c r="D133" s="196">
        <v>2056</v>
      </c>
      <c r="E133" s="197"/>
      <c r="F133" s="55">
        <f t="shared" si="165"/>
        <v>2056</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9" t="s">
        <v>150</v>
      </c>
      <c r="C134" s="90">
        <f t="shared" si="102"/>
        <v>119</v>
      </c>
      <c r="D134" s="196">
        <v>119</v>
      </c>
      <c r="E134" s="197"/>
      <c r="F134" s="55">
        <f t="shared" si="165"/>
        <v>119</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54</v>
      </c>
      <c r="D136" s="190">
        <f>SUM(D137:D139)</f>
        <v>54</v>
      </c>
      <c r="E136" s="191">
        <f t="shared" ref="E136:F136" si="169">SUM(E137:E139)</f>
        <v>0</v>
      </c>
      <c r="F136" s="55">
        <f t="shared" si="169"/>
        <v>54</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54</v>
      </c>
      <c r="D138" s="196">
        <v>54</v>
      </c>
      <c r="E138" s="197"/>
      <c r="F138" s="55">
        <f t="shared" si="173"/>
        <v>54</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70</v>
      </c>
      <c r="D141" s="190">
        <f>SUM(D142:D143)</f>
        <v>70</v>
      </c>
      <c r="E141" s="191">
        <f t="shared" ref="E141:F141" si="177">SUM(E142:E143)</f>
        <v>0</v>
      </c>
      <c r="F141" s="55">
        <f t="shared" si="177"/>
        <v>70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70</v>
      </c>
      <c r="D142" s="196">
        <v>70</v>
      </c>
      <c r="E142" s="197"/>
      <c r="F142" s="55">
        <f t="shared" ref="F142:F143" si="181">D142+E142</f>
        <v>70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1836</v>
      </c>
      <c r="D144" s="187">
        <f>SUM(D145:D150)</f>
        <v>1836</v>
      </c>
      <c r="E144" s="188">
        <f t="shared" ref="E144:F144" si="185">SUM(E145:E150)</f>
        <v>0</v>
      </c>
      <c r="F144" s="141">
        <f t="shared" si="185"/>
        <v>1836</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200</v>
      </c>
      <c r="D145" s="199">
        <v>200</v>
      </c>
      <c r="E145" s="200"/>
      <c r="F145" s="134">
        <f t="shared" ref="F145:F150" si="189">D145+E145</f>
        <v>200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1636</v>
      </c>
      <c r="D146" s="196">
        <v>1636</v>
      </c>
      <c r="E146" s="197"/>
      <c r="F146" s="55">
        <f t="shared" si="189"/>
        <v>1636</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339</v>
      </c>
      <c r="D151" s="190">
        <f>SUM(D152:D158)</f>
        <v>339</v>
      </c>
      <c r="E151" s="191">
        <f t="shared" ref="E151:F151" si="194">SUM(E152:E158)</f>
        <v>0</v>
      </c>
      <c r="F151" s="55">
        <f t="shared" si="194"/>
        <v>339</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259</v>
      </c>
      <c r="D152" s="196">
        <v>259</v>
      </c>
      <c r="E152" s="197"/>
      <c r="F152" s="55">
        <f t="shared" ref="F152:F159" si="198">D152+E152</f>
        <v>259</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80</v>
      </c>
      <c r="D153" s="196">
        <v>80</v>
      </c>
      <c r="E153" s="197"/>
      <c r="F153" s="55">
        <f t="shared" si="198"/>
        <v>80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1940</v>
      </c>
      <c r="D159" s="203">
        <v>1482</v>
      </c>
      <c r="E159" s="204"/>
      <c r="F159" s="141">
        <f t="shared" si="198"/>
        <v>1482</v>
      </c>
      <c r="G159" s="144">
        <v>458</v>
      </c>
      <c r="H159" s="145"/>
      <c r="I159" s="141">
        <f t="shared" si="199"/>
        <v>458</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2750</v>
      </c>
      <c r="D194" s="173">
        <f t="shared" ref="D194:O194" si="259">SUM(D195,D230,D269,D283)</f>
        <v>2600</v>
      </c>
      <c r="E194" s="174">
        <f t="shared" si="259"/>
        <v>0</v>
      </c>
      <c r="F194" s="175">
        <f t="shared" si="259"/>
        <v>2600</v>
      </c>
      <c r="G194" s="173">
        <f t="shared" si="259"/>
        <v>150</v>
      </c>
      <c r="H194" s="174">
        <f t="shared" si="259"/>
        <v>0</v>
      </c>
      <c r="I194" s="175">
        <f t="shared" si="259"/>
        <v>150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2750</v>
      </c>
      <c r="D195" s="179">
        <f>D196+D204</f>
        <v>2600</v>
      </c>
      <c r="E195" s="180">
        <f t="shared" ref="E195:F195" si="260">E196+E204</f>
        <v>0</v>
      </c>
      <c r="F195" s="181">
        <f t="shared" si="260"/>
        <v>2600</v>
      </c>
      <c r="G195" s="179">
        <f>G196+G204</f>
        <v>150</v>
      </c>
      <c r="H195" s="180">
        <f t="shared" ref="H195:I195" si="261">H196+H204</f>
        <v>0</v>
      </c>
      <c r="I195" s="181">
        <f t="shared" si="261"/>
        <v>150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2750</v>
      </c>
      <c r="D204" s="184">
        <f>D205+D215+D216+D225+D226+D227+D229</f>
        <v>2600</v>
      </c>
      <c r="E204" s="185">
        <f t="shared" ref="E204:F204" si="276">E205+E215+E216+E225+E226+E227+E229</f>
        <v>0</v>
      </c>
      <c r="F204" s="73">
        <f t="shared" si="276"/>
        <v>2600</v>
      </c>
      <c r="G204" s="184">
        <f>G205+G215+G216+G225+G226+G227+G229</f>
        <v>150</v>
      </c>
      <c r="H204" s="185">
        <f t="shared" ref="H204:I204" si="277">H205+H215+H216+H225+H226+H227+H229</f>
        <v>0</v>
      </c>
      <c r="I204" s="73">
        <f t="shared" si="277"/>
        <v>150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2750</v>
      </c>
      <c r="D216" s="190">
        <f>SUM(D217:D224)</f>
        <v>2600</v>
      </c>
      <c r="E216" s="191">
        <f t="shared" ref="E216:F216" si="289">SUM(E217:E224)</f>
        <v>0</v>
      </c>
      <c r="F216" s="55">
        <f t="shared" si="289"/>
        <v>2600</v>
      </c>
      <c r="G216" s="190">
        <f>SUM(G217:G224)</f>
        <v>150</v>
      </c>
      <c r="H216" s="191">
        <f t="shared" ref="H216:I216" si="290">SUM(H217:H224)</f>
        <v>0</v>
      </c>
      <c r="I216" s="55">
        <f t="shared" si="290"/>
        <v>150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150</v>
      </c>
      <c r="D219" s="196"/>
      <c r="E219" s="197"/>
      <c r="F219" s="55">
        <f t="shared" si="293"/>
        <v>0</v>
      </c>
      <c r="G219" s="53">
        <v>150</v>
      </c>
      <c r="H219" s="54"/>
      <c r="I219" s="55">
        <f t="shared" si="294"/>
        <v>150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2600</v>
      </c>
      <c r="D223" s="196">
        <v>2600</v>
      </c>
      <c r="E223" s="197"/>
      <c r="F223" s="55">
        <f t="shared" si="293"/>
        <v>2600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424759</v>
      </c>
      <c r="D289" s="252">
        <f t="shared" ref="D289:O289" si="389">SUM(D286,D269,D230,D195,D187,D173,D75,D53,D283)</f>
        <v>402627</v>
      </c>
      <c r="E289" s="253">
        <f t="shared" si="389"/>
        <v>0</v>
      </c>
      <c r="F289" s="254">
        <f t="shared" si="389"/>
        <v>402627</v>
      </c>
      <c r="G289" s="252">
        <f t="shared" si="389"/>
        <v>25935</v>
      </c>
      <c r="H289" s="253">
        <f t="shared" si="389"/>
        <v>-3879</v>
      </c>
      <c r="I289" s="254">
        <f t="shared" si="389"/>
        <v>22056</v>
      </c>
      <c r="J289" s="252">
        <f t="shared" si="389"/>
        <v>76</v>
      </c>
      <c r="K289" s="253">
        <f t="shared" si="389"/>
        <v>0</v>
      </c>
      <c r="L289" s="254">
        <f t="shared" si="389"/>
        <v>76</v>
      </c>
      <c r="M289" s="252">
        <f t="shared" si="389"/>
        <v>0</v>
      </c>
      <c r="N289" s="253">
        <f t="shared" si="389"/>
        <v>0</v>
      </c>
      <c r="O289" s="254">
        <f t="shared" si="389"/>
        <v>0</v>
      </c>
      <c r="P289" s="255"/>
    </row>
    <row r="290" spans="1:16" s="28" customFormat="1" ht="13.5" thickTop="1" thickBot="1" x14ac:dyDescent="0.3">
      <c r="A290" s="1544" t="s">
        <v>308</v>
      </c>
      <c r="B290" s="1545"/>
      <c r="C290" s="256">
        <f t="shared" si="371"/>
        <v>-76</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-76</v>
      </c>
      <c r="K290" s="258">
        <f t="shared" ref="K290:L290" si="392">(K26+K43)-K51</f>
        <v>0</v>
      </c>
      <c r="L290" s="259">
        <f t="shared" si="392"/>
        <v>-76</v>
      </c>
      <c r="M290" s="257">
        <f>M45-M51</f>
        <v>0</v>
      </c>
      <c r="N290" s="258">
        <f t="shared" ref="N290:O290" si="393">N45-N51</f>
        <v>0</v>
      </c>
      <c r="O290" s="259">
        <f t="shared" si="393"/>
        <v>0</v>
      </c>
      <c r="P290" s="260"/>
    </row>
    <row r="291" spans="1:16" s="28" customFormat="1" ht="12.75" thickTop="1" x14ac:dyDescent="0.25">
      <c r="A291" s="1546" t="s">
        <v>309</v>
      </c>
      <c r="B291" s="1547"/>
      <c r="C291" s="261">
        <f t="shared" si="371"/>
        <v>76</v>
      </c>
      <c r="D291" s="262">
        <f t="shared" ref="D291:O291" si="394">SUM(D292,D293)-D300+D301</f>
        <v>0</v>
      </c>
      <c r="E291" s="263">
        <f t="shared" si="394"/>
        <v>0</v>
      </c>
      <c r="F291" s="264">
        <f t="shared" si="394"/>
        <v>0</v>
      </c>
      <c r="G291" s="262">
        <f t="shared" si="394"/>
        <v>0</v>
      </c>
      <c r="H291" s="263">
        <f t="shared" si="394"/>
        <v>0</v>
      </c>
      <c r="I291" s="264">
        <f t="shared" si="394"/>
        <v>0</v>
      </c>
      <c r="J291" s="262">
        <f t="shared" si="394"/>
        <v>76</v>
      </c>
      <c r="K291" s="263">
        <f t="shared" si="394"/>
        <v>0</v>
      </c>
      <c r="L291" s="264">
        <f t="shared" si="394"/>
        <v>76</v>
      </c>
      <c r="M291" s="262">
        <f t="shared" si="394"/>
        <v>0</v>
      </c>
      <c r="N291" s="263">
        <f t="shared" si="394"/>
        <v>0</v>
      </c>
      <c r="O291" s="264">
        <f t="shared" si="394"/>
        <v>0</v>
      </c>
      <c r="P291" s="265"/>
    </row>
    <row r="292" spans="1:16" s="28" customFormat="1" ht="12.75" thickBot="1" x14ac:dyDescent="0.3">
      <c r="A292" s="157" t="s">
        <v>310</v>
      </c>
      <c r="B292" s="157" t="s">
        <v>311</v>
      </c>
      <c r="C292" s="158">
        <f t="shared" si="371"/>
        <v>76</v>
      </c>
      <c r="D292" s="159">
        <f t="shared" ref="D292:O292" si="395">D21-D286</f>
        <v>0</v>
      </c>
      <c r="E292" s="160">
        <f t="shared" si="395"/>
        <v>0</v>
      </c>
      <c r="F292" s="161">
        <f t="shared" si="395"/>
        <v>0</v>
      </c>
      <c r="G292" s="159">
        <f t="shared" si="395"/>
        <v>0</v>
      </c>
      <c r="H292" s="160">
        <f t="shared" si="395"/>
        <v>0</v>
      </c>
      <c r="I292" s="161">
        <f t="shared" si="395"/>
        <v>0</v>
      </c>
      <c r="J292" s="159">
        <f t="shared" si="395"/>
        <v>76</v>
      </c>
      <c r="K292" s="160">
        <f t="shared" si="395"/>
        <v>0</v>
      </c>
      <c r="L292" s="161">
        <f t="shared" si="395"/>
        <v>76</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yx6YbfnC1Ee3nYaXzMRUbkwuiC5jlGa5mwkYGO2jhdCOnjDcsgXrL7Cmm3H3rQp7+TrwQNhKbFV3fAXKAEWIow==" saltValue="7vanccu+dKZda1Y9e6jc0g==" spinCount="100000" sheet="1" objects="1" scenarios="1" formatCells="0" formatColumns="0" formatRows="0" deleteColumns="0"/>
  <autoFilter ref="A18:P301">
    <filterColumn colId="2">
      <filters>
        <filter val="1 032"/>
        <filter val="1 058"/>
        <filter val="1 620"/>
        <filter val="1 636"/>
        <filter val="1 744"/>
        <filter val="1 836"/>
        <filter val="1 940"/>
        <filter val="119"/>
        <filter val="12 672"/>
        <filter val="14 384"/>
        <filter val="14 468"/>
        <filter val="150"/>
        <filter val="165"/>
        <filter val="2 056"/>
        <filter val="2 571"/>
        <filter val="2 600"/>
        <filter val="2 750"/>
        <filter val="2 882"/>
        <filter val="2 897"/>
        <filter val="200"/>
        <filter val="22 355"/>
        <filter val="22 438"/>
        <filter val="24 465"/>
        <filter val="259"/>
        <filter val="26 691"/>
        <filter val="263 493"/>
        <filter val="292 278"/>
        <filter val="3 173"/>
        <filter val="33 501"/>
        <filter val="339"/>
        <filter val="388 508"/>
        <filter val="396"/>
        <filter val="4 172"/>
        <filter val="4 320"/>
        <filter val="422 009"/>
        <filter val="424 683"/>
        <filter val="424 759"/>
        <filter val="480"/>
        <filter val="500"/>
        <filter val="51"/>
        <filter val="52"/>
        <filter val="54"/>
        <filter val="551"/>
        <filter val="6 257"/>
        <filter val="6 810"/>
        <filter val="603"/>
        <filter val="612"/>
        <filter val="7 471"/>
        <filter val="70"/>
        <filter val="72"/>
        <filter val="73 875"/>
        <filter val="76"/>
        <filter val="-76"/>
        <filter val="80"/>
        <filter val="96 23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69.pielikums Jūrmalas pilsētas domes
2019.gada 31.oktobra saistošajiem noteikumiem Nr.46
(protokols Nr.14, 28.punkts)
 </firstHeader>
    <firstFooter>&amp;L&amp;9&amp;D; &amp;T&amp;R&amp;9&amp;P (&amp;N)</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5" sqref="S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1876</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1861</v>
      </c>
      <c r="D3" s="1517"/>
      <c r="E3" s="1517"/>
      <c r="F3" s="1517"/>
      <c r="G3" s="1517"/>
      <c r="H3" s="1517"/>
      <c r="I3" s="1517"/>
      <c r="J3" s="1517"/>
      <c r="K3" s="1517"/>
      <c r="L3" s="1517"/>
      <c r="M3" s="1517"/>
      <c r="N3" s="1517"/>
      <c r="O3" s="1517"/>
      <c r="P3" s="1518"/>
      <c r="Q3" s="277"/>
    </row>
    <row r="4" spans="1:17" ht="12.75" customHeight="1" x14ac:dyDescent="0.25">
      <c r="A4" s="5" t="s">
        <v>4</v>
      </c>
      <c r="B4" s="6"/>
      <c r="C4" s="1517" t="s">
        <v>1862</v>
      </c>
      <c r="D4" s="1517"/>
      <c r="E4" s="1517"/>
      <c r="F4" s="1517"/>
      <c r="G4" s="1517"/>
      <c r="H4" s="1517"/>
      <c r="I4" s="1517"/>
      <c r="J4" s="1517"/>
      <c r="K4" s="1517"/>
      <c r="L4" s="1517"/>
      <c r="M4" s="1517"/>
      <c r="N4" s="1517"/>
      <c r="O4" s="1517"/>
      <c r="P4" s="1518"/>
      <c r="Q4" s="277"/>
    </row>
    <row r="5" spans="1:17" ht="12.75" customHeight="1" x14ac:dyDescent="0.25">
      <c r="A5" s="7" t="s">
        <v>6</v>
      </c>
      <c r="B5" s="8"/>
      <c r="C5" s="1512" t="s">
        <v>1863</v>
      </c>
      <c r="D5" s="1512"/>
      <c r="E5" s="1512"/>
      <c r="F5" s="1512"/>
      <c r="G5" s="1512"/>
      <c r="H5" s="1512"/>
      <c r="I5" s="1512"/>
      <c r="J5" s="1512"/>
      <c r="K5" s="1512"/>
      <c r="L5" s="1512"/>
      <c r="M5" s="1512"/>
      <c r="N5" s="1512"/>
      <c r="O5" s="1512"/>
      <c r="P5" s="1513"/>
      <c r="Q5" s="277"/>
    </row>
    <row r="6" spans="1:17" ht="12.75" customHeight="1" x14ac:dyDescent="0.25">
      <c r="A6" s="7" t="s">
        <v>8</v>
      </c>
      <c r="B6" s="8"/>
      <c r="C6" s="1512" t="s">
        <v>1492</v>
      </c>
      <c r="D6" s="1512"/>
      <c r="E6" s="1512"/>
      <c r="F6" s="1512"/>
      <c r="G6" s="1512"/>
      <c r="H6" s="1512"/>
      <c r="I6" s="1512"/>
      <c r="J6" s="1512"/>
      <c r="K6" s="1512"/>
      <c r="L6" s="1512"/>
      <c r="M6" s="1512"/>
      <c r="N6" s="1512"/>
      <c r="O6" s="1512"/>
      <c r="P6" s="1513"/>
      <c r="Q6" s="277"/>
    </row>
    <row r="7" spans="1:17" ht="25.5" customHeight="1" x14ac:dyDescent="0.25">
      <c r="A7" s="7" t="s">
        <v>10</v>
      </c>
      <c r="B7" s="8"/>
      <c r="C7" s="1517" t="s">
        <v>1864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1865</v>
      </c>
      <c r="D9" s="1512"/>
      <c r="E9" s="1512"/>
      <c r="F9" s="1512"/>
      <c r="G9" s="1512"/>
      <c r="H9" s="1512"/>
      <c r="I9" s="1512"/>
      <c r="J9" s="1512"/>
      <c r="K9" s="1512"/>
      <c r="L9" s="1512"/>
      <c r="M9" s="1512"/>
      <c r="N9" s="1512"/>
      <c r="O9" s="1512"/>
      <c r="P9" s="1513"/>
      <c r="Q9" s="277"/>
    </row>
    <row r="10" spans="1:17" ht="12.75" customHeight="1" x14ac:dyDescent="0.25">
      <c r="A10" s="7"/>
      <c r="B10" s="8" t="s">
        <v>15</v>
      </c>
      <c r="C10" s="1512" t="s">
        <v>1866</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1867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379892</v>
      </c>
      <c r="D20" s="32">
        <f>SUM(D21,D24,D25,D41,D43)</f>
        <v>358203</v>
      </c>
      <c r="E20" s="33">
        <f t="shared" ref="E20:F20" si="1">SUM(E21,E24,E25,E41,E43)</f>
        <v>0</v>
      </c>
      <c r="F20" s="34">
        <f t="shared" si="1"/>
        <v>358203</v>
      </c>
      <c r="G20" s="32">
        <f>SUM(G21,G24,G43)</f>
        <v>21445</v>
      </c>
      <c r="H20" s="33">
        <f t="shared" ref="H20:I20" si="2">SUM(H21,H24,H43)</f>
        <v>239</v>
      </c>
      <c r="I20" s="34">
        <f t="shared" si="2"/>
        <v>21684</v>
      </c>
      <c r="J20" s="32">
        <f>SUM(J21,J26,J43)</f>
        <v>5</v>
      </c>
      <c r="K20" s="33">
        <f t="shared" ref="K20:L20" si="3">SUM(K21,K26,K43)</f>
        <v>0</v>
      </c>
      <c r="L20" s="34">
        <f t="shared" si="3"/>
        <v>5</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6" customHeight="1" thickTop="1" thickBot="1" x14ac:dyDescent="0.3">
      <c r="A24" s="58">
        <v>19300</v>
      </c>
      <c r="B24" s="58" t="s">
        <v>42</v>
      </c>
      <c r="C24" s="59">
        <f>F24+I24</f>
        <v>379887</v>
      </c>
      <c r="D24" s="60">
        <v>358203</v>
      </c>
      <c r="E24" s="63"/>
      <c r="F24" s="62">
        <f t="shared" si="9"/>
        <v>358203</v>
      </c>
      <c r="G24" s="60">
        <v>21445</v>
      </c>
      <c r="H24" s="63">
        <v>239</v>
      </c>
      <c r="I24" s="62">
        <f t="shared" si="10"/>
        <v>21684</v>
      </c>
      <c r="J24" s="64" t="s">
        <v>43</v>
      </c>
      <c r="K24" s="65" t="s">
        <v>43</v>
      </c>
      <c r="L24" s="66" t="s">
        <v>43</v>
      </c>
      <c r="M24" s="64" t="s">
        <v>43</v>
      </c>
      <c r="N24" s="65" t="s">
        <v>43</v>
      </c>
      <c r="O24" s="66" t="s">
        <v>43</v>
      </c>
      <c r="P24" s="67" t="s">
        <v>1868</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thickTop="1" x14ac:dyDescent="0.25">
      <c r="A43" s="81">
        <v>21490</v>
      </c>
      <c r="B43" s="69" t="s">
        <v>62</v>
      </c>
      <c r="C43" s="132">
        <f>F43+I43+L43</f>
        <v>5</v>
      </c>
      <c r="D43" s="78">
        <f>D44</f>
        <v>0</v>
      </c>
      <c r="E43" s="79">
        <f t="shared" ref="E43:L43" si="22">E44</f>
        <v>0</v>
      </c>
      <c r="F43" s="80">
        <f t="shared" si="22"/>
        <v>0</v>
      </c>
      <c r="G43" s="78">
        <f t="shared" si="22"/>
        <v>0</v>
      </c>
      <c r="H43" s="79">
        <f t="shared" si="22"/>
        <v>0</v>
      </c>
      <c r="I43" s="80">
        <f t="shared" si="22"/>
        <v>0</v>
      </c>
      <c r="J43" s="78">
        <f t="shared" si="22"/>
        <v>5</v>
      </c>
      <c r="K43" s="79">
        <f t="shared" si="22"/>
        <v>0</v>
      </c>
      <c r="L43" s="80">
        <f t="shared" si="22"/>
        <v>5</v>
      </c>
      <c r="M43" s="78" t="s">
        <v>43</v>
      </c>
      <c r="N43" s="79" t="s">
        <v>43</v>
      </c>
      <c r="O43" s="80" t="s">
        <v>43</v>
      </c>
      <c r="P43" s="77"/>
    </row>
    <row r="44" spans="1:16" s="28" customFormat="1" ht="24" customHeight="1" x14ac:dyDescent="0.25">
      <c r="A44" s="51">
        <v>21499</v>
      </c>
      <c r="B44" s="89" t="s">
        <v>63</v>
      </c>
      <c r="C44" s="133">
        <f>F44+I44+L44</f>
        <v>5</v>
      </c>
      <c r="D44" s="46"/>
      <c r="E44" s="47"/>
      <c r="F44" s="134">
        <f>D44+E44</f>
        <v>0</v>
      </c>
      <c r="G44" s="46"/>
      <c r="H44" s="47"/>
      <c r="I44" s="134">
        <f>G44+H44</f>
        <v>0</v>
      </c>
      <c r="J44" s="46">
        <v>5</v>
      </c>
      <c r="K44" s="47"/>
      <c r="L44" s="48">
        <f>K44+J44</f>
        <v>5</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379892</v>
      </c>
      <c r="D50" s="159">
        <f>SUM(D51,D286)</f>
        <v>358203</v>
      </c>
      <c r="E50" s="160">
        <f t="shared" ref="E50:F50" si="26">SUM(E51,E286)</f>
        <v>0</v>
      </c>
      <c r="F50" s="161">
        <f t="shared" si="26"/>
        <v>358203</v>
      </c>
      <c r="G50" s="159">
        <f>SUM(G51,G286)</f>
        <v>21445</v>
      </c>
      <c r="H50" s="160">
        <f>SUM(H51,H286)</f>
        <v>239</v>
      </c>
      <c r="I50" s="161">
        <f t="shared" ref="I50" si="27">SUM(I51,I286)</f>
        <v>21684</v>
      </c>
      <c r="J50" s="32">
        <f>SUM(J51,J286)</f>
        <v>5</v>
      </c>
      <c r="K50" s="33">
        <f t="shared" ref="K50:L50" si="28">SUM(K51,K286)</f>
        <v>0</v>
      </c>
      <c r="L50" s="34">
        <f t="shared" si="28"/>
        <v>5</v>
      </c>
      <c r="M50" s="32">
        <f>SUM(M51,M286)</f>
        <v>0</v>
      </c>
      <c r="N50" s="33">
        <f t="shared" ref="N50:O50" si="29">SUM(N51,N286)</f>
        <v>0</v>
      </c>
      <c r="O50" s="34">
        <f t="shared" si="29"/>
        <v>0</v>
      </c>
      <c r="P50" s="35"/>
    </row>
    <row r="51" spans="1:16" s="28" customFormat="1" ht="36.75" thickTop="1" x14ac:dyDescent="0.25">
      <c r="A51" s="162"/>
      <c r="B51" s="163" t="s">
        <v>69</v>
      </c>
      <c r="C51" s="164">
        <f t="shared" si="0"/>
        <v>379892</v>
      </c>
      <c r="D51" s="165">
        <f>SUM(D52,D194)</f>
        <v>358203</v>
      </c>
      <c r="E51" s="166">
        <f t="shared" ref="E51:F51" si="30">SUM(E52,E194)</f>
        <v>0</v>
      </c>
      <c r="F51" s="167">
        <f t="shared" si="30"/>
        <v>358203</v>
      </c>
      <c r="G51" s="165">
        <f>SUM(G52,G194)</f>
        <v>21445</v>
      </c>
      <c r="H51" s="166">
        <f t="shared" ref="H51:I51" si="31">SUM(H52,H194)</f>
        <v>239</v>
      </c>
      <c r="I51" s="167">
        <f t="shared" si="31"/>
        <v>21684</v>
      </c>
      <c r="J51" s="168">
        <f>SUM(J52,J194)</f>
        <v>5</v>
      </c>
      <c r="K51" s="169">
        <f t="shared" ref="K51:L51" si="32">SUM(K52,K194)</f>
        <v>0</v>
      </c>
      <c r="L51" s="170">
        <f t="shared" si="32"/>
        <v>5</v>
      </c>
      <c r="M51" s="168">
        <f>SUM(M52,M194)</f>
        <v>0</v>
      </c>
      <c r="N51" s="169">
        <f t="shared" ref="N51:O51" si="33">SUM(N52,N194)</f>
        <v>0</v>
      </c>
      <c r="O51" s="170">
        <f t="shared" si="33"/>
        <v>0</v>
      </c>
      <c r="P51" s="171"/>
    </row>
    <row r="52" spans="1:16" s="28" customFormat="1" ht="24" x14ac:dyDescent="0.25">
      <c r="A52" s="24"/>
      <c r="B52" s="22" t="s">
        <v>70</v>
      </c>
      <c r="C52" s="172">
        <f t="shared" si="0"/>
        <v>376376</v>
      </c>
      <c r="D52" s="173">
        <f>SUM(D53,D75,D173,D187)</f>
        <v>354803</v>
      </c>
      <c r="E52" s="174">
        <f t="shared" ref="E52:F52" si="34">SUM(E53,E75,E173,E187)</f>
        <v>0</v>
      </c>
      <c r="F52" s="175">
        <f t="shared" si="34"/>
        <v>354803</v>
      </c>
      <c r="G52" s="173">
        <f>SUM(G53,G75,G173,G187)</f>
        <v>21329</v>
      </c>
      <c r="H52" s="174">
        <f t="shared" ref="H52:I52" si="35">SUM(H53,H75,H173,H187)</f>
        <v>239</v>
      </c>
      <c r="I52" s="175">
        <f t="shared" si="35"/>
        <v>21568</v>
      </c>
      <c r="J52" s="173">
        <f>SUM(J53,J75,J173,J187)</f>
        <v>5</v>
      </c>
      <c r="K52" s="174">
        <f t="shared" ref="K52:L52" si="36">SUM(K53,K75,K173,K187)</f>
        <v>0</v>
      </c>
      <c r="L52" s="175">
        <f t="shared" si="36"/>
        <v>5</v>
      </c>
      <c r="M52" s="173">
        <f>SUM(M53,M75,M173,M187)</f>
        <v>0</v>
      </c>
      <c r="N52" s="174">
        <f t="shared" ref="N52:O52" si="37">SUM(N53,N75,N173,N187)</f>
        <v>0</v>
      </c>
      <c r="O52" s="175">
        <f t="shared" si="37"/>
        <v>0</v>
      </c>
      <c r="P52" s="176"/>
    </row>
    <row r="53" spans="1:16" s="28" customFormat="1" x14ac:dyDescent="0.25">
      <c r="A53" s="177">
        <v>1000</v>
      </c>
      <c r="B53" s="177" t="s">
        <v>71</v>
      </c>
      <c r="C53" s="178">
        <f t="shared" si="0"/>
        <v>321906</v>
      </c>
      <c r="D53" s="179">
        <f>SUM(D54,D67)</f>
        <v>302738</v>
      </c>
      <c r="E53" s="180">
        <f t="shared" ref="E53:F53" si="38">SUM(E54,E67)</f>
        <v>-2000</v>
      </c>
      <c r="F53" s="181">
        <f t="shared" si="38"/>
        <v>300738</v>
      </c>
      <c r="G53" s="179">
        <f>SUM(G54,G67)</f>
        <v>20929</v>
      </c>
      <c r="H53" s="180">
        <f t="shared" ref="H53:I53" si="39">SUM(H54,H67)</f>
        <v>239</v>
      </c>
      <c r="I53" s="181">
        <f t="shared" si="39"/>
        <v>21168</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244552</v>
      </c>
      <c r="D54" s="184">
        <f>SUM(D55,D58,D66)</f>
        <v>227796</v>
      </c>
      <c r="E54" s="185">
        <f t="shared" ref="E54:F54" si="42">SUM(E55,E58,E66)</f>
        <v>0</v>
      </c>
      <c r="F54" s="73">
        <f t="shared" si="42"/>
        <v>227796</v>
      </c>
      <c r="G54" s="184">
        <f>SUM(G55,G58,G66)</f>
        <v>16620</v>
      </c>
      <c r="H54" s="185">
        <f t="shared" ref="H54:I54" si="43">SUM(H55,H58,H66)</f>
        <v>136</v>
      </c>
      <c r="I54" s="73">
        <f t="shared" si="43"/>
        <v>16756</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220828</v>
      </c>
      <c r="D55" s="187">
        <f>SUM(D56:D57)</f>
        <v>204463</v>
      </c>
      <c r="E55" s="188">
        <f t="shared" ref="E55:F55" si="46">SUM(E56:E57)</f>
        <v>-38</v>
      </c>
      <c r="F55" s="141">
        <f t="shared" si="46"/>
        <v>204425</v>
      </c>
      <c r="G55" s="187">
        <f>SUM(G56:G57)</f>
        <v>16340</v>
      </c>
      <c r="H55" s="188">
        <f t="shared" ref="H55:I55" si="47">SUM(H56:H57)</f>
        <v>63</v>
      </c>
      <c r="I55" s="141">
        <f t="shared" si="47"/>
        <v>16403</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5.5" customHeight="1" x14ac:dyDescent="0.25">
      <c r="A57" s="51">
        <v>1119</v>
      </c>
      <c r="B57" s="89" t="s">
        <v>75</v>
      </c>
      <c r="C57" s="90">
        <f t="shared" si="0"/>
        <v>220828</v>
      </c>
      <c r="D57" s="53">
        <v>204463</v>
      </c>
      <c r="E57" s="54">
        <v>-38</v>
      </c>
      <c r="F57" s="55">
        <f t="shared" si="50"/>
        <v>204425</v>
      </c>
      <c r="G57" s="53">
        <v>16340</v>
      </c>
      <c r="H57" s="54">
        <f>44+19</f>
        <v>63</v>
      </c>
      <c r="I57" s="55">
        <f t="shared" si="51"/>
        <v>16403</v>
      </c>
      <c r="J57" s="53"/>
      <c r="K57" s="54"/>
      <c r="L57" s="55">
        <f t="shared" si="52"/>
        <v>0</v>
      </c>
      <c r="M57" s="53"/>
      <c r="N57" s="54"/>
      <c r="O57" s="55">
        <f t="shared" si="53"/>
        <v>0</v>
      </c>
      <c r="P57" s="57" t="s">
        <v>1869</v>
      </c>
    </row>
    <row r="58" spans="1:16" x14ac:dyDescent="0.25">
      <c r="A58" s="189">
        <v>1140</v>
      </c>
      <c r="B58" s="89" t="s">
        <v>76</v>
      </c>
      <c r="C58" s="90">
        <f t="shared" si="0"/>
        <v>21375</v>
      </c>
      <c r="D58" s="190">
        <f>SUM(D59:D65)</f>
        <v>20984</v>
      </c>
      <c r="E58" s="191">
        <f>SUM(E59:E65)</f>
        <v>38</v>
      </c>
      <c r="F58" s="55">
        <f t="shared" ref="F58" si="54">SUM(F59:F65)</f>
        <v>21022</v>
      </c>
      <c r="G58" s="190">
        <f>SUM(G59:G65)</f>
        <v>280</v>
      </c>
      <c r="H58" s="191">
        <f t="shared" ref="H58:I58" si="55">SUM(H59:H65)</f>
        <v>73</v>
      </c>
      <c r="I58" s="55">
        <f t="shared" si="55"/>
        <v>353</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1290</v>
      </c>
      <c r="D60" s="53">
        <v>1252</v>
      </c>
      <c r="E60" s="54">
        <v>38</v>
      </c>
      <c r="F60" s="55">
        <f t="shared" si="58"/>
        <v>1290</v>
      </c>
      <c r="G60" s="53"/>
      <c r="H60" s="54"/>
      <c r="I60" s="55">
        <f t="shared" si="59"/>
        <v>0</v>
      </c>
      <c r="J60" s="53"/>
      <c r="K60" s="54"/>
      <c r="L60" s="55">
        <f t="shared" si="60"/>
        <v>0</v>
      </c>
      <c r="M60" s="53"/>
      <c r="N60" s="54"/>
      <c r="O60" s="55">
        <f t="shared" si="61"/>
        <v>0</v>
      </c>
      <c r="P60" s="57" t="s">
        <v>1870</v>
      </c>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3.25" customHeight="1" x14ac:dyDescent="0.25">
      <c r="A63" s="51">
        <v>1147</v>
      </c>
      <c r="B63" s="89" t="s">
        <v>81</v>
      </c>
      <c r="C63" s="90">
        <f t="shared" si="0"/>
        <v>3026</v>
      </c>
      <c r="D63" s="53">
        <v>2673</v>
      </c>
      <c r="E63" s="54"/>
      <c r="F63" s="55">
        <f t="shared" si="58"/>
        <v>2673</v>
      </c>
      <c r="G63" s="53">
        <v>280</v>
      </c>
      <c r="H63" s="54">
        <v>73</v>
      </c>
      <c r="I63" s="55">
        <f t="shared" si="59"/>
        <v>353</v>
      </c>
      <c r="J63" s="53"/>
      <c r="K63" s="54"/>
      <c r="L63" s="55">
        <f t="shared" si="60"/>
        <v>0</v>
      </c>
      <c r="M63" s="53"/>
      <c r="N63" s="54"/>
      <c r="O63" s="55">
        <f t="shared" si="61"/>
        <v>0</v>
      </c>
      <c r="P63" s="57" t="s">
        <v>1871</v>
      </c>
    </row>
    <row r="64" spans="1:16" ht="12" customHeight="1" x14ac:dyDescent="0.25">
      <c r="A64" s="51">
        <v>1148</v>
      </c>
      <c r="B64" s="89" t="s">
        <v>82</v>
      </c>
      <c r="C64" s="90">
        <f t="shared" si="0"/>
        <v>11915</v>
      </c>
      <c r="D64" s="53">
        <v>11915</v>
      </c>
      <c r="E64" s="54"/>
      <c r="F64" s="55">
        <f t="shared" si="58"/>
        <v>11915</v>
      </c>
      <c r="G64" s="53"/>
      <c r="H64" s="54"/>
      <c r="I64" s="55">
        <f t="shared" si="59"/>
        <v>0</v>
      </c>
      <c r="J64" s="53"/>
      <c r="K64" s="54"/>
      <c r="L64" s="55">
        <f t="shared" si="60"/>
        <v>0</v>
      </c>
      <c r="M64" s="53"/>
      <c r="N64" s="54"/>
      <c r="O64" s="55">
        <f t="shared" si="61"/>
        <v>0</v>
      </c>
      <c r="P64" s="57"/>
    </row>
    <row r="65" spans="1:16" ht="24" customHeight="1" x14ac:dyDescent="0.25">
      <c r="A65" s="51">
        <v>1149</v>
      </c>
      <c r="B65" s="89" t="s">
        <v>83</v>
      </c>
      <c r="C65" s="90">
        <f t="shared" si="0"/>
        <v>972</v>
      </c>
      <c r="D65" s="53">
        <v>972</v>
      </c>
      <c r="E65" s="54"/>
      <c r="F65" s="55">
        <f t="shared" si="58"/>
        <v>972</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2349</v>
      </c>
      <c r="D66" s="144">
        <v>2349</v>
      </c>
      <c r="E66" s="145"/>
      <c r="F66" s="141">
        <f t="shared" si="58"/>
        <v>2349</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77354</v>
      </c>
      <c r="D67" s="184">
        <f>SUM(D68:D69)</f>
        <v>74942</v>
      </c>
      <c r="E67" s="185">
        <f t="shared" ref="E67:F67" si="62">SUM(E68:E69)</f>
        <v>-2000</v>
      </c>
      <c r="F67" s="73">
        <f t="shared" si="62"/>
        <v>72942</v>
      </c>
      <c r="G67" s="184">
        <f>SUM(G68:G69)</f>
        <v>4309</v>
      </c>
      <c r="H67" s="185">
        <f t="shared" ref="H67:I67" si="63">SUM(H68:H69)</f>
        <v>103</v>
      </c>
      <c r="I67" s="73">
        <f t="shared" si="63"/>
        <v>4412</v>
      </c>
      <c r="J67" s="184">
        <f>SUM(J68:J69)</f>
        <v>0</v>
      </c>
      <c r="K67" s="185">
        <f t="shared" ref="K67:L67" si="64">SUM(K68:K69)</f>
        <v>0</v>
      </c>
      <c r="L67" s="73">
        <f t="shared" si="64"/>
        <v>0</v>
      </c>
      <c r="M67" s="184">
        <f>SUM(M68:M69)</f>
        <v>0</v>
      </c>
      <c r="N67" s="185">
        <f t="shared" ref="N67:O67" si="65">SUM(N68:N69)</f>
        <v>0</v>
      </c>
      <c r="O67" s="73">
        <f t="shared" si="65"/>
        <v>0</v>
      </c>
      <c r="P67" s="77"/>
    </row>
    <row r="68" spans="1:16" ht="29.25" customHeight="1" x14ac:dyDescent="0.25">
      <c r="A68" s="1373">
        <v>1210</v>
      </c>
      <c r="B68" s="82" t="s">
        <v>86</v>
      </c>
      <c r="C68" s="83">
        <f t="shared" si="0"/>
        <v>61543</v>
      </c>
      <c r="D68" s="46">
        <v>57431</v>
      </c>
      <c r="E68" s="47"/>
      <c r="F68" s="134">
        <f>D68+E68</f>
        <v>57431</v>
      </c>
      <c r="G68" s="46">
        <v>4009</v>
      </c>
      <c r="H68" s="47">
        <v>103</v>
      </c>
      <c r="I68" s="134">
        <f>G68+H68</f>
        <v>4112</v>
      </c>
      <c r="J68" s="46"/>
      <c r="K68" s="47"/>
      <c r="L68" s="134">
        <f>K68+J68</f>
        <v>0</v>
      </c>
      <c r="M68" s="46"/>
      <c r="N68" s="47"/>
      <c r="O68" s="134">
        <f>N68+M68</f>
        <v>0</v>
      </c>
      <c r="P68" s="49" t="s">
        <v>1872</v>
      </c>
    </row>
    <row r="69" spans="1:16" ht="24" x14ac:dyDescent="0.25">
      <c r="A69" s="189">
        <v>1220</v>
      </c>
      <c r="B69" s="89" t="s">
        <v>87</v>
      </c>
      <c r="C69" s="90">
        <f t="shared" si="0"/>
        <v>15811</v>
      </c>
      <c r="D69" s="190">
        <f>SUM(D70:D74)</f>
        <v>17511</v>
      </c>
      <c r="E69" s="191">
        <f t="shared" ref="E69:F69" si="66">SUM(E70:E74)</f>
        <v>-2000</v>
      </c>
      <c r="F69" s="55">
        <f t="shared" si="66"/>
        <v>15511</v>
      </c>
      <c r="G69" s="190">
        <f>SUM(G70:G74)</f>
        <v>300</v>
      </c>
      <c r="H69" s="191">
        <f t="shared" ref="H69:I69" si="67">SUM(H70:H74)</f>
        <v>0</v>
      </c>
      <c r="I69" s="55">
        <f t="shared" si="67"/>
        <v>300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10908</v>
      </c>
      <c r="D70" s="53">
        <v>10608</v>
      </c>
      <c r="E70" s="54"/>
      <c r="F70" s="55">
        <f t="shared" ref="F70:F74" si="70">D70+E70</f>
        <v>10608</v>
      </c>
      <c r="G70" s="53">
        <v>300</v>
      </c>
      <c r="H70" s="54"/>
      <c r="I70" s="55">
        <f t="shared" ref="I70:I74" si="71">G70+H70</f>
        <v>300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4403</v>
      </c>
      <c r="D73" s="53">
        <v>6403</v>
      </c>
      <c r="E73" s="54">
        <v>-2000</v>
      </c>
      <c r="F73" s="55">
        <f t="shared" si="70"/>
        <v>4403</v>
      </c>
      <c r="G73" s="53"/>
      <c r="H73" s="54"/>
      <c r="I73" s="55">
        <f t="shared" si="71"/>
        <v>0</v>
      </c>
      <c r="J73" s="53"/>
      <c r="K73" s="54"/>
      <c r="L73" s="55">
        <f t="shared" si="72"/>
        <v>0</v>
      </c>
      <c r="M73" s="53"/>
      <c r="N73" s="54"/>
      <c r="O73" s="55">
        <f t="shared" si="73"/>
        <v>0</v>
      </c>
      <c r="P73" s="57" t="s">
        <v>1873</v>
      </c>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54470</v>
      </c>
      <c r="D75" s="179">
        <f>SUM(D76,D83,D130,D164,D165,D172)</f>
        <v>52065</v>
      </c>
      <c r="E75" s="180">
        <f t="shared" ref="E75:F75" si="74">SUM(E76,E83,E130,E164,E165,E172)</f>
        <v>2000</v>
      </c>
      <c r="F75" s="181">
        <f t="shared" si="74"/>
        <v>54065</v>
      </c>
      <c r="G75" s="179">
        <f>SUM(G76,G83,G130,G164,G165,G172)</f>
        <v>400</v>
      </c>
      <c r="H75" s="180">
        <f t="shared" ref="H75:I75" si="75">SUM(H76,H83,H130,H164,H165,H172)</f>
        <v>0</v>
      </c>
      <c r="I75" s="181">
        <f t="shared" si="75"/>
        <v>400</v>
      </c>
      <c r="J75" s="179">
        <f>SUM(J76,J83,J130,J164,J165,J172)</f>
        <v>5</v>
      </c>
      <c r="K75" s="180">
        <f t="shared" ref="K75:L75" si="76">SUM(K76,K83,K130,K164,K165,K172)</f>
        <v>0</v>
      </c>
      <c r="L75" s="181">
        <f t="shared" si="76"/>
        <v>5</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46595</v>
      </c>
      <c r="D83" s="184">
        <f>SUM(D84,D89,D95,D103,D112,D116,D122,D128)</f>
        <v>44325</v>
      </c>
      <c r="E83" s="185">
        <f t="shared" ref="E83:F83" si="98">SUM(E84,E89,E95,E103,E112,E116,E122,E128)</f>
        <v>2265</v>
      </c>
      <c r="F83" s="73">
        <f t="shared" si="98"/>
        <v>46590</v>
      </c>
      <c r="G83" s="184">
        <f>SUM(G84,G89,G95,G103,G112,G116,G122,G128)</f>
        <v>0</v>
      </c>
      <c r="H83" s="185">
        <f t="shared" ref="H83:I83" si="99">SUM(H84,H89,H95,H103,H112,H116,H122,H128)</f>
        <v>0</v>
      </c>
      <c r="I83" s="73">
        <f t="shared" si="99"/>
        <v>0</v>
      </c>
      <c r="J83" s="184">
        <f>SUM(J84,J89,J95,J103,J112,J116,J122,J128)</f>
        <v>5</v>
      </c>
      <c r="K83" s="185">
        <f t="shared" ref="K83:L83" si="100">SUM(K84,K89,K95,K103,K112,K116,K122,K128)</f>
        <v>0</v>
      </c>
      <c r="L83" s="73">
        <f t="shared" si="100"/>
        <v>5</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676</v>
      </c>
      <c r="D84" s="187">
        <f>SUM(D85:D88)</f>
        <v>671</v>
      </c>
      <c r="E84" s="188">
        <f t="shared" ref="E84:F84" si="103">SUM(E85:E88)</f>
        <v>0</v>
      </c>
      <c r="F84" s="141">
        <f t="shared" si="103"/>
        <v>671</v>
      </c>
      <c r="G84" s="187">
        <f>SUM(G85:G88)</f>
        <v>0</v>
      </c>
      <c r="H84" s="188">
        <f t="shared" ref="H84:I84" si="104">SUM(H85:H88)</f>
        <v>0</v>
      </c>
      <c r="I84" s="141">
        <f t="shared" si="104"/>
        <v>0</v>
      </c>
      <c r="J84" s="187">
        <f>SUM(J85:J88)</f>
        <v>5</v>
      </c>
      <c r="K84" s="188">
        <f t="shared" ref="K84:L84" si="105">SUM(K85:K88)</f>
        <v>0</v>
      </c>
      <c r="L84" s="141">
        <f t="shared" si="105"/>
        <v>5</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646</v>
      </c>
      <c r="D86" s="196">
        <v>641</v>
      </c>
      <c r="E86" s="197"/>
      <c r="F86" s="55">
        <f t="shared" si="107"/>
        <v>641</v>
      </c>
      <c r="G86" s="53"/>
      <c r="H86" s="54"/>
      <c r="I86" s="55">
        <f t="shared" si="108"/>
        <v>0</v>
      </c>
      <c r="J86" s="53">
        <v>5</v>
      </c>
      <c r="K86" s="54"/>
      <c r="L86" s="55">
        <f t="shared" si="109"/>
        <v>5</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30</v>
      </c>
      <c r="D88" s="196">
        <v>30</v>
      </c>
      <c r="E88" s="197"/>
      <c r="F88" s="55">
        <f t="shared" si="107"/>
        <v>30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31777</v>
      </c>
      <c r="D89" s="190">
        <f>SUM(D90:D94)</f>
        <v>31777</v>
      </c>
      <c r="E89" s="191">
        <f t="shared" ref="E89:F89" si="111">SUM(E90:E94)</f>
        <v>0</v>
      </c>
      <c r="F89" s="55">
        <f t="shared" si="111"/>
        <v>31777</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90">
        <f t="shared" si="102"/>
        <v>31055</v>
      </c>
      <c r="D92" s="196">
        <v>31055</v>
      </c>
      <c r="E92" s="197"/>
      <c r="F92" s="55">
        <f t="shared" si="115"/>
        <v>31055</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90">
        <f t="shared" si="102"/>
        <v>722</v>
      </c>
      <c r="D93" s="196">
        <v>722</v>
      </c>
      <c r="E93" s="197"/>
      <c r="F93" s="55">
        <f t="shared" si="115"/>
        <v>722</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1139</v>
      </c>
      <c r="D95" s="190">
        <f>SUM(D96:D102)</f>
        <v>1139</v>
      </c>
      <c r="E95" s="191">
        <f t="shared" ref="E95:F95" si="119">SUM(E96:E102)</f>
        <v>0</v>
      </c>
      <c r="F95" s="55">
        <f t="shared" si="119"/>
        <v>1139</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1139</v>
      </c>
      <c r="D102" s="196">
        <v>1139</v>
      </c>
      <c r="E102" s="197"/>
      <c r="F102" s="55">
        <f t="shared" si="123"/>
        <v>1139</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11914</v>
      </c>
      <c r="D103" s="190">
        <f>SUM(D104:D111)</f>
        <v>9649</v>
      </c>
      <c r="E103" s="191">
        <f t="shared" ref="E103:F103" si="127">SUM(E104:E111)</f>
        <v>2265</v>
      </c>
      <c r="F103" s="55">
        <f t="shared" si="127"/>
        <v>11914</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680</v>
      </c>
      <c r="D106" s="196">
        <v>680</v>
      </c>
      <c r="E106" s="197"/>
      <c r="F106" s="55">
        <f t="shared" si="131"/>
        <v>680</v>
      </c>
      <c r="G106" s="53"/>
      <c r="H106" s="54"/>
      <c r="I106" s="55">
        <f t="shared" si="132"/>
        <v>0</v>
      </c>
      <c r="J106" s="53"/>
      <c r="K106" s="54"/>
      <c r="L106" s="55">
        <f t="shared" si="133"/>
        <v>0</v>
      </c>
      <c r="M106" s="53"/>
      <c r="N106" s="54"/>
      <c r="O106" s="55">
        <f t="shared" si="134"/>
        <v>0</v>
      </c>
      <c r="P106" s="57"/>
    </row>
    <row r="107" spans="1:16" ht="31.5" customHeight="1" x14ac:dyDescent="0.25">
      <c r="A107" s="51">
        <v>2244</v>
      </c>
      <c r="B107" s="89" t="s">
        <v>123</v>
      </c>
      <c r="C107" s="90">
        <f t="shared" si="102"/>
        <v>11234</v>
      </c>
      <c r="D107" s="196">
        <v>8969</v>
      </c>
      <c r="E107" s="197">
        <v>2265</v>
      </c>
      <c r="F107" s="55">
        <f t="shared" si="131"/>
        <v>11234</v>
      </c>
      <c r="G107" s="53"/>
      <c r="H107" s="54"/>
      <c r="I107" s="55">
        <f t="shared" si="132"/>
        <v>0</v>
      </c>
      <c r="J107" s="53"/>
      <c r="K107" s="54"/>
      <c r="L107" s="55">
        <f t="shared" si="133"/>
        <v>0</v>
      </c>
      <c r="M107" s="53"/>
      <c r="N107" s="54"/>
      <c r="O107" s="55">
        <f t="shared" si="134"/>
        <v>0</v>
      </c>
      <c r="P107" s="57" t="s">
        <v>1874</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331</v>
      </c>
      <c r="D112" s="190">
        <f>SUM(D113:D115)</f>
        <v>331</v>
      </c>
      <c r="E112" s="191">
        <f t="shared" ref="E112:F112" si="135">SUM(E113:E115)</f>
        <v>0</v>
      </c>
      <c r="F112" s="55">
        <f t="shared" si="135"/>
        <v>331</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165</v>
      </c>
      <c r="D114" s="196">
        <v>165</v>
      </c>
      <c r="E114" s="197"/>
      <c r="F114" s="55">
        <f t="shared" si="139"/>
        <v>165</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732</v>
      </c>
      <c r="D122" s="190">
        <f>SUM(D123:D127)</f>
        <v>732</v>
      </c>
      <c r="E122" s="191">
        <f t="shared" ref="E122:F122" si="151">SUM(E123:E127)</f>
        <v>0</v>
      </c>
      <c r="F122" s="55">
        <f t="shared" si="151"/>
        <v>732</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732</v>
      </c>
      <c r="D127" s="196">
        <v>732</v>
      </c>
      <c r="E127" s="197"/>
      <c r="F127" s="55">
        <f t="shared" si="155"/>
        <v>732</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7785</v>
      </c>
      <c r="D130" s="184">
        <f>SUM(D131,D136,D140,D141,D144,D151,D159,D160,D163)</f>
        <v>7650</v>
      </c>
      <c r="E130" s="185">
        <f t="shared" ref="E130:F130" si="160">SUM(E131,E136,E140,E141,E144,E151,E159,E160,E163)</f>
        <v>-265</v>
      </c>
      <c r="F130" s="73">
        <f t="shared" si="160"/>
        <v>7385</v>
      </c>
      <c r="G130" s="184">
        <f>SUM(G131,G136,G140,G141,G144,G151,G159,G160,G163)</f>
        <v>400</v>
      </c>
      <c r="H130" s="185">
        <f t="shared" ref="H130:I130" si="161">SUM(H131,H136,H140,H141,H144,H151,H159,H160,H163)</f>
        <v>0</v>
      </c>
      <c r="I130" s="73">
        <f t="shared" si="161"/>
        <v>400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1803</v>
      </c>
      <c r="D131" s="194">
        <f t="shared" ref="D131:O131" si="164">SUM(D132:D135)</f>
        <v>2068</v>
      </c>
      <c r="E131" s="195">
        <f t="shared" si="164"/>
        <v>-265</v>
      </c>
      <c r="F131" s="134">
        <f t="shared" si="164"/>
        <v>1803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0.25" customHeight="1" x14ac:dyDescent="0.25">
      <c r="A132" s="51">
        <v>2311</v>
      </c>
      <c r="B132" s="89" t="s">
        <v>148</v>
      </c>
      <c r="C132" s="90">
        <f t="shared" si="102"/>
        <v>730</v>
      </c>
      <c r="D132" s="196">
        <v>995</v>
      </c>
      <c r="E132" s="197">
        <v>-265</v>
      </c>
      <c r="F132" s="55">
        <f t="shared" ref="F132:F135" si="165">D132+E132</f>
        <v>730</v>
      </c>
      <c r="G132" s="53"/>
      <c r="H132" s="54"/>
      <c r="I132" s="55">
        <f t="shared" ref="I132:I135" si="166">G132+H132</f>
        <v>0</v>
      </c>
      <c r="J132" s="53"/>
      <c r="K132" s="54"/>
      <c r="L132" s="55">
        <f t="shared" ref="L132:L135" si="167">K132+J132</f>
        <v>0</v>
      </c>
      <c r="M132" s="53"/>
      <c r="N132" s="54"/>
      <c r="O132" s="55">
        <f t="shared" ref="O132:O135" si="168">N132+M132</f>
        <v>0</v>
      </c>
      <c r="P132" s="57" t="s">
        <v>1875</v>
      </c>
    </row>
    <row r="133" spans="1:16" ht="12" customHeight="1" x14ac:dyDescent="0.25">
      <c r="A133" s="51">
        <v>2312</v>
      </c>
      <c r="B133" s="89" t="s">
        <v>149</v>
      </c>
      <c r="C133" s="90">
        <f t="shared" si="102"/>
        <v>797</v>
      </c>
      <c r="D133" s="196">
        <v>797</v>
      </c>
      <c r="E133" s="197"/>
      <c r="F133" s="55">
        <f t="shared" si="165"/>
        <v>797</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9" t="s">
        <v>150</v>
      </c>
      <c r="C134" s="90">
        <f t="shared" si="102"/>
        <v>186</v>
      </c>
      <c r="D134" s="196">
        <v>186</v>
      </c>
      <c r="E134" s="197"/>
      <c r="F134" s="55">
        <f t="shared" si="165"/>
        <v>186</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90</v>
      </c>
      <c r="D135" s="196">
        <v>90</v>
      </c>
      <c r="E135" s="197"/>
      <c r="F135" s="55">
        <f t="shared" si="165"/>
        <v>90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114</v>
      </c>
      <c r="D136" s="190">
        <f>SUM(D137:D139)</f>
        <v>114</v>
      </c>
      <c r="E136" s="191">
        <f t="shared" ref="E136:F136" si="169">SUM(E137:E139)</f>
        <v>0</v>
      </c>
      <c r="F136" s="55">
        <f t="shared" si="169"/>
        <v>114</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114</v>
      </c>
      <c r="D138" s="196">
        <v>114</v>
      </c>
      <c r="E138" s="197"/>
      <c r="F138" s="55">
        <f t="shared" si="173"/>
        <v>114</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90</v>
      </c>
      <c r="D141" s="190">
        <f>SUM(D142:D143)</f>
        <v>90</v>
      </c>
      <c r="E141" s="191">
        <f t="shared" ref="E141:F141" si="177">SUM(E142:E143)</f>
        <v>0</v>
      </c>
      <c r="F141" s="55">
        <f t="shared" si="177"/>
        <v>90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90</v>
      </c>
      <c r="D142" s="196">
        <v>90</v>
      </c>
      <c r="E142" s="197"/>
      <c r="F142" s="55">
        <f t="shared" ref="F142:F143" si="181">D142+E142</f>
        <v>90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2867</v>
      </c>
      <c r="D144" s="187">
        <f>SUM(D145:D150)</f>
        <v>2867</v>
      </c>
      <c r="E144" s="188">
        <f t="shared" ref="E144:F144" si="185">SUM(E145:E150)</f>
        <v>0</v>
      </c>
      <c r="F144" s="141">
        <f t="shared" si="185"/>
        <v>2867</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460</v>
      </c>
      <c r="D145" s="199">
        <v>460</v>
      </c>
      <c r="E145" s="200"/>
      <c r="F145" s="134">
        <f t="shared" ref="F145:F150" si="189">D145+E145</f>
        <v>460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2407</v>
      </c>
      <c r="D146" s="196">
        <v>2407</v>
      </c>
      <c r="E146" s="197"/>
      <c r="F146" s="55">
        <f t="shared" si="189"/>
        <v>2407</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1249</v>
      </c>
      <c r="D151" s="190">
        <f>SUM(D152:D158)</f>
        <v>1249</v>
      </c>
      <c r="E151" s="191">
        <f t="shared" ref="E151:F151" si="194">SUM(E152:E158)</f>
        <v>0</v>
      </c>
      <c r="F151" s="55">
        <f t="shared" si="194"/>
        <v>1249</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851</v>
      </c>
      <c r="D152" s="196">
        <v>851</v>
      </c>
      <c r="E152" s="197"/>
      <c r="F152" s="55">
        <f t="shared" ref="F152:F159" si="198">D152+E152</f>
        <v>851</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398</v>
      </c>
      <c r="D153" s="196">
        <v>398</v>
      </c>
      <c r="E153" s="197"/>
      <c r="F153" s="55">
        <f t="shared" si="198"/>
        <v>398</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1662</v>
      </c>
      <c r="D159" s="203">
        <v>1262</v>
      </c>
      <c r="E159" s="204"/>
      <c r="F159" s="141">
        <f t="shared" si="198"/>
        <v>1262</v>
      </c>
      <c r="G159" s="144">
        <v>400</v>
      </c>
      <c r="H159" s="145"/>
      <c r="I159" s="141">
        <f t="shared" si="199"/>
        <v>400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90</v>
      </c>
      <c r="D165" s="184">
        <f>SUM(D166,D171)</f>
        <v>90</v>
      </c>
      <c r="E165" s="185">
        <f t="shared" ref="E165:O165" si="210">SUM(E166,E171)</f>
        <v>0</v>
      </c>
      <c r="F165" s="73">
        <f t="shared" si="210"/>
        <v>90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1373">
        <v>2510</v>
      </c>
      <c r="B166" s="82" t="s">
        <v>182</v>
      </c>
      <c r="C166" s="83">
        <f t="shared" si="193"/>
        <v>90</v>
      </c>
      <c r="D166" s="194">
        <f>SUM(D167:D170)</f>
        <v>90</v>
      </c>
      <c r="E166" s="195">
        <f t="shared" ref="E166:O166" si="211">SUM(E167:E170)</f>
        <v>0</v>
      </c>
      <c r="F166" s="134">
        <f t="shared" si="211"/>
        <v>90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customHeight="1" x14ac:dyDescent="0.25">
      <c r="A169" s="51">
        <v>2515</v>
      </c>
      <c r="B169" s="89" t="s">
        <v>185</v>
      </c>
      <c r="C169" s="90">
        <f t="shared" si="193"/>
        <v>90</v>
      </c>
      <c r="D169" s="196">
        <v>90</v>
      </c>
      <c r="E169" s="197"/>
      <c r="F169" s="55">
        <f t="shared" si="212"/>
        <v>90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3516</v>
      </c>
      <c r="D194" s="173">
        <f t="shared" ref="D194:O194" si="259">SUM(D195,D230,D269,D283)</f>
        <v>3400</v>
      </c>
      <c r="E194" s="174">
        <f t="shared" si="259"/>
        <v>0</v>
      </c>
      <c r="F194" s="175">
        <f t="shared" si="259"/>
        <v>3400</v>
      </c>
      <c r="G194" s="173">
        <f t="shared" si="259"/>
        <v>116</v>
      </c>
      <c r="H194" s="174">
        <f t="shared" si="259"/>
        <v>0</v>
      </c>
      <c r="I194" s="175">
        <f t="shared" si="259"/>
        <v>116</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3516</v>
      </c>
      <c r="D195" s="179">
        <f>D196+D204</f>
        <v>3400</v>
      </c>
      <c r="E195" s="180">
        <f t="shared" ref="E195:F195" si="260">E196+E204</f>
        <v>0</v>
      </c>
      <c r="F195" s="181">
        <f t="shared" si="260"/>
        <v>3400</v>
      </c>
      <c r="G195" s="179">
        <f>G196+G204</f>
        <v>116</v>
      </c>
      <c r="H195" s="180">
        <f t="shared" ref="H195:I195" si="261">H196+H204</f>
        <v>0</v>
      </c>
      <c r="I195" s="181">
        <f t="shared" si="261"/>
        <v>116</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3516</v>
      </c>
      <c r="D204" s="184">
        <f>D205+D215+D216+D225+D226+D227+D229</f>
        <v>3400</v>
      </c>
      <c r="E204" s="185">
        <f t="shared" ref="E204:F204" si="276">E205+E215+E216+E225+E226+E227+E229</f>
        <v>0</v>
      </c>
      <c r="F204" s="73">
        <f t="shared" si="276"/>
        <v>3400</v>
      </c>
      <c r="G204" s="184">
        <f>G205+G215+G216+G225+G226+G227+G229</f>
        <v>116</v>
      </c>
      <c r="H204" s="185">
        <f t="shared" ref="H204:I204" si="277">H205+H215+H216+H225+H226+H227+H229</f>
        <v>0</v>
      </c>
      <c r="I204" s="73">
        <f t="shared" si="277"/>
        <v>116</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3516</v>
      </c>
      <c r="D216" s="190">
        <f>SUM(D217:D224)</f>
        <v>3400</v>
      </c>
      <c r="E216" s="191">
        <f t="shared" ref="E216:F216" si="289">SUM(E217:E224)</f>
        <v>0</v>
      </c>
      <c r="F216" s="55">
        <f t="shared" si="289"/>
        <v>3400</v>
      </c>
      <c r="G216" s="190">
        <f>SUM(G217:G224)</f>
        <v>116</v>
      </c>
      <c r="H216" s="191">
        <f t="shared" ref="H216:I216" si="290">SUM(H217:H224)</f>
        <v>0</v>
      </c>
      <c r="I216" s="55">
        <f t="shared" si="290"/>
        <v>116</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116</v>
      </c>
      <c r="D219" s="196"/>
      <c r="E219" s="197"/>
      <c r="F219" s="55">
        <f t="shared" si="293"/>
        <v>0</v>
      </c>
      <c r="G219" s="53">
        <v>116</v>
      </c>
      <c r="H219" s="54"/>
      <c r="I219" s="55">
        <f t="shared" si="294"/>
        <v>116</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3400</v>
      </c>
      <c r="D223" s="196">
        <v>3400</v>
      </c>
      <c r="E223" s="197"/>
      <c r="F223" s="55">
        <f t="shared" si="293"/>
        <v>3400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379892</v>
      </c>
      <c r="D289" s="252">
        <f t="shared" ref="D289:O289" si="389">SUM(D286,D269,D230,D195,D187,D173,D75,D53,D283)</f>
        <v>358203</v>
      </c>
      <c r="E289" s="253">
        <f t="shared" si="389"/>
        <v>0</v>
      </c>
      <c r="F289" s="254">
        <f t="shared" si="389"/>
        <v>358203</v>
      </c>
      <c r="G289" s="252">
        <f t="shared" si="389"/>
        <v>21445</v>
      </c>
      <c r="H289" s="253">
        <f t="shared" si="389"/>
        <v>239</v>
      </c>
      <c r="I289" s="254">
        <f t="shared" si="389"/>
        <v>21684</v>
      </c>
      <c r="J289" s="252">
        <f t="shared" si="389"/>
        <v>5</v>
      </c>
      <c r="K289" s="253">
        <f t="shared" si="389"/>
        <v>0</v>
      </c>
      <c r="L289" s="254">
        <f t="shared" si="389"/>
        <v>5</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4MlJnowx40lZF3zMHwFcEtM6OURiDjNkq6jhEUwRMildaz3wF/ND+aklETCVPn28kbLPNlQobm60IHp+IjmCpw==" saltValue="cQmR1houTE14RPbHRLB0uw==" spinCount="100000" sheet="1" objects="1" scenarios="1" formatCells="0" formatColumns="0" formatRows="0" deleteColumns="0"/>
  <autoFilter ref="A18:P301">
    <filterColumn colId="2">
      <filters>
        <filter val="1 139"/>
        <filter val="1 249"/>
        <filter val="1 290"/>
        <filter val="1 662"/>
        <filter val="1 803"/>
        <filter val="10 908"/>
        <filter val="11 234"/>
        <filter val="11 914"/>
        <filter val="11 915"/>
        <filter val="114"/>
        <filter val="116"/>
        <filter val="15 811"/>
        <filter val="165"/>
        <filter val="166"/>
        <filter val="186"/>
        <filter val="2 349"/>
        <filter val="2 407"/>
        <filter val="2 867"/>
        <filter val="21 375"/>
        <filter val="220 828"/>
        <filter val="244 552"/>
        <filter val="26"/>
        <filter val="3 026"/>
        <filter val="3 400"/>
        <filter val="3 516"/>
        <filter val="30"/>
        <filter val="31 055"/>
        <filter val="31 777"/>
        <filter val="321 906"/>
        <filter val="331"/>
        <filter val="376 376"/>
        <filter val="379 887"/>
        <filter val="379 892"/>
        <filter val="398"/>
        <filter val="4 172"/>
        <filter val="4 403"/>
        <filter val="46 595"/>
        <filter val="460"/>
        <filter val="5"/>
        <filter val="500"/>
        <filter val="54 470"/>
        <filter val="61 543"/>
        <filter val="646"/>
        <filter val="676"/>
        <filter val="680"/>
        <filter val="7 785"/>
        <filter val="722"/>
        <filter val="730"/>
        <filter val="732"/>
        <filter val="77 354"/>
        <filter val="797"/>
        <filter val="851"/>
        <filter val="90"/>
        <filter val="97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70.pielikums Jūrmalas pilsētas domes
2019.gada 31.oktobra saistošajiem noteikumiem Nr.46
(protokols Nr.14, 28.punkts)
 </firstHeader>
    <firstFooter>&amp;L&amp;9&amp;D; &amp;T&amp;R&amp;9&amp;P (&amp;N)</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T3" sqref="T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1800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1801</v>
      </c>
      <c r="D3" s="1517"/>
      <c r="E3" s="1517"/>
      <c r="F3" s="1517"/>
      <c r="G3" s="1517"/>
      <c r="H3" s="1517"/>
      <c r="I3" s="1517"/>
      <c r="J3" s="1517"/>
      <c r="K3" s="1517"/>
      <c r="L3" s="1517"/>
      <c r="M3" s="1517"/>
      <c r="N3" s="1517"/>
      <c r="O3" s="1517"/>
      <c r="P3" s="1518"/>
      <c r="Q3" s="277"/>
    </row>
    <row r="4" spans="1:17" ht="12.75" customHeight="1" x14ac:dyDescent="0.25">
      <c r="A4" s="5" t="s">
        <v>4</v>
      </c>
      <c r="B4" s="6"/>
      <c r="C4" s="1517" t="s">
        <v>1802</v>
      </c>
      <c r="D4" s="1517"/>
      <c r="E4" s="1517"/>
      <c r="F4" s="1517"/>
      <c r="G4" s="1517"/>
      <c r="H4" s="1517"/>
      <c r="I4" s="1517"/>
      <c r="J4" s="1517"/>
      <c r="K4" s="1517"/>
      <c r="L4" s="1517"/>
      <c r="M4" s="1517"/>
      <c r="N4" s="1517"/>
      <c r="O4" s="1517"/>
      <c r="P4" s="1518"/>
      <c r="Q4" s="277"/>
    </row>
    <row r="5" spans="1:17" ht="12.75" customHeight="1" x14ac:dyDescent="0.25">
      <c r="A5" s="7" t="s">
        <v>6</v>
      </c>
      <c r="B5" s="8"/>
      <c r="C5" s="1512" t="s">
        <v>1803</v>
      </c>
      <c r="D5" s="1512"/>
      <c r="E5" s="1512"/>
      <c r="F5" s="1512"/>
      <c r="G5" s="1512"/>
      <c r="H5" s="1512"/>
      <c r="I5" s="1512"/>
      <c r="J5" s="1512"/>
      <c r="K5" s="1512"/>
      <c r="L5" s="1512"/>
      <c r="M5" s="1512"/>
      <c r="N5" s="1512"/>
      <c r="O5" s="1512"/>
      <c r="P5" s="1513"/>
      <c r="Q5" s="277"/>
    </row>
    <row r="6" spans="1:17" ht="12.75" customHeight="1" x14ac:dyDescent="0.25">
      <c r="A6" s="7" t="s">
        <v>8</v>
      </c>
      <c r="B6" s="8"/>
      <c r="C6" s="1512" t="s">
        <v>1492</v>
      </c>
      <c r="D6" s="1512"/>
      <c r="E6" s="1512"/>
      <c r="F6" s="1512"/>
      <c r="G6" s="1512"/>
      <c r="H6" s="1512"/>
      <c r="I6" s="1512"/>
      <c r="J6" s="1512"/>
      <c r="K6" s="1512"/>
      <c r="L6" s="1512"/>
      <c r="M6" s="1512"/>
      <c r="N6" s="1512"/>
      <c r="O6" s="1512"/>
      <c r="P6" s="1513"/>
      <c r="Q6" s="277"/>
    </row>
    <row r="7" spans="1:17" ht="26.25" customHeight="1" x14ac:dyDescent="0.25">
      <c r="A7" s="7" t="s">
        <v>10</v>
      </c>
      <c r="B7" s="8"/>
      <c r="C7" s="1517" t="s">
        <v>1604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1804</v>
      </c>
      <c r="D9" s="1512"/>
      <c r="E9" s="1512"/>
      <c r="F9" s="1512"/>
      <c r="G9" s="1512"/>
      <c r="H9" s="1512"/>
      <c r="I9" s="1512"/>
      <c r="J9" s="1512"/>
      <c r="K9" s="1512"/>
      <c r="L9" s="1512"/>
      <c r="M9" s="1512"/>
      <c r="N9" s="1512"/>
      <c r="O9" s="1512"/>
      <c r="P9" s="1513"/>
      <c r="Q9" s="277"/>
    </row>
    <row r="10" spans="1:17" ht="12.75" customHeight="1" x14ac:dyDescent="0.25">
      <c r="A10" s="7"/>
      <c r="B10" s="8" t="s">
        <v>15</v>
      </c>
      <c r="C10" s="1512" t="s">
        <v>1805</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1806</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679776</v>
      </c>
      <c r="D20" s="32">
        <f>SUM(D21,D24,D25,D41,D43)</f>
        <v>580135</v>
      </c>
      <c r="E20" s="33">
        <f t="shared" ref="E20:F20" si="1">SUM(E21,E24,E25,E41,E43)</f>
        <v>0</v>
      </c>
      <c r="F20" s="34">
        <f t="shared" si="1"/>
        <v>580135</v>
      </c>
      <c r="G20" s="32">
        <f>SUM(G21,G24,G43)</f>
        <v>85342</v>
      </c>
      <c r="H20" s="33">
        <f t="shared" ref="H20:I20" si="2">SUM(H21,H24,H43)</f>
        <v>6251</v>
      </c>
      <c r="I20" s="34">
        <f t="shared" si="2"/>
        <v>91593</v>
      </c>
      <c r="J20" s="32">
        <f>SUM(J21,J26,J43)</f>
        <v>8048</v>
      </c>
      <c r="K20" s="33">
        <f t="shared" ref="K20:L20" si="3">SUM(K21,K26,K43)</f>
        <v>0</v>
      </c>
      <c r="L20" s="34">
        <f t="shared" si="3"/>
        <v>8048</v>
      </c>
      <c r="M20" s="32">
        <f>SUM(M21,M45)</f>
        <v>0</v>
      </c>
      <c r="N20" s="33">
        <f t="shared" ref="N20:O20" si="4">SUM(N21,N45)</f>
        <v>0</v>
      </c>
      <c r="O20" s="34">
        <f t="shared" si="4"/>
        <v>0</v>
      </c>
      <c r="P20" s="35"/>
    </row>
    <row r="21" spans="1:16" ht="12.75" thickTop="1" x14ac:dyDescent="0.25">
      <c r="A21" s="36"/>
      <c r="B21" s="37" t="s">
        <v>39</v>
      </c>
      <c r="C21" s="38">
        <f t="shared" si="0"/>
        <v>81</v>
      </c>
      <c r="D21" s="39">
        <f>SUM(D22:D23)</f>
        <v>0</v>
      </c>
      <c r="E21" s="40">
        <f t="shared" ref="E21:F21" si="5">SUM(E22:E23)</f>
        <v>0</v>
      </c>
      <c r="F21" s="41">
        <f t="shared" si="5"/>
        <v>0</v>
      </c>
      <c r="G21" s="39">
        <f>SUM(G22:G23)</f>
        <v>0</v>
      </c>
      <c r="H21" s="40">
        <f t="shared" ref="H21:I21" si="6">SUM(H22:H23)</f>
        <v>0</v>
      </c>
      <c r="I21" s="41">
        <f t="shared" si="6"/>
        <v>0</v>
      </c>
      <c r="J21" s="39">
        <f>SUM(J22:J23)</f>
        <v>81</v>
      </c>
      <c r="K21" s="40">
        <f t="shared" ref="K21:L21" si="7">SUM(K22:K23)</f>
        <v>0</v>
      </c>
      <c r="L21" s="41">
        <f t="shared" si="7"/>
        <v>81</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32.25" customHeight="1" x14ac:dyDescent="0.25">
      <c r="A23" s="464"/>
      <c r="B23" s="345" t="s">
        <v>41</v>
      </c>
      <c r="C23" s="465">
        <f t="shared" si="0"/>
        <v>81</v>
      </c>
      <c r="D23" s="348"/>
      <c r="E23" s="349"/>
      <c r="F23" s="350">
        <f t="shared" ref="F23:F25" si="9">D23+E23</f>
        <v>0</v>
      </c>
      <c r="G23" s="348"/>
      <c r="H23" s="349"/>
      <c r="I23" s="350">
        <f t="shared" ref="I23:I24" si="10">G23+H23</f>
        <v>0</v>
      </c>
      <c r="J23" s="348">
        <v>81</v>
      </c>
      <c r="K23" s="349"/>
      <c r="L23" s="466">
        <f>K23+J23</f>
        <v>81</v>
      </c>
      <c r="M23" s="348"/>
      <c r="N23" s="349"/>
      <c r="O23" s="350">
        <f>N23+M23</f>
        <v>0</v>
      </c>
      <c r="P23" s="1435"/>
    </row>
    <row r="24" spans="1:16" s="28" customFormat="1" ht="24.75" customHeight="1" thickBot="1" x14ac:dyDescent="0.3">
      <c r="A24" s="58">
        <v>19300</v>
      </c>
      <c r="B24" s="58" t="s">
        <v>42</v>
      </c>
      <c r="C24" s="59">
        <f>F24+I24</f>
        <v>671728</v>
      </c>
      <c r="D24" s="60">
        <v>580135</v>
      </c>
      <c r="E24" s="63"/>
      <c r="F24" s="62">
        <f t="shared" si="9"/>
        <v>580135</v>
      </c>
      <c r="G24" s="60">
        <v>85342</v>
      </c>
      <c r="H24" s="63">
        <v>6251</v>
      </c>
      <c r="I24" s="62">
        <f t="shared" si="10"/>
        <v>91593</v>
      </c>
      <c r="J24" s="64" t="s">
        <v>43</v>
      </c>
      <c r="K24" s="65" t="s">
        <v>43</v>
      </c>
      <c r="L24" s="66" t="s">
        <v>43</v>
      </c>
      <c r="M24" s="64" t="s">
        <v>43</v>
      </c>
      <c r="N24" s="65" t="s">
        <v>43</v>
      </c>
      <c r="O24" s="66" t="s">
        <v>43</v>
      </c>
      <c r="P24" s="1436" t="s">
        <v>1807</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7967</v>
      </c>
      <c r="D26" s="74" t="s">
        <v>43</v>
      </c>
      <c r="E26" s="75" t="s">
        <v>43</v>
      </c>
      <c r="F26" s="76" t="s">
        <v>43</v>
      </c>
      <c r="G26" s="74" t="s">
        <v>43</v>
      </c>
      <c r="H26" s="75" t="s">
        <v>43</v>
      </c>
      <c r="I26" s="76" t="s">
        <v>43</v>
      </c>
      <c r="J26" s="78">
        <f>SUM(J27,J31,J33,J36)</f>
        <v>7967</v>
      </c>
      <c r="K26" s="79">
        <f t="shared" ref="K26:L26" si="11">SUM(K27,K31,K33,K36)</f>
        <v>0</v>
      </c>
      <c r="L26" s="80">
        <f t="shared" si="11"/>
        <v>7967</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1065</v>
      </c>
      <c r="D33" s="74" t="s">
        <v>43</v>
      </c>
      <c r="E33" s="75" t="s">
        <v>43</v>
      </c>
      <c r="F33" s="76" t="s">
        <v>43</v>
      </c>
      <c r="G33" s="74" t="s">
        <v>43</v>
      </c>
      <c r="H33" s="75" t="s">
        <v>43</v>
      </c>
      <c r="I33" s="76" t="s">
        <v>43</v>
      </c>
      <c r="J33" s="78">
        <f>SUM(J34:J35)</f>
        <v>1065</v>
      </c>
      <c r="K33" s="79">
        <f t="shared" ref="K33:L33" si="17">SUM(K34:K35)</f>
        <v>0</v>
      </c>
      <c r="L33" s="80">
        <f t="shared" si="17"/>
        <v>1065</v>
      </c>
      <c r="M33" s="78" t="s">
        <v>43</v>
      </c>
      <c r="N33" s="79" t="s">
        <v>43</v>
      </c>
      <c r="O33" s="80" t="s">
        <v>43</v>
      </c>
      <c r="P33" s="77"/>
    </row>
    <row r="34" spans="1:16" ht="12" customHeight="1" x14ac:dyDescent="0.25">
      <c r="A34" s="44">
        <v>21381</v>
      </c>
      <c r="B34" s="82" t="s">
        <v>53</v>
      </c>
      <c r="C34" s="83">
        <f t="shared" si="16"/>
        <v>1065</v>
      </c>
      <c r="D34" s="84" t="s">
        <v>43</v>
      </c>
      <c r="E34" s="85" t="s">
        <v>43</v>
      </c>
      <c r="F34" s="86" t="s">
        <v>43</v>
      </c>
      <c r="G34" s="84" t="s">
        <v>43</v>
      </c>
      <c r="H34" s="85" t="s">
        <v>43</v>
      </c>
      <c r="I34" s="86" t="s">
        <v>43</v>
      </c>
      <c r="J34" s="46">
        <v>1065</v>
      </c>
      <c r="K34" s="47"/>
      <c r="L34" s="48">
        <f t="shared" ref="L34:L35" si="18">K34+J34</f>
        <v>1065</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6902</v>
      </c>
      <c r="D36" s="74" t="s">
        <v>43</v>
      </c>
      <c r="E36" s="75" t="s">
        <v>43</v>
      </c>
      <c r="F36" s="76" t="s">
        <v>43</v>
      </c>
      <c r="G36" s="74" t="s">
        <v>43</v>
      </c>
      <c r="H36" s="75" t="s">
        <v>43</v>
      </c>
      <c r="I36" s="76" t="s">
        <v>43</v>
      </c>
      <c r="J36" s="78">
        <f>SUM(J37:J40)</f>
        <v>6902</v>
      </c>
      <c r="K36" s="79">
        <f t="shared" ref="K36:L36" si="19">SUM(K37:K40)</f>
        <v>0</v>
      </c>
      <c r="L36" s="80">
        <f t="shared" si="19"/>
        <v>6902</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6902</v>
      </c>
      <c r="D40" s="111" t="s">
        <v>43</v>
      </c>
      <c r="E40" s="112" t="s">
        <v>43</v>
      </c>
      <c r="F40" s="113" t="s">
        <v>43</v>
      </c>
      <c r="G40" s="111" t="s">
        <v>43</v>
      </c>
      <c r="H40" s="112" t="s">
        <v>43</v>
      </c>
      <c r="I40" s="113" t="s">
        <v>43</v>
      </c>
      <c r="J40" s="114">
        <v>6902</v>
      </c>
      <c r="K40" s="115"/>
      <c r="L40" s="116">
        <f t="shared" si="20"/>
        <v>6902</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679776</v>
      </c>
      <c r="D50" s="159">
        <f>SUM(D51,D286)</f>
        <v>580135</v>
      </c>
      <c r="E50" s="160">
        <f t="shared" ref="E50:F50" si="26">SUM(E51,E286)</f>
        <v>0</v>
      </c>
      <c r="F50" s="161">
        <f t="shared" si="26"/>
        <v>580135</v>
      </c>
      <c r="G50" s="159">
        <f>SUM(G51,G286)</f>
        <v>85342</v>
      </c>
      <c r="H50" s="160">
        <f>SUM(H51,H286)</f>
        <v>6251</v>
      </c>
      <c r="I50" s="161">
        <f t="shared" ref="I50" si="27">SUM(I51,I286)</f>
        <v>91593</v>
      </c>
      <c r="J50" s="32">
        <f>SUM(J51,J286)</f>
        <v>8048</v>
      </c>
      <c r="K50" s="33">
        <f t="shared" ref="K50:L50" si="28">SUM(K51,K286)</f>
        <v>0</v>
      </c>
      <c r="L50" s="34">
        <f t="shared" si="28"/>
        <v>8048</v>
      </c>
      <c r="M50" s="32">
        <f>SUM(M51,M286)</f>
        <v>0</v>
      </c>
      <c r="N50" s="33">
        <f t="shared" ref="N50:O50" si="29">SUM(N51,N286)</f>
        <v>0</v>
      </c>
      <c r="O50" s="34">
        <f t="shared" si="29"/>
        <v>0</v>
      </c>
      <c r="P50" s="35"/>
    </row>
    <row r="51" spans="1:16" s="28" customFormat="1" ht="36.75" thickTop="1" x14ac:dyDescent="0.25">
      <c r="A51" s="162"/>
      <c r="B51" s="163" t="s">
        <v>69</v>
      </c>
      <c r="C51" s="164">
        <f t="shared" si="0"/>
        <v>679776</v>
      </c>
      <c r="D51" s="165">
        <f>SUM(D52,D194)</f>
        <v>580135</v>
      </c>
      <c r="E51" s="166">
        <f t="shared" ref="E51:F51" si="30">SUM(E52,E194)</f>
        <v>0</v>
      </c>
      <c r="F51" s="167">
        <f t="shared" si="30"/>
        <v>580135</v>
      </c>
      <c r="G51" s="165">
        <f>SUM(G52,G194)</f>
        <v>85342</v>
      </c>
      <c r="H51" s="166">
        <f t="shared" ref="H51:I51" si="31">SUM(H52,H194)</f>
        <v>6251</v>
      </c>
      <c r="I51" s="167">
        <f t="shared" si="31"/>
        <v>91593</v>
      </c>
      <c r="J51" s="168">
        <f>SUM(J52,J194)</f>
        <v>8048</v>
      </c>
      <c r="K51" s="169">
        <f t="shared" ref="K51:L51" si="32">SUM(K52,K194)</f>
        <v>0</v>
      </c>
      <c r="L51" s="170">
        <f t="shared" si="32"/>
        <v>8048</v>
      </c>
      <c r="M51" s="168">
        <f>SUM(M52,M194)</f>
        <v>0</v>
      </c>
      <c r="N51" s="169">
        <f t="shared" ref="N51:O51" si="33">SUM(N52,N194)</f>
        <v>0</v>
      </c>
      <c r="O51" s="170">
        <f t="shared" si="33"/>
        <v>0</v>
      </c>
      <c r="P51" s="171"/>
    </row>
    <row r="52" spans="1:16" s="28" customFormat="1" ht="24" x14ac:dyDescent="0.25">
      <c r="A52" s="24"/>
      <c r="B52" s="22" t="s">
        <v>70</v>
      </c>
      <c r="C52" s="172">
        <f t="shared" si="0"/>
        <v>677055</v>
      </c>
      <c r="D52" s="173">
        <f>SUM(D53,D75,D173,D187)</f>
        <v>577635</v>
      </c>
      <c r="E52" s="174">
        <f t="shared" ref="E52:F52" si="34">SUM(E53,E75,E173,E187)</f>
        <v>279</v>
      </c>
      <c r="F52" s="175">
        <f t="shared" si="34"/>
        <v>577914</v>
      </c>
      <c r="G52" s="173">
        <f>SUM(G53,G75,G173,G187)</f>
        <v>84842</v>
      </c>
      <c r="H52" s="174">
        <f t="shared" ref="H52:I52" si="35">SUM(H53,H75,H173,H187)</f>
        <v>6251</v>
      </c>
      <c r="I52" s="175">
        <f t="shared" si="35"/>
        <v>91093</v>
      </c>
      <c r="J52" s="173">
        <f>SUM(J53,J75,J173,J187)</f>
        <v>8048</v>
      </c>
      <c r="K52" s="174">
        <f t="shared" ref="K52:L52" si="36">SUM(K53,K75,K173,K187)</f>
        <v>0</v>
      </c>
      <c r="L52" s="175">
        <f t="shared" si="36"/>
        <v>8048</v>
      </c>
      <c r="M52" s="173">
        <f>SUM(M53,M75,M173,M187)</f>
        <v>0</v>
      </c>
      <c r="N52" s="174">
        <f t="shared" ref="N52:O52" si="37">SUM(N53,N75,N173,N187)</f>
        <v>0</v>
      </c>
      <c r="O52" s="175">
        <f t="shared" si="37"/>
        <v>0</v>
      </c>
      <c r="P52" s="176"/>
    </row>
    <row r="53" spans="1:16" s="28" customFormat="1" x14ac:dyDescent="0.25">
      <c r="A53" s="177">
        <v>1000</v>
      </c>
      <c r="B53" s="177" t="s">
        <v>71</v>
      </c>
      <c r="C53" s="178">
        <f t="shared" si="0"/>
        <v>604639</v>
      </c>
      <c r="D53" s="179">
        <f>SUM(D54,D67)</f>
        <v>514687</v>
      </c>
      <c r="E53" s="180">
        <f t="shared" ref="E53:F53" si="38">SUM(E54,E67)</f>
        <v>0</v>
      </c>
      <c r="F53" s="181">
        <f t="shared" si="38"/>
        <v>514687</v>
      </c>
      <c r="G53" s="179">
        <f>SUM(G54,G67)</f>
        <v>83701</v>
      </c>
      <c r="H53" s="180">
        <f t="shared" ref="H53:I53" si="39">SUM(H54,H67)</f>
        <v>6251</v>
      </c>
      <c r="I53" s="181">
        <f t="shared" si="39"/>
        <v>89952</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456567</v>
      </c>
      <c r="D54" s="184">
        <f>SUM(D55,D58,D66)</f>
        <v>384579</v>
      </c>
      <c r="E54" s="185">
        <f t="shared" ref="E54:F54" si="42">SUM(E55,E58,E66)</f>
        <v>0</v>
      </c>
      <c r="F54" s="73">
        <f t="shared" si="42"/>
        <v>384579</v>
      </c>
      <c r="G54" s="184">
        <f>SUM(G55,G58,G66)</f>
        <v>66952</v>
      </c>
      <c r="H54" s="185">
        <f t="shared" ref="H54:I54" si="43">SUM(H55,H58,H66)</f>
        <v>5036</v>
      </c>
      <c r="I54" s="73">
        <f t="shared" si="43"/>
        <v>71988</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414204</v>
      </c>
      <c r="D55" s="187">
        <f>SUM(D56:D57)</f>
        <v>343981</v>
      </c>
      <c r="E55" s="188">
        <f t="shared" ref="E55:F55" si="46">SUM(E56:E57)</f>
        <v>-580</v>
      </c>
      <c r="F55" s="141">
        <f t="shared" si="46"/>
        <v>343401</v>
      </c>
      <c r="G55" s="187">
        <f>SUM(G56:G57)</f>
        <v>65774</v>
      </c>
      <c r="H55" s="188">
        <f t="shared" ref="H55:I55" si="47">SUM(H56:H57)</f>
        <v>5029</v>
      </c>
      <c r="I55" s="141">
        <f t="shared" si="47"/>
        <v>70803</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2.25" customHeight="1" x14ac:dyDescent="0.25">
      <c r="A57" s="51">
        <v>1119</v>
      </c>
      <c r="B57" s="89" t="s">
        <v>75</v>
      </c>
      <c r="C57" s="90">
        <f t="shared" si="0"/>
        <v>414204</v>
      </c>
      <c r="D57" s="53">
        <v>343981</v>
      </c>
      <c r="E57" s="54">
        <v>-580</v>
      </c>
      <c r="F57" s="55">
        <f t="shared" si="50"/>
        <v>343401</v>
      </c>
      <c r="G57" s="53">
        <v>65774</v>
      </c>
      <c r="H57" s="54">
        <f>4642+368+19</f>
        <v>5029</v>
      </c>
      <c r="I57" s="55">
        <f t="shared" si="51"/>
        <v>70803</v>
      </c>
      <c r="J57" s="53"/>
      <c r="K57" s="54"/>
      <c r="L57" s="55">
        <f t="shared" si="52"/>
        <v>0</v>
      </c>
      <c r="M57" s="53"/>
      <c r="N57" s="54"/>
      <c r="O57" s="55">
        <f t="shared" si="53"/>
        <v>0</v>
      </c>
      <c r="P57" s="57" t="s">
        <v>1808</v>
      </c>
    </row>
    <row r="58" spans="1:16" x14ac:dyDescent="0.25">
      <c r="A58" s="189">
        <v>1140</v>
      </c>
      <c r="B58" s="89" t="s">
        <v>76</v>
      </c>
      <c r="C58" s="90">
        <f t="shared" si="0"/>
        <v>38995</v>
      </c>
      <c r="D58" s="190">
        <f>SUM(D59:D65)</f>
        <v>37810</v>
      </c>
      <c r="E58" s="191">
        <f>SUM(E59:E65)</f>
        <v>0</v>
      </c>
      <c r="F58" s="55">
        <f t="shared" ref="F58" si="54">SUM(F59:F65)</f>
        <v>37810</v>
      </c>
      <c r="G58" s="190">
        <f>SUM(G59:G65)</f>
        <v>1178</v>
      </c>
      <c r="H58" s="191">
        <f t="shared" ref="H58:I58" si="55">SUM(H59:H65)</f>
        <v>7</v>
      </c>
      <c r="I58" s="55">
        <f t="shared" si="55"/>
        <v>1185</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30.75" customHeight="1" x14ac:dyDescent="0.25">
      <c r="A61" s="51">
        <v>1145</v>
      </c>
      <c r="B61" s="89" t="s">
        <v>79</v>
      </c>
      <c r="C61" s="90">
        <f t="shared" si="0"/>
        <v>1680</v>
      </c>
      <c r="D61" s="53">
        <v>1364</v>
      </c>
      <c r="E61" s="54"/>
      <c r="F61" s="55">
        <f t="shared" si="58"/>
        <v>1364</v>
      </c>
      <c r="G61" s="53">
        <v>290</v>
      </c>
      <c r="H61" s="54">
        <f>394-368</f>
        <v>26</v>
      </c>
      <c r="I61" s="55">
        <f t="shared" si="59"/>
        <v>316</v>
      </c>
      <c r="J61" s="53"/>
      <c r="K61" s="54"/>
      <c r="L61" s="55">
        <f t="shared" si="60"/>
        <v>0</v>
      </c>
      <c r="M61" s="53"/>
      <c r="N61" s="54"/>
      <c r="O61" s="55">
        <f t="shared" si="61"/>
        <v>0</v>
      </c>
      <c r="P61" s="57" t="s">
        <v>1809</v>
      </c>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4202</v>
      </c>
      <c r="D63" s="53">
        <v>4202</v>
      </c>
      <c r="E63" s="54"/>
      <c r="F63" s="55">
        <f t="shared" si="58"/>
        <v>4202</v>
      </c>
      <c r="G63" s="53"/>
      <c r="H63" s="54"/>
      <c r="I63" s="55">
        <f t="shared" si="59"/>
        <v>0</v>
      </c>
      <c r="J63" s="53"/>
      <c r="K63" s="54"/>
      <c r="L63" s="55">
        <f t="shared" si="60"/>
        <v>0</v>
      </c>
      <c r="M63" s="53"/>
      <c r="N63" s="54"/>
      <c r="O63" s="55">
        <f t="shared" si="61"/>
        <v>0</v>
      </c>
      <c r="P63" s="57"/>
    </row>
    <row r="64" spans="1:16" ht="21" customHeight="1" x14ac:dyDescent="0.25">
      <c r="A64" s="51">
        <v>1148</v>
      </c>
      <c r="B64" s="89" t="s">
        <v>82</v>
      </c>
      <c r="C64" s="90">
        <f t="shared" si="0"/>
        <v>24965</v>
      </c>
      <c r="D64" s="53">
        <v>24937</v>
      </c>
      <c r="E64" s="54">
        <v>28</v>
      </c>
      <c r="F64" s="55">
        <f t="shared" si="58"/>
        <v>24965</v>
      </c>
      <c r="G64" s="53"/>
      <c r="H64" s="54"/>
      <c r="I64" s="55">
        <f t="shared" si="59"/>
        <v>0</v>
      </c>
      <c r="J64" s="53"/>
      <c r="K64" s="54"/>
      <c r="L64" s="55">
        <f t="shared" si="60"/>
        <v>0</v>
      </c>
      <c r="M64" s="53"/>
      <c r="N64" s="54"/>
      <c r="O64" s="55">
        <f t="shared" si="61"/>
        <v>0</v>
      </c>
      <c r="P64" s="57" t="s">
        <v>1810</v>
      </c>
    </row>
    <row r="65" spans="1:16" ht="30.75" customHeight="1" x14ac:dyDescent="0.25">
      <c r="A65" s="51">
        <v>1149</v>
      </c>
      <c r="B65" s="89" t="s">
        <v>83</v>
      </c>
      <c r="C65" s="90">
        <f t="shared" si="0"/>
        <v>2947</v>
      </c>
      <c r="D65" s="53">
        <v>2106</v>
      </c>
      <c r="E65" s="54">
        <v>-28</v>
      </c>
      <c r="F65" s="55">
        <f t="shared" si="58"/>
        <v>2078</v>
      </c>
      <c r="G65" s="53">
        <v>888</v>
      </c>
      <c r="H65" s="54">
        <v>-19</v>
      </c>
      <c r="I65" s="55">
        <f t="shared" si="59"/>
        <v>869</v>
      </c>
      <c r="J65" s="53"/>
      <c r="K65" s="54"/>
      <c r="L65" s="55">
        <f t="shared" si="60"/>
        <v>0</v>
      </c>
      <c r="M65" s="53"/>
      <c r="N65" s="54"/>
      <c r="O65" s="55">
        <f t="shared" si="61"/>
        <v>0</v>
      </c>
      <c r="P65" s="57" t="s">
        <v>1811</v>
      </c>
    </row>
    <row r="66" spans="1:16" ht="41.25" customHeight="1" x14ac:dyDescent="0.25">
      <c r="A66" s="186">
        <v>1150</v>
      </c>
      <c r="B66" s="138" t="s">
        <v>84</v>
      </c>
      <c r="C66" s="143">
        <f t="shared" si="0"/>
        <v>3368</v>
      </c>
      <c r="D66" s="144">
        <v>2788</v>
      </c>
      <c r="E66" s="145">
        <v>580</v>
      </c>
      <c r="F66" s="141">
        <f t="shared" si="58"/>
        <v>3368</v>
      </c>
      <c r="G66" s="144"/>
      <c r="H66" s="145"/>
      <c r="I66" s="141">
        <f t="shared" si="59"/>
        <v>0</v>
      </c>
      <c r="J66" s="144"/>
      <c r="K66" s="145"/>
      <c r="L66" s="141">
        <f t="shared" si="60"/>
        <v>0</v>
      </c>
      <c r="M66" s="144"/>
      <c r="N66" s="145"/>
      <c r="O66" s="141">
        <f t="shared" si="61"/>
        <v>0</v>
      </c>
      <c r="P66" s="129" t="s">
        <v>1812</v>
      </c>
    </row>
    <row r="67" spans="1:16" ht="24" x14ac:dyDescent="0.25">
      <c r="A67" s="69">
        <v>1200</v>
      </c>
      <c r="B67" s="183" t="s">
        <v>85</v>
      </c>
      <c r="C67" s="70">
        <f t="shared" si="0"/>
        <v>148072</v>
      </c>
      <c r="D67" s="184">
        <f>SUM(D68:D69)</f>
        <v>130108</v>
      </c>
      <c r="E67" s="185">
        <f t="shared" ref="E67:F67" si="62">SUM(E68:E69)</f>
        <v>0</v>
      </c>
      <c r="F67" s="73">
        <f t="shared" si="62"/>
        <v>130108</v>
      </c>
      <c r="G67" s="184">
        <f>SUM(G68:G69)</f>
        <v>16749</v>
      </c>
      <c r="H67" s="185">
        <f t="shared" ref="H67:I67" si="63">SUM(H68:H69)</f>
        <v>1215</v>
      </c>
      <c r="I67" s="73">
        <f t="shared" si="63"/>
        <v>17964</v>
      </c>
      <c r="J67" s="184">
        <f>SUM(J68:J69)</f>
        <v>0</v>
      </c>
      <c r="K67" s="185">
        <f t="shared" ref="K67:L67" si="64">SUM(K68:K69)</f>
        <v>0</v>
      </c>
      <c r="L67" s="73">
        <f t="shared" si="64"/>
        <v>0</v>
      </c>
      <c r="M67" s="184">
        <f>SUM(M68:M69)</f>
        <v>0</v>
      </c>
      <c r="N67" s="185">
        <f t="shared" ref="N67:O67" si="65">SUM(N68:N69)</f>
        <v>0</v>
      </c>
      <c r="O67" s="73">
        <f t="shared" si="65"/>
        <v>0</v>
      </c>
      <c r="P67" s="77"/>
    </row>
    <row r="68" spans="1:16" ht="33.75" customHeight="1" x14ac:dyDescent="0.25">
      <c r="A68" s="1373">
        <v>1210</v>
      </c>
      <c r="B68" s="82" t="s">
        <v>86</v>
      </c>
      <c r="C68" s="83">
        <f t="shared" si="0"/>
        <v>114915</v>
      </c>
      <c r="D68" s="46">
        <v>97451</v>
      </c>
      <c r="E68" s="47"/>
      <c r="F68" s="134">
        <f>D68+E68</f>
        <v>97451</v>
      </c>
      <c r="G68" s="46">
        <v>16249</v>
      </c>
      <c r="H68" s="47">
        <v>1215</v>
      </c>
      <c r="I68" s="134">
        <f>G68+H68</f>
        <v>17464</v>
      </c>
      <c r="J68" s="46"/>
      <c r="K68" s="47"/>
      <c r="L68" s="134">
        <f>K68+J68</f>
        <v>0</v>
      </c>
      <c r="M68" s="46"/>
      <c r="N68" s="47"/>
      <c r="O68" s="134">
        <f>N68+M68</f>
        <v>0</v>
      </c>
      <c r="P68" s="49" t="s">
        <v>1813</v>
      </c>
    </row>
    <row r="69" spans="1:16" ht="24" x14ac:dyDescent="0.25">
      <c r="A69" s="189">
        <v>1220</v>
      </c>
      <c r="B69" s="89" t="s">
        <v>87</v>
      </c>
      <c r="C69" s="90">
        <f t="shared" si="0"/>
        <v>33157</v>
      </c>
      <c r="D69" s="190">
        <f>SUM(D70:D74)</f>
        <v>32657</v>
      </c>
      <c r="E69" s="191">
        <f t="shared" ref="E69:F69" si="66">SUM(E70:E74)</f>
        <v>0</v>
      </c>
      <c r="F69" s="55">
        <f t="shared" si="66"/>
        <v>32657</v>
      </c>
      <c r="G69" s="190">
        <f>SUM(G70:G74)</f>
        <v>500</v>
      </c>
      <c r="H69" s="191">
        <f t="shared" ref="H69:I69" si="67">SUM(H70:H74)</f>
        <v>0</v>
      </c>
      <c r="I69" s="55">
        <f t="shared" si="67"/>
        <v>500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345">
        <v>1221</v>
      </c>
      <c r="B70" s="346" t="s">
        <v>88</v>
      </c>
      <c r="C70" s="347">
        <f t="shared" si="0"/>
        <v>20454</v>
      </c>
      <c r="D70" s="348">
        <v>19954</v>
      </c>
      <c r="E70" s="349"/>
      <c r="F70" s="350">
        <f t="shared" ref="F70:F74" si="70">D70+E70</f>
        <v>19954</v>
      </c>
      <c r="G70" s="348">
        <v>500</v>
      </c>
      <c r="H70" s="349"/>
      <c r="I70" s="350">
        <f t="shared" ref="I70:I74" si="71">G70+H70</f>
        <v>500</v>
      </c>
      <c r="J70" s="348"/>
      <c r="K70" s="349"/>
      <c r="L70" s="350">
        <f t="shared" ref="L70:L74" si="72">K70+J70</f>
        <v>0</v>
      </c>
      <c r="M70" s="348"/>
      <c r="N70" s="349"/>
      <c r="O70" s="350">
        <f t="shared" ref="O70:O74" si="73">N70+M70</f>
        <v>0</v>
      </c>
      <c r="P70" s="354"/>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11953</v>
      </c>
      <c r="D73" s="53">
        <v>11953</v>
      </c>
      <c r="E73" s="54"/>
      <c r="F73" s="55">
        <f t="shared" si="70"/>
        <v>11953</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750</v>
      </c>
      <c r="D74" s="53">
        <v>750</v>
      </c>
      <c r="E74" s="54"/>
      <c r="F74" s="55">
        <f t="shared" si="70"/>
        <v>750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72416</v>
      </c>
      <c r="D75" s="179">
        <f>SUM(D76,D83,D130,D164,D165,D172)</f>
        <v>62948</v>
      </c>
      <c r="E75" s="180">
        <f t="shared" ref="E75:F75" si="74">SUM(E76,E83,E130,E164,E165,E172)</f>
        <v>279</v>
      </c>
      <c r="F75" s="181">
        <f t="shared" si="74"/>
        <v>63227</v>
      </c>
      <c r="G75" s="179">
        <f>SUM(G76,G83,G130,G164,G165,G172)</f>
        <v>1141</v>
      </c>
      <c r="H75" s="180">
        <f t="shared" ref="H75:I75" si="75">SUM(H76,H83,H130,H164,H165,H172)</f>
        <v>0</v>
      </c>
      <c r="I75" s="181">
        <f t="shared" si="75"/>
        <v>1141</v>
      </c>
      <c r="J75" s="179">
        <f>SUM(J76,J83,J130,J164,J165,J172)</f>
        <v>8048</v>
      </c>
      <c r="K75" s="180">
        <f t="shared" ref="K75:L75" si="76">SUM(K76,K83,K130,K164,K165,K172)</f>
        <v>0</v>
      </c>
      <c r="L75" s="181">
        <f t="shared" si="76"/>
        <v>8048</v>
      </c>
      <c r="M75" s="179">
        <f>SUM(M76,M83,M130,M164,M165,M172)</f>
        <v>0</v>
      </c>
      <c r="N75" s="180">
        <f t="shared" ref="N75:O75" si="77">SUM(N76,N83,N130,N164,N165,N172)</f>
        <v>0</v>
      </c>
      <c r="O75" s="181">
        <f t="shared" si="77"/>
        <v>0</v>
      </c>
      <c r="P75" s="182"/>
    </row>
    <row r="76" spans="1:16" ht="24" x14ac:dyDescent="0.25">
      <c r="A76" s="69">
        <v>2100</v>
      </c>
      <c r="B76" s="183" t="s">
        <v>94</v>
      </c>
      <c r="C76" s="70">
        <f t="shared" si="0"/>
        <v>70</v>
      </c>
      <c r="D76" s="184">
        <f>SUM(D77,D80)</f>
        <v>84</v>
      </c>
      <c r="E76" s="185">
        <f t="shared" ref="E76:F76" si="78">SUM(E77,E80)</f>
        <v>-14</v>
      </c>
      <c r="F76" s="73">
        <f t="shared" si="78"/>
        <v>70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1373">
        <v>2110</v>
      </c>
      <c r="B77" s="82" t="s">
        <v>95</v>
      </c>
      <c r="C77" s="83">
        <f t="shared" si="0"/>
        <v>70</v>
      </c>
      <c r="D77" s="194">
        <f>SUM(D78:D79)</f>
        <v>84</v>
      </c>
      <c r="E77" s="195">
        <f t="shared" ref="E77:F77" si="82">SUM(E78:E79)</f>
        <v>-14</v>
      </c>
      <c r="F77" s="134">
        <f t="shared" si="82"/>
        <v>70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70</v>
      </c>
      <c r="D79" s="196">
        <v>84</v>
      </c>
      <c r="E79" s="197">
        <v>-14</v>
      </c>
      <c r="F79" s="55">
        <f t="shared" si="86"/>
        <v>70</v>
      </c>
      <c r="G79" s="53"/>
      <c r="H79" s="54"/>
      <c r="I79" s="55">
        <f t="shared" si="87"/>
        <v>0</v>
      </c>
      <c r="J79" s="53"/>
      <c r="K79" s="54"/>
      <c r="L79" s="55">
        <f t="shared" si="88"/>
        <v>0</v>
      </c>
      <c r="M79" s="53"/>
      <c r="N79" s="54"/>
      <c r="O79" s="55">
        <f t="shared" si="89"/>
        <v>0</v>
      </c>
      <c r="P79" s="57" t="s">
        <v>1814</v>
      </c>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53118</v>
      </c>
      <c r="D83" s="184">
        <f>SUM(D84,D89,D95,D103,D112,D116,D122,D128)</f>
        <v>52349</v>
      </c>
      <c r="E83" s="185">
        <f t="shared" ref="E83:F83" si="98">SUM(E84,E89,E95,E103,E112,E116,E122,E128)</f>
        <v>-296</v>
      </c>
      <c r="F83" s="73">
        <f t="shared" si="98"/>
        <v>52053</v>
      </c>
      <c r="G83" s="184">
        <f>SUM(G84,G89,G95,G103,G112,G116,G122,G128)</f>
        <v>0</v>
      </c>
      <c r="H83" s="185">
        <f t="shared" ref="H83:I83" si="99">SUM(H84,H89,H95,H103,H112,H116,H122,H128)</f>
        <v>0</v>
      </c>
      <c r="I83" s="73">
        <f t="shared" si="99"/>
        <v>0</v>
      </c>
      <c r="J83" s="184">
        <f>SUM(J84,J89,J95,J103,J112,J116,J122,J128)</f>
        <v>1065</v>
      </c>
      <c r="K83" s="185">
        <f t="shared" ref="K83:L83" si="100">SUM(K84,K89,K95,K103,K112,K116,K122,K128)</f>
        <v>0</v>
      </c>
      <c r="L83" s="73">
        <f t="shared" si="100"/>
        <v>1065</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635</v>
      </c>
      <c r="D84" s="187">
        <f>SUM(D85:D88)</f>
        <v>652</v>
      </c>
      <c r="E84" s="188">
        <f t="shared" ref="E84:F84" si="103">SUM(E85:E88)</f>
        <v>-17</v>
      </c>
      <c r="F84" s="141">
        <f t="shared" si="103"/>
        <v>635</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514</v>
      </c>
      <c r="D86" s="196">
        <v>531</v>
      </c>
      <c r="E86" s="197">
        <v>-17</v>
      </c>
      <c r="F86" s="55">
        <f t="shared" si="107"/>
        <v>514</v>
      </c>
      <c r="G86" s="53"/>
      <c r="H86" s="54"/>
      <c r="I86" s="55">
        <f t="shared" si="108"/>
        <v>0</v>
      </c>
      <c r="J86" s="53"/>
      <c r="K86" s="54"/>
      <c r="L86" s="55">
        <f t="shared" si="109"/>
        <v>0</v>
      </c>
      <c r="M86" s="53"/>
      <c r="N86" s="54"/>
      <c r="O86" s="55">
        <f t="shared" si="110"/>
        <v>0</v>
      </c>
      <c r="P86" s="57" t="s">
        <v>1815</v>
      </c>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70</v>
      </c>
      <c r="D88" s="196">
        <v>70</v>
      </c>
      <c r="E88" s="197"/>
      <c r="F88" s="55">
        <f t="shared" si="107"/>
        <v>70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47820</v>
      </c>
      <c r="D89" s="190">
        <f>SUM(D90:D94)</f>
        <v>46755</v>
      </c>
      <c r="E89" s="191">
        <f t="shared" ref="E89:F89" si="111">SUM(E90:E94)</f>
        <v>0</v>
      </c>
      <c r="F89" s="55">
        <f t="shared" si="111"/>
        <v>46755</v>
      </c>
      <c r="G89" s="190">
        <f>SUM(G90:G94)</f>
        <v>0</v>
      </c>
      <c r="H89" s="191">
        <f t="shared" ref="H89:I89" si="112">SUM(H90:H94)</f>
        <v>0</v>
      </c>
      <c r="I89" s="55">
        <f t="shared" si="112"/>
        <v>0</v>
      </c>
      <c r="J89" s="190">
        <f>SUM(J90:J94)</f>
        <v>1065</v>
      </c>
      <c r="K89" s="191">
        <f t="shared" ref="K89:L89" si="113">SUM(K90:K94)</f>
        <v>0</v>
      </c>
      <c r="L89" s="55">
        <f t="shared" si="113"/>
        <v>1065</v>
      </c>
      <c r="M89" s="190">
        <f>SUM(M90:M94)</f>
        <v>0</v>
      </c>
      <c r="N89" s="191">
        <f t="shared" ref="N89:O89" si="114">SUM(N90:N94)</f>
        <v>0</v>
      </c>
      <c r="O89" s="55">
        <f t="shared" si="114"/>
        <v>0</v>
      </c>
      <c r="P89" s="57"/>
    </row>
    <row r="90" spans="1:16" ht="32.25" customHeight="1" x14ac:dyDescent="0.25">
      <c r="A90" s="51">
        <v>2221</v>
      </c>
      <c r="B90" s="89" t="s">
        <v>106</v>
      </c>
      <c r="C90" s="90">
        <f t="shared" si="102"/>
        <v>28471</v>
      </c>
      <c r="D90" s="196">
        <v>27464</v>
      </c>
      <c r="E90" s="197">
        <v>800</v>
      </c>
      <c r="F90" s="55">
        <f t="shared" ref="F90:F94" si="115">D90+E90</f>
        <v>28264</v>
      </c>
      <c r="G90" s="53"/>
      <c r="H90" s="54"/>
      <c r="I90" s="55">
        <f t="shared" ref="I90:I94" si="116">G90+H90</f>
        <v>0</v>
      </c>
      <c r="J90" s="53">
        <v>207</v>
      </c>
      <c r="K90" s="54"/>
      <c r="L90" s="55">
        <f t="shared" ref="L90:L94" si="117">K90+J90</f>
        <v>207</v>
      </c>
      <c r="M90" s="53"/>
      <c r="N90" s="54"/>
      <c r="O90" s="55">
        <f t="shared" ref="O90:O94" si="118">N90+M90</f>
        <v>0</v>
      </c>
      <c r="P90" s="454" t="s">
        <v>1816</v>
      </c>
    </row>
    <row r="91" spans="1:16" ht="19.5" customHeight="1" x14ac:dyDescent="0.25">
      <c r="A91" s="51">
        <v>2222</v>
      </c>
      <c r="B91" s="89" t="s">
        <v>107</v>
      </c>
      <c r="C91" s="90">
        <f t="shared" si="102"/>
        <v>6763</v>
      </c>
      <c r="D91" s="196">
        <v>7163</v>
      </c>
      <c r="E91" s="197">
        <v>-400</v>
      </c>
      <c r="F91" s="55">
        <f t="shared" si="115"/>
        <v>6763</v>
      </c>
      <c r="G91" s="53"/>
      <c r="H91" s="54"/>
      <c r="I91" s="55">
        <f t="shared" si="116"/>
        <v>0</v>
      </c>
      <c r="J91" s="53"/>
      <c r="K91" s="54"/>
      <c r="L91" s="55">
        <f t="shared" si="117"/>
        <v>0</v>
      </c>
      <c r="M91" s="53"/>
      <c r="N91" s="54"/>
      <c r="O91" s="55">
        <f t="shared" si="118"/>
        <v>0</v>
      </c>
      <c r="P91" s="57" t="s">
        <v>1817</v>
      </c>
    </row>
    <row r="92" spans="1:16" ht="20.25" customHeight="1" x14ac:dyDescent="0.25">
      <c r="A92" s="51">
        <v>2223</v>
      </c>
      <c r="B92" s="89" t="s">
        <v>108</v>
      </c>
      <c r="C92" s="90">
        <f t="shared" si="102"/>
        <v>11074</v>
      </c>
      <c r="D92" s="196">
        <v>10788</v>
      </c>
      <c r="E92" s="197">
        <v>-400</v>
      </c>
      <c r="F92" s="55">
        <f t="shared" si="115"/>
        <v>10388</v>
      </c>
      <c r="G92" s="53"/>
      <c r="H92" s="54"/>
      <c r="I92" s="55">
        <f t="shared" si="116"/>
        <v>0</v>
      </c>
      <c r="J92" s="53">
        <v>686</v>
      </c>
      <c r="K92" s="54"/>
      <c r="L92" s="55">
        <f t="shared" si="117"/>
        <v>686</v>
      </c>
      <c r="M92" s="53"/>
      <c r="N92" s="54"/>
      <c r="O92" s="55">
        <f t="shared" si="118"/>
        <v>0</v>
      </c>
      <c r="P92" s="57" t="s">
        <v>1818</v>
      </c>
    </row>
    <row r="93" spans="1:16" ht="48" customHeight="1" x14ac:dyDescent="0.25">
      <c r="A93" s="51">
        <v>2224</v>
      </c>
      <c r="B93" s="89" t="s">
        <v>109</v>
      </c>
      <c r="C93" s="90">
        <f t="shared" si="102"/>
        <v>1512</v>
      </c>
      <c r="D93" s="196">
        <v>1340</v>
      </c>
      <c r="E93" s="197"/>
      <c r="F93" s="55">
        <f t="shared" si="115"/>
        <v>1340</v>
      </c>
      <c r="G93" s="53"/>
      <c r="H93" s="54"/>
      <c r="I93" s="55">
        <f t="shared" si="116"/>
        <v>0</v>
      </c>
      <c r="J93" s="53">
        <v>172</v>
      </c>
      <c r="K93" s="54"/>
      <c r="L93" s="55">
        <f t="shared" si="117"/>
        <v>172</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1359</v>
      </c>
      <c r="D95" s="190">
        <f>SUM(D96:D102)</f>
        <v>1328</v>
      </c>
      <c r="E95" s="191">
        <f t="shared" ref="E95:F95" si="119">SUM(E96:E102)</f>
        <v>31</v>
      </c>
      <c r="F95" s="55">
        <f t="shared" si="119"/>
        <v>1359</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33" customHeight="1" x14ac:dyDescent="0.25">
      <c r="A102" s="51">
        <v>2239</v>
      </c>
      <c r="B102" s="89" t="s">
        <v>118</v>
      </c>
      <c r="C102" s="90">
        <f t="shared" si="102"/>
        <v>1359</v>
      </c>
      <c r="D102" s="196">
        <v>1328</v>
      </c>
      <c r="E102" s="197">
        <v>31</v>
      </c>
      <c r="F102" s="55">
        <f t="shared" si="123"/>
        <v>1359</v>
      </c>
      <c r="G102" s="53"/>
      <c r="H102" s="54"/>
      <c r="I102" s="55">
        <f t="shared" si="124"/>
        <v>0</v>
      </c>
      <c r="J102" s="53"/>
      <c r="K102" s="54"/>
      <c r="L102" s="55">
        <f t="shared" si="125"/>
        <v>0</v>
      </c>
      <c r="M102" s="53"/>
      <c r="N102" s="54"/>
      <c r="O102" s="55">
        <f t="shared" si="126"/>
        <v>0</v>
      </c>
      <c r="P102" s="57" t="s">
        <v>1819</v>
      </c>
    </row>
    <row r="103" spans="1:16" ht="36" x14ac:dyDescent="0.25">
      <c r="A103" s="189">
        <v>2240</v>
      </c>
      <c r="B103" s="89" t="s">
        <v>119</v>
      </c>
      <c r="C103" s="90">
        <f t="shared" si="102"/>
        <v>2947</v>
      </c>
      <c r="D103" s="190">
        <f>SUM(D104:D111)</f>
        <v>3257</v>
      </c>
      <c r="E103" s="191">
        <f t="shared" ref="E103:F103" si="127">SUM(E104:E111)</f>
        <v>-310</v>
      </c>
      <c r="F103" s="55">
        <f t="shared" si="127"/>
        <v>2947</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778</v>
      </c>
      <c r="D106" s="196">
        <v>778</v>
      </c>
      <c r="E106" s="197"/>
      <c r="F106" s="55">
        <f t="shared" si="131"/>
        <v>778</v>
      </c>
      <c r="G106" s="53"/>
      <c r="H106" s="54"/>
      <c r="I106" s="55">
        <f t="shared" si="132"/>
        <v>0</v>
      </c>
      <c r="J106" s="53"/>
      <c r="K106" s="54"/>
      <c r="L106" s="55">
        <f t="shared" si="133"/>
        <v>0</v>
      </c>
      <c r="M106" s="53"/>
      <c r="N106" s="54"/>
      <c r="O106" s="55">
        <f t="shared" si="134"/>
        <v>0</v>
      </c>
      <c r="P106" s="57"/>
    </row>
    <row r="107" spans="1:16" ht="23.25" customHeight="1" x14ac:dyDescent="0.25">
      <c r="A107" s="51">
        <v>2244</v>
      </c>
      <c r="B107" s="89" t="s">
        <v>123</v>
      </c>
      <c r="C107" s="90">
        <f t="shared" si="102"/>
        <v>2024</v>
      </c>
      <c r="D107" s="196">
        <v>2334</v>
      </c>
      <c r="E107" s="197">
        <v>-310</v>
      </c>
      <c r="F107" s="55">
        <f t="shared" si="131"/>
        <v>2024</v>
      </c>
      <c r="G107" s="53"/>
      <c r="H107" s="54"/>
      <c r="I107" s="55">
        <f t="shared" si="132"/>
        <v>0</v>
      </c>
      <c r="J107" s="53"/>
      <c r="K107" s="54"/>
      <c r="L107" s="55">
        <f t="shared" si="133"/>
        <v>0</v>
      </c>
      <c r="M107" s="53"/>
      <c r="N107" s="54"/>
      <c r="O107" s="55">
        <f t="shared" si="134"/>
        <v>0</v>
      </c>
      <c r="P107" s="57" t="s">
        <v>1820</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145</v>
      </c>
      <c r="D111" s="196">
        <v>145</v>
      </c>
      <c r="E111" s="197"/>
      <c r="F111" s="55">
        <f t="shared" si="131"/>
        <v>145</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331</v>
      </c>
      <c r="D112" s="190">
        <f>SUM(D113:D115)</f>
        <v>331</v>
      </c>
      <c r="E112" s="191">
        <f t="shared" ref="E112:F112" si="135">SUM(E113:E115)</f>
        <v>0</v>
      </c>
      <c r="F112" s="55">
        <f t="shared" si="135"/>
        <v>331</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165</v>
      </c>
      <c r="D114" s="196">
        <v>165</v>
      </c>
      <c r="E114" s="197"/>
      <c r="F114" s="55">
        <f t="shared" si="139"/>
        <v>165</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19228</v>
      </c>
      <c r="D130" s="184">
        <f>SUM(D131,D136,D140,D141,D144,D151,D159,D160,D163)</f>
        <v>10515</v>
      </c>
      <c r="E130" s="185">
        <f t="shared" ref="E130:F130" si="160">SUM(E131,E136,E140,E141,E144,E151,E159,E160,E163)</f>
        <v>589</v>
      </c>
      <c r="F130" s="73">
        <f t="shared" si="160"/>
        <v>11104</v>
      </c>
      <c r="G130" s="184">
        <f>SUM(G131,G136,G140,G141,G144,G151,G159,G160,G163)</f>
        <v>1141</v>
      </c>
      <c r="H130" s="185">
        <f t="shared" ref="H130:I130" si="161">SUM(H131,H136,H140,H141,H144,H151,H159,H160,H163)</f>
        <v>0</v>
      </c>
      <c r="I130" s="73">
        <f t="shared" si="161"/>
        <v>1141</v>
      </c>
      <c r="J130" s="184">
        <f>SUM(J131,J136,J140,J141,J144,J151,J159,J160,J163)</f>
        <v>6983</v>
      </c>
      <c r="K130" s="185">
        <f t="shared" ref="K130:L130" si="162">SUM(K131,K136,K140,K141,K144,K151,K159,K160,K163)</f>
        <v>0</v>
      </c>
      <c r="L130" s="73">
        <f t="shared" si="162"/>
        <v>6983</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4383</v>
      </c>
      <c r="D131" s="194">
        <f t="shared" ref="D131:O131" si="164">SUM(D132:D135)</f>
        <v>3794</v>
      </c>
      <c r="E131" s="195">
        <f t="shared" si="164"/>
        <v>589</v>
      </c>
      <c r="F131" s="134">
        <f t="shared" si="164"/>
        <v>4383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585</v>
      </c>
      <c r="D132" s="196">
        <v>585</v>
      </c>
      <c r="E132" s="197"/>
      <c r="F132" s="55">
        <f t="shared" ref="F132:F135" si="165">D132+E132</f>
        <v>585</v>
      </c>
      <c r="G132" s="53"/>
      <c r="H132" s="54"/>
      <c r="I132" s="55">
        <f t="shared" ref="I132:I135" si="166">G132+H132</f>
        <v>0</v>
      </c>
      <c r="J132" s="53"/>
      <c r="K132" s="54"/>
      <c r="L132" s="55">
        <f t="shared" ref="L132:L135" si="167">K132+J132</f>
        <v>0</v>
      </c>
      <c r="M132" s="53"/>
      <c r="N132" s="54"/>
      <c r="O132" s="55">
        <f t="shared" ref="O132:O135" si="168">N132+M132</f>
        <v>0</v>
      </c>
      <c r="P132" s="57"/>
    </row>
    <row r="133" spans="1:16" ht="18.75" customHeight="1" x14ac:dyDescent="0.25">
      <c r="A133" s="51">
        <v>2312</v>
      </c>
      <c r="B133" s="89" t="s">
        <v>149</v>
      </c>
      <c r="C133" s="90">
        <f t="shared" si="102"/>
        <v>3688</v>
      </c>
      <c r="D133" s="196">
        <v>3099</v>
      </c>
      <c r="E133" s="197">
        <f>310+279</f>
        <v>589</v>
      </c>
      <c r="F133" s="55">
        <f t="shared" si="165"/>
        <v>3688</v>
      </c>
      <c r="G133" s="53"/>
      <c r="H133" s="54"/>
      <c r="I133" s="55">
        <f t="shared" si="166"/>
        <v>0</v>
      </c>
      <c r="J133" s="53"/>
      <c r="K133" s="54"/>
      <c r="L133" s="55">
        <f t="shared" si="167"/>
        <v>0</v>
      </c>
      <c r="M133" s="53"/>
      <c r="N133" s="54"/>
      <c r="O133" s="55">
        <f t="shared" si="168"/>
        <v>0</v>
      </c>
      <c r="P133" s="57" t="s">
        <v>1821</v>
      </c>
    </row>
    <row r="134" spans="1:16" ht="12" customHeight="1" x14ac:dyDescent="0.25">
      <c r="A134" s="51">
        <v>2313</v>
      </c>
      <c r="B134" s="89" t="s">
        <v>150</v>
      </c>
      <c r="C134" s="90">
        <f t="shared" si="102"/>
        <v>60</v>
      </c>
      <c r="D134" s="196">
        <v>60</v>
      </c>
      <c r="E134" s="197"/>
      <c r="F134" s="55">
        <f t="shared" si="165"/>
        <v>60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50</v>
      </c>
      <c r="D135" s="196">
        <v>50</v>
      </c>
      <c r="E135" s="197"/>
      <c r="F135" s="55">
        <f t="shared" si="165"/>
        <v>50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54</v>
      </c>
      <c r="D136" s="190">
        <f>SUM(D137:D139)</f>
        <v>54</v>
      </c>
      <c r="E136" s="191">
        <f t="shared" ref="E136:F136" si="169">SUM(E137:E139)</f>
        <v>0</v>
      </c>
      <c r="F136" s="55">
        <f t="shared" si="169"/>
        <v>54</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54</v>
      </c>
      <c r="D138" s="196">
        <v>54</v>
      </c>
      <c r="E138" s="197"/>
      <c r="F138" s="55">
        <f t="shared" si="173"/>
        <v>54</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160</v>
      </c>
      <c r="D141" s="190">
        <f>SUM(D142:D143)</f>
        <v>160</v>
      </c>
      <c r="E141" s="191">
        <f t="shared" ref="E141:F141" si="177">SUM(E142:E143)</f>
        <v>0</v>
      </c>
      <c r="F141" s="55">
        <f t="shared" si="177"/>
        <v>160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160</v>
      </c>
      <c r="D142" s="196">
        <v>160</v>
      </c>
      <c r="E142" s="197"/>
      <c r="F142" s="55">
        <f t="shared" ref="F142:F143" si="181">D142+E142</f>
        <v>160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3710</v>
      </c>
      <c r="D144" s="187">
        <f>SUM(D145:D150)</f>
        <v>3710</v>
      </c>
      <c r="E144" s="188">
        <f t="shared" ref="E144:F144" si="185">SUM(E145:E150)</f>
        <v>0</v>
      </c>
      <c r="F144" s="141">
        <f t="shared" si="185"/>
        <v>3710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555</v>
      </c>
      <c r="D145" s="199">
        <v>555</v>
      </c>
      <c r="E145" s="200"/>
      <c r="F145" s="134">
        <f t="shared" ref="F145:F150" si="189">D145+E145</f>
        <v>555</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3155</v>
      </c>
      <c r="D146" s="196">
        <v>3155</v>
      </c>
      <c r="E146" s="197"/>
      <c r="F146" s="55">
        <f t="shared" si="189"/>
        <v>3155</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7200</v>
      </c>
      <c r="D151" s="190">
        <f>SUM(D152:D158)</f>
        <v>217</v>
      </c>
      <c r="E151" s="191">
        <f t="shared" ref="E151:F151" si="194">SUM(E152:E158)</f>
        <v>0</v>
      </c>
      <c r="F151" s="55">
        <f t="shared" si="194"/>
        <v>217</v>
      </c>
      <c r="G151" s="190">
        <f>SUM(G152:G158)</f>
        <v>0</v>
      </c>
      <c r="H151" s="191">
        <f t="shared" ref="H151:I151" si="195">SUM(H152:H158)</f>
        <v>0</v>
      </c>
      <c r="I151" s="55">
        <f t="shared" si="195"/>
        <v>0</v>
      </c>
      <c r="J151" s="190">
        <f>SUM(J152:J158)</f>
        <v>6983</v>
      </c>
      <c r="K151" s="191">
        <f t="shared" ref="K151:L151" si="196">SUM(K152:K158)</f>
        <v>0</v>
      </c>
      <c r="L151" s="55">
        <f t="shared" si="196"/>
        <v>6983</v>
      </c>
      <c r="M151" s="190">
        <f>SUM(M152:M158)</f>
        <v>0</v>
      </c>
      <c r="N151" s="191">
        <f t="shared" ref="N151:O151" si="197">SUM(N152:N158)</f>
        <v>0</v>
      </c>
      <c r="O151" s="55">
        <f t="shared" si="197"/>
        <v>0</v>
      </c>
      <c r="P151" s="57"/>
    </row>
    <row r="152" spans="1:16" ht="12" customHeight="1" x14ac:dyDescent="0.25">
      <c r="A152" s="50">
        <v>2361</v>
      </c>
      <c r="B152" s="89" t="s">
        <v>168</v>
      </c>
      <c r="C152" s="90">
        <f t="shared" si="193"/>
        <v>115</v>
      </c>
      <c r="D152" s="196">
        <v>115</v>
      </c>
      <c r="E152" s="197"/>
      <c r="F152" s="55">
        <f t="shared" ref="F152:F159" si="198">D152+E152</f>
        <v>115</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102</v>
      </c>
      <c r="D153" s="196">
        <v>102</v>
      </c>
      <c r="E153" s="197"/>
      <c r="F153" s="55">
        <f t="shared" si="198"/>
        <v>102</v>
      </c>
      <c r="G153" s="53"/>
      <c r="H153" s="54"/>
      <c r="I153" s="55">
        <f t="shared" si="199"/>
        <v>0</v>
      </c>
      <c r="J153" s="53"/>
      <c r="K153" s="54"/>
      <c r="L153" s="55">
        <f t="shared" si="200"/>
        <v>0</v>
      </c>
      <c r="M153" s="53"/>
      <c r="N153" s="54"/>
      <c r="O153" s="55">
        <f t="shared" si="201"/>
        <v>0</v>
      </c>
      <c r="P153" s="57"/>
    </row>
    <row r="154" spans="1:16" ht="20.25" customHeight="1" x14ac:dyDescent="0.25">
      <c r="A154" s="464">
        <v>2363</v>
      </c>
      <c r="B154" s="346" t="s">
        <v>170</v>
      </c>
      <c r="C154" s="347">
        <f t="shared" si="193"/>
        <v>6983</v>
      </c>
      <c r="D154" s="352"/>
      <c r="E154" s="353"/>
      <c r="F154" s="350">
        <f t="shared" si="198"/>
        <v>0</v>
      </c>
      <c r="G154" s="348"/>
      <c r="H154" s="349"/>
      <c r="I154" s="350">
        <f t="shared" si="199"/>
        <v>0</v>
      </c>
      <c r="J154" s="348">
        <v>6983</v>
      </c>
      <c r="K154" s="349"/>
      <c r="L154" s="350">
        <f t="shared" si="200"/>
        <v>6983</v>
      </c>
      <c r="M154" s="348"/>
      <c r="N154" s="349"/>
      <c r="O154" s="350">
        <f t="shared" si="201"/>
        <v>0</v>
      </c>
      <c r="P154" s="351"/>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3671</v>
      </c>
      <c r="D159" s="203">
        <v>2530</v>
      </c>
      <c r="E159" s="204"/>
      <c r="F159" s="141">
        <f t="shared" si="198"/>
        <v>2530</v>
      </c>
      <c r="G159" s="144">
        <v>1141</v>
      </c>
      <c r="H159" s="145"/>
      <c r="I159" s="141">
        <f t="shared" si="199"/>
        <v>1141</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179</v>
      </c>
      <c r="C163" s="143">
        <f t="shared" si="193"/>
        <v>50</v>
      </c>
      <c r="D163" s="203">
        <v>50</v>
      </c>
      <c r="E163" s="204"/>
      <c r="F163" s="141">
        <f t="shared" si="206"/>
        <v>50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2721</v>
      </c>
      <c r="D194" s="173">
        <f t="shared" ref="D194:O194" si="259">SUM(D195,D230,D269,D283)</f>
        <v>2500</v>
      </c>
      <c r="E194" s="174">
        <f t="shared" si="259"/>
        <v>-279</v>
      </c>
      <c r="F194" s="175">
        <f t="shared" si="259"/>
        <v>2221</v>
      </c>
      <c r="G194" s="173">
        <f t="shared" si="259"/>
        <v>500</v>
      </c>
      <c r="H194" s="174">
        <f t="shared" si="259"/>
        <v>0</v>
      </c>
      <c r="I194" s="175">
        <f t="shared" si="259"/>
        <v>500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2721</v>
      </c>
      <c r="D195" s="179">
        <f>D196+D204</f>
        <v>2500</v>
      </c>
      <c r="E195" s="180">
        <f t="shared" ref="E195:F195" si="260">E196+E204</f>
        <v>-279</v>
      </c>
      <c r="F195" s="181">
        <f t="shared" si="260"/>
        <v>2221</v>
      </c>
      <c r="G195" s="179">
        <f>G196+G204</f>
        <v>500</v>
      </c>
      <c r="H195" s="180">
        <f t="shared" ref="H195:I195" si="261">H196+H204</f>
        <v>0</v>
      </c>
      <c r="I195" s="181">
        <f t="shared" si="261"/>
        <v>500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2721</v>
      </c>
      <c r="D204" s="184">
        <f>D205+D215+D216+D225+D226+D227+D229</f>
        <v>2500</v>
      </c>
      <c r="E204" s="185">
        <f t="shared" ref="E204:F204" si="276">E205+E215+E216+E225+E226+E227+E229</f>
        <v>-279</v>
      </c>
      <c r="F204" s="73">
        <f t="shared" si="276"/>
        <v>2221</v>
      </c>
      <c r="G204" s="184">
        <f>G205+G215+G216+G225+G226+G227+G229</f>
        <v>500</v>
      </c>
      <c r="H204" s="185">
        <f t="shared" ref="H204:I204" si="277">H205+H215+H216+H225+H226+H227+H229</f>
        <v>0</v>
      </c>
      <c r="I204" s="73">
        <f t="shared" si="277"/>
        <v>500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2721</v>
      </c>
      <c r="D216" s="190">
        <f>SUM(D217:D224)</f>
        <v>2500</v>
      </c>
      <c r="E216" s="191">
        <f t="shared" ref="E216:F216" si="289">SUM(E217:E224)</f>
        <v>-279</v>
      </c>
      <c r="F216" s="55">
        <f t="shared" si="289"/>
        <v>2221</v>
      </c>
      <c r="G216" s="190">
        <f>SUM(G217:G224)</f>
        <v>500</v>
      </c>
      <c r="H216" s="191">
        <f t="shared" ref="H216:I216" si="290">SUM(H217:H224)</f>
        <v>0</v>
      </c>
      <c r="I216" s="55">
        <f t="shared" si="290"/>
        <v>500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700</v>
      </c>
      <c r="D219" s="196">
        <v>200</v>
      </c>
      <c r="E219" s="197"/>
      <c r="F219" s="55">
        <f t="shared" si="293"/>
        <v>200</v>
      </c>
      <c r="G219" s="53">
        <v>500</v>
      </c>
      <c r="H219" s="54"/>
      <c r="I219" s="55">
        <f t="shared" si="294"/>
        <v>500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8.5" customHeight="1" x14ac:dyDescent="0.25">
      <c r="A223" s="51">
        <v>5238</v>
      </c>
      <c r="B223" s="89" t="s">
        <v>239</v>
      </c>
      <c r="C223" s="90">
        <f t="shared" si="288"/>
        <v>2021</v>
      </c>
      <c r="D223" s="196">
        <v>2300</v>
      </c>
      <c r="E223" s="197">
        <v>-279</v>
      </c>
      <c r="F223" s="55">
        <f t="shared" si="293"/>
        <v>2021</v>
      </c>
      <c r="G223" s="53"/>
      <c r="H223" s="54"/>
      <c r="I223" s="55">
        <f t="shared" si="294"/>
        <v>0</v>
      </c>
      <c r="J223" s="53"/>
      <c r="K223" s="54"/>
      <c r="L223" s="55">
        <f t="shared" si="295"/>
        <v>0</v>
      </c>
      <c r="M223" s="53"/>
      <c r="N223" s="54"/>
      <c r="O223" s="55">
        <f t="shared" si="296"/>
        <v>0</v>
      </c>
      <c r="P223" s="57" t="s">
        <v>1822</v>
      </c>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679776</v>
      </c>
      <c r="D289" s="252">
        <f t="shared" ref="D289:O289" si="389">SUM(D286,D269,D230,D195,D187,D173,D75,D53,D283)</f>
        <v>580135</v>
      </c>
      <c r="E289" s="253">
        <f t="shared" si="389"/>
        <v>0</v>
      </c>
      <c r="F289" s="254">
        <f t="shared" si="389"/>
        <v>580135</v>
      </c>
      <c r="G289" s="252">
        <f t="shared" si="389"/>
        <v>85342</v>
      </c>
      <c r="H289" s="253">
        <f t="shared" si="389"/>
        <v>6251</v>
      </c>
      <c r="I289" s="254">
        <f t="shared" si="389"/>
        <v>91593</v>
      </c>
      <c r="J289" s="252">
        <f t="shared" si="389"/>
        <v>8048</v>
      </c>
      <c r="K289" s="253">
        <f t="shared" si="389"/>
        <v>0</v>
      </c>
      <c r="L289" s="254">
        <f t="shared" si="389"/>
        <v>8048</v>
      </c>
      <c r="M289" s="252">
        <f t="shared" si="389"/>
        <v>0</v>
      </c>
      <c r="N289" s="253">
        <f t="shared" si="389"/>
        <v>0</v>
      </c>
      <c r="O289" s="254">
        <f t="shared" si="389"/>
        <v>0</v>
      </c>
      <c r="P289" s="255"/>
    </row>
    <row r="290" spans="1:16" s="28" customFormat="1" ht="13.5" thickTop="1" thickBot="1" x14ac:dyDescent="0.3">
      <c r="A290" s="1544" t="s">
        <v>308</v>
      </c>
      <c r="B290" s="1545"/>
      <c r="C290" s="256">
        <f t="shared" si="371"/>
        <v>-81</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-81</v>
      </c>
      <c r="K290" s="258">
        <f t="shared" ref="K290:L290" si="392">(K26+K43)-K51</f>
        <v>0</v>
      </c>
      <c r="L290" s="259">
        <f t="shared" si="392"/>
        <v>-81</v>
      </c>
      <c r="M290" s="257">
        <f>M45-M51</f>
        <v>0</v>
      </c>
      <c r="N290" s="258">
        <f t="shared" ref="N290:O290" si="393">N45-N51</f>
        <v>0</v>
      </c>
      <c r="O290" s="259">
        <f t="shared" si="393"/>
        <v>0</v>
      </c>
      <c r="P290" s="260"/>
    </row>
    <row r="291" spans="1:16" s="28" customFormat="1" ht="12.75" thickTop="1" x14ac:dyDescent="0.25">
      <c r="A291" s="1546" t="s">
        <v>309</v>
      </c>
      <c r="B291" s="1547"/>
      <c r="C291" s="261">
        <f t="shared" si="371"/>
        <v>81</v>
      </c>
      <c r="D291" s="262">
        <f t="shared" ref="D291:O291" si="394">SUM(D292,D293)-D300+D301</f>
        <v>0</v>
      </c>
      <c r="E291" s="263">
        <f t="shared" si="394"/>
        <v>0</v>
      </c>
      <c r="F291" s="264">
        <f t="shared" si="394"/>
        <v>0</v>
      </c>
      <c r="G291" s="262">
        <f t="shared" si="394"/>
        <v>0</v>
      </c>
      <c r="H291" s="263">
        <f t="shared" si="394"/>
        <v>0</v>
      </c>
      <c r="I291" s="264">
        <f t="shared" si="394"/>
        <v>0</v>
      </c>
      <c r="J291" s="262">
        <f t="shared" si="394"/>
        <v>81</v>
      </c>
      <c r="K291" s="263">
        <f t="shared" si="394"/>
        <v>0</v>
      </c>
      <c r="L291" s="264">
        <f t="shared" si="394"/>
        <v>81</v>
      </c>
      <c r="M291" s="262">
        <f t="shared" si="394"/>
        <v>0</v>
      </c>
      <c r="N291" s="263">
        <f t="shared" si="394"/>
        <v>0</v>
      </c>
      <c r="O291" s="264">
        <f t="shared" si="394"/>
        <v>0</v>
      </c>
      <c r="P291" s="265"/>
    </row>
    <row r="292" spans="1:16" s="28" customFormat="1" ht="12.75" thickBot="1" x14ac:dyDescent="0.3">
      <c r="A292" s="157" t="s">
        <v>310</v>
      </c>
      <c r="B292" s="157" t="s">
        <v>311</v>
      </c>
      <c r="C292" s="158">
        <f t="shared" si="371"/>
        <v>81</v>
      </c>
      <c r="D292" s="159">
        <f t="shared" ref="D292:O292" si="395">D21-D286</f>
        <v>0</v>
      </c>
      <c r="E292" s="160">
        <f t="shared" si="395"/>
        <v>0</v>
      </c>
      <c r="F292" s="161">
        <f t="shared" si="395"/>
        <v>0</v>
      </c>
      <c r="G292" s="159">
        <f t="shared" si="395"/>
        <v>0</v>
      </c>
      <c r="H292" s="160">
        <f t="shared" si="395"/>
        <v>0</v>
      </c>
      <c r="I292" s="161">
        <f t="shared" si="395"/>
        <v>0</v>
      </c>
      <c r="J292" s="159">
        <f t="shared" si="395"/>
        <v>81</v>
      </c>
      <c r="K292" s="160">
        <f t="shared" si="395"/>
        <v>0</v>
      </c>
      <c r="L292" s="161">
        <f t="shared" si="395"/>
        <v>81</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1378"/>
      <c r="E302" s="1378"/>
      <c r="F302" s="4"/>
      <c r="G302" s="1378"/>
      <c r="H302" s="1378"/>
      <c r="I302" s="4"/>
      <c r="J302" s="1378"/>
      <c r="K302" s="1378"/>
      <c r="L302" s="4"/>
      <c r="M302" s="1378"/>
      <c r="N302" s="1378"/>
      <c r="P302" s="1379"/>
    </row>
    <row r="303" spans="1:16" x14ac:dyDescent="0.25">
      <c r="A303" s="4"/>
      <c r="B303" s="4"/>
      <c r="C303" s="4"/>
      <c r="D303" s="2"/>
      <c r="E303" s="2"/>
      <c r="F303" s="4"/>
      <c r="G303" s="2"/>
      <c r="H303" s="2"/>
      <c r="I303" s="4"/>
      <c r="J303" s="2"/>
      <c r="K303" s="2"/>
      <c r="L303" s="4"/>
      <c r="M303" s="2"/>
      <c r="N303" s="2"/>
      <c r="P303" s="1380"/>
    </row>
    <row r="304" spans="1:16" x14ac:dyDescent="0.25">
      <c r="A304" s="4"/>
      <c r="B304" s="4"/>
      <c r="C304" s="4"/>
      <c r="D304" s="2"/>
      <c r="E304" s="2"/>
      <c r="F304" s="4"/>
      <c r="G304" s="2"/>
      <c r="H304" s="2"/>
      <c r="I304" s="4"/>
      <c r="J304" s="2"/>
      <c r="K304" s="2"/>
      <c r="L304" s="4"/>
      <c r="M304" s="2"/>
      <c r="N304" s="2"/>
      <c r="P304" s="1380"/>
    </row>
    <row r="305" spans="1:16" x14ac:dyDescent="0.25">
      <c r="A305" s="4"/>
      <c r="B305" s="4"/>
      <c r="C305" s="4"/>
      <c r="D305" s="2"/>
      <c r="E305" s="2"/>
      <c r="F305" s="4"/>
      <c r="G305" s="2"/>
      <c r="H305" s="2"/>
      <c r="I305" s="4"/>
      <c r="J305" s="2"/>
      <c r="K305" s="2"/>
      <c r="L305" s="4"/>
      <c r="M305" s="2"/>
      <c r="N305" s="2"/>
      <c r="P305" s="1380"/>
    </row>
    <row r="306" spans="1:16" ht="12.75" customHeight="1" x14ac:dyDescent="0.25">
      <c r="A306" s="4"/>
      <c r="B306" s="4"/>
      <c r="C306" s="4"/>
      <c r="D306" s="2" t="s">
        <v>1823</v>
      </c>
      <c r="E306" s="2"/>
      <c r="F306" s="4"/>
      <c r="G306" s="2"/>
      <c r="H306" s="2"/>
      <c r="I306" s="4"/>
      <c r="J306" s="2"/>
      <c r="K306" s="2"/>
      <c r="L306" s="4"/>
      <c r="M306" s="2"/>
      <c r="N306" s="2"/>
      <c r="P306" s="1380"/>
    </row>
    <row r="307" spans="1:16" x14ac:dyDescent="0.25">
      <c r="A307" s="4"/>
      <c r="B307" s="4"/>
      <c r="C307" s="4"/>
      <c r="D307" s="2"/>
      <c r="E307" s="2"/>
      <c r="F307" s="4"/>
      <c r="G307" s="2"/>
      <c r="H307" s="2"/>
      <c r="I307" s="4"/>
      <c r="J307" s="2"/>
      <c r="K307" s="2"/>
      <c r="L307" s="4"/>
      <c r="M307" s="2"/>
      <c r="N307" s="2"/>
      <c r="P307" s="1380"/>
    </row>
    <row r="308" spans="1:16" x14ac:dyDescent="0.25">
      <c r="A308" s="4"/>
      <c r="B308" s="4"/>
      <c r="C308" s="4"/>
      <c r="D308" s="2" t="s">
        <v>1590</v>
      </c>
      <c r="E308" s="2"/>
      <c r="F308" s="4"/>
      <c r="G308" s="2"/>
      <c r="H308" s="2"/>
      <c r="I308" s="4"/>
      <c r="J308" s="2"/>
      <c r="K308" s="2"/>
      <c r="L308" s="4"/>
      <c r="M308" s="2"/>
      <c r="N308" s="2"/>
      <c r="P308" s="1380"/>
    </row>
    <row r="309" spans="1:16" x14ac:dyDescent="0.25">
      <c r="A309" s="4"/>
      <c r="B309" s="4"/>
      <c r="C309" s="4"/>
      <c r="D309" s="2"/>
      <c r="E309" s="2"/>
      <c r="F309" s="4"/>
      <c r="G309" s="2"/>
      <c r="H309" s="2"/>
      <c r="I309" s="4"/>
      <c r="J309" s="2"/>
      <c r="K309" s="2"/>
      <c r="L309" s="4"/>
      <c r="M309" s="2"/>
      <c r="N309" s="2"/>
      <c r="P309" s="1380"/>
    </row>
    <row r="310" spans="1:16" x14ac:dyDescent="0.25">
      <c r="A310" s="4"/>
      <c r="B310" s="4"/>
      <c r="C310" s="4"/>
      <c r="D310" s="1381"/>
      <c r="E310" s="1381"/>
      <c r="F310" s="4"/>
      <c r="G310" s="1381"/>
      <c r="H310" s="1381"/>
      <c r="I310" s="4"/>
      <c r="J310" s="1381"/>
      <c r="K310" s="1381"/>
      <c r="L310" s="4"/>
      <c r="M310" s="1381"/>
      <c r="N310" s="1381"/>
      <c r="P310" s="1382"/>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D320" s="4"/>
      <c r="E320" s="4"/>
      <c r="G320" s="4"/>
      <c r="H320" s="4"/>
      <c r="J320" s="4"/>
      <c r="K320" s="4"/>
      <c r="M320" s="4"/>
    </row>
    <row r="321" spans="4:13" x14ac:dyDescent="0.25">
      <c r="D321" s="4"/>
      <c r="E321" s="4"/>
      <c r="G321" s="4"/>
      <c r="H321" s="4"/>
      <c r="J321" s="4"/>
      <c r="K321" s="4"/>
      <c r="M321" s="4"/>
    </row>
    <row r="322" spans="4:13" x14ac:dyDescent="0.25">
      <c r="D322" s="4"/>
      <c r="E322" s="4"/>
      <c r="G322" s="4"/>
      <c r="H322" s="4"/>
      <c r="J322" s="4"/>
      <c r="K322" s="4"/>
      <c r="M322" s="4"/>
    </row>
    <row r="323" spans="4:13" x14ac:dyDescent="0.25">
      <c r="D323" s="4"/>
      <c r="E323" s="4"/>
      <c r="G323" s="4"/>
      <c r="H323" s="4"/>
      <c r="J323" s="4"/>
      <c r="K323" s="4"/>
      <c r="M323" s="4"/>
    </row>
    <row r="324" spans="4:13" x14ac:dyDescent="0.25">
      <c r="D324" s="4"/>
      <c r="E324" s="4"/>
      <c r="G324" s="4"/>
      <c r="H324" s="4"/>
      <c r="J324" s="4"/>
      <c r="K324" s="4"/>
      <c r="M324" s="4"/>
    </row>
    <row r="325" spans="4:13" x14ac:dyDescent="0.25">
      <c r="D325" s="4"/>
      <c r="E325" s="4"/>
      <c r="G325" s="4"/>
      <c r="H325" s="4"/>
      <c r="J325" s="4"/>
      <c r="K325" s="4"/>
      <c r="M325" s="4"/>
    </row>
    <row r="326" spans="4:13" x14ac:dyDescent="0.25">
      <c r="D326" s="4"/>
      <c r="E326" s="4"/>
      <c r="G326" s="4"/>
      <c r="H326" s="4"/>
      <c r="J326" s="4"/>
      <c r="K326" s="4"/>
      <c r="M326" s="4"/>
    </row>
    <row r="327" spans="4:13" x14ac:dyDescent="0.25">
      <c r="D327" s="4"/>
      <c r="E327" s="4"/>
      <c r="G327" s="4"/>
      <c r="H327" s="4"/>
      <c r="J327" s="4"/>
      <c r="K327" s="4"/>
      <c r="M327" s="4"/>
    </row>
    <row r="328" spans="4:13" x14ac:dyDescent="0.25">
      <c r="D328" s="4"/>
      <c r="E328" s="4"/>
      <c r="G328" s="4"/>
      <c r="H328" s="4"/>
      <c r="J328" s="4"/>
      <c r="K328" s="4"/>
      <c r="M328" s="4"/>
    </row>
    <row r="329" spans="4:13" x14ac:dyDescent="0.25">
      <c r="D329" s="4"/>
      <c r="E329" s="4"/>
      <c r="G329" s="4"/>
      <c r="H329" s="4"/>
      <c r="J329" s="4"/>
      <c r="K329" s="4"/>
      <c r="M329" s="4"/>
    </row>
  </sheetData>
  <sheetProtection algorithmName="SHA-512" hashValue="9BdmYl9C82g72wJRWgF0+zezuvyv0ESOZqFTlB/3RwSURUUPp/Qh60hXTyyTrvniA5XZNGU5WDDB0hs4JqnNxA==" saltValue="pINDnCOxubw7+/Hw/jAvKQ==" spinCount="100000" sheet="1" objects="1" scenarios="1" formatCells="0" formatColumns="0" formatRows="0" deleteColumns="0"/>
  <autoFilter ref="A18:P301">
    <filterColumn colId="2">
      <filters>
        <filter val="1 029"/>
        <filter val="1 065"/>
        <filter val="1 359"/>
        <filter val="1 512"/>
        <filter val="1 680"/>
        <filter val="102"/>
        <filter val="11 074"/>
        <filter val="11 953"/>
        <filter val="114 915"/>
        <filter val="115"/>
        <filter val="145"/>
        <filter val="148 072"/>
        <filter val="160"/>
        <filter val="165"/>
        <filter val="166"/>
        <filter val="19 228"/>
        <filter val="2 021"/>
        <filter val="2 024"/>
        <filter val="2 721"/>
        <filter val="2 947"/>
        <filter val="20 454"/>
        <filter val="24 965"/>
        <filter val="26"/>
        <filter val="28 471"/>
        <filter val="3 155"/>
        <filter val="3 368"/>
        <filter val="3 671"/>
        <filter val="3 688"/>
        <filter val="3 710"/>
        <filter val="33 157"/>
        <filter val="331"/>
        <filter val="38 995"/>
        <filter val="4 172"/>
        <filter val="4 202"/>
        <filter val="4 383"/>
        <filter val="414 204"/>
        <filter val="456 567"/>
        <filter val="47 820"/>
        <filter val="50"/>
        <filter val="51"/>
        <filter val="514"/>
        <filter val="53 118"/>
        <filter val="54"/>
        <filter val="555"/>
        <filter val="585"/>
        <filter val="6 763"/>
        <filter val="6 902"/>
        <filter val="6 983"/>
        <filter val="60"/>
        <filter val="604 639"/>
        <filter val="635"/>
        <filter val="671 728"/>
        <filter val="677 055"/>
        <filter val="679 776"/>
        <filter val="7 200"/>
        <filter val="7 967"/>
        <filter val="70"/>
        <filter val="700"/>
        <filter val="72 416"/>
        <filter val="750"/>
        <filter val="778"/>
        <filter val="81"/>
        <filter val="-8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71.pielikums Jūrmalas pilsētas domes
2019.gada 31.oktobra saistošajiem noteikumiem Nr.46
(protokols Nr.14, 28.punkts)</firstHeader>
    <firstFooter>&amp;L&amp;9&amp;D; &amp;T&amp;R&amp;9&amp;P (&amp;N)</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S10" sqref="S10"/>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1824</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1825</v>
      </c>
      <c r="D3" s="1517"/>
      <c r="E3" s="1517"/>
      <c r="F3" s="1517"/>
      <c r="G3" s="1517"/>
      <c r="H3" s="1517"/>
      <c r="I3" s="1517"/>
      <c r="J3" s="1517"/>
      <c r="K3" s="1517"/>
      <c r="L3" s="1517"/>
      <c r="M3" s="1517"/>
      <c r="N3" s="1517"/>
      <c r="O3" s="1517"/>
      <c r="P3" s="1518"/>
      <c r="Q3" s="853"/>
    </row>
    <row r="4" spans="1:17" ht="12.75" customHeight="1" x14ac:dyDescent="0.25">
      <c r="A4" s="5" t="s">
        <v>4</v>
      </c>
      <c r="B4" s="6"/>
      <c r="C4" s="1517" t="s">
        <v>1826</v>
      </c>
      <c r="D4" s="1517"/>
      <c r="E4" s="1517"/>
      <c r="F4" s="1517"/>
      <c r="G4" s="1517"/>
      <c r="H4" s="1517"/>
      <c r="I4" s="1517"/>
      <c r="J4" s="1517"/>
      <c r="K4" s="1517"/>
      <c r="L4" s="1517"/>
      <c r="M4" s="1517"/>
      <c r="N4" s="1517"/>
      <c r="O4" s="1517"/>
      <c r="P4" s="1518"/>
      <c r="Q4" s="853"/>
    </row>
    <row r="5" spans="1:17" ht="12.75" customHeight="1" x14ac:dyDescent="0.25">
      <c r="A5" s="7" t="s">
        <v>6</v>
      </c>
      <c r="B5" s="8"/>
      <c r="C5" s="1512" t="s">
        <v>1827</v>
      </c>
      <c r="D5" s="1512"/>
      <c r="E5" s="1512"/>
      <c r="F5" s="1512"/>
      <c r="G5" s="1512"/>
      <c r="H5" s="1512"/>
      <c r="I5" s="1512"/>
      <c r="J5" s="1512"/>
      <c r="K5" s="1512"/>
      <c r="L5" s="1512"/>
      <c r="M5" s="1512"/>
      <c r="N5" s="1512"/>
      <c r="O5" s="1512"/>
      <c r="P5" s="1513"/>
      <c r="Q5" s="853"/>
    </row>
    <row r="6" spans="1:17" ht="12.75" customHeight="1" x14ac:dyDescent="0.25">
      <c r="A6" s="7" t="s">
        <v>8</v>
      </c>
      <c r="B6" s="8"/>
      <c r="C6" s="1790" t="s">
        <v>1492</v>
      </c>
      <c r="D6" s="1512"/>
      <c r="E6" s="1512"/>
      <c r="F6" s="1512"/>
      <c r="G6" s="1512"/>
      <c r="H6" s="1512"/>
      <c r="I6" s="1512"/>
      <c r="J6" s="1512"/>
      <c r="K6" s="1512"/>
      <c r="L6" s="1512"/>
      <c r="M6" s="1512"/>
      <c r="N6" s="1512"/>
      <c r="O6" s="1512"/>
      <c r="P6" s="1513"/>
      <c r="Q6" s="853"/>
    </row>
    <row r="7" spans="1:17" ht="26.25" customHeight="1" x14ac:dyDescent="0.25">
      <c r="A7" s="7" t="s">
        <v>10</v>
      </c>
      <c r="B7" s="8"/>
      <c r="C7" s="1517" t="s">
        <v>1604</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1828</v>
      </c>
      <c r="D9" s="1512"/>
      <c r="E9" s="1512"/>
      <c r="F9" s="1512"/>
      <c r="G9" s="1512"/>
      <c r="H9" s="1512"/>
      <c r="I9" s="1512"/>
      <c r="J9" s="1512"/>
      <c r="K9" s="1512"/>
      <c r="L9" s="1512"/>
      <c r="M9" s="1512"/>
      <c r="N9" s="1512"/>
      <c r="O9" s="1512"/>
      <c r="P9" s="1513"/>
      <c r="Q9" s="853"/>
    </row>
    <row r="10" spans="1:17" ht="12.75" customHeight="1" x14ac:dyDescent="0.25">
      <c r="A10" s="7"/>
      <c r="B10" s="8" t="s">
        <v>15</v>
      </c>
      <c r="C10" s="1512" t="s">
        <v>1829</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t="s">
        <v>1830</v>
      </c>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332562</v>
      </c>
      <c r="D20" s="32">
        <f>SUM(D21,D24,D25,D41,D43)</f>
        <v>314483</v>
      </c>
      <c r="E20" s="33">
        <f t="shared" ref="E20:F20" si="1">SUM(E21,E24,E25,E41,E43)</f>
        <v>0</v>
      </c>
      <c r="F20" s="34">
        <f t="shared" si="1"/>
        <v>314483</v>
      </c>
      <c r="G20" s="32">
        <f>SUM(G21,G24,G43)</f>
        <v>17075</v>
      </c>
      <c r="H20" s="33">
        <f t="shared" ref="H20:I20" si="2">SUM(H21,H24,H43)</f>
        <v>871</v>
      </c>
      <c r="I20" s="34">
        <f t="shared" si="2"/>
        <v>17946</v>
      </c>
      <c r="J20" s="32">
        <f>SUM(J21,J26,J43)</f>
        <v>133</v>
      </c>
      <c r="K20" s="33">
        <f t="shared" ref="K20:L20" si="3">SUM(K21,K26,K43)</f>
        <v>0</v>
      </c>
      <c r="L20" s="34">
        <f t="shared" si="3"/>
        <v>133</v>
      </c>
      <c r="M20" s="32">
        <f>SUM(M21,M45)</f>
        <v>0</v>
      </c>
      <c r="N20" s="33">
        <f t="shared" ref="N20:O20" si="4">SUM(N21,N45)</f>
        <v>0</v>
      </c>
      <c r="O20" s="34">
        <f t="shared" si="4"/>
        <v>0</v>
      </c>
      <c r="P20" s="35"/>
    </row>
    <row r="21" spans="1:16" ht="15.75" thickTop="1" x14ac:dyDescent="0.25">
      <c r="A21" s="36"/>
      <c r="B21" s="37" t="s">
        <v>39</v>
      </c>
      <c r="C21" s="38">
        <f t="shared" si="0"/>
        <v>40</v>
      </c>
      <c r="D21" s="39">
        <f>SUM(D22:D23)</f>
        <v>0</v>
      </c>
      <c r="E21" s="40">
        <f t="shared" ref="E21:F21" si="5">SUM(E22:E23)</f>
        <v>0</v>
      </c>
      <c r="F21" s="41">
        <f t="shared" si="5"/>
        <v>0</v>
      </c>
      <c r="G21" s="39">
        <f>SUM(G22:G23)</f>
        <v>0</v>
      </c>
      <c r="H21" s="40">
        <f t="shared" ref="H21:I21" si="6">SUM(H22:H23)</f>
        <v>0</v>
      </c>
      <c r="I21" s="41">
        <f t="shared" si="6"/>
        <v>0</v>
      </c>
      <c r="J21" s="39">
        <f>SUM(J22:J23)</f>
        <v>40</v>
      </c>
      <c r="K21" s="40">
        <f t="shared" ref="K21:L21" si="7">SUM(K22:K23)</f>
        <v>0</v>
      </c>
      <c r="L21" s="41">
        <f t="shared" si="7"/>
        <v>40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8" customHeight="1" x14ac:dyDescent="0.25">
      <c r="A23" s="464"/>
      <c r="B23" s="345" t="s">
        <v>41</v>
      </c>
      <c r="C23" s="465">
        <f t="shared" si="0"/>
        <v>40</v>
      </c>
      <c r="D23" s="348"/>
      <c r="E23" s="349"/>
      <c r="F23" s="350">
        <f t="shared" ref="F23:F25" si="9">D23+E23</f>
        <v>0</v>
      </c>
      <c r="G23" s="348"/>
      <c r="H23" s="349"/>
      <c r="I23" s="350">
        <f t="shared" ref="I23:I24" si="10">G23+H23</f>
        <v>0</v>
      </c>
      <c r="J23" s="348">
        <v>40</v>
      </c>
      <c r="K23" s="349"/>
      <c r="L23" s="466">
        <f>K23+J23</f>
        <v>40</v>
      </c>
      <c r="M23" s="348"/>
      <c r="N23" s="349"/>
      <c r="O23" s="350">
        <f>N23+M23</f>
        <v>0</v>
      </c>
      <c r="P23" s="1437"/>
    </row>
    <row r="24" spans="1:16" s="28" customFormat="1" ht="36" customHeight="1" thickBot="1" x14ac:dyDescent="0.3">
      <c r="A24" s="58">
        <v>19300</v>
      </c>
      <c r="B24" s="58" t="s">
        <v>42</v>
      </c>
      <c r="C24" s="59">
        <f>F24+I24</f>
        <v>332429</v>
      </c>
      <c r="D24" s="60">
        <v>314483</v>
      </c>
      <c r="E24" s="63"/>
      <c r="F24" s="62">
        <f t="shared" si="9"/>
        <v>314483</v>
      </c>
      <c r="G24" s="60">
        <v>17075</v>
      </c>
      <c r="H24" s="63">
        <v>871</v>
      </c>
      <c r="I24" s="62">
        <f t="shared" si="10"/>
        <v>17946</v>
      </c>
      <c r="J24" s="64" t="s">
        <v>43</v>
      </c>
      <c r="K24" s="65" t="s">
        <v>43</v>
      </c>
      <c r="L24" s="66" t="s">
        <v>43</v>
      </c>
      <c r="M24" s="64" t="s">
        <v>43</v>
      </c>
      <c r="N24" s="65" t="s">
        <v>43</v>
      </c>
      <c r="O24" s="66" t="s">
        <v>43</v>
      </c>
      <c r="P24" s="1436" t="s">
        <v>1831</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92</v>
      </c>
      <c r="D26" s="74" t="s">
        <v>43</v>
      </c>
      <c r="E26" s="75" t="s">
        <v>43</v>
      </c>
      <c r="F26" s="76" t="s">
        <v>43</v>
      </c>
      <c r="G26" s="74" t="s">
        <v>43</v>
      </c>
      <c r="H26" s="75" t="s">
        <v>43</v>
      </c>
      <c r="I26" s="76" t="s">
        <v>43</v>
      </c>
      <c r="J26" s="78">
        <f>SUM(J27,J31,J33,J36)</f>
        <v>92</v>
      </c>
      <c r="K26" s="79">
        <f t="shared" ref="K26:L26" si="11">SUM(K27,K31,K33,K36)</f>
        <v>0</v>
      </c>
      <c r="L26" s="80">
        <f t="shared" si="11"/>
        <v>92</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92</v>
      </c>
      <c r="D33" s="74" t="s">
        <v>43</v>
      </c>
      <c r="E33" s="75" t="s">
        <v>43</v>
      </c>
      <c r="F33" s="76" t="s">
        <v>43</v>
      </c>
      <c r="G33" s="74" t="s">
        <v>43</v>
      </c>
      <c r="H33" s="75" t="s">
        <v>43</v>
      </c>
      <c r="I33" s="76" t="s">
        <v>43</v>
      </c>
      <c r="J33" s="78">
        <f>SUM(J34:J35)</f>
        <v>92</v>
      </c>
      <c r="K33" s="79">
        <f t="shared" ref="K33:L33" si="17">SUM(K34:K35)</f>
        <v>0</v>
      </c>
      <c r="L33" s="80">
        <f t="shared" si="17"/>
        <v>92</v>
      </c>
      <c r="M33" s="78" t="s">
        <v>43</v>
      </c>
      <c r="N33" s="79" t="s">
        <v>43</v>
      </c>
      <c r="O33" s="80" t="s">
        <v>43</v>
      </c>
      <c r="P33" s="77"/>
    </row>
    <row r="34" spans="1:16" ht="12" customHeight="1" x14ac:dyDescent="0.25">
      <c r="A34" s="44">
        <v>21381</v>
      </c>
      <c r="B34" s="82" t="s">
        <v>53</v>
      </c>
      <c r="C34" s="83">
        <f t="shared" si="16"/>
        <v>92</v>
      </c>
      <c r="D34" s="84" t="s">
        <v>43</v>
      </c>
      <c r="E34" s="85" t="s">
        <v>43</v>
      </c>
      <c r="F34" s="86" t="s">
        <v>43</v>
      </c>
      <c r="G34" s="84" t="s">
        <v>43</v>
      </c>
      <c r="H34" s="85" t="s">
        <v>43</v>
      </c>
      <c r="I34" s="86" t="s">
        <v>43</v>
      </c>
      <c r="J34" s="46">
        <v>92</v>
      </c>
      <c r="K34" s="47"/>
      <c r="L34" s="48">
        <f t="shared" ref="L34:L35" si="18">K34+J34</f>
        <v>92</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1</v>
      </c>
      <c r="D43" s="78">
        <f>D44</f>
        <v>0</v>
      </c>
      <c r="E43" s="79">
        <f t="shared" ref="E43:L43" si="22">E44</f>
        <v>0</v>
      </c>
      <c r="F43" s="80">
        <f t="shared" si="22"/>
        <v>0</v>
      </c>
      <c r="G43" s="78">
        <f t="shared" si="22"/>
        <v>0</v>
      </c>
      <c r="H43" s="79">
        <f t="shared" si="22"/>
        <v>0</v>
      </c>
      <c r="I43" s="80">
        <f t="shared" si="22"/>
        <v>0</v>
      </c>
      <c r="J43" s="78">
        <f t="shared" si="22"/>
        <v>1</v>
      </c>
      <c r="K43" s="79">
        <f t="shared" si="22"/>
        <v>0</v>
      </c>
      <c r="L43" s="80">
        <f t="shared" si="22"/>
        <v>1</v>
      </c>
      <c r="M43" s="78" t="s">
        <v>43</v>
      </c>
      <c r="N43" s="79" t="s">
        <v>43</v>
      </c>
      <c r="O43" s="80" t="s">
        <v>43</v>
      </c>
      <c r="P43" s="77"/>
    </row>
    <row r="44" spans="1:16" s="28" customFormat="1" ht="24" customHeight="1" x14ac:dyDescent="0.25">
      <c r="A44" s="51">
        <v>21499</v>
      </c>
      <c r="B44" s="89" t="s">
        <v>63</v>
      </c>
      <c r="C44" s="133">
        <f>F44+I44+L44</f>
        <v>1</v>
      </c>
      <c r="D44" s="46"/>
      <c r="E44" s="47"/>
      <c r="F44" s="134">
        <f>D44+E44</f>
        <v>0</v>
      </c>
      <c r="G44" s="46"/>
      <c r="H44" s="47"/>
      <c r="I44" s="134">
        <f>G44+H44</f>
        <v>0</v>
      </c>
      <c r="J44" s="46">
        <v>1</v>
      </c>
      <c r="K44" s="47"/>
      <c r="L44" s="48">
        <f>K44+J44</f>
        <v>1</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7"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7" s="28" customFormat="1" ht="12.75" thickBot="1" x14ac:dyDescent="0.3">
      <c r="A50" s="157"/>
      <c r="B50" s="29" t="s">
        <v>68</v>
      </c>
      <c r="C50" s="158">
        <f t="shared" si="0"/>
        <v>332562</v>
      </c>
      <c r="D50" s="159">
        <f>SUM(D51,D286)</f>
        <v>314483</v>
      </c>
      <c r="E50" s="160">
        <f t="shared" ref="E50:F50" si="26">SUM(E51,E286)</f>
        <v>0</v>
      </c>
      <c r="F50" s="161">
        <f t="shared" si="26"/>
        <v>314483</v>
      </c>
      <c r="G50" s="159">
        <f>SUM(G51,G286)</f>
        <v>17075</v>
      </c>
      <c r="H50" s="160">
        <f>SUM(H51,H286)</f>
        <v>871</v>
      </c>
      <c r="I50" s="161">
        <f t="shared" ref="I50" si="27">SUM(I51,I286)</f>
        <v>17946</v>
      </c>
      <c r="J50" s="32">
        <f>SUM(J51,J286)</f>
        <v>133</v>
      </c>
      <c r="K50" s="33">
        <f t="shared" ref="K50:L50" si="28">SUM(K51,K286)</f>
        <v>0</v>
      </c>
      <c r="L50" s="34">
        <f t="shared" si="28"/>
        <v>133</v>
      </c>
      <c r="M50" s="32">
        <f>SUM(M51,M286)</f>
        <v>0</v>
      </c>
      <c r="N50" s="33">
        <f t="shared" ref="N50:O50" si="29">SUM(N51,N286)</f>
        <v>0</v>
      </c>
      <c r="O50" s="34">
        <f t="shared" si="29"/>
        <v>0</v>
      </c>
      <c r="P50" s="35"/>
    </row>
    <row r="51" spans="1:17" s="28" customFormat="1" ht="36.75" thickTop="1" x14ac:dyDescent="0.25">
      <c r="A51" s="162"/>
      <c r="B51" s="163" t="s">
        <v>69</v>
      </c>
      <c r="C51" s="164">
        <f t="shared" si="0"/>
        <v>332562</v>
      </c>
      <c r="D51" s="165">
        <f>SUM(D52,D194)</f>
        <v>314483</v>
      </c>
      <c r="E51" s="166">
        <f t="shared" ref="E51:F51" si="30">SUM(E52,E194)</f>
        <v>0</v>
      </c>
      <c r="F51" s="167">
        <f t="shared" si="30"/>
        <v>314483</v>
      </c>
      <c r="G51" s="165">
        <f>SUM(G52,G194)</f>
        <v>17075</v>
      </c>
      <c r="H51" s="166">
        <f t="shared" ref="H51:I51" si="31">SUM(H52,H194)</f>
        <v>871</v>
      </c>
      <c r="I51" s="167">
        <f t="shared" si="31"/>
        <v>17946</v>
      </c>
      <c r="J51" s="168">
        <f>SUM(J52,J194)</f>
        <v>133</v>
      </c>
      <c r="K51" s="169">
        <f t="shared" ref="K51:L51" si="32">SUM(K52,K194)</f>
        <v>0</v>
      </c>
      <c r="L51" s="170">
        <f t="shared" si="32"/>
        <v>133</v>
      </c>
      <c r="M51" s="168">
        <f>SUM(M52,M194)</f>
        <v>0</v>
      </c>
      <c r="N51" s="169">
        <f t="shared" ref="N51:O51" si="33">SUM(N52,N194)</f>
        <v>0</v>
      </c>
      <c r="O51" s="170">
        <f t="shared" si="33"/>
        <v>0</v>
      </c>
      <c r="P51" s="171"/>
    </row>
    <row r="52" spans="1:17" s="28" customFormat="1" ht="24" x14ac:dyDescent="0.25">
      <c r="A52" s="24"/>
      <c r="B52" s="22" t="s">
        <v>70</v>
      </c>
      <c r="C52" s="172">
        <f t="shared" si="0"/>
        <v>329805</v>
      </c>
      <c r="D52" s="173">
        <f>SUM(D53,D75,D173,D187)</f>
        <v>311826</v>
      </c>
      <c r="E52" s="174">
        <f t="shared" ref="E52:F52" si="34">SUM(E53,E75,E173,E187)</f>
        <v>0</v>
      </c>
      <c r="F52" s="175">
        <f t="shared" si="34"/>
        <v>311826</v>
      </c>
      <c r="G52" s="173">
        <f>SUM(G53,G75,G173,G187)</f>
        <v>16975</v>
      </c>
      <c r="H52" s="174">
        <f t="shared" ref="H52:I52" si="35">SUM(H53,H75,H173,H187)</f>
        <v>871</v>
      </c>
      <c r="I52" s="175">
        <f t="shared" si="35"/>
        <v>17846</v>
      </c>
      <c r="J52" s="173">
        <f>SUM(J53,J75,J173,J187)</f>
        <v>133</v>
      </c>
      <c r="K52" s="174">
        <f t="shared" ref="K52:L52" si="36">SUM(K53,K75,K173,K187)</f>
        <v>0</v>
      </c>
      <c r="L52" s="175">
        <f t="shared" si="36"/>
        <v>133</v>
      </c>
      <c r="M52" s="173">
        <f>SUM(M53,M75,M173,M187)</f>
        <v>0</v>
      </c>
      <c r="N52" s="174">
        <f t="shared" ref="N52:O52" si="37">SUM(N53,N75,N173,N187)</f>
        <v>0</v>
      </c>
      <c r="O52" s="175">
        <f t="shared" si="37"/>
        <v>0</v>
      </c>
      <c r="P52" s="176"/>
    </row>
    <row r="53" spans="1:17" s="28" customFormat="1" ht="12" x14ac:dyDescent="0.25">
      <c r="A53" s="177">
        <v>1000</v>
      </c>
      <c r="B53" s="177" t="s">
        <v>71</v>
      </c>
      <c r="C53" s="178">
        <f t="shared" si="0"/>
        <v>296003</v>
      </c>
      <c r="D53" s="179">
        <f>SUM(D54,D67)</f>
        <v>278463</v>
      </c>
      <c r="E53" s="180">
        <f t="shared" ref="E53:F53" si="38">SUM(E54,E67)</f>
        <v>0</v>
      </c>
      <c r="F53" s="181">
        <f t="shared" si="38"/>
        <v>278463</v>
      </c>
      <c r="G53" s="179">
        <f>SUM(G54,G67)</f>
        <v>16669</v>
      </c>
      <c r="H53" s="180">
        <f t="shared" ref="H53:I53" si="39">SUM(H54,H67)</f>
        <v>871</v>
      </c>
      <c r="I53" s="181">
        <f t="shared" si="39"/>
        <v>17540</v>
      </c>
      <c r="J53" s="179">
        <f>SUM(J54,J67)</f>
        <v>0</v>
      </c>
      <c r="K53" s="180">
        <f t="shared" ref="K53:L53" si="40">SUM(K54,K67)</f>
        <v>0</v>
      </c>
      <c r="L53" s="181">
        <f t="shared" si="40"/>
        <v>0</v>
      </c>
      <c r="M53" s="179">
        <f>SUM(M54,M67)</f>
        <v>0</v>
      </c>
      <c r="N53" s="180">
        <f t="shared" ref="N53:O53" si="41">SUM(N54,N67)</f>
        <v>0</v>
      </c>
      <c r="O53" s="181">
        <f t="shared" si="41"/>
        <v>0</v>
      </c>
      <c r="P53" s="182"/>
    </row>
    <row r="54" spans="1:17" x14ac:dyDescent="0.25">
      <c r="A54" s="69">
        <v>1100</v>
      </c>
      <c r="B54" s="183" t="s">
        <v>72</v>
      </c>
      <c r="C54" s="70">
        <f t="shared" si="0"/>
        <v>223946</v>
      </c>
      <c r="D54" s="184">
        <f>SUM(D55,D58,D66)</f>
        <v>210090</v>
      </c>
      <c r="E54" s="185">
        <f t="shared" ref="E54:F54" si="42">SUM(E55,E58,E66)</f>
        <v>0</v>
      </c>
      <c r="F54" s="73">
        <f t="shared" si="42"/>
        <v>210090</v>
      </c>
      <c r="G54" s="184">
        <f>SUM(G55,G58,G66)</f>
        <v>13233</v>
      </c>
      <c r="H54" s="185">
        <f t="shared" ref="H54:I54" si="43">SUM(H55,H58,H66)</f>
        <v>623</v>
      </c>
      <c r="I54" s="73">
        <f t="shared" si="43"/>
        <v>13856</v>
      </c>
      <c r="J54" s="184">
        <f>SUM(J55,J58,J66)</f>
        <v>0</v>
      </c>
      <c r="K54" s="185">
        <f t="shared" ref="K54:L54" si="44">SUM(K55,K58,K66)</f>
        <v>0</v>
      </c>
      <c r="L54" s="73">
        <f t="shared" si="44"/>
        <v>0</v>
      </c>
      <c r="M54" s="184">
        <f>SUM(M55,M58,M66)</f>
        <v>0</v>
      </c>
      <c r="N54" s="185">
        <f t="shared" ref="N54:O54" si="45">SUM(N55,N58,N66)</f>
        <v>0</v>
      </c>
      <c r="O54" s="73">
        <f t="shared" si="45"/>
        <v>0</v>
      </c>
      <c r="P54" s="77"/>
    </row>
    <row r="55" spans="1:17" x14ac:dyDescent="0.25">
      <c r="A55" s="186">
        <v>1110</v>
      </c>
      <c r="B55" s="138" t="s">
        <v>73</v>
      </c>
      <c r="C55" s="143">
        <f t="shared" si="0"/>
        <v>201047</v>
      </c>
      <c r="D55" s="187">
        <f>SUM(D56:D57)</f>
        <v>187294</v>
      </c>
      <c r="E55" s="188">
        <f t="shared" ref="E55:F55" si="46">SUM(E56:E57)</f>
        <v>0</v>
      </c>
      <c r="F55" s="141">
        <f t="shared" si="46"/>
        <v>187294</v>
      </c>
      <c r="G55" s="187">
        <f>SUM(G56:G57)</f>
        <v>13096</v>
      </c>
      <c r="H55" s="188">
        <f t="shared" ref="H55:I55" si="47">SUM(H56:H57)</f>
        <v>657</v>
      </c>
      <c r="I55" s="141">
        <f t="shared" si="47"/>
        <v>13753</v>
      </c>
      <c r="J55" s="187">
        <f>SUM(J56:J57)</f>
        <v>0</v>
      </c>
      <c r="K55" s="188">
        <f t="shared" ref="K55:L55" si="48">SUM(K56:K57)</f>
        <v>0</v>
      </c>
      <c r="L55" s="141">
        <f t="shared" si="48"/>
        <v>0</v>
      </c>
      <c r="M55" s="187">
        <f>SUM(M56:M57)</f>
        <v>0</v>
      </c>
      <c r="N55" s="188">
        <f t="shared" ref="N55:O55" si="49">SUM(N56:N57)</f>
        <v>0</v>
      </c>
      <c r="O55" s="141">
        <f t="shared" si="49"/>
        <v>0</v>
      </c>
      <c r="P55" s="129"/>
    </row>
    <row r="56" spans="1:17"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7" ht="27" customHeight="1" x14ac:dyDescent="0.25">
      <c r="A57" s="51">
        <v>1119</v>
      </c>
      <c r="B57" s="89" t="s">
        <v>75</v>
      </c>
      <c r="C57" s="90">
        <f t="shared" si="0"/>
        <v>201047</v>
      </c>
      <c r="D57" s="53">
        <v>187294</v>
      </c>
      <c r="E57" s="54"/>
      <c r="F57" s="55">
        <f t="shared" si="50"/>
        <v>187294</v>
      </c>
      <c r="G57" s="53">
        <v>13096</v>
      </c>
      <c r="H57" s="54">
        <f>396+261</f>
        <v>657</v>
      </c>
      <c r="I57" s="55">
        <f t="shared" si="51"/>
        <v>13753</v>
      </c>
      <c r="J57" s="53"/>
      <c r="K57" s="54"/>
      <c r="L57" s="55">
        <f t="shared" si="52"/>
        <v>0</v>
      </c>
      <c r="M57" s="53"/>
      <c r="N57" s="54"/>
      <c r="O57" s="55">
        <f t="shared" si="53"/>
        <v>0</v>
      </c>
      <c r="P57" s="57" t="s">
        <v>1832</v>
      </c>
      <c r="Q57" s="1438"/>
    </row>
    <row r="58" spans="1:17" x14ac:dyDescent="0.25">
      <c r="A58" s="189">
        <v>1140</v>
      </c>
      <c r="B58" s="89" t="s">
        <v>76</v>
      </c>
      <c r="C58" s="90">
        <f t="shared" si="0"/>
        <v>20850</v>
      </c>
      <c r="D58" s="190">
        <f>SUM(D59:D65)</f>
        <v>20447</v>
      </c>
      <c r="E58" s="191">
        <f>SUM(E59:E65)</f>
        <v>300</v>
      </c>
      <c r="F58" s="55">
        <f t="shared" ref="F58" si="54">SUM(F59:F65)</f>
        <v>20747</v>
      </c>
      <c r="G58" s="190">
        <f>SUM(G59:G65)</f>
        <v>137</v>
      </c>
      <c r="H58" s="191">
        <f t="shared" ref="H58:I58" si="55">SUM(H59:H65)</f>
        <v>-34</v>
      </c>
      <c r="I58" s="55">
        <f t="shared" si="55"/>
        <v>103</v>
      </c>
      <c r="J58" s="190">
        <f>SUM(J59:J65)</f>
        <v>0</v>
      </c>
      <c r="K58" s="191">
        <f t="shared" ref="K58:L58" si="56">SUM(K59:K65)</f>
        <v>0</v>
      </c>
      <c r="L58" s="55">
        <f t="shared" si="56"/>
        <v>0</v>
      </c>
      <c r="M58" s="190">
        <f>SUM(M59:M65)</f>
        <v>0</v>
      </c>
      <c r="N58" s="191">
        <f t="shared" ref="N58:O58" si="57">SUM(N59:N65)</f>
        <v>0</v>
      </c>
      <c r="O58" s="55">
        <f t="shared" si="57"/>
        <v>0</v>
      </c>
      <c r="P58" s="57"/>
    </row>
    <row r="59" spans="1:17"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7"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7"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7"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7" x14ac:dyDescent="0.25">
      <c r="A63" s="51">
        <v>1147</v>
      </c>
      <c r="B63" s="89" t="s">
        <v>81</v>
      </c>
      <c r="C63" s="90">
        <f t="shared" si="0"/>
        <v>2451</v>
      </c>
      <c r="D63" s="53">
        <v>2451</v>
      </c>
      <c r="E63" s="54"/>
      <c r="F63" s="55">
        <f t="shared" si="58"/>
        <v>2451</v>
      </c>
      <c r="G63" s="53"/>
      <c r="H63" s="54">
        <f>308-46-262</f>
        <v>0</v>
      </c>
      <c r="I63" s="55">
        <f t="shared" si="59"/>
        <v>0</v>
      </c>
      <c r="J63" s="53"/>
      <c r="K63" s="54"/>
      <c r="L63" s="55">
        <f t="shared" si="60"/>
        <v>0</v>
      </c>
      <c r="M63" s="53"/>
      <c r="N63" s="54"/>
      <c r="O63" s="55">
        <f t="shared" si="61"/>
        <v>0</v>
      </c>
      <c r="P63" s="57"/>
    </row>
    <row r="64" spans="1:17" ht="21.75" customHeight="1" x14ac:dyDescent="0.25">
      <c r="A64" s="51">
        <v>1148</v>
      </c>
      <c r="B64" s="89" t="s">
        <v>82</v>
      </c>
      <c r="C64" s="90">
        <f t="shared" si="0"/>
        <v>11880</v>
      </c>
      <c r="D64" s="53">
        <v>11580</v>
      </c>
      <c r="E64" s="54">
        <v>300</v>
      </c>
      <c r="F64" s="55">
        <f t="shared" si="58"/>
        <v>11880</v>
      </c>
      <c r="G64" s="53"/>
      <c r="H64" s="54"/>
      <c r="I64" s="55">
        <f t="shared" si="59"/>
        <v>0</v>
      </c>
      <c r="J64" s="53"/>
      <c r="K64" s="54"/>
      <c r="L64" s="55">
        <f t="shared" si="60"/>
        <v>0</v>
      </c>
      <c r="M64" s="53"/>
      <c r="N64" s="54"/>
      <c r="O64" s="55">
        <f t="shared" si="61"/>
        <v>0</v>
      </c>
      <c r="P64" s="57" t="s">
        <v>1833</v>
      </c>
      <c r="Q64" s="1438"/>
    </row>
    <row r="65" spans="1:17" ht="30.75" customHeight="1" x14ac:dyDescent="0.25">
      <c r="A65" s="51">
        <v>1149</v>
      </c>
      <c r="B65" s="89" t="s">
        <v>83</v>
      </c>
      <c r="C65" s="90">
        <f t="shared" si="0"/>
        <v>1318</v>
      </c>
      <c r="D65" s="53">
        <v>1215</v>
      </c>
      <c r="E65" s="54"/>
      <c r="F65" s="55">
        <f t="shared" si="58"/>
        <v>1215</v>
      </c>
      <c r="G65" s="53">
        <v>137</v>
      </c>
      <c r="H65" s="54">
        <f>-1-33</f>
        <v>-34</v>
      </c>
      <c r="I65" s="55">
        <f t="shared" si="59"/>
        <v>103</v>
      </c>
      <c r="J65" s="53"/>
      <c r="K65" s="54"/>
      <c r="L65" s="55">
        <f t="shared" si="60"/>
        <v>0</v>
      </c>
      <c r="M65" s="53"/>
      <c r="N65" s="54"/>
      <c r="O65" s="55">
        <f t="shared" si="61"/>
        <v>0</v>
      </c>
      <c r="P65" s="57" t="s">
        <v>1834</v>
      </c>
      <c r="Q65" s="1438"/>
    </row>
    <row r="66" spans="1:17" ht="42.75" customHeight="1" x14ac:dyDescent="0.25">
      <c r="A66" s="186">
        <v>1150</v>
      </c>
      <c r="B66" s="138" t="s">
        <v>84</v>
      </c>
      <c r="C66" s="143">
        <f t="shared" si="0"/>
        <v>2049</v>
      </c>
      <c r="D66" s="144">
        <v>2349</v>
      </c>
      <c r="E66" s="145">
        <v>-300</v>
      </c>
      <c r="F66" s="141">
        <f t="shared" si="58"/>
        <v>2049</v>
      </c>
      <c r="G66" s="144"/>
      <c r="H66" s="145"/>
      <c r="I66" s="141">
        <f t="shared" si="59"/>
        <v>0</v>
      </c>
      <c r="J66" s="144"/>
      <c r="K66" s="145"/>
      <c r="L66" s="141">
        <f t="shared" si="60"/>
        <v>0</v>
      </c>
      <c r="M66" s="144"/>
      <c r="N66" s="145"/>
      <c r="O66" s="141">
        <f t="shared" si="61"/>
        <v>0</v>
      </c>
      <c r="P66" s="129" t="s">
        <v>1835</v>
      </c>
      <c r="Q66" s="1438"/>
    </row>
    <row r="67" spans="1:17" ht="24" x14ac:dyDescent="0.25">
      <c r="A67" s="69">
        <v>1200</v>
      </c>
      <c r="B67" s="183" t="s">
        <v>85</v>
      </c>
      <c r="C67" s="70">
        <f t="shared" si="0"/>
        <v>72057</v>
      </c>
      <c r="D67" s="184">
        <f>SUM(D68:D69)</f>
        <v>68373</v>
      </c>
      <c r="E67" s="185">
        <f t="shared" ref="E67:F67" si="62">SUM(E68:E69)</f>
        <v>0</v>
      </c>
      <c r="F67" s="73">
        <f t="shared" si="62"/>
        <v>68373</v>
      </c>
      <c r="G67" s="184">
        <f>SUM(G68:G69)</f>
        <v>3436</v>
      </c>
      <c r="H67" s="185">
        <f t="shared" ref="H67:I67" si="63">SUM(H68:H69)</f>
        <v>248</v>
      </c>
      <c r="I67" s="73">
        <f t="shared" si="63"/>
        <v>3684</v>
      </c>
      <c r="J67" s="184">
        <f>SUM(J68:J69)</f>
        <v>0</v>
      </c>
      <c r="K67" s="185">
        <f t="shared" ref="K67:L67" si="64">SUM(K68:K69)</f>
        <v>0</v>
      </c>
      <c r="L67" s="73">
        <f t="shared" si="64"/>
        <v>0</v>
      </c>
      <c r="M67" s="184">
        <f>SUM(M68:M69)</f>
        <v>0</v>
      </c>
      <c r="N67" s="185">
        <f t="shared" ref="N67:O67" si="65">SUM(N68:N69)</f>
        <v>0</v>
      </c>
      <c r="O67" s="73">
        <f t="shared" si="65"/>
        <v>0</v>
      </c>
      <c r="P67" s="77"/>
    </row>
    <row r="68" spans="1:17" ht="31.5" customHeight="1" x14ac:dyDescent="0.25">
      <c r="A68" s="1373">
        <v>1210</v>
      </c>
      <c r="B68" s="82" t="s">
        <v>86</v>
      </c>
      <c r="C68" s="83">
        <f t="shared" si="0"/>
        <v>56247</v>
      </c>
      <c r="D68" s="46">
        <v>52843</v>
      </c>
      <c r="E68" s="47"/>
      <c r="F68" s="134">
        <f>D68+E68</f>
        <v>52843</v>
      </c>
      <c r="G68" s="46">
        <v>3236</v>
      </c>
      <c r="H68" s="47">
        <f>168</f>
        <v>168</v>
      </c>
      <c r="I68" s="134">
        <f>G68+H68</f>
        <v>3404</v>
      </c>
      <c r="J68" s="46"/>
      <c r="K68" s="47"/>
      <c r="L68" s="134">
        <f>K68+J68</f>
        <v>0</v>
      </c>
      <c r="M68" s="46"/>
      <c r="N68" s="47"/>
      <c r="O68" s="134">
        <f>N68+M68</f>
        <v>0</v>
      </c>
      <c r="P68" s="57" t="s">
        <v>1836</v>
      </c>
      <c r="Q68" s="1438"/>
    </row>
    <row r="69" spans="1:17" ht="24" x14ac:dyDescent="0.25">
      <c r="A69" s="189">
        <v>1220</v>
      </c>
      <c r="B69" s="89" t="s">
        <v>87</v>
      </c>
      <c r="C69" s="90">
        <f t="shared" si="0"/>
        <v>15810</v>
      </c>
      <c r="D69" s="190">
        <f>SUM(D70:D74)</f>
        <v>15530</v>
      </c>
      <c r="E69" s="191">
        <f t="shared" ref="E69:F69" si="66">SUM(E70:E74)</f>
        <v>0</v>
      </c>
      <c r="F69" s="55">
        <f t="shared" si="66"/>
        <v>15530</v>
      </c>
      <c r="G69" s="190">
        <f>SUM(G70:G74)</f>
        <v>200</v>
      </c>
      <c r="H69" s="191">
        <f t="shared" ref="H69:I69" si="67">SUM(H70:H74)</f>
        <v>80</v>
      </c>
      <c r="I69" s="55">
        <f t="shared" si="67"/>
        <v>280</v>
      </c>
      <c r="J69" s="190">
        <f>SUM(J70:J74)</f>
        <v>0</v>
      </c>
      <c r="K69" s="191">
        <f t="shared" ref="K69:L69" si="68">SUM(K70:K74)</f>
        <v>0</v>
      </c>
      <c r="L69" s="55">
        <f t="shared" si="68"/>
        <v>0</v>
      </c>
      <c r="M69" s="190">
        <f>SUM(M70:M74)</f>
        <v>0</v>
      </c>
      <c r="N69" s="191">
        <f t="shared" ref="N69:O69" si="69">SUM(N70:N74)</f>
        <v>0</v>
      </c>
      <c r="O69" s="55">
        <f t="shared" si="69"/>
        <v>0</v>
      </c>
      <c r="P69" s="57"/>
      <c r="Q69" s="1438"/>
    </row>
    <row r="70" spans="1:17" ht="60.75" customHeight="1" x14ac:dyDescent="0.25">
      <c r="A70" s="51">
        <v>1221</v>
      </c>
      <c r="B70" s="89" t="s">
        <v>88</v>
      </c>
      <c r="C70" s="90">
        <f t="shared" si="0"/>
        <v>9547</v>
      </c>
      <c r="D70" s="53">
        <v>9267</v>
      </c>
      <c r="E70" s="54"/>
      <c r="F70" s="55">
        <f t="shared" ref="F70:F74" si="70">D70+E70</f>
        <v>9267</v>
      </c>
      <c r="G70" s="53">
        <v>200</v>
      </c>
      <c r="H70" s="54">
        <f>47+33</f>
        <v>80</v>
      </c>
      <c r="I70" s="55">
        <f t="shared" ref="I70:I74" si="71">G70+H70</f>
        <v>280</v>
      </c>
      <c r="J70" s="53"/>
      <c r="K70" s="54"/>
      <c r="L70" s="55">
        <f t="shared" ref="L70:L74" si="72">K70+J70</f>
        <v>0</v>
      </c>
      <c r="M70" s="53"/>
      <c r="N70" s="54"/>
      <c r="O70" s="55">
        <f t="shared" ref="O70:O74" si="73">N70+M70</f>
        <v>0</v>
      </c>
      <c r="P70" s="57" t="s">
        <v>1837</v>
      </c>
      <c r="Q70" s="1438"/>
    </row>
    <row r="71" spans="1:17"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7"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7" ht="36" customHeight="1" x14ac:dyDescent="0.25">
      <c r="A73" s="51">
        <v>1227</v>
      </c>
      <c r="B73" s="89" t="s">
        <v>91</v>
      </c>
      <c r="C73" s="90">
        <f t="shared" si="0"/>
        <v>5763</v>
      </c>
      <c r="D73" s="53">
        <v>5763</v>
      </c>
      <c r="E73" s="54"/>
      <c r="F73" s="55">
        <f t="shared" si="70"/>
        <v>5763</v>
      </c>
      <c r="G73" s="53"/>
      <c r="H73" s="54"/>
      <c r="I73" s="55">
        <f t="shared" si="71"/>
        <v>0</v>
      </c>
      <c r="J73" s="53"/>
      <c r="K73" s="54"/>
      <c r="L73" s="55">
        <f t="shared" si="72"/>
        <v>0</v>
      </c>
      <c r="M73" s="53"/>
      <c r="N73" s="54"/>
      <c r="O73" s="55">
        <f t="shared" si="73"/>
        <v>0</v>
      </c>
      <c r="P73" s="57"/>
    </row>
    <row r="74" spans="1:17"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7" x14ac:dyDescent="0.25">
      <c r="A75" s="177">
        <v>2000</v>
      </c>
      <c r="B75" s="177" t="s">
        <v>93</v>
      </c>
      <c r="C75" s="178">
        <f t="shared" si="0"/>
        <v>33802</v>
      </c>
      <c r="D75" s="179">
        <f>SUM(D76,D83,D130,D164,D165,D172)</f>
        <v>33363</v>
      </c>
      <c r="E75" s="180">
        <f t="shared" ref="E75:F75" si="74">SUM(E76,E83,E130,E164,E165,E172)</f>
        <v>0</v>
      </c>
      <c r="F75" s="181">
        <f t="shared" si="74"/>
        <v>33363</v>
      </c>
      <c r="G75" s="179">
        <f>SUM(G76,G83,G130,G164,G165,G172)</f>
        <v>306</v>
      </c>
      <c r="H75" s="180">
        <f t="shared" ref="H75:I75" si="75">SUM(H76,H83,H130,H164,H165,H172)</f>
        <v>0</v>
      </c>
      <c r="I75" s="181">
        <f t="shared" si="75"/>
        <v>306</v>
      </c>
      <c r="J75" s="179">
        <f>SUM(J76,J83,J130,J164,J165,J172)</f>
        <v>133</v>
      </c>
      <c r="K75" s="180">
        <f t="shared" ref="K75:L75" si="76">SUM(K76,K83,K130,K164,K165,K172)</f>
        <v>0</v>
      </c>
      <c r="L75" s="181">
        <f t="shared" si="76"/>
        <v>133</v>
      </c>
      <c r="M75" s="179">
        <f>SUM(M76,M83,M130,M164,M165,M172)</f>
        <v>0</v>
      </c>
      <c r="N75" s="180">
        <f t="shared" ref="N75:O75" si="77">SUM(N76,N83,N130,N164,N165,N172)</f>
        <v>0</v>
      </c>
      <c r="O75" s="181">
        <f t="shared" si="77"/>
        <v>0</v>
      </c>
      <c r="P75" s="182"/>
    </row>
    <row r="76" spans="1:17"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7"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7"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7"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7"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7"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7"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7" x14ac:dyDescent="0.25">
      <c r="A83" s="69">
        <v>2200</v>
      </c>
      <c r="B83" s="183" t="s">
        <v>99</v>
      </c>
      <c r="C83" s="70">
        <f t="shared" si="0"/>
        <v>27884</v>
      </c>
      <c r="D83" s="184">
        <f>SUM(D84,D89,D95,D103,D112,D116,D122,D128)</f>
        <v>27752</v>
      </c>
      <c r="E83" s="185">
        <f t="shared" ref="E83:F83" si="98">SUM(E84,E89,E95,E103,E112,E116,E122,E128)</f>
        <v>0</v>
      </c>
      <c r="F83" s="73">
        <f t="shared" si="98"/>
        <v>27752</v>
      </c>
      <c r="G83" s="184">
        <f>SUM(G84,G89,G95,G103,G112,G116,G122,G128)</f>
        <v>0</v>
      </c>
      <c r="H83" s="185">
        <f t="shared" ref="H83:I83" si="99">SUM(H84,H89,H95,H103,H112,H116,H122,H128)</f>
        <v>0</v>
      </c>
      <c r="I83" s="73">
        <f t="shared" si="99"/>
        <v>0</v>
      </c>
      <c r="J83" s="184">
        <f>SUM(J84,J89,J95,J103,J112,J116,J122,J128)</f>
        <v>132</v>
      </c>
      <c r="K83" s="185">
        <f t="shared" ref="K83:L83" si="100">SUM(K84,K89,K95,K103,K112,K116,K122,K128)</f>
        <v>0</v>
      </c>
      <c r="L83" s="73">
        <f t="shared" si="100"/>
        <v>132</v>
      </c>
      <c r="M83" s="184">
        <f>SUM(M84,M89,M95,M103,M112,M116,M122,M128)</f>
        <v>0</v>
      </c>
      <c r="N83" s="185">
        <f t="shared" ref="N83:O83" si="101">SUM(N84,N89,N95,N103,N112,N116,N122,N128)</f>
        <v>0</v>
      </c>
      <c r="O83" s="73">
        <f t="shared" si="101"/>
        <v>0</v>
      </c>
      <c r="P83" s="77"/>
    </row>
    <row r="84" spans="1:17" x14ac:dyDescent="0.25">
      <c r="A84" s="186">
        <v>2210</v>
      </c>
      <c r="B84" s="138" t="s">
        <v>100</v>
      </c>
      <c r="C84" s="143">
        <f t="shared" ref="C84:C147" si="102">F84+I84+L84+O84</f>
        <v>611</v>
      </c>
      <c r="D84" s="187">
        <f>SUM(D85:D88)</f>
        <v>604</v>
      </c>
      <c r="E84" s="188">
        <f t="shared" ref="E84:F84" si="103">SUM(E85:E88)</f>
        <v>7</v>
      </c>
      <c r="F84" s="141">
        <f t="shared" si="103"/>
        <v>611</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7"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7" ht="44.25" customHeight="1" x14ac:dyDescent="0.25">
      <c r="A86" s="51">
        <v>2212</v>
      </c>
      <c r="B86" s="89" t="s">
        <v>102</v>
      </c>
      <c r="C86" s="90">
        <f t="shared" si="102"/>
        <v>492</v>
      </c>
      <c r="D86" s="196">
        <v>485</v>
      </c>
      <c r="E86" s="197">
        <v>7</v>
      </c>
      <c r="F86" s="55">
        <f t="shared" si="107"/>
        <v>492</v>
      </c>
      <c r="G86" s="53"/>
      <c r="H86" s="54"/>
      <c r="I86" s="55">
        <f t="shared" si="108"/>
        <v>0</v>
      </c>
      <c r="J86" s="53"/>
      <c r="K86" s="54"/>
      <c r="L86" s="55">
        <f t="shared" si="109"/>
        <v>0</v>
      </c>
      <c r="M86" s="53"/>
      <c r="N86" s="54"/>
      <c r="O86" s="55">
        <f t="shared" si="110"/>
        <v>0</v>
      </c>
      <c r="P86" s="57" t="s">
        <v>1838</v>
      </c>
      <c r="Q86" s="1438"/>
    </row>
    <row r="87" spans="1:17"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7" ht="12" customHeight="1" x14ac:dyDescent="0.25">
      <c r="A88" s="51">
        <v>2219</v>
      </c>
      <c r="B88" s="89" t="s">
        <v>104</v>
      </c>
      <c r="C88" s="90">
        <f t="shared" si="102"/>
        <v>119</v>
      </c>
      <c r="D88" s="196">
        <v>119</v>
      </c>
      <c r="E88" s="197"/>
      <c r="F88" s="55">
        <f t="shared" si="107"/>
        <v>119</v>
      </c>
      <c r="G88" s="53"/>
      <c r="H88" s="54"/>
      <c r="I88" s="55">
        <f t="shared" si="108"/>
        <v>0</v>
      </c>
      <c r="J88" s="53"/>
      <c r="K88" s="54"/>
      <c r="L88" s="55">
        <f t="shared" si="109"/>
        <v>0</v>
      </c>
      <c r="M88" s="53"/>
      <c r="N88" s="54"/>
      <c r="O88" s="55">
        <f t="shared" si="110"/>
        <v>0</v>
      </c>
      <c r="P88" s="57"/>
    </row>
    <row r="89" spans="1:17" ht="24" x14ac:dyDescent="0.25">
      <c r="A89" s="189">
        <v>2220</v>
      </c>
      <c r="B89" s="89" t="s">
        <v>105</v>
      </c>
      <c r="C89" s="90">
        <f t="shared" si="102"/>
        <v>20140</v>
      </c>
      <c r="D89" s="190">
        <f>SUM(D90:D94)</f>
        <v>20049</v>
      </c>
      <c r="E89" s="191">
        <f t="shared" ref="E89:F89" si="111">SUM(E90:E94)</f>
        <v>-41</v>
      </c>
      <c r="F89" s="55">
        <f t="shared" si="111"/>
        <v>20008</v>
      </c>
      <c r="G89" s="190">
        <f>SUM(G90:G94)</f>
        <v>0</v>
      </c>
      <c r="H89" s="191">
        <f t="shared" ref="H89:I89" si="112">SUM(H90:H94)</f>
        <v>0</v>
      </c>
      <c r="I89" s="55">
        <f t="shared" si="112"/>
        <v>0</v>
      </c>
      <c r="J89" s="190">
        <f>SUM(J90:J94)</f>
        <v>132</v>
      </c>
      <c r="K89" s="191">
        <f t="shared" ref="K89:L89" si="113">SUM(K90:K94)</f>
        <v>0</v>
      </c>
      <c r="L89" s="55">
        <f t="shared" si="113"/>
        <v>132</v>
      </c>
      <c r="M89" s="190">
        <f>SUM(M90:M94)</f>
        <v>0</v>
      </c>
      <c r="N89" s="191">
        <f t="shared" ref="N89:O89" si="114">SUM(N90:N94)</f>
        <v>0</v>
      </c>
      <c r="O89" s="55">
        <f t="shared" si="114"/>
        <v>0</v>
      </c>
      <c r="P89" s="57"/>
    </row>
    <row r="90" spans="1:17" ht="29.25" customHeight="1" x14ac:dyDescent="0.25">
      <c r="A90" s="51">
        <v>2221</v>
      </c>
      <c r="B90" s="89" t="s">
        <v>106</v>
      </c>
      <c r="C90" s="90">
        <f t="shared" si="102"/>
        <v>9657</v>
      </c>
      <c r="D90" s="196">
        <v>8511</v>
      </c>
      <c r="E90" s="197">
        <v>1100</v>
      </c>
      <c r="F90" s="55">
        <f t="shared" ref="F90:F94" si="115">D90+E90</f>
        <v>9611</v>
      </c>
      <c r="G90" s="53"/>
      <c r="H90" s="54"/>
      <c r="I90" s="55">
        <f t="shared" ref="I90:I94" si="116">G90+H90</f>
        <v>0</v>
      </c>
      <c r="J90" s="53">
        <v>46</v>
      </c>
      <c r="K90" s="54"/>
      <c r="L90" s="55">
        <f t="shared" ref="L90:L94" si="117">K90+J90</f>
        <v>46</v>
      </c>
      <c r="M90" s="53"/>
      <c r="N90" s="54"/>
      <c r="O90" s="55">
        <f t="shared" ref="O90:O94" si="118">N90+M90</f>
        <v>0</v>
      </c>
      <c r="P90" s="454" t="s">
        <v>1839</v>
      </c>
      <c r="Q90" s="1438"/>
    </row>
    <row r="91" spans="1:17" ht="12" customHeight="1" x14ac:dyDescent="0.25">
      <c r="A91" s="51">
        <v>2222</v>
      </c>
      <c r="B91" s="89" t="s">
        <v>107</v>
      </c>
      <c r="C91" s="90">
        <f t="shared" si="102"/>
        <v>1869</v>
      </c>
      <c r="D91" s="196">
        <v>1869</v>
      </c>
      <c r="E91" s="197"/>
      <c r="F91" s="55">
        <f t="shared" si="115"/>
        <v>1869</v>
      </c>
      <c r="G91" s="53"/>
      <c r="H91" s="54"/>
      <c r="I91" s="55">
        <f t="shared" si="116"/>
        <v>0</v>
      </c>
      <c r="J91" s="53"/>
      <c r="K91" s="54"/>
      <c r="L91" s="55">
        <f t="shared" si="117"/>
        <v>0</v>
      </c>
      <c r="M91" s="53"/>
      <c r="N91" s="54"/>
      <c r="O91" s="55">
        <f t="shared" si="118"/>
        <v>0</v>
      </c>
      <c r="P91" s="57"/>
    </row>
    <row r="92" spans="1:17" ht="22.5" customHeight="1" x14ac:dyDescent="0.25">
      <c r="A92" s="51">
        <v>2223</v>
      </c>
      <c r="B92" s="89" t="s">
        <v>108</v>
      </c>
      <c r="C92" s="90">
        <f t="shared" si="102"/>
        <v>7925</v>
      </c>
      <c r="D92" s="196">
        <v>9020</v>
      </c>
      <c r="E92" s="197">
        <v>-1141</v>
      </c>
      <c r="F92" s="55">
        <f t="shared" si="115"/>
        <v>7879</v>
      </c>
      <c r="G92" s="53"/>
      <c r="H92" s="54"/>
      <c r="I92" s="55">
        <f t="shared" si="116"/>
        <v>0</v>
      </c>
      <c r="J92" s="53">
        <v>46</v>
      </c>
      <c r="K92" s="54"/>
      <c r="L92" s="55">
        <f t="shared" si="117"/>
        <v>46</v>
      </c>
      <c r="M92" s="53"/>
      <c r="N92" s="54"/>
      <c r="O92" s="55">
        <f t="shared" si="118"/>
        <v>0</v>
      </c>
      <c r="P92" s="57" t="s">
        <v>1840</v>
      </c>
      <c r="Q92" s="1438"/>
    </row>
    <row r="93" spans="1:17" ht="48" customHeight="1" x14ac:dyDescent="0.25">
      <c r="A93" s="345">
        <v>2224</v>
      </c>
      <c r="B93" s="346" t="s">
        <v>109</v>
      </c>
      <c r="C93" s="347">
        <f t="shared" si="102"/>
        <v>689</v>
      </c>
      <c r="D93" s="352">
        <v>649</v>
      </c>
      <c r="E93" s="353"/>
      <c r="F93" s="350">
        <f t="shared" si="115"/>
        <v>649</v>
      </c>
      <c r="G93" s="348"/>
      <c r="H93" s="349"/>
      <c r="I93" s="350">
        <f t="shared" si="116"/>
        <v>0</v>
      </c>
      <c r="J93" s="348">
        <v>40</v>
      </c>
      <c r="K93" s="349"/>
      <c r="L93" s="350">
        <f t="shared" si="117"/>
        <v>40</v>
      </c>
      <c r="M93" s="348"/>
      <c r="N93" s="349"/>
      <c r="O93" s="350">
        <f t="shared" si="118"/>
        <v>0</v>
      </c>
      <c r="P93" s="351"/>
    </row>
    <row r="94" spans="1:17"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7" ht="36" x14ac:dyDescent="0.25">
      <c r="A95" s="189">
        <v>2230</v>
      </c>
      <c r="B95" s="89" t="s">
        <v>111</v>
      </c>
      <c r="C95" s="90">
        <f t="shared" si="102"/>
        <v>1249</v>
      </c>
      <c r="D95" s="190">
        <f>SUM(D96:D102)</f>
        <v>1249</v>
      </c>
      <c r="E95" s="191">
        <f t="shared" ref="E95:F95" si="119">SUM(E96:E102)</f>
        <v>0</v>
      </c>
      <c r="F95" s="55">
        <f t="shared" si="119"/>
        <v>1249</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7"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1249</v>
      </c>
      <c r="D102" s="196">
        <v>1249</v>
      </c>
      <c r="E102" s="197"/>
      <c r="F102" s="55">
        <f t="shared" si="123"/>
        <v>1249</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5534</v>
      </c>
      <c r="D103" s="190">
        <f>SUM(D104:D111)</f>
        <v>5534</v>
      </c>
      <c r="E103" s="191">
        <f t="shared" ref="E103:F103" si="127">SUM(E104:E111)</f>
        <v>0</v>
      </c>
      <c r="F103" s="55">
        <f t="shared" si="127"/>
        <v>5534</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465</v>
      </c>
      <c r="D106" s="196">
        <v>465</v>
      </c>
      <c r="E106" s="197"/>
      <c r="F106" s="55">
        <f t="shared" si="131"/>
        <v>465</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5069</v>
      </c>
      <c r="D107" s="196">
        <v>5069</v>
      </c>
      <c r="E107" s="197"/>
      <c r="F107" s="55">
        <f t="shared" si="131"/>
        <v>5069</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324</v>
      </c>
      <c r="D112" s="190">
        <f>SUM(D113:D115)</f>
        <v>290</v>
      </c>
      <c r="E112" s="191">
        <f t="shared" ref="E112:F112" si="135">SUM(E113:E115)</f>
        <v>34</v>
      </c>
      <c r="F112" s="55">
        <f t="shared" si="135"/>
        <v>324</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7" ht="24" customHeight="1" x14ac:dyDescent="0.25">
      <c r="A113" s="51">
        <v>2251</v>
      </c>
      <c r="B113" s="89" t="s">
        <v>129</v>
      </c>
      <c r="C113" s="90">
        <f t="shared" si="102"/>
        <v>200</v>
      </c>
      <c r="D113" s="196">
        <v>166</v>
      </c>
      <c r="E113" s="197">
        <v>34</v>
      </c>
      <c r="F113" s="55">
        <f t="shared" ref="F113:F115" si="139">D113+E113</f>
        <v>200</v>
      </c>
      <c r="G113" s="53"/>
      <c r="H113" s="54"/>
      <c r="I113" s="55">
        <f t="shared" ref="I113:I115" si="140">G113+H113</f>
        <v>0</v>
      </c>
      <c r="J113" s="53"/>
      <c r="K113" s="54"/>
      <c r="L113" s="55">
        <f t="shared" ref="L113:L115" si="141">K113+J113</f>
        <v>0</v>
      </c>
      <c r="M113" s="53"/>
      <c r="N113" s="54"/>
      <c r="O113" s="55">
        <f t="shared" ref="O113:O115" si="142">N113+M113</f>
        <v>0</v>
      </c>
      <c r="P113" s="57" t="s">
        <v>1841</v>
      </c>
      <c r="Q113" s="1438"/>
    </row>
    <row r="114" spans="1:17" ht="24" customHeight="1" x14ac:dyDescent="0.25">
      <c r="A114" s="51">
        <v>2252</v>
      </c>
      <c r="B114" s="89" t="s">
        <v>130</v>
      </c>
      <c r="C114" s="90">
        <f t="shared" si="102"/>
        <v>124</v>
      </c>
      <c r="D114" s="196">
        <v>124</v>
      </c>
      <c r="E114" s="197"/>
      <c r="F114" s="55">
        <f t="shared" si="139"/>
        <v>124</v>
      </c>
      <c r="G114" s="53"/>
      <c r="H114" s="54"/>
      <c r="I114" s="55">
        <f t="shared" si="140"/>
        <v>0</v>
      </c>
      <c r="J114" s="53"/>
      <c r="K114" s="54"/>
      <c r="L114" s="55">
        <f t="shared" si="141"/>
        <v>0</v>
      </c>
      <c r="M114" s="53"/>
      <c r="N114" s="54"/>
      <c r="O114" s="55">
        <f t="shared" si="142"/>
        <v>0</v>
      </c>
      <c r="P114" s="57"/>
    </row>
    <row r="115" spans="1:17"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7" x14ac:dyDescent="0.25">
      <c r="A116" s="189">
        <v>2260</v>
      </c>
      <c r="B116" s="89" t="s">
        <v>132</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7"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7"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7"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7"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7"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7"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7"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7"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7"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7"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7"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7"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5917</v>
      </c>
      <c r="D130" s="184">
        <f>SUM(D131,D136,D140,D141,D144,D151,D159,D160,D163)</f>
        <v>5611</v>
      </c>
      <c r="E130" s="185">
        <f t="shared" ref="E130:F130" si="160">SUM(E131,E136,E140,E141,E144,E151,E159,E160,E163)</f>
        <v>0</v>
      </c>
      <c r="F130" s="73">
        <f t="shared" si="160"/>
        <v>5611</v>
      </c>
      <c r="G130" s="184">
        <f>SUM(G131,G136,G140,G141,G144,G151,G159,G160,G163)</f>
        <v>306</v>
      </c>
      <c r="H130" s="185">
        <f t="shared" ref="H130:I130" si="161">SUM(H131,H136,H140,H141,H144,H151,H159,H160,H163)</f>
        <v>0</v>
      </c>
      <c r="I130" s="73">
        <f t="shared" si="161"/>
        <v>306</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1549</v>
      </c>
      <c r="D131" s="194">
        <f t="shared" ref="D131:O131" si="164">SUM(D132:D135)</f>
        <v>1549</v>
      </c>
      <c r="E131" s="195">
        <f t="shared" si="164"/>
        <v>0</v>
      </c>
      <c r="F131" s="134">
        <f t="shared" si="164"/>
        <v>1549</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300</v>
      </c>
      <c r="D132" s="196">
        <v>300</v>
      </c>
      <c r="E132" s="197"/>
      <c r="F132" s="55">
        <f t="shared" ref="F132:F135" si="165">D132+E132</f>
        <v>300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1249</v>
      </c>
      <c r="D133" s="196">
        <v>1249</v>
      </c>
      <c r="E133" s="197"/>
      <c r="F133" s="55">
        <f t="shared" si="165"/>
        <v>1249</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78</v>
      </c>
      <c r="D136" s="190">
        <f>SUM(D137:D139)</f>
        <v>78</v>
      </c>
      <c r="E136" s="191">
        <f t="shared" ref="E136:F136" si="169">SUM(E137:E139)</f>
        <v>0</v>
      </c>
      <c r="F136" s="55">
        <f t="shared" si="169"/>
        <v>78</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78</v>
      </c>
      <c r="D138" s="196">
        <v>78</v>
      </c>
      <c r="E138" s="197"/>
      <c r="F138" s="55">
        <f t="shared" si="173"/>
        <v>78</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72</v>
      </c>
      <c r="D141" s="190">
        <f>SUM(D142:D143)</f>
        <v>72</v>
      </c>
      <c r="E141" s="191">
        <f t="shared" ref="E141:F141" si="177">SUM(E142:E143)</f>
        <v>0</v>
      </c>
      <c r="F141" s="55">
        <f t="shared" si="177"/>
        <v>72</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72</v>
      </c>
      <c r="D142" s="196">
        <v>72</v>
      </c>
      <c r="E142" s="197"/>
      <c r="F142" s="55">
        <f t="shared" ref="F142:F143" si="181">D142+E142</f>
        <v>72</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2195</v>
      </c>
      <c r="D144" s="187">
        <f>SUM(D145:D150)</f>
        <v>2195</v>
      </c>
      <c r="E144" s="188">
        <f t="shared" ref="E144:F144" si="185">SUM(E145:E150)</f>
        <v>0</v>
      </c>
      <c r="F144" s="141">
        <f t="shared" si="185"/>
        <v>2195</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300</v>
      </c>
      <c r="D145" s="199">
        <v>300</v>
      </c>
      <c r="E145" s="200"/>
      <c r="F145" s="134">
        <f t="shared" ref="F145:F150" si="189">D145+E145</f>
        <v>300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1815</v>
      </c>
      <c r="D146" s="196">
        <v>1815</v>
      </c>
      <c r="E146" s="197"/>
      <c r="F146" s="55">
        <f t="shared" si="189"/>
        <v>1815</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80</v>
      </c>
      <c r="D149" s="196">
        <v>80</v>
      </c>
      <c r="E149" s="197"/>
      <c r="F149" s="55">
        <f t="shared" si="189"/>
        <v>80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200</v>
      </c>
      <c r="D151" s="190">
        <f>SUM(D152:D158)</f>
        <v>200</v>
      </c>
      <c r="E151" s="191">
        <f t="shared" ref="E151:F151" si="194">SUM(E152:E158)</f>
        <v>0</v>
      </c>
      <c r="F151" s="55">
        <f t="shared" si="194"/>
        <v>200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200</v>
      </c>
      <c r="D153" s="196">
        <v>200</v>
      </c>
      <c r="E153" s="197"/>
      <c r="F153" s="55">
        <f t="shared" si="198"/>
        <v>200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1823</v>
      </c>
      <c r="D159" s="203">
        <v>1517</v>
      </c>
      <c r="E159" s="204"/>
      <c r="F159" s="141">
        <f t="shared" si="198"/>
        <v>1517</v>
      </c>
      <c r="G159" s="144">
        <v>306</v>
      </c>
      <c r="H159" s="145"/>
      <c r="I159" s="141">
        <f t="shared" si="199"/>
        <v>306</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1</v>
      </c>
      <c r="D165" s="184">
        <f>SUM(D166,D171)</f>
        <v>0</v>
      </c>
      <c r="E165" s="185">
        <f t="shared" ref="E165:O165" si="210">SUM(E166,E171)</f>
        <v>0</v>
      </c>
      <c r="F165" s="73">
        <f t="shared" si="210"/>
        <v>0</v>
      </c>
      <c r="G165" s="184">
        <f t="shared" si="210"/>
        <v>0</v>
      </c>
      <c r="H165" s="185">
        <f t="shared" si="210"/>
        <v>0</v>
      </c>
      <c r="I165" s="73">
        <f t="shared" si="210"/>
        <v>0</v>
      </c>
      <c r="J165" s="184">
        <f t="shared" si="210"/>
        <v>1</v>
      </c>
      <c r="K165" s="185">
        <f t="shared" si="210"/>
        <v>0</v>
      </c>
      <c r="L165" s="73">
        <f t="shared" si="210"/>
        <v>1</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customHeight="1" x14ac:dyDescent="0.25">
      <c r="A171" s="189">
        <v>2520</v>
      </c>
      <c r="B171" s="89" t="s">
        <v>187</v>
      </c>
      <c r="C171" s="90">
        <f t="shared" si="193"/>
        <v>1</v>
      </c>
      <c r="D171" s="196"/>
      <c r="E171" s="197"/>
      <c r="F171" s="55">
        <f t="shared" si="212"/>
        <v>0</v>
      </c>
      <c r="G171" s="53"/>
      <c r="H171" s="54"/>
      <c r="I171" s="55">
        <f t="shared" si="213"/>
        <v>0</v>
      </c>
      <c r="J171" s="53">
        <v>1</v>
      </c>
      <c r="K171" s="54"/>
      <c r="L171" s="55">
        <f t="shared" si="214"/>
        <v>1</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2757</v>
      </c>
      <c r="D194" s="173">
        <f t="shared" ref="D194:O194" si="259">SUM(D195,D230,D269,D283)</f>
        <v>2657</v>
      </c>
      <c r="E194" s="174">
        <f t="shared" si="259"/>
        <v>0</v>
      </c>
      <c r="F194" s="175">
        <f t="shared" si="259"/>
        <v>2657</v>
      </c>
      <c r="G194" s="173">
        <f t="shared" si="259"/>
        <v>100</v>
      </c>
      <c r="H194" s="174">
        <f t="shared" si="259"/>
        <v>0</v>
      </c>
      <c r="I194" s="175">
        <f t="shared" si="259"/>
        <v>100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2757</v>
      </c>
      <c r="D195" s="179">
        <f>D196+D204</f>
        <v>2657</v>
      </c>
      <c r="E195" s="180">
        <f t="shared" ref="E195:F195" si="260">E196+E204</f>
        <v>0</v>
      </c>
      <c r="F195" s="181">
        <f t="shared" si="260"/>
        <v>2657</v>
      </c>
      <c r="G195" s="179">
        <f>G196+G204</f>
        <v>100</v>
      </c>
      <c r="H195" s="180">
        <f t="shared" ref="H195:I195" si="261">H196+H204</f>
        <v>0</v>
      </c>
      <c r="I195" s="181">
        <f t="shared" si="261"/>
        <v>100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2757</v>
      </c>
      <c r="D204" s="184">
        <f>D205+D215+D216+D225+D226+D227+D229</f>
        <v>2657</v>
      </c>
      <c r="E204" s="185">
        <f t="shared" ref="E204:F204" si="276">E205+E215+E216+E225+E226+E227+E229</f>
        <v>0</v>
      </c>
      <c r="F204" s="73">
        <f t="shared" si="276"/>
        <v>2657</v>
      </c>
      <c r="G204" s="184">
        <f>G205+G215+G216+G225+G226+G227+G229</f>
        <v>100</v>
      </c>
      <c r="H204" s="185">
        <f t="shared" ref="H204:I204" si="277">H205+H215+H216+H225+H226+H227+H229</f>
        <v>0</v>
      </c>
      <c r="I204" s="73">
        <f t="shared" si="277"/>
        <v>100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2757</v>
      </c>
      <c r="D216" s="190">
        <f>SUM(D217:D224)</f>
        <v>2657</v>
      </c>
      <c r="E216" s="191">
        <f t="shared" ref="E216:F216" si="289">SUM(E217:E224)</f>
        <v>0</v>
      </c>
      <c r="F216" s="55">
        <f t="shared" si="289"/>
        <v>2657</v>
      </c>
      <c r="G216" s="190">
        <f>SUM(G217:G224)</f>
        <v>100</v>
      </c>
      <c r="H216" s="191">
        <f t="shared" ref="H216:I216" si="290">SUM(H217:H224)</f>
        <v>0</v>
      </c>
      <c r="I216" s="55">
        <f t="shared" si="290"/>
        <v>100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157</v>
      </c>
      <c r="D219" s="196">
        <v>57</v>
      </c>
      <c r="E219" s="197"/>
      <c r="F219" s="55">
        <f t="shared" si="293"/>
        <v>57</v>
      </c>
      <c r="G219" s="53">
        <v>100</v>
      </c>
      <c r="H219" s="54"/>
      <c r="I219" s="55">
        <f t="shared" si="294"/>
        <v>100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2600</v>
      </c>
      <c r="D223" s="196">
        <v>2600</v>
      </c>
      <c r="E223" s="197"/>
      <c r="F223" s="55">
        <f t="shared" si="293"/>
        <v>2600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332562</v>
      </c>
      <c r="D289" s="252">
        <f t="shared" ref="D289:O289" si="389">SUM(D286,D269,D230,D195,D187,D173,D75,D53,D283)</f>
        <v>314483</v>
      </c>
      <c r="E289" s="253">
        <f t="shared" si="389"/>
        <v>0</v>
      </c>
      <c r="F289" s="254">
        <f t="shared" si="389"/>
        <v>314483</v>
      </c>
      <c r="G289" s="252">
        <f t="shared" si="389"/>
        <v>17075</v>
      </c>
      <c r="H289" s="253">
        <f t="shared" si="389"/>
        <v>871</v>
      </c>
      <c r="I289" s="254">
        <f t="shared" si="389"/>
        <v>17946</v>
      </c>
      <c r="J289" s="252">
        <f t="shared" si="389"/>
        <v>133</v>
      </c>
      <c r="K289" s="253">
        <f t="shared" si="389"/>
        <v>0</v>
      </c>
      <c r="L289" s="254">
        <f t="shared" si="389"/>
        <v>133</v>
      </c>
      <c r="M289" s="252">
        <f t="shared" si="389"/>
        <v>0</v>
      </c>
      <c r="N289" s="253">
        <f t="shared" si="389"/>
        <v>0</v>
      </c>
      <c r="O289" s="254">
        <f t="shared" si="389"/>
        <v>0</v>
      </c>
      <c r="P289" s="255"/>
    </row>
    <row r="290" spans="1:16" s="28" customFormat="1" ht="13.5" thickTop="1" thickBot="1" x14ac:dyDescent="0.3">
      <c r="A290" s="1544" t="s">
        <v>308</v>
      </c>
      <c r="B290" s="1545"/>
      <c r="C290" s="256">
        <f t="shared" si="371"/>
        <v>-40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-40</v>
      </c>
      <c r="K290" s="258">
        <f t="shared" ref="K290:L290" si="392">(K26+K43)-K51</f>
        <v>0</v>
      </c>
      <c r="L290" s="259">
        <f t="shared" si="392"/>
        <v>-40</v>
      </c>
      <c r="M290" s="257">
        <f>M45-M51</f>
        <v>0</v>
      </c>
      <c r="N290" s="258">
        <f t="shared" ref="N290:O290" si="393">N45-N51</f>
        <v>0</v>
      </c>
      <c r="O290" s="259">
        <f t="shared" si="393"/>
        <v>0</v>
      </c>
      <c r="P290" s="260"/>
    </row>
    <row r="291" spans="1:16" s="28" customFormat="1" ht="12.75" thickTop="1" x14ac:dyDescent="0.25">
      <c r="A291" s="1546" t="s">
        <v>309</v>
      </c>
      <c r="B291" s="1547"/>
      <c r="C291" s="261">
        <f t="shared" si="371"/>
        <v>40</v>
      </c>
      <c r="D291" s="262">
        <f t="shared" ref="D291:O291" si="394">SUM(D292,D293)-D300+D301</f>
        <v>0</v>
      </c>
      <c r="E291" s="263">
        <f t="shared" si="394"/>
        <v>0</v>
      </c>
      <c r="F291" s="264">
        <f t="shared" si="394"/>
        <v>0</v>
      </c>
      <c r="G291" s="262">
        <f t="shared" si="394"/>
        <v>0</v>
      </c>
      <c r="H291" s="263">
        <f t="shared" si="394"/>
        <v>0</v>
      </c>
      <c r="I291" s="264">
        <f t="shared" si="394"/>
        <v>0</v>
      </c>
      <c r="J291" s="262">
        <f t="shared" si="394"/>
        <v>40</v>
      </c>
      <c r="K291" s="263">
        <f t="shared" si="394"/>
        <v>0</v>
      </c>
      <c r="L291" s="264">
        <f t="shared" si="394"/>
        <v>40</v>
      </c>
      <c r="M291" s="262">
        <f t="shared" si="394"/>
        <v>0</v>
      </c>
      <c r="N291" s="263">
        <f t="shared" si="394"/>
        <v>0</v>
      </c>
      <c r="O291" s="264">
        <f t="shared" si="394"/>
        <v>0</v>
      </c>
      <c r="P291" s="265"/>
    </row>
    <row r="292" spans="1:16" s="28" customFormat="1" ht="12.75" thickBot="1" x14ac:dyDescent="0.3">
      <c r="A292" s="157" t="s">
        <v>310</v>
      </c>
      <c r="B292" s="157" t="s">
        <v>311</v>
      </c>
      <c r="C292" s="158">
        <f t="shared" si="371"/>
        <v>40</v>
      </c>
      <c r="D292" s="159">
        <f t="shared" ref="D292:O292" si="395">D21-D286</f>
        <v>0</v>
      </c>
      <c r="E292" s="160">
        <f t="shared" si="395"/>
        <v>0</v>
      </c>
      <c r="F292" s="161">
        <f t="shared" si="395"/>
        <v>0</v>
      </c>
      <c r="G292" s="159">
        <f t="shared" si="395"/>
        <v>0</v>
      </c>
      <c r="H292" s="160">
        <f t="shared" si="395"/>
        <v>0</v>
      </c>
      <c r="I292" s="161">
        <f t="shared" si="395"/>
        <v>0</v>
      </c>
      <c r="J292" s="159">
        <f t="shared" si="395"/>
        <v>40</v>
      </c>
      <c r="K292" s="160">
        <f t="shared" si="395"/>
        <v>0</v>
      </c>
      <c r="L292" s="161">
        <f t="shared" si="395"/>
        <v>40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1378"/>
      <c r="E302" s="1378"/>
      <c r="F302" s="4"/>
      <c r="G302" s="1378"/>
      <c r="H302" s="1378"/>
      <c r="I302" s="4"/>
      <c r="J302" s="1378"/>
      <c r="K302" s="1378"/>
      <c r="L302" s="4"/>
      <c r="M302" s="1378"/>
      <c r="N302" s="1378"/>
      <c r="P302" s="1379"/>
    </row>
    <row r="303" spans="1:16" x14ac:dyDescent="0.25">
      <c r="A303" s="4"/>
      <c r="B303" s="4"/>
      <c r="C303" s="4"/>
      <c r="D303" s="2"/>
      <c r="E303" s="2"/>
      <c r="F303" s="4"/>
      <c r="G303" s="2"/>
      <c r="H303" s="2"/>
      <c r="I303" s="4"/>
      <c r="J303" s="2"/>
      <c r="K303" s="2"/>
      <c r="L303" s="4"/>
      <c r="M303" s="2"/>
      <c r="N303" s="2"/>
      <c r="P303" s="1380"/>
    </row>
    <row r="304" spans="1:16" x14ac:dyDescent="0.25">
      <c r="A304" s="4"/>
      <c r="B304" s="4"/>
      <c r="C304" s="4"/>
      <c r="D304" s="2"/>
      <c r="E304" s="2"/>
      <c r="F304" s="4"/>
      <c r="G304" s="2"/>
      <c r="H304" s="2"/>
      <c r="I304" s="4"/>
      <c r="J304" s="2"/>
      <c r="K304" s="2"/>
      <c r="L304" s="4"/>
      <c r="M304" s="2"/>
      <c r="N304" s="2"/>
      <c r="P304" s="1380"/>
    </row>
    <row r="305" spans="1:16" x14ac:dyDescent="0.25">
      <c r="A305" s="4"/>
      <c r="B305" s="4"/>
      <c r="C305" s="4"/>
      <c r="D305" s="2"/>
      <c r="E305" s="2"/>
      <c r="F305" s="4"/>
      <c r="G305" s="2"/>
      <c r="H305" s="2"/>
      <c r="I305" s="4"/>
      <c r="J305" s="2"/>
      <c r="K305" s="2"/>
      <c r="L305" s="4"/>
      <c r="M305" s="2"/>
      <c r="N305" s="2"/>
      <c r="P305" s="1380"/>
    </row>
    <row r="306" spans="1:16" ht="12.75" customHeight="1" x14ac:dyDescent="0.25">
      <c r="A306" s="4"/>
      <c r="B306" s="4"/>
      <c r="C306" s="4"/>
      <c r="D306" s="2"/>
      <c r="E306" s="2"/>
      <c r="F306" s="4"/>
      <c r="G306" s="2"/>
      <c r="H306" s="2"/>
      <c r="I306" s="4"/>
      <c r="J306" s="2"/>
      <c r="K306" s="2"/>
      <c r="L306" s="4"/>
      <c r="M306" s="2"/>
      <c r="N306" s="2"/>
      <c r="P306" s="1380"/>
    </row>
    <row r="307" spans="1:16" x14ac:dyDescent="0.25">
      <c r="A307" s="4"/>
      <c r="B307" s="4"/>
      <c r="C307" s="4"/>
      <c r="D307" s="2"/>
      <c r="E307" s="2"/>
      <c r="F307" s="4"/>
      <c r="G307" s="2"/>
      <c r="H307" s="2"/>
      <c r="I307" s="4"/>
      <c r="J307" s="2"/>
      <c r="K307" s="2"/>
      <c r="L307" s="4"/>
      <c r="M307" s="2"/>
      <c r="N307" s="2"/>
      <c r="P307" s="1380"/>
    </row>
    <row r="308" spans="1:16" x14ac:dyDescent="0.25">
      <c r="A308" s="4"/>
      <c r="B308" s="4"/>
      <c r="C308" s="4"/>
      <c r="D308" s="2"/>
      <c r="E308" s="2"/>
      <c r="F308" s="4"/>
      <c r="G308" s="2"/>
      <c r="H308" s="2"/>
      <c r="I308" s="4"/>
      <c r="J308" s="2"/>
      <c r="K308" s="2"/>
      <c r="L308" s="4"/>
      <c r="M308" s="2"/>
      <c r="N308" s="2"/>
      <c r="P308" s="1380"/>
    </row>
    <row r="309" spans="1:16" x14ac:dyDescent="0.25">
      <c r="A309" s="4"/>
      <c r="B309" s="4"/>
      <c r="C309" s="4"/>
      <c r="D309" s="2"/>
      <c r="E309" s="2"/>
      <c r="F309" s="4"/>
      <c r="G309" s="2"/>
      <c r="H309" s="2"/>
      <c r="I309" s="4"/>
      <c r="J309" s="2"/>
      <c r="K309" s="2"/>
      <c r="L309" s="4"/>
      <c r="M309" s="2"/>
      <c r="N309" s="2"/>
      <c r="P309" s="1380"/>
    </row>
    <row r="310" spans="1:16" x14ac:dyDescent="0.25">
      <c r="A310" s="4"/>
      <c r="B310" s="4"/>
      <c r="C310" s="4"/>
      <c r="D310" s="1381"/>
      <c r="E310" s="1381"/>
      <c r="F310" s="4"/>
      <c r="G310" s="1381"/>
      <c r="H310" s="1381"/>
      <c r="I310" s="4"/>
      <c r="J310" s="1381"/>
      <c r="K310" s="1381"/>
      <c r="L310" s="4"/>
      <c r="M310" s="1381"/>
      <c r="N310" s="1381"/>
      <c r="P310" s="1382"/>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D320" s="4"/>
      <c r="E320" s="4"/>
      <c r="G320" s="4"/>
      <c r="H320" s="4"/>
      <c r="J320" s="4"/>
      <c r="K320" s="4"/>
      <c r="M320" s="4"/>
    </row>
    <row r="321" spans="4:13" x14ac:dyDescent="0.25">
      <c r="D321" s="4"/>
      <c r="E321" s="4"/>
      <c r="G321" s="4"/>
      <c r="H321" s="4"/>
      <c r="J321" s="4"/>
      <c r="K321" s="4"/>
      <c r="M321" s="4"/>
    </row>
    <row r="322" spans="4:13" x14ac:dyDescent="0.25">
      <c r="D322" s="4"/>
      <c r="E322" s="4"/>
      <c r="G322" s="4"/>
      <c r="H322" s="4"/>
      <c r="J322" s="4"/>
      <c r="K322" s="4"/>
      <c r="M322" s="4"/>
    </row>
    <row r="323" spans="4:13" x14ac:dyDescent="0.25">
      <c r="D323" s="4"/>
      <c r="E323" s="4"/>
      <c r="G323" s="4"/>
      <c r="H323" s="4"/>
      <c r="J323" s="4"/>
      <c r="K323" s="4"/>
      <c r="M323" s="4"/>
    </row>
    <row r="324" spans="4:13" x14ac:dyDescent="0.25">
      <c r="D324" s="4"/>
      <c r="E324" s="4"/>
      <c r="G324" s="4"/>
      <c r="H324" s="4"/>
      <c r="J324" s="4"/>
      <c r="K324" s="4"/>
      <c r="M324" s="4"/>
    </row>
    <row r="325" spans="4:13" x14ac:dyDescent="0.25">
      <c r="D325" s="4"/>
      <c r="E325" s="4"/>
      <c r="G325" s="4"/>
      <c r="H325" s="4"/>
      <c r="J325" s="4"/>
      <c r="K325" s="4"/>
      <c r="M325" s="4"/>
    </row>
    <row r="326" spans="4:13" x14ac:dyDescent="0.25">
      <c r="D326" s="4"/>
      <c r="E326" s="4"/>
      <c r="G326" s="4"/>
      <c r="H326" s="4"/>
      <c r="J326" s="4"/>
      <c r="K326" s="4"/>
      <c r="M326" s="4"/>
    </row>
    <row r="327" spans="4:13" x14ac:dyDescent="0.25">
      <c r="D327" s="4"/>
      <c r="E327" s="4"/>
      <c r="G327" s="4"/>
      <c r="H327" s="4"/>
      <c r="J327" s="4"/>
      <c r="K327" s="4"/>
      <c r="M327" s="4"/>
    </row>
    <row r="328" spans="4:13" x14ac:dyDescent="0.25">
      <c r="D328" s="4"/>
      <c r="E328" s="4"/>
      <c r="G328" s="4"/>
      <c r="H328" s="4"/>
      <c r="J328" s="4"/>
      <c r="K328" s="4"/>
      <c r="M328" s="4"/>
    </row>
    <row r="329" spans="4:13" x14ac:dyDescent="0.25">
      <c r="D329" s="4"/>
      <c r="E329" s="4"/>
      <c r="G329" s="4"/>
      <c r="H329" s="4"/>
      <c r="J329" s="4"/>
      <c r="K329" s="4"/>
      <c r="M329" s="4"/>
    </row>
  </sheetData>
  <sheetProtection algorithmName="SHA-512" hashValue="acYctbQvndqWvFupbgkG1b08kEft5pN4OJ/caYc3FYowOvBNhghDZNv3C4Wwi8r5KfoxeazM32WSoQHB1/9fWw==" saltValue="UNbq29SqXljYXWAA1FbqXw==" spinCount="100000" sheet="1" objects="1" scenarios="1" formatCells="0" formatColumns="0" formatRows="0" deleteColumns="0"/>
  <autoFilter ref="A18:P301">
    <filterColumn colId="2">
      <filters>
        <filter val="1"/>
        <filter val="1 029"/>
        <filter val="1 249"/>
        <filter val="1 318"/>
        <filter val="1 549"/>
        <filter val="1 815"/>
        <filter val="1 823"/>
        <filter val="1 869"/>
        <filter val="11 880"/>
        <filter val="119"/>
        <filter val="124"/>
        <filter val="15 810"/>
        <filter val="157"/>
        <filter val="2 049"/>
        <filter val="2 195"/>
        <filter val="2 451"/>
        <filter val="2 600"/>
        <filter val="2 757"/>
        <filter val="20 140"/>
        <filter val="20 850"/>
        <filter val="200"/>
        <filter val="201 047"/>
        <filter val="223 946"/>
        <filter val="26"/>
        <filter val="27 884"/>
        <filter val="296 003"/>
        <filter val="300"/>
        <filter val="324"/>
        <filter val="329 805"/>
        <filter val="33 802"/>
        <filter val="332 429"/>
        <filter val="332 562"/>
        <filter val="4 172"/>
        <filter val="40"/>
        <filter val="-40"/>
        <filter val="465"/>
        <filter val="492"/>
        <filter val="5 069"/>
        <filter val="5 534"/>
        <filter val="5 763"/>
        <filter val="5 917"/>
        <filter val="500"/>
        <filter val="56 247"/>
        <filter val="611"/>
        <filter val="689"/>
        <filter val="7 925"/>
        <filter val="72"/>
        <filter val="72 057"/>
        <filter val="78"/>
        <filter val="80"/>
        <filter val="9 547"/>
        <filter val="9 657"/>
        <filter val="9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72.pielikums Jūrmalas pilsētas domes
2019.gada 31.oktobra saistošajiem noteikumiem Nr.46
(protokols Nr.14, 28.punkts)
 </firstHeader>
    <firstFooter>&amp;L&amp;9&amp;D; &amp;T&amp;R&amp;9&amp;P (&amp;N)</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19"/>
  <sheetViews>
    <sheetView showGridLines="0" view="pageLayout" zoomScaleNormal="100" workbookViewId="0">
      <selection activeCell="T7" sqref="T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1600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1601</v>
      </c>
      <c r="D3" s="1517"/>
      <c r="E3" s="1517"/>
      <c r="F3" s="1517"/>
      <c r="G3" s="1517"/>
      <c r="H3" s="1517"/>
      <c r="I3" s="1517"/>
      <c r="J3" s="1517"/>
      <c r="K3" s="1517"/>
      <c r="L3" s="1517"/>
      <c r="M3" s="1517"/>
      <c r="N3" s="1517"/>
      <c r="O3" s="1517"/>
      <c r="P3" s="1518"/>
      <c r="Q3" s="277"/>
    </row>
    <row r="4" spans="1:17" ht="12.75" customHeight="1" x14ac:dyDescent="0.25">
      <c r="A4" s="5" t="s">
        <v>4</v>
      </c>
      <c r="B4" s="6"/>
      <c r="C4" s="1517" t="s">
        <v>1602</v>
      </c>
      <c r="D4" s="1517"/>
      <c r="E4" s="1517"/>
      <c r="F4" s="1517"/>
      <c r="G4" s="1517"/>
      <c r="H4" s="1517"/>
      <c r="I4" s="1517"/>
      <c r="J4" s="1517"/>
      <c r="K4" s="1517"/>
      <c r="L4" s="1517"/>
      <c r="M4" s="1517"/>
      <c r="N4" s="1517"/>
      <c r="O4" s="1517"/>
      <c r="P4" s="1518"/>
      <c r="Q4" s="277"/>
    </row>
    <row r="5" spans="1:17" ht="12.75" customHeight="1" x14ac:dyDescent="0.25">
      <c r="A5" s="7" t="s">
        <v>6</v>
      </c>
      <c r="B5" s="8"/>
      <c r="C5" s="1512" t="s">
        <v>1603</v>
      </c>
      <c r="D5" s="1512"/>
      <c r="E5" s="1512"/>
      <c r="F5" s="1512"/>
      <c r="G5" s="1512"/>
      <c r="H5" s="1512"/>
      <c r="I5" s="1512"/>
      <c r="J5" s="1512"/>
      <c r="K5" s="1512"/>
      <c r="L5" s="1512"/>
      <c r="M5" s="1512"/>
      <c r="N5" s="1512"/>
      <c r="O5" s="1512"/>
      <c r="P5" s="1513"/>
      <c r="Q5" s="277"/>
    </row>
    <row r="6" spans="1:17" ht="12.75" customHeight="1" x14ac:dyDescent="0.25">
      <c r="A6" s="7" t="s">
        <v>8</v>
      </c>
      <c r="B6" s="8"/>
      <c r="C6" s="1790" t="s">
        <v>1492</v>
      </c>
      <c r="D6" s="1512"/>
      <c r="E6" s="1512"/>
      <c r="F6" s="1512"/>
      <c r="G6" s="1512"/>
      <c r="H6" s="1512"/>
      <c r="I6" s="1512"/>
      <c r="J6" s="1512"/>
      <c r="K6" s="1512"/>
      <c r="L6" s="1512"/>
      <c r="M6" s="1512"/>
      <c r="N6" s="1512"/>
      <c r="O6" s="1512"/>
      <c r="P6" s="1513"/>
      <c r="Q6" s="277"/>
    </row>
    <row r="7" spans="1:17" ht="25.5" customHeight="1" x14ac:dyDescent="0.25">
      <c r="A7" s="7" t="s">
        <v>10</v>
      </c>
      <c r="B7" s="8"/>
      <c r="C7" s="1517" t="s">
        <v>1604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1605</v>
      </c>
      <c r="D9" s="1512"/>
      <c r="E9" s="1512"/>
      <c r="F9" s="1512"/>
      <c r="G9" s="1512"/>
      <c r="H9" s="1512"/>
      <c r="I9" s="1512"/>
      <c r="J9" s="1512"/>
      <c r="K9" s="1512"/>
      <c r="L9" s="1512"/>
      <c r="M9" s="1512"/>
      <c r="N9" s="1512"/>
      <c r="O9" s="1512"/>
      <c r="P9" s="1513"/>
      <c r="Q9" s="277"/>
    </row>
    <row r="10" spans="1:17" ht="12.75" customHeight="1" x14ac:dyDescent="0.25">
      <c r="A10" s="7"/>
      <c r="B10" s="8" t="s">
        <v>15</v>
      </c>
      <c r="C10" s="1512" t="s">
        <v>1606</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1607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354070</v>
      </c>
      <c r="D20" s="32">
        <f>SUM(D21,D24,D25,D41,D43)</f>
        <v>166947</v>
      </c>
      <c r="E20" s="33">
        <f t="shared" ref="E20:F20" si="1">SUM(E21,E24,E25,E41,E43)</f>
        <v>8572</v>
      </c>
      <c r="F20" s="34">
        <f t="shared" si="1"/>
        <v>175519</v>
      </c>
      <c r="G20" s="32">
        <f>SUM(G21,G24,G43)</f>
        <v>175361</v>
      </c>
      <c r="H20" s="33">
        <f t="shared" ref="H20:I20" si="2">SUM(H21,H24,H43)</f>
        <v>2212</v>
      </c>
      <c r="I20" s="34">
        <f t="shared" si="2"/>
        <v>177573</v>
      </c>
      <c r="J20" s="32">
        <f>SUM(J21,J26,J43)</f>
        <v>978</v>
      </c>
      <c r="K20" s="33">
        <f t="shared" ref="K20:L20" si="3">SUM(K21,K26,K43)</f>
        <v>0</v>
      </c>
      <c r="L20" s="34">
        <f t="shared" si="3"/>
        <v>978</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8.25" customHeight="1" thickTop="1" thickBot="1" x14ac:dyDescent="0.3">
      <c r="A24" s="58">
        <v>19300</v>
      </c>
      <c r="B24" s="58" t="s">
        <v>42</v>
      </c>
      <c r="C24" s="59">
        <f>F24+I24</f>
        <v>353092</v>
      </c>
      <c r="D24" s="60">
        <v>166947</v>
      </c>
      <c r="E24" s="63">
        <f>920+7652</f>
        <v>8572</v>
      </c>
      <c r="F24" s="62">
        <f t="shared" si="9"/>
        <v>175519</v>
      </c>
      <c r="G24" s="60">
        <v>175361</v>
      </c>
      <c r="H24" s="63">
        <v>2212</v>
      </c>
      <c r="I24" s="62">
        <f t="shared" si="10"/>
        <v>177573</v>
      </c>
      <c r="J24" s="64" t="s">
        <v>43</v>
      </c>
      <c r="K24" s="65" t="s">
        <v>43</v>
      </c>
      <c r="L24" s="66" t="s">
        <v>43</v>
      </c>
      <c r="M24" s="64" t="s">
        <v>43</v>
      </c>
      <c r="N24" s="65" t="s">
        <v>43</v>
      </c>
      <c r="O24" s="66" t="s">
        <v>43</v>
      </c>
      <c r="P24" s="67" t="s">
        <v>1608</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978</v>
      </c>
      <c r="D26" s="74" t="s">
        <v>43</v>
      </c>
      <c r="E26" s="75" t="s">
        <v>43</v>
      </c>
      <c r="F26" s="76" t="s">
        <v>43</v>
      </c>
      <c r="G26" s="74" t="s">
        <v>43</v>
      </c>
      <c r="H26" s="75" t="s">
        <v>43</v>
      </c>
      <c r="I26" s="76" t="s">
        <v>43</v>
      </c>
      <c r="J26" s="78">
        <f>SUM(J27,J31,J33,J36)</f>
        <v>978</v>
      </c>
      <c r="K26" s="79">
        <f t="shared" ref="K26:L26" si="11">SUM(K27,K31,K33,K36)</f>
        <v>0</v>
      </c>
      <c r="L26" s="80">
        <f t="shared" si="11"/>
        <v>978</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978</v>
      </c>
      <c r="D36" s="74" t="s">
        <v>43</v>
      </c>
      <c r="E36" s="75" t="s">
        <v>43</v>
      </c>
      <c r="F36" s="76" t="s">
        <v>43</v>
      </c>
      <c r="G36" s="74" t="s">
        <v>43</v>
      </c>
      <c r="H36" s="75" t="s">
        <v>43</v>
      </c>
      <c r="I36" s="76" t="s">
        <v>43</v>
      </c>
      <c r="J36" s="78">
        <f>SUM(J37:J40)</f>
        <v>978</v>
      </c>
      <c r="K36" s="79">
        <f t="shared" ref="K36:L36" si="19">SUM(K37:K40)</f>
        <v>0</v>
      </c>
      <c r="L36" s="80">
        <f t="shared" si="19"/>
        <v>978</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978</v>
      </c>
      <c r="D40" s="111" t="s">
        <v>43</v>
      </c>
      <c r="E40" s="112" t="s">
        <v>43</v>
      </c>
      <c r="F40" s="113" t="s">
        <v>43</v>
      </c>
      <c r="G40" s="111" t="s">
        <v>43</v>
      </c>
      <c r="H40" s="112" t="s">
        <v>43</v>
      </c>
      <c r="I40" s="113" t="s">
        <v>43</v>
      </c>
      <c r="J40" s="114">
        <v>978</v>
      </c>
      <c r="K40" s="115"/>
      <c r="L40" s="116">
        <f t="shared" si="20"/>
        <v>978</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354070</v>
      </c>
      <c r="D50" s="159">
        <f>SUM(D51,D286)</f>
        <v>166947</v>
      </c>
      <c r="E50" s="160">
        <f t="shared" ref="E50:F50" si="26">SUM(E51,E286)</f>
        <v>8572</v>
      </c>
      <c r="F50" s="161">
        <f t="shared" si="26"/>
        <v>175519</v>
      </c>
      <c r="G50" s="159">
        <f>SUM(G51,G286)</f>
        <v>175361</v>
      </c>
      <c r="H50" s="160">
        <f>SUM(H51,H286)</f>
        <v>2212</v>
      </c>
      <c r="I50" s="161">
        <f t="shared" ref="I50" si="27">SUM(I51,I286)</f>
        <v>177573</v>
      </c>
      <c r="J50" s="32">
        <f>SUM(J51,J286)</f>
        <v>978</v>
      </c>
      <c r="K50" s="33">
        <f t="shared" ref="K50:L50" si="28">SUM(K51,K286)</f>
        <v>0</v>
      </c>
      <c r="L50" s="34">
        <f t="shared" si="28"/>
        <v>978</v>
      </c>
      <c r="M50" s="32">
        <f>SUM(M51,M286)</f>
        <v>0</v>
      </c>
      <c r="N50" s="33">
        <f t="shared" ref="N50:O50" si="29">SUM(N51,N286)</f>
        <v>0</v>
      </c>
      <c r="O50" s="34">
        <f t="shared" si="29"/>
        <v>0</v>
      </c>
      <c r="P50" s="35"/>
    </row>
    <row r="51" spans="1:16" s="28" customFormat="1" ht="36.75" thickTop="1" x14ac:dyDescent="0.25">
      <c r="A51" s="162"/>
      <c r="B51" s="163" t="s">
        <v>69</v>
      </c>
      <c r="C51" s="164">
        <f t="shared" si="0"/>
        <v>354070</v>
      </c>
      <c r="D51" s="165">
        <f>SUM(D52,D194)</f>
        <v>166947</v>
      </c>
      <c r="E51" s="166">
        <f t="shared" ref="E51:F51" si="30">SUM(E52,E194)</f>
        <v>8572</v>
      </c>
      <c r="F51" s="167">
        <f t="shared" si="30"/>
        <v>175519</v>
      </c>
      <c r="G51" s="165">
        <f>SUM(G52,G194)</f>
        <v>175361</v>
      </c>
      <c r="H51" s="166">
        <f t="shared" ref="H51:I51" si="31">SUM(H52,H194)</f>
        <v>2212</v>
      </c>
      <c r="I51" s="167">
        <f t="shared" si="31"/>
        <v>177573</v>
      </c>
      <c r="J51" s="168">
        <f>SUM(J52,J194)</f>
        <v>978</v>
      </c>
      <c r="K51" s="169">
        <f t="shared" ref="K51:L51" si="32">SUM(K52,K194)</f>
        <v>0</v>
      </c>
      <c r="L51" s="170">
        <f t="shared" si="32"/>
        <v>978</v>
      </c>
      <c r="M51" s="168">
        <f>SUM(M52,M194)</f>
        <v>0</v>
      </c>
      <c r="N51" s="169">
        <f t="shared" ref="N51:O51" si="33">SUM(N52,N194)</f>
        <v>0</v>
      </c>
      <c r="O51" s="170">
        <f t="shared" si="33"/>
        <v>0</v>
      </c>
      <c r="P51" s="171"/>
    </row>
    <row r="52" spans="1:16" s="28" customFormat="1" ht="24" x14ac:dyDescent="0.25">
      <c r="A52" s="24"/>
      <c r="B52" s="22" t="s">
        <v>70</v>
      </c>
      <c r="C52" s="172">
        <f t="shared" si="0"/>
        <v>353720</v>
      </c>
      <c r="D52" s="173">
        <f>SUM(D53,D75,D173,D187)</f>
        <v>166947</v>
      </c>
      <c r="E52" s="174">
        <f t="shared" ref="E52:F52" si="34">SUM(E53,E75,E173,E187)</f>
        <v>8572</v>
      </c>
      <c r="F52" s="175">
        <f t="shared" si="34"/>
        <v>175519</v>
      </c>
      <c r="G52" s="173">
        <f>SUM(G53,G75,G173,G187)</f>
        <v>175011</v>
      </c>
      <c r="H52" s="174">
        <f t="shared" ref="H52:I52" si="35">SUM(H53,H75,H173,H187)</f>
        <v>2212</v>
      </c>
      <c r="I52" s="175">
        <f t="shared" si="35"/>
        <v>177223</v>
      </c>
      <c r="J52" s="173">
        <f>SUM(J53,J75,J173,J187)</f>
        <v>978</v>
      </c>
      <c r="K52" s="174">
        <f t="shared" ref="K52:L52" si="36">SUM(K53,K75,K173,K187)</f>
        <v>0</v>
      </c>
      <c r="L52" s="175">
        <f t="shared" si="36"/>
        <v>978</v>
      </c>
      <c r="M52" s="173">
        <f>SUM(M53,M75,M173,M187)</f>
        <v>0</v>
      </c>
      <c r="N52" s="174">
        <f t="shared" ref="N52:O52" si="37">SUM(N53,N75,N173,N187)</f>
        <v>0</v>
      </c>
      <c r="O52" s="175">
        <f t="shared" si="37"/>
        <v>0</v>
      </c>
      <c r="P52" s="176"/>
    </row>
    <row r="53" spans="1:16" s="28" customFormat="1" x14ac:dyDescent="0.25">
      <c r="A53" s="177">
        <v>1000</v>
      </c>
      <c r="B53" s="177" t="s">
        <v>71</v>
      </c>
      <c r="C53" s="178">
        <f t="shared" si="0"/>
        <v>332422</v>
      </c>
      <c r="D53" s="179">
        <f>SUM(D54,D67)</f>
        <v>146801</v>
      </c>
      <c r="E53" s="180">
        <f t="shared" ref="E53:F53" si="38">SUM(E54,E67)</f>
        <v>8572</v>
      </c>
      <c r="F53" s="181">
        <f t="shared" si="38"/>
        <v>155373</v>
      </c>
      <c r="G53" s="179">
        <f>SUM(G54,G67)</f>
        <v>170163</v>
      </c>
      <c r="H53" s="180">
        <f t="shared" ref="H53:I53" si="39">SUM(H54,H67)</f>
        <v>6886</v>
      </c>
      <c r="I53" s="181">
        <f t="shared" si="39"/>
        <v>177049</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254858</v>
      </c>
      <c r="D54" s="184">
        <f>SUM(D55,D58,D66)</f>
        <v>104628</v>
      </c>
      <c r="E54" s="185">
        <f t="shared" ref="E54:F54" si="42">SUM(E55,E58,E66)</f>
        <v>8393</v>
      </c>
      <c r="F54" s="73">
        <f t="shared" si="42"/>
        <v>113021</v>
      </c>
      <c r="G54" s="184">
        <f>SUM(G55,G58,G66)</f>
        <v>136228</v>
      </c>
      <c r="H54" s="185">
        <f t="shared" ref="H54:I54" si="43">SUM(H55,H58,H66)</f>
        <v>5609</v>
      </c>
      <c r="I54" s="73">
        <f t="shared" si="43"/>
        <v>141837</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212182</v>
      </c>
      <c r="D55" s="187">
        <f>SUM(D56:D57)</f>
        <v>80161</v>
      </c>
      <c r="E55" s="188">
        <f t="shared" ref="E55:F55" si="46">SUM(E56:E57)</f>
        <v>7796</v>
      </c>
      <c r="F55" s="141">
        <f t="shared" si="46"/>
        <v>87957</v>
      </c>
      <c r="G55" s="187">
        <f>SUM(G56:G57)</f>
        <v>120856</v>
      </c>
      <c r="H55" s="188">
        <f t="shared" ref="H55:I55" si="47">SUM(H56:H57)</f>
        <v>3369</v>
      </c>
      <c r="I55" s="141">
        <f t="shared" si="47"/>
        <v>124225</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4.5" customHeight="1" x14ac:dyDescent="0.25">
      <c r="A57" s="51">
        <v>1119</v>
      </c>
      <c r="B57" s="89" t="s">
        <v>75</v>
      </c>
      <c r="C57" s="90">
        <f t="shared" si="0"/>
        <v>212182</v>
      </c>
      <c r="D57" s="53">
        <v>80161</v>
      </c>
      <c r="E57" s="54">
        <f>741-597+7652</f>
        <v>7796</v>
      </c>
      <c r="F57" s="55">
        <f t="shared" si="50"/>
        <v>87957</v>
      </c>
      <c r="G57" s="53">
        <v>120856</v>
      </c>
      <c r="H57" s="54">
        <v>3369</v>
      </c>
      <c r="I57" s="55">
        <f t="shared" si="51"/>
        <v>124225</v>
      </c>
      <c r="J57" s="53"/>
      <c r="K57" s="54"/>
      <c r="L57" s="55">
        <f t="shared" si="52"/>
        <v>0</v>
      </c>
      <c r="M57" s="53"/>
      <c r="N57" s="54"/>
      <c r="O57" s="55">
        <f t="shared" si="53"/>
        <v>0</v>
      </c>
      <c r="P57" s="1394" t="s">
        <v>1609</v>
      </c>
    </row>
    <row r="58" spans="1:16" x14ac:dyDescent="0.25">
      <c r="A58" s="488">
        <v>1140</v>
      </c>
      <c r="B58" s="346" t="s">
        <v>76</v>
      </c>
      <c r="C58" s="347">
        <f t="shared" si="0"/>
        <v>36621</v>
      </c>
      <c r="D58" s="806">
        <f>SUM(D59:D65)</f>
        <v>19009</v>
      </c>
      <c r="E58" s="365">
        <f>SUM(E59:E65)</f>
        <v>0</v>
      </c>
      <c r="F58" s="350">
        <f t="shared" ref="F58" si="54">SUM(F59:F65)</f>
        <v>19009</v>
      </c>
      <c r="G58" s="806">
        <f>SUM(G59:G65)</f>
        <v>15372</v>
      </c>
      <c r="H58" s="365">
        <f t="shared" ref="H58:I58" si="55">SUM(H59:H65)</f>
        <v>2240</v>
      </c>
      <c r="I58" s="350">
        <f t="shared" si="55"/>
        <v>17612</v>
      </c>
      <c r="J58" s="806">
        <f>SUM(J59:J65)</f>
        <v>0</v>
      </c>
      <c r="K58" s="365">
        <f t="shared" ref="K58:L58" si="56">SUM(K59:K65)</f>
        <v>0</v>
      </c>
      <c r="L58" s="350">
        <f t="shared" si="56"/>
        <v>0</v>
      </c>
      <c r="M58" s="806">
        <f>SUM(M59:M65)</f>
        <v>0</v>
      </c>
      <c r="N58" s="365">
        <f t="shared" ref="N58:O58" si="57">SUM(N59:N65)</f>
        <v>0</v>
      </c>
      <c r="O58" s="350">
        <f t="shared" si="57"/>
        <v>0</v>
      </c>
      <c r="P58" s="354"/>
    </row>
    <row r="59" spans="1:16" ht="12" customHeight="1" x14ac:dyDescent="0.25">
      <c r="A59" s="345">
        <v>1141</v>
      </c>
      <c r="B59" s="346" t="s">
        <v>77</v>
      </c>
      <c r="C59" s="347">
        <f t="shared" si="0"/>
        <v>4172</v>
      </c>
      <c r="D59" s="348">
        <v>4172</v>
      </c>
      <c r="E59" s="349"/>
      <c r="F59" s="350">
        <f t="shared" ref="F59:F66" si="58">D59+E59</f>
        <v>4172</v>
      </c>
      <c r="G59" s="348"/>
      <c r="H59" s="349"/>
      <c r="I59" s="350">
        <f t="shared" ref="I59:I66" si="59">G59+H59</f>
        <v>0</v>
      </c>
      <c r="J59" s="348"/>
      <c r="K59" s="349"/>
      <c r="L59" s="350">
        <f t="shared" ref="L59:L66" si="60">K59+J59</f>
        <v>0</v>
      </c>
      <c r="M59" s="348"/>
      <c r="N59" s="349"/>
      <c r="O59" s="350">
        <f t="shared" ref="O59:O66" si="61">N59+M59</f>
        <v>0</v>
      </c>
      <c r="P59" s="354"/>
    </row>
    <row r="60" spans="1:16" ht="24.75" customHeight="1" x14ac:dyDescent="0.25">
      <c r="A60" s="345">
        <v>1142</v>
      </c>
      <c r="B60" s="346" t="s">
        <v>78</v>
      </c>
      <c r="C60" s="347">
        <f t="shared" si="0"/>
        <v>1029</v>
      </c>
      <c r="D60" s="348">
        <v>1029</v>
      </c>
      <c r="E60" s="349"/>
      <c r="F60" s="350">
        <f t="shared" si="58"/>
        <v>1029</v>
      </c>
      <c r="G60" s="348"/>
      <c r="H60" s="349"/>
      <c r="I60" s="350">
        <f t="shared" si="59"/>
        <v>0</v>
      </c>
      <c r="J60" s="348"/>
      <c r="K60" s="349"/>
      <c r="L60" s="350">
        <f t="shared" si="60"/>
        <v>0</v>
      </c>
      <c r="M60" s="348"/>
      <c r="N60" s="349"/>
      <c r="O60" s="350">
        <f t="shared" si="61"/>
        <v>0</v>
      </c>
      <c r="P60" s="354"/>
    </row>
    <row r="61" spans="1:16" ht="40.5" customHeight="1" x14ac:dyDescent="0.25">
      <c r="A61" s="51">
        <v>1145</v>
      </c>
      <c r="B61" s="89" t="s">
        <v>79</v>
      </c>
      <c r="C61" s="90">
        <f t="shared" si="0"/>
        <v>10431</v>
      </c>
      <c r="D61" s="53"/>
      <c r="E61" s="54"/>
      <c r="F61" s="55">
        <f t="shared" si="58"/>
        <v>0</v>
      </c>
      <c r="G61" s="53">
        <v>10370</v>
      </c>
      <c r="H61" s="54">
        <v>61</v>
      </c>
      <c r="I61" s="55">
        <f t="shared" si="59"/>
        <v>10431</v>
      </c>
      <c r="J61" s="53"/>
      <c r="K61" s="54"/>
      <c r="L61" s="55">
        <f t="shared" si="60"/>
        <v>0</v>
      </c>
      <c r="M61" s="53"/>
      <c r="N61" s="54"/>
      <c r="O61" s="55">
        <f t="shared" si="61"/>
        <v>0</v>
      </c>
      <c r="P61" s="57" t="s">
        <v>1610</v>
      </c>
    </row>
    <row r="62" spans="1:16" ht="27.75" hidden="1" customHeight="1" x14ac:dyDescent="0.25">
      <c r="A62" s="345">
        <v>1146</v>
      </c>
      <c r="B62" s="346" t="s">
        <v>80</v>
      </c>
      <c r="C62" s="347">
        <f t="shared" si="0"/>
        <v>0</v>
      </c>
      <c r="D62" s="348"/>
      <c r="E62" s="349"/>
      <c r="F62" s="350">
        <f t="shared" si="58"/>
        <v>0</v>
      </c>
      <c r="G62" s="348"/>
      <c r="H62" s="349"/>
      <c r="I62" s="350">
        <f t="shared" si="59"/>
        <v>0</v>
      </c>
      <c r="J62" s="348"/>
      <c r="K62" s="349"/>
      <c r="L62" s="350">
        <f t="shared" si="60"/>
        <v>0</v>
      </c>
      <c r="M62" s="348"/>
      <c r="N62" s="349"/>
      <c r="O62" s="350">
        <f t="shared" si="61"/>
        <v>0</v>
      </c>
      <c r="P62" s="354"/>
    </row>
    <row r="63" spans="1:16" ht="28.5" customHeight="1" x14ac:dyDescent="0.25">
      <c r="A63" s="345">
        <v>1147</v>
      </c>
      <c r="B63" s="346" t="s">
        <v>81</v>
      </c>
      <c r="C63" s="347">
        <f t="shared" si="0"/>
        <v>2325</v>
      </c>
      <c r="D63" s="348">
        <v>1739</v>
      </c>
      <c r="E63" s="349"/>
      <c r="F63" s="350">
        <f t="shared" si="58"/>
        <v>1739</v>
      </c>
      <c r="G63" s="348">
        <v>586</v>
      </c>
      <c r="H63" s="349"/>
      <c r="I63" s="350">
        <f t="shared" si="59"/>
        <v>586</v>
      </c>
      <c r="J63" s="348"/>
      <c r="K63" s="349"/>
      <c r="L63" s="350">
        <f t="shared" si="60"/>
        <v>0</v>
      </c>
      <c r="M63" s="348"/>
      <c r="N63" s="349"/>
      <c r="O63" s="350">
        <f t="shared" si="61"/>
        <v>0</v>
      </c>
      <c r="P63" s="354"/>
    </row>
    <row r="64" spans="1:16" ht="24.75" customHeight="1" x14ac:dyDescent="0.25">
      <c r="A64" s="51">
        <v>1148</v>
      </c>
      <c r="B64" s="89" t="s">
        <v>82</v>
      </c>
      <c r="C64" s="90">
        <f t="shared" si="0"/>
        <v>15537</v>
      </c>
      <c r="D64" s="53">
        <v>12069</v>
      </c>
      <c r="E64" s="54"/>
      <c r="F64" s="55">
        <f t="shared" si="58"/>
        <v>12069</v>
      </c>
      <c r="G64" s="53"/>
      <c r="H64" s="54">
        <v>3468</v>
      </c>
      <c r="I64" s="55">
        <f t="shared" si="59"/>
        <v>3468</v>
      </c>
      <c r="J64" s="53"/>
      <c r="K64" s="54"/>
      <c r="L64" s="55">
        <f t="shared" si="60"/>
        <v>0</v>
      </c>
      <c r="M64" s="53"/>
      <c r="N64" s="54"/>
      <c r="O64" s="55">
        <f t="shared" si="61"/>
        <v>0</v>
      </c>
      <c r="P64" s="57" t="s">
        <v>1611</v>
      </c>
    </row>
    <row r="65" spans="1:16" ht="28.5" customHeight="1" x14ac:dyDescent="0.25">
      <c r="A65" s="51">
        <v>1149</v>
      </c>
      <c r="B65" s="89" t="s">
        <v>83</v>
      </c>
      <c r="C65" s="90">
        <f t="shared" si="0"/>
        <v>3127</v>
      </c>
      <c r="D65" s="53"/>
      <c r="E65" s="54"/>
      <c r="F65" s="55">
        <f t="shared" si="58"/>
        <v>0</v>
      </c>
      <c r="G65" s="53">
        <v>4416</v>
      </c>
      <c r="H65" s="54">
        <v>-1289</v>
      </c>
      <c r="I65" s="55">
        <f t="shared" si="59"/>
        <v>3127</v>
      </c>
      <c r="J65" s="53"/>
      <c r="K65" s="54"/>
      <c r="L65" s="55">
        <f t="shared" si="60"/>
        <v>0</v>
      </c>
      <c r="M65" s="53"/>
      <c r="N65" s="54"/>
      <c r="O65" s="55">
        <f t="shared" si="61"/>
        <v>0</v>
      </c>
      <c r="P65" s="57" t="s">
        <v>1612</v>
      </c>
    </row>
    <row r="66" spans="1:16" ht="48.75" customHeight="1" x14ac:dyDescent="0.25">
      <c r="A66" s="186">
        <v>1150</v>
      </c>
      <c r="B66" s="138" t="s">
        <v>84</v>
      </c>
      <c r="C66" s="143">
        <f t="shared" si="0"/>
        <v>6055</v>
      </c>
      <c r="D66" s="144">
        <v>5458</v>
      </c>
      <c r="E66" s="145">
        <v>597</v>
      </c>
      <c r="F66" s="141">
        <f t="shared" si="58"/>
        <v>6055</v>
      </c>
      <c r="G66" s="144"/>
      <c r="H66" s="145"/>
      <c r="I66" s="141">
        <f t="shared" si="59"/>
        <v>0</v>
      </c>
      <c r="J66" s="144"/>
      <c r="K66" s="145"/>
      <c r="L66" s="141">
        <f t="shared" si="60"/>
        <v>0</v>
      </c>
      <c r="M66" s="144"/>
      <c r="N66" s="145"/>
      <c r="O66" s="141">
        <f t="shared" si="61"/>
        <v>0</v>
      </c>
      <c r="P66" s="129" t="s">
        <v>1613</v>
      </c>
    </row>
    <row r="67" spans="1:16" ht="24" x14ac:dyDescent="0.25">
      <c r="A67" s="69">
        <v>1200</v>
      </c>
      <c r="B67" s="183" t="s">
        <v>85</v>
      </c>
      <c r="C67" s="70">
        <f t="shared" si="0"/>
        <v>77564</v>
      </c>
      <c r="D67" s="184">
        <f>SUM(D68:D69)</f>
        <v>42173</v>
      </c>
      <c r="E67" s="185">
        <f t="shared" ref="E67:F67" si="62">SUM(E68:E69)</f>
        <v>179</v>
      </c>
      <c r="F67" s="73">
        <f t="shared" si="62"/>
        <v>42352</v>
      </c>
      <c r="G67" s="184">
        <f>SUM(G68:G69)</f>
        <v>33935</v>
      </c>
      <c r="H67" s="185">
        <f t="shared" ref="H67:I67" si="63">SUM(H68:H69)</f>
        <v>1277</v>
      </c>
      <c r="I67" s="73">
        <f t="shared" si="63"/>
        <v>35212</v>
      </c>
      <c r="J67" s="184">
        <f>SUM(J68:J69)</f>
        <v>0</v>
      </c>
      <c r="K67" s="185">
        <f t="shared" ref="K67:L67" si="64">SUM(K68:K69)</f>
        <v>0</v>
      </c>
      <c r="L67" s="73">
        <f t="shared" si="64"/>
        <v>0</v>
      </c>
      <c r="M67" s="184">
        <f>SUM(M68:M69)</f>
        <v>0</v>
      </c>
      <c r="N67" s="185">
        <f t="shared" ref="N67:O67" si="65">SUM(N68:N69)</f>
        <v>0</v>
      </c>
      <c r="O67" s="73">
        <f t="shared" si="65"/>
        <v>0</v>
      </c>
      <c r="P67" s="77"/>
    </row>
    <row r="68" spans="1:16" ht="32.25" customHeight="1" x14ac:dyDescent="0.25">
      <c r="A68" s="1372">
        <v>1210</v>
      </c>
      <c r="B68" s="82" t="s">
        <v>86</v>
      </c>
      <c r="C68" s="83">
        <f t="shared" si="0"/>
        <v>60787</v>
      </c>
      <c r="D68" s="46">
        <v>26738</v>
      </c>
      <c r="E68" s="47">
        <v>179</v>
      </c>
      <c r="F68" s="134">
        <f>D68+E68</f>
        <v>26917</v>
      </c>
      <c r="G68" s="46">
        <v>33035</v>
      </c>
      <c r="H68" s="47">
        <v>835</v>
      </c>
      <c r="I68" s="134">
        <f>G68+H68</f>
        <v>33870</v>
      </c>
      <c r="J68" s="46"/>
      <c r="K68" s="47"/>
      <c r="L68" s="134">
        <f>K68+J68</f>
        <v>0</v>
      </c>
      <c r="M68" s="46"/>
      <c r="N68" s="47"/>
      <c r="O68" s="134">
        <f>N68+M68</f>
        <v>0</v>
      </c>
      <c r="P68" s="49" t="s">
        <v>1614</v>
      </c>
    </row>
    <row r="69" spans="1:16" ht="24" x14ac:dyDescent="0.25">
      <c r="A69" s="189">
        <v>1220</v>
      </c>
      <c r="B69" s="89" t="s">
        <v>87</v>
      </c>
      <c r="C69" s="90">
        <f t="shared" si="0"/>
        <v>16777</v>
      </c>
      <c r="D69" s="190">
        <f>SUM(D70:D74)</f>
        <v>15435</v>
      </c>
      <c r="E69" s="191">
        <f t="shared" ref="E69:F69" si="66">SUM(E70:E74)</f>
        <v>0</v>
      </c>
      <c r="F69" s="55">
        <f t="shared" si="66"/>
        <v>15435</v>
      </c>
      <c r="G69" s="190">
        <f>SUM(G70:G74)</f>
        <v>900</v>
      </c>
      <c r="H69" s="191">
        <f t="shared" ref="H69:I69" si="67">SUM(H70:H74)</f>
        <v>442</v>
      </c>
      <c r="I69" s="55">
        <f t="shared" si="67"/>
        <v>1342</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10541</v>
      </c>
      <c r="D70" s="53">
        <v>9199</v>
      </c>
      <c r="E70" s="54"/>
      <c r="F70" s="55">
        <f t="shared" ref="F70:F74" si="70">D70+E70</f>
        <v>9199</v>
      </c>
      <c r="G70" s="53">
        <v>900</v>
      </c>
      <c r="H70" s="54">
        <v>442</v>
      </c>
      <c r="I70" s="55">
        <f t="shared" ref="I70:I74" si="71">G70+H70</f>
        <v>1342</v>
      </c>
      <c r="J70" s="53"/>
      <c r="K70" s="54"/>
      <c r="L70" s="55">
        <f t="shared" ref="L70:L74" si="72">K70+J70</f>
        <v>0</v>
      </c>
      <c r="M70" s="53"/>
      <c r="N70" s="54"/>
      <c r="O70" s="55">
        <f t="shared" ref="O70:O74" si="73">N70+M70</f>
        <v>0</v>
      </c>
      <c r="P70" s="1394" t="s">
        <v>1615</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5736</v>
      </c>
      <c r="D73" s="53">
        <v>5736</v>
      </c>
      <c r="E73" s="54"/>
      <c r="F73" s="55">
        <f t="shared" si="70"/>
        <v>5736</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21298</v>
      </c>
      <c r="D75" s="179">
        <f>SUM(D76,D83,D130,D164,D165,D172)</f>
        <v>20146</v>
      </c>
      <c r="E75" s="180">
        <f t="shared" ref="E75:F75" si="74">SUM(E76,E83,E130,E164,E165,E172)</f>
        <v>0</v>
      </c>
      <c r="F75" s="181">
        <f t="shared" si="74"/>
        <v>20146</v>
      </c>
      <c r="G75" s="179">
        <f>SUM(G76,G83,G130,G164,G165,G172)</f>
        <v>4848</v>
      </c>
      <c r="H75" s="180">
        <f t="shared" ref="H75:I75" si="75">SUM(H76,H83,H130,H164,H165,H172)</f>
        <v>-4674</v>
      </c>
      <c r="I75" s="181">
        <f t="shared" si="75"/>
        <v>174</v>
      </c>
      <c r="J75" s="179">
        <f>SUM(J76,J83,J130,J164,J165,J172)</f>
        <v>978</v>
      </c>
      <c r="K75" s="180">
        <f t="shared" ref="K75:L75" si="76">SUM(K76,K83,K130,K164,K165,K172)</f>
        <v>0</v>
      </c>
      <c r="L75" s="181">
        <f t="shared" si="76"/>
        <v>978</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17417</v>
      </c>
      <c r="D83" s="184">
        <f>SUM(D84,D89,D95,D103,D112,D116,D122,D128)</f>
        <v>17207</v>
      </c>
      <c r="E83" s="185">
        <f t="shared" ref="E83:F83" si="98">SUM(E84,E89,E95,E103,E112,E116,E122,E128)</f>
        <v>210</v>
      </c>
      <c r="F83" s="73">
        <f t="shared" si="98"/>
        <v>17417</v>
      </c>
      <c r="G83" s="184">
        <f>SUM(G84,G89,G95,G103,G112,G116,G122,G128)</f>
        <v>4682</v>
      </c>
      <c r="H83" s="185">
        <f t="shared" ref="H83:I83" si="99">SUM(H84,H89,H95,H103,H112,H116,H122,H128)</f>
        <v>-4682</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483</v>
      </c>
      <c r="D84" s="187">
        <f>SUM(D85:D88)</f>
        <v>483</v>
      </c>
      <c r="E84" s="188">
        <f t="shared" ref="E84:F84" si="103">SUM(E85:E88)</f>
        <v>0</v>
      </c>
      <c r="F84" s="141">
        <f t="shared" si="103"/>
        <v>483</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412</v>
      </c>
      <c r="D86" s="196">
        <v>412</v>
      </c>
      <c r="E86" s="197"/>
      <c r="F86" s="55">
        <f t="shared" si="107"/>
        <v>412</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20</v>
      </c>
      <c r="D88" s="196">
        <v>20</v>
      </c>
      <c r="E88" s="197"/>
      <c r="F88" s="55">
        <f t="shared" si="107"/>
        <v>20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13342</v>
      </c>
      <c r="D89" s="190">
        <f>SUM(D90:D94)</f>
        <v>13163</v>
      </c>
      <c r="E89" s="191">
        <f t="shared" ref="E89:F89" si="111">SUM(E90:E94)</f>
        <v>179</v>
      </c>
      <c r="F89" s="55">
        <f t="shared" si="111"/>
        <v>13342</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30.75" customHeight="1" x14ac:dyDescent="0.25">
      <c r="A90" s="51">
        <v>2221</v>
      </c>
      <c r="B90" s="89" t="s">
        <v>106</v>
      </c>
      <c r="C90" s="90">
        <f t="shared" si="102"/>
        <v>7407</v>
      </c>
      <c r="D90" s="196">
        <v>7333</v>
      </c>
      <c r="E90" s="197">
        <v>74</v>
      </c>
      <c r="F90" s="55">
        <f t="shared" ref="F90:F94" si="115">D90+E90</f>
        <v>7407</v>
      </c>
      <c r="G90" s="53"/>
      <c r="H90" s="54"/>
      <c r="I90" s="55">
        <f t="shared" ref="I90:I94" si="116">G90+H90</f>
        <v>0</v>
      </c>
      <c r="J90" s="53"/>
      <c r="K90" s="54"/>
      <c r="L90" s="55">
        <f t="shared" ref="L90:L94" si="117">K90+J90</f>
        <v>0</v>
      </c>
      <c r="M90" s="53"/>
      <c r="N90" s="54"/>
      <c r="O90" s="55">
        <f t="shared" ref="O90:O94" si="118">N90+M90</f>
        <v>0</v>
      </c>
      <c r="P90" s="57" t="s">
        <v>1616</v>
      </c>
    </row>
    <row r="91" spans="1:16" ht="24" customHeight="1" x14ac:dyDescent="0.25">
      <c r="A91" s="51">
        <v>2222</v>
      </c>
      <c r="B91" s="89" t="s">
        <v>107</v>
      </c>
      <c r="C91" s="90">
        <f t="shared" si="102"/>
        <v>1666</v>
      </c>
      <c r="D91" s="196">
        <v>1366</v>
      </c>
      <c r="E91" s="197">
        <v>300</v>
      </c>
      <c r="F91" s="55">
        <f t="shared" si="115"/>
        <v>1666</v>
      </c>
      <c r="G91" s="53"/>
      <c r="H91" s="54"/>
      <c r="I91" s="55">
        <f t="shared" si="116"/>
        <v>0</v>
      </c>
      <c r="J91" s="53"/>
      <c r="K91" s="54"/>
      <c r="L91" s="55">
        <f t="shared" si="117"/>
        <v>0</v>
      </c>
      <c r="M91" s="53"/>
      <c r="N91" s="54"/>
      <c r="O91" s="55">
        <f t="shared" si="118"/>
        <v>0</v>
      </c>
      <c r="P91" s="57" t="s">
        <v>1617</v>
      </c>
    </row>
    <row r="92" spans="1:16" ht="23.25" customHeight="1" x14ac:dyDescent="0.25">
      <c r="A92" s="51">
        <v>2223</v>
      </c>
      <c r="B92" s="89" t="s">
        <v>108</v>
      </c>
      <c r="C92" s="90">
        <f t="shared" si="102"/>
        <v>3807</v>
      </c>
      <c r="D92" s="196">
        <v>3952</v>
      </c>
      <c r="E92" s="197">
        <v>-145</v>
      </c>
      <c r="F92" s="55">
        <f t="shared" si="115"/>
        <v>3807</v>
      </c>
      <c r="G92" s="53"/>
      <c r="H92" s="54"/>
      <c r="I92" s="55">
        <f t="shared" si="116"/>
        <v>0</v>
      </c>
      <c r="J92" s="53"/>
      <c r="K92" s="54"/>
      <c r="L92" s="55">
        <f t="shared" si="117"/>
        <v>0</v>
      </c>
      <c r="M92" s="53"/>
      <c r="N92" s="54"/>
      <c r="O92" s="55">
        <f t="shared" si="118"/>
        <v>0</v>
      </c>
      <c r="P92" s="57" t="s">
        <v>1618</v>
      </c>
    </row>
    <row r="93" spans="1:16" ht="48" customHeight="1" x14ac:dyDescent="0.25">
      <c r="A93" s="51">
        <v>2224</v>
      </c>
      <c r="B93" s="89" t="s">
        <v>109</v>
      </c>
      <c r="C93" s="90">
        <f t="shared" si="102"/>
        <v>462</v>
      </c>
      <c r="D93" s="196">
        <v>512</v>
      </c>
      <c r="E93" s="197">
        <v>-50</v>
      </c>
      <c r="F93" s="55">
        <f t="shared" si="115"/>
        <v>462</v>
      </c>
      <c r="G93" s="53"/>
      <c r="H93" s="54"/>
      <c r="I93" s="55">
        <f t="shared" si="116"/>
        <v>0</v>
      </c>
      <c r="J93" s="53"/>
      <c r="K93" s="54"/>
      <c r="L93" s="55">
        <f t="shared" si="117"/>
        <v>0</v>
      </c>
      <c r="M93" s="53"/>
      <c r="N93" s="54"/>
      <c r="O93" s="55">
        <f t="shared" si="118"/>
        <v>0</v>
      </c>
      <c r="P93" s="57" t="s">
        <v>1619</v>
      </c>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782</v>
      </c>
      <c r="D95" s="190">
        <f>SUM(D96:D102)</f>
        <v>852</v>
      </c>
      <c r="E95" s="191">
        <f t="shared" ref="E95:F95" si="119">SUM(E96:E102)</f>
        <v>-70</v>
      </c>
      <c r="F95" s="55">
        <f t="shared" si="119"/>
        <v>782</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30" customHeight="1" x14ac:dyDescent="0.25">
      <c r="A102" s="51">
        <v>2239</v>
      </c>
      <c r="B102" s="89" t="s">
        <v>118</v>
      </c>
      <c r="C102" s="90">
        <f t="shared" si="102"/>
        <v>782</v>
      </c>
      <c r="D102" s="196">
        <v>852</v>
      </c>
      <c r="E102" s="197">
        <v>-70</v>
      </c>
      <c r="F102" s="55">
        <f t="shared" si="123"/>
        <v>782</v>
      </c>
      <c r="G102" s="53"/>
      <c r="H102" s="54"/>
      <c r="I102" s="55">
        <f t="shared" si="124"/>
        <v>0</v>
      </c>
      <c r="J102" s="53"/>
      <c r="K102" s="54"/>
      <c r="L102" s="55">
        <f t="shared" si="125"/>
        <v>0</v>
      </c>
      <c r="M102" s="53"/>
      <c r="N102" s="54"/>
      <c r="O102" s="55">
        <f t="shared" si="126"/>
        <v>0</v>
      </c>
      <c r="P102" s="57" t="s">
        <v>1620</v>
      </c>
    </row>
    <row r="103" spans="1:16" ht="36" x14ac:dyDescent="0.25">
      <c r="A103" s="189">
        <v>2240</v>
      </c>
      <c r="B103" s="89" t="s">
        <v>119</v>
      </c>
      <c r="C103" s="90">
        <f t="shared" si="102"/>
        <v>2449</v>
      </c>
      <c r="D103" s="190">
        <f>SUM(D104:D111)</f>
        <v>2383</v>
      </c>
      <c r="E103" s="191">
        <f t="shared" ref="E103:F103" si="127">SUM(E104:E111)</f>
        <v>66</v>
      </c>
      <c r="F103" s="55">
        <f t="shared" si="127"/>
        <v>2449</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7.75" customHeight="1" x14ac:dyDescent="0.25">
      <c r="A106" s="51">
        <v>2243</v>
      </c>
      <c r="B106" s="89" t="s">
        <v>122</v>
      </c>
      <c r="C106" s="90">
        <f t="shared" si="102"/>
        <v>472</v>
      </c>
      <c r="D106" s="196">
        <v>385</v>
      </c>
      <c r="E106" s="197">
        <v>87</v>
      </c>
      <c r="F106" s="55">
        <f t="shared" si="131"/>
        <v>472</v>
      </c>
      <c r="G106" s="53"/>
      <c r="H106" s="54"/>
      <c r="I106" s="55">
        <f t="shared" si="132"/>
        <v>0</v>
      </c>
      <c r="J106" s="53"/>
      <c r="K106" s="54"/>
      <c r="L106" s="55">
        <f t="shared" si="133"/>
        <v>0</v>
      </c>
      <c r="M106" s="53"/>
      <c r="N106" s="54"/>
      <c r="O106" s="55">
        <f t="shared" si="134"/>
        <v>0</v>
      </c>
      <c r="P106" s="57" t="s">
        <v>1621</v>
      </c>
    </row>
    <row r="107" spans="1:16" ht="21.75" customHeight="1" x14ac:dyDescent="0.25">
      <c r="A107" s="51">
        <v>2244</v>
      </c>
      <c r="B107" s="89" t="s">
        <v>123</v>
      </c>
      <c r="C107" s="90">
        <f t="shared" si="102"/>
        <v>1096</v>
      </c>
      <c r="D107" s="196">
        <v>1272</v>
      </c>
      <c r="E107" s="197">
        <v>-176</v>
      </c>
      <c r="F107" s="55">
        <f t="shared" si="131"/>
        <v>1096</v>
      </c>
      <c r="G107" s="53"/>
      <c r="H107" s="54"/>
      <c r="I107" s="55">
        <f t="shared" si="132"/>
        <v>0</v>
      </c>
      <c r="J107" s="53"/>
      <c r="K107" s="54"/>
      <c r="L107" s="55">
        <f t="shared" si="133"/>
        <v>0</v>
      </c>
      <c r="M107" s="53"/>
      <c r="N107" s="54"/>
      <c r="O107" s="55">
        <f t="shared" si="134"/>
        <v>0</v>
      </c>
      <c r="P107" s="57" t="s">
        <v>1622</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33" customHeight="1" x14ac:dyDescent="0.25">
      <c r="A111" s="51">
        <v>2249</v>
      </c>
      <c r="B111" s="89" t="s">
        <v>127</v>
      </c>
      <c r="C111" s="90">
        <f t="shared" si="102"/>
        <v>881</v>
      </c>
      <c r="D111" s="196">
        <v>726</v>
      </c>
      <c r="E111" s="197">
        <v>155</v>
      </c>
      <c r="F111" s="55">
        <f t="shared" si="131"/>
        <v>881</v>
      </c>
      <c r="G111" s="53"/>
      <c r="H111" s="54"/>
      <c r="I111" s="55">
        <f t="shared" si="132"/>
        <v>0</v>
      </c>
      <c r="J111" s="53"/>
      <c r="K111" s="54"/>
      <c r="L111" s="55">
        <f t="shared" si="133"/>
        <v>0</v>
      </c>
      <c r="M111" s="53"/>
      <c r="N111" s="54"/>
      <c r="O111" s="55">
        <f t="shared" si="134"/>
        <v>0</v>
      </c>
      <c r="P111" s="57" t="s">
        <v>1623</v>
      </c>
    </row>
    <row r="112" spans="1:16" x14ac:dyDescent="0.25">
      <c r="A112" s="189">
        <v>2250</v>
      </c>
      <c r="B112" s="89" t="s">
        <v>128</v>
      </c>
      <c r="C112" s="90">
        <f t="shared" si="102"/>
        <v>325</v>
      </c>
      <c r="D112" s="190">
        <f>SUM(D113:D115)</f>
        <v>290</v>
      </c>
      <c r="E112" s="191">
        <f t="shared" ref="E112:F112" si="135">SUM(E113:E115)</f>
        <v>35</v>
      </c>
      <c r="F112" s="55">
        <f t="shared" si="135"/>
        <v>325</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21" customHeight="1" x14ac:dyDescent="0.25">
      <c r="A113" s="51">
        <v>2251</v>
      </c>
      <c r="B113" s="89" t="s">
        <v>129</v>
      </c>
      <c r="C113" s="90">
        <f t="shared" si="102"/>
        <v>201</v>
      </c>
      <c r="D113" s="196">
        <v>166</v>
      </c>
      <c r="E113" s="197">
        <v>35</v>
      </c>
      <c r="F113" s="55">
        <f t="shared" ref="F113:F115" si="139">D113+E113</f>
        <v>201</v>
      </c>
      <c r="G113" s="53"/>
      <c r="H113" s="54"/>
      <c r="I113" s="55">
        <f t="shared" ref="I113:I115" si="140">G113+H113</f>
        <v>0</v>
      </c>
      <c r="J113" s="53"/>
      <c r="K113" s="54"/>
      <c r="L113" s="55">
        <f t="shared" ref="L113:L115" si="141">K113+J113</f>
        <v>0</v>
      </c>
      <c r="M113" s="53"/>
      <c r="N113" s="54"/>
      <c r="O113" s="55">
        <f t="shared" ref="O113:O115" si="142">N113+M113</f>
        <v>0</v>
      </c>
      <c r="P113" s="57" t="s">
        <v>1624</v>
      </c>
    </row>
    <row r="114" spans="1:16" ht="24" customHeight="1" x14ac:dyDescent="0.25">
      <c r="A114" s="51">
        <v>2252</v>
      </c>
      <c r="B114" s="89" t="s">
        <v>130</v>
      </c>
      <c r="C114" s="90">
        <f t="shared" si="102"/>
        <v>124</v>
      </c>
      <c r="D114" s="196">
        <v>124</v>
      </c>
      <c r="E114" s="197"/>
      <c r="F114" s="55">
        <f t="shared" si="139"/>
        <v>124</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10</v>
      </c>
      <c r="D122" s="190">
        <f>SUM(D123:D127)</f>
        <v>10</v>
      </c>
      <c r="E122" s="191">
        <f t="shared" ref="E122:F122" si="151">SUM(E123:E127)</f>
        <v>0</v>
      </c>
      <c r="F122" s="55">
        <f t="shared" si="151"/>
        <v>10</v>
      </c>
      <c r="G122" s="190">
        <f>SUM(G123:G127)</f>
        <v>4682</v>
      </c>
      <c r="H122" s="191">
        <f t="shared" ref="H122:I122" si="152">SUM(H123:H127)</f>
        <v>-4682</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40.5" hidden="1" customHeight="1" x14ac:dyDescent="0.25">
      <c r="A125" s="1386">
        <v>2275</v>
      </c>
      <c r="B125" s="1387" t="s">
        <v>141</v>
      </c>
      <c r="C125" s="1388">
        <f t="shared" si="102"/>
        <v>0</v>
      </c>
      <c r="D125" s="1392"/>
      <c r="E125" s="198"/>
      <c r="F125" s="1390">
        <f t="shared" si="155"/>
        <v>0</v>
      </c>
      <c r="G125" s="1389">
        <v>4682</v>
      </c>
      <c r="H125" s="725">
        <v>-4682</v>
      </c>
      <c r="I125" s="1390">
        <f t="shared" si="156"/>
        <v>0</v>
      </c>
      <c r="J125" s="1389"/>
      <c r="K125" s="725"/>
      <c r="L125" s="1390">
        <f t="shared" si="157"/>
        <v>0</v>
      </c>
      <c r="M125" s="1389"/>
      <c r="N125" s="725"/>
      <c r="O125" s="1390">
        <f t="shared" si="158"/>
        <v>0</v>
      </c>
      <c r="P125" s="1391" t="s">
        <v>1625</v>
      </c>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10</v>
      </c>
      <c r="D127" s="196">
        <v>10</v>
      </c>
      <c r="E127" s="197"/>
      <c r="F127" s="55">
        <f t="shared" si="155"/>
        <v>10</v>
      </c>
      <c r="G127" s="53"/>
      <c r="H127" s="54"/>
      <c r="I127" s="55">
        <f t="shared" si="156"/>
        <v>0</v>
      </c>
      <c r="J127" s="53"/>
      <c r="K127" s="54"/>
      <c r="L127" s="55">
        <f t="shared" si="157"/>
        <v>0</v>
      </c>
      <c r="M127" s="53"/>
      <c r="N127" s="54"/>
      <c r="O127" s="55">
        <f t="shared" si="158"/>
        <v>0</v>
      </c>
      <c r="P127" s="57"/>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3881</v>
      </c>
      <c r="D130" s="184">
        <f>SUM(D131,D136,D140,D141,D144,D151,D159,D160,D163)</f>
        <v>2939</v>
      </c>
      <c r="E130" s="185">
        <f t="shared" ref="E130:F130" si="160">SUM(E131,E136,E140,E141,E144,E151,E159,E160,E163)</f>
        <v>-210</v>
      </c>
      <c r="F130" s="73">
        <f t="shared" si="160"/>
        <v>2729</v>
      </c>
      <c r="G130" s="184">
        <f>SUM(G131,G136,G140,G141,G144,G151,G159,G160,G163)</f>
        <v>166</v>
      </c>
      <c r="H130" s="185">
        <f t="shared" ref="H130:I130" si="161">SUM(H131,H136,H140,H141,H144,H151,H159,H160,H163)</f>
        <v>8</v>
      </c>
      <c r="I130" s="73">
        <f t="shared" si="161"/>
        <v>174</v>
      </c>
      <c r="J130" s="184">
        <f>SUM(J131,J136,J140,J141,J144,J151,J159,J160,J163)</f>
        <v>978</v>
      </c>
      <c r="K130" s="185">
        <f t="shared" ref="K130:L130" si="162">SUM(K131,K136,K140,K141,K144,K151,K159,K160,K163)</f>
        <v>0</v>
      </c>
      <c r="L130" s="73">
        <f t="shared" si="162"/>
        <v>978</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859</v>
      </c>
      <c r="D131" s="194">
        <f t="shared" ref="D131:O131" si="164">SUM(D132:D135)</f>
        <v>830</v>
      </c>
      <c r="E131" s="195">
        <f t="shared" si="164"/>
        <v>29</v>
      </c>
      <c r="F131" s="134">
        <f t="shared" si="164"/>
        <v>859</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2.5" customHeight="1" x14ac:dyDescent="0.25">
      <c r="A132" s="51">
        <v>2311</v>
      </c>
      <c r="B132" s="89" t="s">
        <v>148</v>
      </c>
      <c r="C132" s="90">
        <f t="shared" si="102"/>
        <v>295</v>
      </c>
      <c r="D132" s="196">
        <v>66</v>
      </c>
      <c r="E132" s="197">
        <v>229</v>
      </c>
      <c r="F132" s="55">
        <f t="shared" ref="F132:F135" si="165">D132+E132</f>
        <v>295</v>
      </c>
      <c r="G132" s="53"/>
      <c r="H132" s="54"/>
      <c r="I132" s="55">
        <f t="shared" ref="I132:I135" si="166">G132+H132</f>
        <v>0</v>
      </c>
      <c r="J132" s="53"/>
      <c r="K132" s="54"/>
      <c r="L132" s="55">
        <f t="shared" ref="L132:L135" si="167">K132+J132</f>
        <v>0</v>
      </c>
      <c r="M132" s="53"/>
      <c r="N132" s="54"/>
      <c r="O132" s="55">
        <f t="shared" ref="O132:O135" si="168">N132+M132</f>
        <v>0</v>
      </c>
      <c r="P132" s="57" t="s">
        <v>1626</v>
      </c>
    </row>
    <row r="133" spans="1:16" ht="21" customHeight="1" x14ac:dyDescent="0.25">
      <c r="A133" s="51">
        <v>2312</v>
      </c>
      <c r="B133" s="89" t="s">
        <v>149</v>
      </c>
      <c r="C133" s="90">
        <f t="shared" si="102"/>
        <v>564</v>
      </c>
      <c r="D133" s="196">
        <v>764</v>
      </c>
      <c r="E133" s="197">
        <v>-200</v>
      </c>
      <c r="F133" s="55">
        <f t="shared" si="165"/>
        <v>564</v>
      </c>
      <c r="G133" s="53"/>
      <c r="H133" s="54"/>
      <c r="I133" s="55">
        <f t="shared" si="166"/>
        <v>0</v>
      </c>
      <c r="J133" s="53"/>
      <c r="K133" s="54"/>
      <c r="L133" s="55">
        <f t="shared" si="167"/>
        <v>0</v>
      </c>
      <c r="M133" s="53"/>
      <c r="N133" s="54"/>
      <c r="O133" s="55">
        <f t="shared" si="168"/>
        <v>0</v>
      </c>
      <c r="P133" s="57" t="s">
        <v>1627</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33</v>
      </c>
      <c r="D136" s="190">
        <f>SUM(D137:D139)</f>
        <v>33</v>
      </c>
      <c r="E136" s="191">
        <f t="shared" ref="E136:F136" si="169">SUM(E137:E139)</f>
        <v>0</v>
      </c>
      <c r="F136" s="55">
        <f t="shared" si="169"/>
        <v>33</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33</v>
      </c>
      <c r="D138" s="196">
        <v>33</v>
      </c>
      <c r="E138" s="197"/>
      <c r="F138" s="55">
        <f t="shared" si="173"/>
        <v>33</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35</v>
      </c>
      <c r="D141" s="190">
        <f>SUM(D142:D143)</f>
        <v>35</v>
      </c>
      <c r="E141" s="191">
        <f t="shared" ref="E141:F141" si="177">SUM(E142:E143)</f>
        <v>0</v>
      </c>
      <c r="F141" s="55">
        <f t="shared" si="177"/>
        <v>35</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35</v>
      </c>
      <c r="D142" s="196">
        <v>35</v>
      </c>
      <c r="E142" s="197"/>
      <c r="F142" s="55">
        <f t="shared" ref="F142:F143" si="181">D142+E142</f>
        <v>35</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1137</v>
      </c>
      <c r="D144" s="187">
        <f>SUM(D145:D150)</f>
        <v>1354</v>
      </c>
      <c r="E144" s="188">
        <f t="shared" ref="E144:F144" si="185">SUM(E145:E150)</f>
        <v>-225</v>
      </c>
      <c r="F144" s="141">
        <f t="shared" si="185"/>
        <v>1129</v>
      </c>
      <c r="G144" s="187">
        <f>SUM(G145:G150)</f>
        <v>0</v>
      </c>
      <c r="H144" s="188">
        <f t="shared" ref="H144:I144" si="186">SUM(H145:H150)</f>
        <v>8</v>
      </c>
      <c r="I144" s="141">
        <f t="shared" si="186"/>
        <v>8</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21" ht="18.75" customHeight="1" x14ac:dyDescent="0.25">
      <c r="A145" s="44">
        <v>2351</v>
      </c>
      <c r="B145" s="82" t="s">
        <v>161</v>
      </c>
      <c r="C145" s="83">
        <f t="shared" si="102"/>
        <v>70</v>
      </c>
      <c r="D145" s="199">
        <v>270</v>
      </c>
      <c r="E145" s="200">
        <v>-200</v>
      </c>
      <c r="F145" s="134">
        <f t="shared" ref="F145:F150" si="189">D145+E145</f>
        <v>70</v>
      </c>
      <c r="G145" s="46"/>
      <c r="H145" s="47"/>
      <c r="I145" s="134">
        <f t="shared" ref="I145:I150" si="190">G145+H145</f>
        <v>0</v>
      </c>
      <c r="J145" s="46"/>
      <c r="K145" s="47"/>
      <c r="L145" s="134">
        <f t="shared" ref="L145:L150" si="191">K145+J145</f>
        <v>0</v>
      </c>
      <c r="M145" s="46"/>
      <c r="N145" s="47"/>
      <c r="O145" s="134">
        <f t="shared" ref="O145:O150" si="192">N145+M145</f>
        <v>0</v>
      </c>
      <c r="P145" s="49" t="s">
        <v>1628</v>
      </c>
      <c r="U145" s="730"/>
    </row>
    <row r="146" spans="1:21" ht="22.5" customHeight="1" x14ac:dyDescent="0.25">
      <c r="A146" s="51">
        <v>2352</v>
      </c>
      <c r="B146" s="89" t="s">
        <v>162</v>
      </c>
      <c r="C146" s="90">
        <f t="shared" si="102"/>
        <v>1042</v>
      </c>
      <c r="D146" s="196">
        <v>1034</v>
      </c>
      <c r="E146" s="197"/>
      <c r="F146" s="55">
        <f t="shared" si="189"/>
        <v>1034</v>
      </c>
      <c r="G146" s="53"/>
      <c r="H146" s="54">
        <v>8</v>
      </c>
      <c r="I146" s="55">
        <f t="shared" si="190"/>
        <v>8</v>
      </c>
      <c r="J146" s="53"/>
      <c r="K146" s="54"/>
      <c r="L146" s="55">
        <f t="shared" si="191"/>
        <v>0</v>
      </c>
      <c r="M146" s="53"/>
      <c r="N146" s="54"/>
      <c r="O146" s="55">
        <f t="shared" si="192"/>
        <v>0</v>
      </c>
      <c r="P146" s="57" t="s">
        <v>1629</v>
      </c>
      <c r="U146" s="730"/>
    </row>
    <row r="147" spans="1:21"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21"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21" ht="30" customHeight="1" x14ac:dyDescent="0.25">
      <c r="A149" s="51">
        <v>2355</v>
      </c>
      <c r="B149" s="89" t="s">
        <v>165</v>
      </c>
      <c r="C149" s="90">
        <f t="shared" si="193"/>
        <v>25</v>
      </c>
      <c r="D149" s="196">
        <v>50</v>
      </c>
      <c r="E149" s="197">
        <v>-25</v>
      </c>
      <c r="F149" s="55">
        <f t="shared" si="189"/>
        <v>25</v>
      </c>
      <c r="G149" s="53"/>
      <c r="H149" s="54"/>
      <c r="I149" s="55">
        <f t="shared" si="190"/>
        <v>0</v>
      </c>
      <c r="J149" s="53"/>
      <c r="K149" s="54"/>
      <c r="L149" s="55">
        <f t="shared" si="191"/>
        <v>0</v>
      </c>
      <c r="M149" s="53"/>
      <c r="N149" s="54"/>
      <c r="O149" s="55">
        <f t="shared" si="192"/>
        <v>0</v>
      </c>
      <c r="P149" s="57" t="s">
        <v>1630</v>
      </c>
    </row>
    <row r="150" spans="1:21"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21" ht="24.75" customHeight="1" x14ac:dyDescent="0.25">
      <c r="A151" s="189">
        <v>2360</v>
      </c>
      <c r="B151" s="89" t="s">
        <v>167</v>
      </c>
      <c r="C151" s="90">
        <f t="shared" si="193"/>
        <v>1069</v>
      </c>
      <c r="D151" s="190">
        <f>SUM(D152:D158)</f>
        <v>105</v>
      </c>
      <c r="E151" s="191">
        <f t="shared" ref="E151:F151" si="194">SUM(E152:E158)</f>
        <v>-14</v>
      </c>
      <c r="F151" s="55">
        <f t="shared" si="194"/>
        <v>91</v>
      </c>
      <c r="G151" s="190">
        <f>SUM(G152:G158)</f>
        <v>0</v>
      </c>
      <c r="H151" s="191">
        <f t="shared" ref="H151:I151" si="195">SUM(H152:H158)</f>
        <v>0</v>
      </c>
      <c r="I151" s="55">
        <f t="shared" si="195"/>
        <v>0</v>
      </c>
      <c r="J151" s="190">
        <f>SUM(J152:J158)</f>
        <v>978</v>
      </c>
      <c r="K151" s="191">
        <f t="shared" ref="K151:L151" si="196">SUM(K152:K158)</f>
        <v>0</v>
      </c>
      <c r="L151" s="55">
        <f t="shared" si="196"/>
        <v>978</v>
      </c>
      <c r="M151" s="190">
        <f>SUM(M152:M158)</f>
        <v>0</v>
      </c>
      <c r="N151" s="191">
        <f t="shared" ref="N151:O151" si="197">SUM(N152:N158)</f>
        <v>0</v>
      </c>
      <c r="O151" s="55">
        <f t="shared" si="197"/>
        <v>0</v>
      </c>
      <c r="P151" s="57"/>
    </row>
    <row r="152" spans="1:21"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21" ht="29.25" customHeight="1" x14ac:dyDescent="0.25">
      <c r="A153" s="50">
        <v>2362</v>
      </c>
      <c r="B153" s="89" t="s">
        <v>169</v>
      </c>
      <c r="C153" s="90">
        <f t="shared" si="193"/>
        <v>91</v>
      </c>
      <c r="D153" s="196">
        <v>105</v>
      </c>
      <c r="E153" s="197">
        <v>-14</v>
      </c>
      <c r="F153" s="55">
        <f t="shared" si="198"/>
        <v>91</v>
      </c>
      <c r="G153" s="53"/>
      <c r="H153" s="54"/>
      <c r="I153" s="55">
        <f t="shared" si="199"/>
        <v>0</v>
      </c>
      <c r="J153" s="53"/>
      <c r="K153" s="54"/>
      <c r="L153" s="55">
        <f t="shared" si="200"/>
        <v>0</v>
      </c>
      <c r="M153" s="53"/>
      <c r="N153" s="54"/>
      <c r="O153" s="55">
        <f t="shared" si="201"/>
        <v>0</v>
      </c>
      <c r="P153" s="57" t="s">
        <v>1631</v>
      </c>
    </row>
    <row r="154" spans="1:21" ht="12" customHeight="1" x14ac:dyDescent="0.25">
      <c r="A154" s="50">
        <v>2363</v>
      </c>
      <c r="B154" s="89" t="s">
        <v>170</v>
      </c>
      <c r="C154" s="90">
        <f t="shared" si="193"/>
        <v>978</v>
      </c>
      <c r="D154" s="196"/>
      <c r="E154" s="197"/>
      <c r="F154" s="55">
        <f t="shared" si="198"/>
        <v>0</v>
      </c>
      <c r="G154" s="53"/>
      <c r="H154" s="54"/>
      <c r="I154" s="55">
        <f t="shared" si="199"/>
        <v>0</v>
      </c>
      <c r="J154" s="53">
        <v>978</v>
      </c>
      <c r="K154" s="54"/>
      <c r="L154" s="55">
        <f t="shared" si="200"/>
        <v>978</v>
      </c>
      <c r="M154" s="53"/>
      <c r="N154" s="54"/>
      <c r="O154" s="55">
        <f t="shared" si="201"/>
        <v>0</v>
      </c>
      <c r="P154" s="57"/>
    </row>
    <row r="155" spans="1:21"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21"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21"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21"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21" ht="12" customHeight="1" x14ac:dyDescent="0.25">
      <c r="A159" s="186">
        <v>2370</v>
      </c>
      <c r="B159" s="138" t="s">
        <v>175</v>
      </c>
      <c r="C159" s="143">
        <f t="shared" si="193"/>
        <v>748</v>
      </c>
      <c r="D159" s="203">
        <v>582</v>
      </c>
      <c r="E159" s="204"/>
      <c r="F159" s="141">
        <f t="shared" si="198"/>
        <v>582</v>
      </c>
      <c r="G159" s="144">
        <v>166</v>
      </c>
      <c r="H159" s="145"/>
      <c r="I159" s="141">
        <f t="shared" si="199"/>
        <v>166</v>
      </c>
      <c r="J159" s="144"/>
      <c r="K159" s="145"/>
      <c r="L159" s="141">
        <f t="shared" si="200"/>
        <v>0</v>
      </c>
      <c r="M159" s="144"/>
      <c r="N159" s="145"/>
      <c r="O159" s="141">
        <f t="shared" si="201"/>
        <v>0</v>
      </c>
      <c r="P159" s="129"/>
    </row>
    <row r="160" spans="1:21"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350</v>
      </c>
      <c r="D194" s="173">
        <f t="shared" ref="D194:O194" si="259">SUM(D195,D230,D269,D283)</f>
        <v>0</v>
      </c>
      <c r="E194" s="174">
        <f t="shared" si="259"/>
        <v>0</v>
      </c>
      <c r="F194" s="175">
        <f t="shared" si="259"/>
        <v>0</v>
      </c>
      <c r="G194" s="173">
        <f t="shared" si="259"/>
        <v>350</v>
      </c>
      <c r="H194" s="174">
        <f t="shared" si="259"/>
        <v>0</v>
      </c>
      <c r="I194" s="175">
        <f t="shared" si="259"/>
        <v>350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350</v>
      </c>
      <c r="D195" s="179">
        <f>D196+D204</f>
        <v>0</v>
      </c>
      <c r="E195" s="180">
        <f t="shared" ref="E195:F195" si="260">E196+E204</f>
        <v>0</v>
      </c>
      <c r="F195" s="181">
        <f t="shared" si="260"/>
        <v>0</v>
      </c>
      <c r="G195" s="179">
        <f>G196+G204</f>
        <v>350</v>
      </c>
      <c r="H195" s="180">
        <f t="shared" ref="H195:I195" si="261">H196+H204</f>
        <v>0</v>
      </c>
      <c r="I195" s="181">
        <f t="shared" si="261"/>
        <v>350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350</v>
      </c>
      <c r="D204" s="184">
        <f>D205+D215+D216+D225+D226+D227+D229</f>
        <v>0</v>
      </c>
      <c r="E204" s="185">
        <f t="shared" ref="E204:F204" si="276">E205+E215+E216+E225+E226+E227+E229</f>
        <v>0</v>
      </c>
      <c r="F204" s="73">
        <f t="shared" si="276"/>
        <v>0</v>
      </c>
      <c r="G204" s="184">
        <f>G205+G215+G216+G225+G226+G227+G229</f>
        <v>350</v>
      </c>
      <c r="H204" s="185">
        <f t="shared" ref="H204:I204" si="277">H205+H215+H216+H225+H226+H227+H229</f>
        <v>0</v>
      </c>
      <c r="I204" s="73">
        <f t="shared" si="277"/>
        <v>350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350</v>
      </c>
      <c r="D216" s="190">
        <f>SUM(D217:D224)</f>
        <v>0</v>
      </c>
      <c r="E216" s="191">
        <f t="shared" ref="E216:F216" si="289">SUM(E217:E224)</f>
        <v>0</v>
      </c>
      <c r="F216" s="55">
        <f t="shared" si="289"/>
        <v>0</v>
      </c>
      <c r="G216" s="190">
        <f>SUM(G217:G224)</f>
        <v>350</v>
      </c>
      <c r="H216" s="191">
        <f t="shared" ref="H216:I216" si="290">SUM(H217:H224)</f>
        <v>0</v>
      </c>
      <c r="I216" s="55">
        <f t="shared" si="290"/>
        <v>350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350</v>
      </c>
      <c r="D219" s="196"/>
      <c r="E219" s="197"/>
      <c r="F219" s="55">
        <f t="shared" si="293"/>
        <v>0</v>
      </c>
      <c r="G219" s="53">
        <v>350</v>
      </c>
      <c r="H219" s="54"/>
      <c r="I219" s="55">
        <f t="shared" si="294"/>
        <v>350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354070</v>
      </c>
      <c r="D289" s="252">
        <f t="shared" ref="D289:O289" si="389">SUM(D286,D269,D230,D195,D187,D173,D75,D53,D283)</f>
        <v>166947</v>
      </c>
      <c r="E289" s="253">
        <f t="shared" si="389"/>
        <v>8572</v>
      </c>
      <c r="F289" s="254">
        <f t="shared" si="389"/>
        <v>175519</v>
      </c>
      <c r="G289" s="252">
        <f t="shared" si="389"/>
        <v>175361</v>
      </c>
      <c r="H289" s="253">
        <f t="shared" si="389"/>
        <v>2212</v>
      </c>
      <c r="I289" s="254">
        <f t="shared" si="389"/>
        <v>177573</v>
      </c>
      <c r="J289" s="252">
        <f t="shared" si="389"/>
        <v>978</v>
      </c>
      <c r="K289" s="253">
        <f t="shared" si="389"/>
        <v>0</v>
      </c>
      <c r="L289" s="254">
        <f t="shared" si="389"/>
        <v>978</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iyhyv6sqy9SuEsZDrnO7f7eQEpgy7PUgJEONuo/Nf9RFE2RdnD5+CotvdVl6riRUzuRl6JCx0e9TFXSwaOaG5g==" saltValue="61dnWXJChsbjxnuG046hpg==" spinCount="100000" sheet="1" objects="1" scenarios="1" formatCells="0" formatColumns="0" formatRows="0" deleteColumns="0"/>
  <autoFilter ref="A18:P301">
    <filterColumn colId="2">
      <filters>
        <filter val="1 029"/>
        <filter val="1 042"/>
        <filter val="1 069"/>
        <filter val="1 096"/>
        <filter val="1 137"/>
        <filter val="1 666"/>
        <filter val="10"/>
        <filter val="10 431"/>
        <filter val="10 541"/>
        <filter val="124"/>
        <filter val="13 342"/>
        <filter val="15 537"/>
        <filter val="16 777"/>
        <filter val="17 417"/>
        <filter val="2 325"/>
        <filter val="2 449"/>
        <filter val="20"/>
        <filter val="201"/>
        <filter val="21 298"/>
        <filter val="212 182"/>
        <filter val="25"/>
        <filter val="254 858"/>
        <filter val="26"/>
        <filter val="295"/>
        <filter val="3 127"/>
        <filter val="3 807"/>
        <filter val="3 881"/>
        <filter val="325"/>
        <filter val="33"/>
        <filter val="332 422"/>
        <filter val="35"/>
        <filter val="350"/>
        <filter val="353 092"/>
        <filter val="353 720"/>
        <filter val="354 070"/>
        <filter val="36 621"/>
        <filter val="4 172"/>
        <filter val="412"/>
        <filter val="462"/>
        <filter val="472"/>
        <filter val="483"/>
        <filter val="5 736"/>
        <filter val="500"/>
        <filter val="51"/>
        <filter val="564"/>
        <filter val="6 055"/>
        <filter val="60 787"/>
        <filter val="7 407"/>
        <filter val="70"/>
        <filter val="748"/>
        <filter val="77 564"/>
        <filter val="782"/>
        <filter val="859"/>
        <filter val="881"/>
        <filter val="91"/>
        <filter val="97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73.pielikums Jūrmalas pilsētas domes
2019.gada 31.oktobra saistošajiem noteikumiem Nr.46
(protokols Nr.14, 28.punkts)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1255</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7</v>
      </c>
      <c r="D5" s="1512"/>
      <c r="E5" s="1512"/>
      <c r="F5" s="1512"/>
      <c r="G5" s="1512"/>
      <c r="H5" s="1512"/>
      <c r="I5" s="1512"/>
      <c r="J5" s="1512"/>
      <c r="K5" s="1512"/>
      <c r="L5" s="1512"/>
      <c r="M5" s="1512"/>
      <c r="N5" s="1512"/>
      <c r="O5" s="1512"/>
      <c r="P5" s="1513"/>
      <c r="Q5" s="277"/>
    </row>
    <row r="6" spans="1:17" ht="12.75" customHeight="1" x14ac:dyDescent="0.25">
      <c r="A6" s="7" t="s">
        <v>8</v>
      </c>
      <c r="B6" s="8"/>
      <c r="C6" s="1512" t="s">
        <v>1256</v>
      </c>
      <c r="D6" s="1512"/>
      <c r="E6" s="1512"/>
      <c r="F6" s="1512"/>
      <c r="G6" s="1512"/>
      <c r="H6" s="1512"/>
      <c r="I6" s="1512"/>
      <c r="J6" s="1512"/>
      <c r="K6" s="1512"/>
      <c r="L6" s="1512"/>
      <c r="M6" s="1512"/>
      <c r="N6" s="1512"/>
      <c r="O6" s="1512"/>
      <c r="P6" s="1513"/>
      <c r="Q6" s="277"/>
    </row>
    <row r="7" spans="1:17" x14ac:dyDescent="0.25">
      <c r="A7" s="7" t="s">
        <v>10</v>
      </c>
      <c r="B7" s="8"/>
      <c r="C7" s="1517" t="s">
        <v>1257</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174568</v>
      </c>
      <c r="D20" s="32">
        <f>SUM(D21,D24,D25,D41,D43)</f>
        <v>174568</v>
      </c>
      <c r="E20" s="33">
        <f t="shared" ref="E20:F20" si="1">SUM(E21,E24,E25,E41,E43)</f>
        <v>0</v>
      </c>
      <c r="F20" s="34">
        <f t="shared" si="1"/>
        <v>174568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174568</v>
      </c>
      <c r="D24" s="60">
        <f>D51</f>
        <v>174568</v>
      </c>
      <c r="E24" s="61">
        <f>1500-1500-4500+1500+3000+1100-700-400</f>
        <v>0</v>
      </c>
      <c r="F24" s="62">
        <f t="shared" si="9"/>
        <v>174568</v>
      </c>
      <c r="G24" s="60">
        <f>G51</f>
        <v>0</v>
      </c>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174568</v>
      </c>
      <c r="D50" s="159">
        <f>SUM(D51,D286)</f>
        <v>174568</v>
      </c>
      <c r="E50" s="160">
        <f t="shared" ref="E50:F50" si="26">SUM(E51,E286)</f>
        <v>0</v>
      </c>
      <c r="F50" s="161">
        <f t="shared" si="26"/>
        <v>174568</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174568</v>
      </c>
      <c r="D51" s="165">
        <f>SUM(D52,D194)</f>
        <v>174568</v>
      </c>
      <c r="E51" s="166">
        <f t="shared" ref="E51:F51" si="30">SUM(E52,E194)</f>
        <v>0</v>
      </c>
      <c r="F51" s="167">
        <f t="shared" si="30"/>
        <v>174568</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165068</v>
      </c>
      <c r="D52" s="173">
        <f>SUM(D53,D75,D173,D187)</f>
        <v>165068</v>
      </c>
      <c r="E52" s="174">
        <f t="shared" ref="E52:F52" si="34">SUM(E53,E75,E173,E187)</f>
        <v>0</v>
      </c>
      <c r="F52" s="175">
        <f t="shared" si="34"/>
        <v>165068</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6610</v>
      </c>
      <c r="D53" s="179">
        <f>SUM(D54,D67)</f>
        <v>6210</v>
      </c>
      <c r="E53" s="180">
        <f t="shared" ref="E53:F53" si="38">SUM(E54,E67)</f>
        <v>400</v>
      </c>
      <c r="F53" s="181">
        <f t="shared" si="38"/>
        <v>6610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6100</v>
      </c>
      <c r="D54" s="184">
        <f>SUM(D55,D58,D66)</f>
        <v>5000</v>
      </c>
      <c r="E54" s="185">
        <f t="shared" ref="E54:F54" si="42">SUM(E55,E58,E66)</f>
        <v>1100</v>
      </c>
      <c r="F54" s="73">
        <f t="shared" si="42"/>
        <v>6100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6100</v>
      </c>
      <c r="D66" s="144">
        <v>5000</v>
      </c>
      <c r="E66" s="192">
        <f>1100</f>
        <v>1100</v>
      </c>
      <c r="F66" s="141">
        <f t="shared" si="58"/>
        <v>6100</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510</v>
      </c>
      <c r="D67" s="184">
        <f>SUM(D68:D69)</f>
        <v>1210</v>
      </c>
      <c r="E67" s="185">
        <f t="shared" ref="E67:F67" si="62">SUM(E68:E69)</f>
        <v>-700</v>
      </c>
      <c r="F67" s="73">
        <f t="shared" si="62"/>
        <v>510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855">
        <v>1210</v>
      </c>
      <c r="B68" s="82" t="s">
        <v>86</v>
      </c>
      <c r="C68" s="83">
        <f t="shared" si="0"/>
        <v>510</v>
      </c>
      <c r="D68" s="46">
        <v>1210</v>
      </c>
      <c r="E68" s="728">
        <f>-700</f>
        <v>-700</v>
      </c>
      <c r="F68" s="134">
        <f>D68+E68</f>
        <v>510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158458</v>
      </c>
      <c r="D75" s="179">
        <f>SUM(D76,D83,D130,D164,D165,D172)</f>
        <v>158858</v>
      </c>
      <c r="E75" s="180">
        <f t="shared" ref="E75:F75" si="74">SUM(E76,E83,E130,E164,E165,E172)</f>
        <v>-400</v>
      </c>
      <c r="F75" s="181">
        <f t="shared" si="74"/>
        <v>158458</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55">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136495</v>
      </c>
      <c r="D83" s="184">
        <f>SUM(D84,D89,D95,D103,D112,D116,D122,D128)</f>
        <v>139895</v>
      </c>
      <c r="E83" s="185">
        <f t="shared" ref="E83:F83" si="98">SUM(E84,E89,E95,E103,E112,E116,E122,E128)</f>
        <v>-3400</v>
      </c>
      <c r="F83" s="73">
        <f t="shared" si="98"/>
        <v>136495</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73350</v>
      </c>
      <c r="D84" s="187">
        <f>SUM(D85:D88)</f>
        <v>74850</v>
      </c>
      <c r="E84" s="188">
        <f t="shared" ref="E84:F84" si="103">SUM(E85:E88)</f>
        <v>-1500</v>
      </c>
      <c r="F84" s="141">
        <f t="shared" si="103"/>
        <v>73350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v>0</v>
      </c>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18200</v>
      </c>
      <c r="D86" s="196">
        <v>18200</v>
      </c>
      <c r="E86" s="197"/>
      <c r="F86" s="55">
        <f t="shared" si="107"/>
        <v>18200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55150</v>
      </c>
      <c r="D88" s="196">
        <v>56650</v>
      </c>
      <c r="E88" s="198">
        <f>-1500</f>
        <v>-1500</v>
      </c>
      <c r="F88" s="55">
        <f t="shared" si="107"/>
        <v>55150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60645</v>
      </c>
      <c r="D95" s="190">
        <f>SUM(D96:D102)</f>
        <v>64045</v>
      </c>
      <c r="E95" s="191">
        <f t="shared" ref="E95:F95" si="119">SUM(E96:E102)</f>
        <v>-3400</v>
      </c>
      <c r="F95" s="55">
        <f t="shared" si="119"/>
        <v>60645</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112</v>
      </c>
      <c r="C96" s="90">
        <f t="shared" si="102"/>
        <v>645</v>
      </c>
      <c r="D96" s="196">
        <v>5145</v>
      </c>
      <c r="E96" s="198">
        <f>-4500</f>
        <v>-4500</v>
      </c>
      <c r="F96" s="55">
        <f t="shared" ref="F96:F102" si="123">D96+E96</f>
        <v>645</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v>0</v>
      </c>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60000</v>
      </c>
      <c r="D102" s="196">
        <v>58900</v>
      </c>
      <c r="E102" s="198">
        <f>1500-400</f>
        <v>1100</v>
      </c>
      <c r="F102" s="55">
        <f t="shared" si="123"/>
        <v>60000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2500</v>
      </c>
      <c r="D122" s="190">
        <f>SUM(D123:D127)</f>
        <v>1000</v>
      </c>
      <c r="E122" s="191">
        <f t="shared" ref="E122:F122" si="151">SUM(E123:E127)</f>
        <v>1500</v>
      </c>
      <c r="F122" s="55">
        <f t="shared" si="151"/>
        <v>2500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2500</v>
      </c>
      <c r="D127" s="196">
        <v>1000</v>
      </c>
      <c r="E127" s="198">
        <f>1500</f>
        <v>1500</v>
      </c>
      <c r="F127" s="55">
        <f t="shared" si="155"/>
        <v>2500</v>
      </c>
      <c r="G127" s="53"/>
      <c r="H127" s="54"/>
      <c r="I127" s="55">
        <f t="shared" si="156"/>
        <v>0</v>
      </c>
      <c r="J127" s="53"/>
      <c r="K127" s="54"/>
      <c r="L127" s="55">
        <f t="shared" si="157"/>
        <v>0</v>
      </c>
      <c r="M127" s="53"/>
      <c r="N127" s="54"/>
      <c r="O127" s="55">
        <f t="shared" si="158"/>
        <v>0</v>
      </c>
      <c r="P127" s="57"/>
    </row>
    <row r="128" spans="1:16" ht="48" hidden="1" x14ac:dyDescent="0.25">
      <c r="A128" s="855">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21963</v>
      </c>
      <c r="D130" s="184">
        <f>SUM(D131,D136,D140,D141,D144,D151,D159,D160,D163)</f>
        <v>18963</v>
      </c>
      <c r="E130" s="185">
        <f t="shared" ref="E130:F130" si="160">SUM(E131,E136,E140,E141,E144,E151,E159,E160,E163)</f>
        <v>3000</v>
      </c>
      <c r="F130" s="73">
        <f t="shared" si="160"/>
        <v>21963</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855">
        <v>2310</v>
      </c>
      <c r="B131" s="82" t="s">
        <v>147</v>
      </c>
      <c r="C131" s="83">
        <f t="shared" si="102"/>
        <v>21963</v>
      </c>
      <c r="D131" s="194">
        <f t="shared" ref="D131:O131" si="164">SUM(D132:D135)</f>
        <v>18963</v>
      </c>
      <c r="E131" s="195">
        <f t="shared" si="164"/>
        <v>3000</v>
      </c>
      <c r="F131" s="134">
        <f t="shared" si="164"/>
        <v>21963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21963</v>
      </c>
      <c r="D135" s="196">
        <v>18963</v>
      </c>
      <c r="E135" s="198">
        <f>3000</f>
        <v>3000</v>
      </c>
      <c r="F135" s="55">
        <f t="shared" si="165"/>
        <v>21963</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v>0</v>
      </c>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v>0</v>
      </c>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v>0</v>
      </c>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v>0</v>
      </c>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v>0</v>
      </c>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855">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55">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55">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v>0</v>
      </c>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v>0</v>
      </c>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v>0</v>
      </c>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55">
        <v>4240</v>
      </c>
      <c r="B189" s="82" t="s">
        <v>205</v>
      </c>
      <c r="C189" s="83">
        <f t="shared" si="193"/>
        <v>0</v>
      </c>
      <c r="D189" s="199">
        <v>0</v>
      </c>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55">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9500</v>
      </c>
      <c r="D194" s="173">
        <f>SUM(D195,D230,D269,D283)</f>
        <v>9500</v>
      </c>
      <c r="E194" s="174">
        <f t="shared" ref="E194:O194" si="259">SUM(E195,E230,E269,E283)</f>
        <v>0</v>
      </c>
      <c r="F194" s="175">
        <f t="shared" si="259"/>
        <v>9500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9500</v>
      </c>
      <c r="D195" s="179">
        <f>D196+D204</f>
        <v>9500</v>
      </c>
      <c r="E195" s="180">
        <f t="shared" ref="E195:F195" si="260">E196+E204</f>
        <v>0</v>
      </c>
      <c r="F195" s="181">
        <f t="shared" si="260"/>
        <v>9500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9500</v>
      </c>
      <c r="D196" s="184">
        <f>D197+D198+D201+D202+D203</f>
        <v>9500</v>
      </c>
      <c r="E196" s="185">
        <f t="shared" ref="E196:F196" si="264">E197+E198+E201+E202+E203</f>
        <v>0</v>
      </c>
      <c r="F196" s="73">
        <f t="shared" si="264"/>
        <v>9500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55">
        <v>5110</v>
      </c>
      <c r="B197" s="82" t="s">
        <v>213</v>
      </c>
      <c r="C197" s="83">
        <f t="shared" si="193"/>
        <v>0</v>
      </c>
      <c r="D197" s="199">
        <v>0</v>
      </c>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customHeight="1" x14ac:dyDescent="0.25">
      <c r="A202" s="189">
        <v>5140</v>
      </c>
      <c r="B202" s="89" t="s">
        <v>218</v>
      </c>
      <c r="C202" s="90">
        <f t="shared" si="193"/>
        <v>9500</v>
      </c>
      <c r="D202" s="196">
        <v>9500</v>
      </c>
      <c r="E202" s="197"/>
      <c r="F202" s="55">
        <f t="shared" si="272"/>
        <v>9500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v>0</v>
      </c>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v>0</v>
      </c>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v>0</v>
      </c>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855">
        <v>6220</v>
      </c>
      <c r="B232" s="82" t="s">
        <v>248</v>
      </c>
      <c r="C232" s="83">
        <f t="shared" si="288"/>
        <v>0</v>
      </c>
      <c r="D232" s="199">
        <v>0</v>
      </c>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v>0</v>
      </c>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55">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55">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v>0</v>
      </c>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v>0</v>
      </c>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55">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55">
        <v>7210</v>
      </c>
      <c r="B271" s="82" t="s">
        <v>287</v>
      </c>
      <c r="C271" s="83">
        <f t="shared" si="288"/>
        <v>0</v>
      </c>
      <c r="D271" s="199">
        <v>0</v>
      </c>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55">
        <v>7260</v>
      </c>
      <c r="B280" s="82" t="s">
        <v>296</v>
      </c>
      <c r="C280" s="83">
        <f t="shared" si="371"/>
        <v>0</v>
      </c>
      <c r="D280" s="199">
        <v>0</v>
      </c>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v>0</v>
      </c>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v>0</v>
      </c>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v>0</v>
      </c>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174568</v>
      </c>
      <c r="D289" s="252">
        <f t="shared" ref="D289:O289" si="389">SUM(D286,D269,D230,D195,D187,D173,D75,D53,D283)</f>
        <v>174568</v>
      </c>
      <c r="E289" s="253">
        <f t="shared" si="389"/>
        <v>0</v>
      </c>
      <c r="F289" s="254">
        <f t="shared" si="389"/>
        <v>174568</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b9M55L1T6KLUe3R3TWWGFqSR/5Psosy8WoDMJbtBSqotFr3Rcx6YaLHFVSNdLAfvux9dsYBUEmnfzdmF3Q5F7w==" saltValue="VlS6YCaExxXxpvqjF9X0aA==" spinCount="100000" sheet="1" objects="1" scenarios="1" formatCells="0" formatColumns="0" formatRows="0" deleteColumns="0"/>
  <autoFilter ref="A18:P301">
    <filterColumn colId="2">
      <filters>
        <filter val="136 495"/>
        <filter val="158 458"/>
        <filter val="165 068"/>
        <filter val="174 568"/>
        <filter val="18 200"/>
        <filter val="2 500"/>
        <filter val="21 963"/>
        <filter val="510"/>
        <filter val="55 150"/>
        <filter val="6 100"/>
        <filter val="6 610"/>
        <filter val="60 000"/>
        <filter val="60 645"/>
        <filter val="645"/>
        <filter val="73 350"/>
        <filter val="9 5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horizontalDpi="200" verticalDpi="200" r:id="rId1"/>
  <headerFooter differentFirst="1">
    <oddFooter>&amp;L&amp;"Times New Roman,Regular"&amp;9&amp;D; &amp;T&amp;R&amp;"Times New Roman,Regular"&amp;9&amp;P (&amp;N)</oddFooter>
    <firstHeader xml:space="preserve">&amp;R&amp;"Times New Roman,Regular"&amp;9 9.pielikums Jūrmalas pilsētas domes
2019.gada 31.oktobra saistošajiem noteikumiem Nr.46
(protokols Nr.14, 28.punkts)
 </firstHeader>
    <firstFooter>&amp;L&amp;9&amp;D; &amp;T&amp;R&amp;9&amp;P (&amp;N)</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1922</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1923</v>
      </c>
      <c r="D3" s="1517"/>
      <c r="E3" s="1517"/>
      <c r="F3" s="1517"/>
      <c r="G3" s="1517"/>
      <c r="H3" s="1517"/>
      <c r="I3" s="1517"/>
      <c r="J3" s="1517"/>
      <c r="K3" s="1517"/>
      <c r="L3" s="1517"/>
      <c r="M3" s="1517"/>
      <c r="N3" s="1517"/>
      <c r="O3" s="1517"/>
      <c r="P3" s="1518"/>
      <c r="Q3" s="277"/>
    </row>
    <row r="4" spans="1:17" ht="12.75" customHeight="1" x14ac:dyDescent="0.25">
      <c r="A4" s="5" t="s">
        <v>4</v>
      </c>
      <c r="B4" s="6"/>
      <c r="C4" s="1517" t="s">
        <v>1924</v>
      </c>
      <c r="D4" s="1517"/>
      <c r="E4" s="1517"/>
      <c r="F4" s="1517"/>
      <c r="G4" s="1517"/>
      <c r="H4" s="1517"/>
      <c r="I4" s="1517"/>
      <c r="J4" s="1517"/>
      <c r="K4" s="1517"/>
      <c r="L4" s="1517"/>
      <c r="M4" s="1517"/>
      <c r="N4" s="1517"/>
      <c r="O4" s="1517"/>
      <c r="P4" s="1518"/>
      <c r="Q4" s="277"/>
    </row>
    <row r="5" spans="1:17" ht="12.75" customHeight="1" x14ac:dyDescent="0.25">
      <c r="A5" s="7" t="s">
        <v>6</v>
      </c>
      <c r="B5" s="8"/>
      <c r="C5" s="1512" t="s">
        <v>1925</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1926</v>
      </c>
      <c r="D9" s="1512"/>
      <c r="E9" s="1512"/>
      <c r="F9" s="1512"/>
      <c r="G9" s="1512"/>
      <c r="H9" s="1512"/>
      <c r="I9" s="1512"/>
      <c r="J9" s="1512"/>
      <c r="K9" s="1512"/>
      <c r="L9" s="1512"/>
      <c r="M9" s="1512"/>
      <c r="N9" s="1512"/>
      <c r="O9" s="1512"/>
      <c r="P9" s="1513"/>
      <c r="Q9" s="277"/>
    </row>
    <row r="10" spans="1:17" ht="12.75" customHeight="1" x14ac:dyDescent="0.25">
      <c r="A10" s="7"/>
      <c r="B10" s="8" t="s">
        <v>15</v>
      </c>
      <c r="C10" s="1512" t="s">
        <v>1927</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1928</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695540</v>
      </c>
      <c r="D20" s="32">
        <f>SUM(D21,D24,D25,D41,D43)</f>
        <v>348549</v>
      </c>
      <c r="E20" s="33">
        <f t="shared" ref="E20:F20" si="1">SUM(E21,E24,E25,E41,E43)</f>
        <v>0</v>
      </c>
      <c r="F20" s="34">
        <f t="shared" si="1"/>
        <v>348549</v>
      </c>
      <c r="G20" s="32">
        <f>SUM(G21,G24,G43)</f>
        <v>328337</v>
      </c>
      <c r="H20" s="33">
        <f t="shared" ref="H20:I20" si="2">SUM(H21,H24,H43)</f>
        <v>5928</v>
      </c>
      <c r="I20" s="34">
        <f t="shared" si="2"/>
        <v>334265</v>
      </c>
      <c r="J20" s="32">
        <f>SUM(J21,J26,J43)</f>
        <v>12726</v>
      </c>
      <c r="K20" s="33">
        <f t="shared" ref="K20:L20" si="3">SUM(K21,K26,K43)</f>
        <v>0</v>
      </c>
      <c r="L20" s="34">
        <f t="shared" si="3"/>
        <v>12726</v>
      </c>
      <c r="M20" s="32">
        <f>SUM(M21,M45)</f>
        <v>0</v>
      </c>
      <c r="N20" s="33">
        <f t="shared" ref="N20:O20" si="4">SUM(N21,N45)</f>
        <v>0</v>
      </c>
      <c r="O20" s="34">
        <f t="shared" si="4"/>
        <v>0</v>
      </c>
      <c r="P20" s="35"/>
    </row>
    <row r="21" spans="1:16" ht="12.75" thickTop="1" x14ac:dyDescent="0.25">
      <c r="A21" s="36"/>
      <c r="B21" s="37" t="s">
        <v>39</v>
      </c>
      <c r="C21" s="38">
        <f t="shared" si="0"/>
        <v>2020</v>
      </c>
      <c r="D21" s="39">
        <f>SUM(D22:D23)</f>
        <v>0</v>
      </c>
      <c r="E21" s="40">
        <f t="shared" ref="E21:F21" si="5">SUM(E22:E23)</f>
        <v>0</v>
      </c>
      <c r="F21" s="41">
        <f t="shared" si="5"/>
        <v>0</v>
      </c>
      <c r="G21" s="39">
        <f>SUM(G22:G23)</f>
        <v>0</v>
      </c>
      <c r="H21" s="40">
        <f t="shared" ref="H21:I21" si="6">SUM(H22:H23)</f>
        <v>0</v>
      </c>
      <c r="I21" s="41">
        <f t="shared" si="6"/>
        <v>0</v>
      </c>
      <c r="J21" s="39">
        <f>SUM(J22:J23)</f>
        <v>2020</v>
      </c>
      <c r="K21" s="40">
        <f t="shared" ref="K21:L21" si="7">SUM(K22:K23)</f>
        <v>0</v>
      </c>
      <c r="L21" s="41">
        <f t="shared" si="7"/>
        <v>2020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2020</v>
      </c>
      <c r="D23" s="53"/>
      <c r="E23" s="54"/>
      <c r="F23" s="55">
        <f t="shared" ref="F23:F25" si="9">D23+E23</f>
        <v>0</v>
      </c>
      <c r="G23" s="53"/>
      <c r="H23" s="54"/>
      <c r="I23" s="55">
        <f t="shared" ref="I23:I24" si="10">G23+H23</f>
        <v>0</v>
      </c>
      <c r="J23" s="53">
        <v>2020</v>
      </c>
      <c r="K23" s="54"/>
      <c r="L23" s="56">
        <f>K23+J23</f>
        <v>2020</v>
      </c>
      <c r="M23" s="53"/>
      <c r="N23" s="54"/>
      <c r="O23" s="55">
        <f>N23+M23</f>
        <v>0</v>
      </c>
      <c r="P23" s="57"/>
    </row>
    <row r="24" spans="1:16" s="28" customFormat="1" ht="41.25" customHeight="1" thickBot="1" x14ac:dyDescent="0.3">
      <c r="A24" s="58">
        <v>19300</v>
      </c>
      <c r="B24" s="58" t="s">
        <v>42</v>
      </c>
      <c r="C24" s="59">
        <f>F24+I24</f>
        <v>682814</v>
      </c>
      <c r="D24" s="60">
        <v>348549</v>
      </c>
      <c r="E24" s="63"/>
      <c r="F24" s="62">
        <f t="shared" si="9"/>
        <v>348549</v>
      </c>
      <c r="G24" s="60">
        <v>328337</v>
      </c>
      <c r="H24" s="63">
        <v>5928</v>
      </c>
      <c r="I24" s="62">
        <f t="shared" si="10"/>
        <v>334265</v>
      </c>
      <c r="J24" s="64" t="s">
        <v>43</v>
      </c>
      <c r="K24" s="65" t="s">
        <v>43</v>
      </c>
      <c r="L24" s="66" t="s">
        <v>43</v>
      </c>
      <c r="M24" s="64" t="s">
        <v>43</v>
      </c>
      <c r="N24" s="65" t="s">
        <v>43</v>
      </c>
      <c r="O24" s="66" t="s">
        <v>43</v>
      </c>
      <c r="P24" s="67" t="s">
        <v>1929</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5486</v>
      </c>
      <c r="D26" s="74" t="s">
        <v>43</v>
      </c>
      <c r="E26" s="75" t="s">
        <v>43</v>
      </c>
      <c r="F26" s="76" t="s">
        <v>43</v>
      </c>
      <c r="G26" s="74" t="s">
        <v>43</v>
      </c>
      <c r="H26" s="75" t="s">
        <v>43</v>
      </c>
      <c r="I26" s="76" t="s">
        <v>43</v>
      </c>
      <c r="J26" s="78">
        <f>SUM(J27,J31,J33,J36)</f>
        <v>5486</v>
      </c>
      <c r="K26" s="79">
        <f t="shared" ref="K26:L26" si="11">SUM(K27,K31,K33,K36)</f>
        <v>0</v>
      </c>
      <c r="L26" s="80">
        <f t="shared" si="11"/>
        <v>5486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5486</v>
      </c>
      <c r="D33" s="74" t="s">
        <v>43</v>
      </c>
      <c r="E33" s="75" t="s">
        <v>43</v>
      </c>
      <c r="F33" s="76" t="s">
        <v>43</v>
      </c>
      <c r="G33" s="74" t="s">
        <v>43</v>
      </c>
      <c r="H33" s="75" t="s">
        <v>43</v>
      </c>
      <c r="I33" s="76" t="s">
        <v>43</v>
      </c>
      <c r="J33" s="78">
        <f>SUM(J34:J35)</f>
        <v>5486</v>
      </c>
      <c r="K33" s="79">
        <f t="shared" ref="K33:L33" si="17">SUM(K34:K35)</f>
        <v>0</v>
      </c>
      <c r="L33" s="80">
        <f t="shared" si="17"/>
        <v>5486</v>
      </c>
      <c r="M33" s="78" t="s">
        <v>43</v>
      </c>
      <c r="N33" s="79" t="s">
        <v>43</v>
      </c>
      <c r="O33" s="80" t="s">
        <v>43</v>
      </c>
      <c r="P33" s="77"/>
    </row>
    <row r="34" spans="1:16" ht="12" customHeight="1" x14ac:dyDescent="0.25">
      <c r="A34" s="44">
        <v>21381</v>
      </c>
      <c r="B34" s="82" t="s">
        <v>53</v>
      </c>
      <c r="C34" s="83">
        <f t="shared" si="16"/>
        <v>5486</v>
      </c>
      <c r="D34" s="84" t="s">
        <v>43</v>
      </c>
      <c r="E34" s="85" t="s">
        <v>43</v>
      </c>
      <c r="F34" s="86" t="s">
        <v>43</v>
      </c>
      <c r="G34" s="84" t="s">
        <v>43</v>
      </c>
      <c r="H34" s="85" t="s">
        <v>43</v>
      </c>
      <c r="I34" s="86" t="s">
        <v>43</v>
      </c>
      <c r="J34" s="46">
        <v>5486</v>
      </c>
      <c r="K34" s="47"/>
      <c r="L34" s="48">
        <f t="shared" ref="L34:L35" si="18">K34+J34</f>
        <v>5486</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5220</v>
      </c>
      <c r="D43" s="78">
        <f>D44</f>
        <v>0</v>
      </c>
      <c r="E43" s="79">
        <f t="shared" ref="E43:L43" si="22">E44</f>
        <v>0</v>
      </c>
      <c r="F43" s="80">
        <f t="shared" si="22"/>
        <v>0</v>
      </c>
      <c r="G43" s="78">
        <f t="shared" si="22"/>
        <v>0</v>
      </c>
      <c r="H43" s="79">
        <f t="shared" si="22"/>
        <v>0</v>
      </c>
      <c r="I43" s="80">
        <f t="shared" si="22"/>
        <v>0</v>
      </c>
      <c r="J43" s="78">
        <f t="shared" si="22"/>
        <v>5220</v>
      </c>
      <c r="K43" s="79">
        <f t="shared" si="22"/>
        <v>0</v>
      </c>
      <c r="L43" s="80">
        <f t="shared" si="22"/>
        <v>5220</v>
      </c>
      <c r="M43" s="78" t="s">
        <v>43</v>
      </c>
      <c r="N43" s="79" t="s">
        <v>43</v>
      </c>
      <c r="O43" s="80" t="s">
        <v>43</v>
      </c>
      <c r="P43" s="77"/>
    </row>
    <row r="44" spans="1:16" s="28" customFormat="1" ht="24" customHeight="1" x14ac:dyDescent="0.25">
      <c r="A44" s="51">
        <v>21499</v>
      </c>
      <c r="B44" s="89" t="s">
        <v>63</v>
      </c>
      <c r="C44" s="133">
        <f>F44+I44+L44</f>
        <v>5220</v>
      </c>
      <c r="D44" s="46"/>
      <c r="E44" s="47"/>
      <c r="F44" s="134">
        <f>D44+E44</f>
        <v>0</v>
      </c>
      <c r="G44" s="46"/>
      <c r="H44" s="47"/>
      <c r="I44" s="134">
        <f>G44+H44</f>
        <v>0</v>
      </c>
      <c r="J44" s="46">
        <v>5220</v>
      </c>
      <c r="K44" s="47"/>
      <c r="L44" s="48">
        <f>K44+J44</f>
        <v>5220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695540</v>
      </c>
      <c r="D50" s="159">
        <f>SUM(D51,D286)</f>
        <v>348549</v>
      </c>
      <c r="E50" s="160">
        <f t="shared" ref="E50:F50" si="26">SUM(E51,E286)</f>
        <v>0</v>
      </c>
      <c r="F50" s="161">
        <f t="shared" si="26"/>
        <v>348549</v>
      </c>
      <c r="G50" s="159">
        <f>SUM(G51,G286)</f>
        <v>328337</v>
      </c>
      <c r="H50" s="160">
        <f>SUM(H51,H286)</f>
        <v>5928</v>
      </c>
      <c r="I50" s="161">
        <f t="shared" ref="I50" si="27">SUM(I51,I286)</f>
        <v>334265</v>
      </c>
      <c r="J50" s="32">
        <f>SUM(J51,J286)</f>
        <v>12726</v>
      </c>
      <c r="K50" s="33">
        <f t="shared" ref="K50:L50" si="28">SUM(K51,K286)</f>
        <v>0</v>
      </c>
      <c r="L50" s="34">
        <f t="shared" si="28"/>
        <v>12726</v>
      </c>
      <c r="M50" s="32">
        <f>SUM(M51,M286)</f>
        <v>0</v>
      </c>
      <c r="N50" s="33">
        <f t="shared" ref="N50:O50" si="29">SUM(N51,N286)</f>
        <v>0</v>
      </c>
      <c r="O50" s="34">
        <f t="shared" si="29"/>
        <v>0</v>
      </c>
      <c r="P50" s="35"/>
    </row>
    <row r="51" spans="1:16" s="28" customFormat="1" ht="36.75" thickTop="1" x14ac:dyDescent="0.25">
      <c r="A51" s="162"/>
      <c r="B51" s="163" t="s">
        <v>69</v>
      </c>
      <c r="C51" s="164">
        <f t="shared" si="0"/>
        <v>695518</v>
      </c>
      <c r="D51" s="165">
        <f>SUM(D52,D194)</f>
        <v>348549</v>
      </c>
      <c r="E51" s="166">
        <f t="shared" ref="E51:F51" si="30">SUM(E52,E194)</f>
        <v>0</v>
      </c>
      <c r="F51" s="167">
        <f t="shared" si="30"/>
        <v>348549</v>
      </c>
      <c r="G51" s="165">
        <f>SUM(G52,G194)</f>
        <v>328315</v>
      </c>
      <c r="H51" s="166">
        <f t="shared" ref="H51:I51" si="31">SUM(H52,H194)</f>
        <v>5928</v>
      </c>
      <c r="I51" s="167">
        <f t="shared" si="31"/>
        <v>334243</v>
      </c>
      <c r="J51" s="168">
        <f>SUM(J52,J194)</f>
        <v>12726</v>
      </c>
      <c r="K51" s="169">
        <f t="shared" ref="K51:L51" si="32">SUM(K52,K194)</f>
        <v>0</v>
      </c>
      <c r="L51" s="170">
        <f t="shared" si="32"/>
        <v>12726</v>
      </c>
      <c r="M51" s="168">
        <f>SUM(M52,M194)</f>
        <v>0</v>
      </c>
      <c r="N51" s="169">
        <f t="shared" ref="N51:O51" si="33">SUM(N52,N194)</f>
        <v>0</v>
      </c>
      <c r="O51" s="170">
        <f t="shared" si="33"/>
        <v>0</v>
      </c>
      <c r="P51" s="171"/>
    </row>
    <row r="52" spans="1:16" s="28" customFormat="1" ht="24" x14ac:dyDescent="0.25">
      <c r="A52" s="24"/>
      <c r="B52" s="22" t="s">
        <v>70</v>
      </c>
      <c r="C52" s="172">
        <f t="shared" si="0"/>
        <v>689763</v>
      </c>
      <c r="D52" s="173">
        <f>SUM(D53,D75,D173,D187)</f>
        <v>343349</v>
      </c>
      <c r="E52" s="174">
        <f t="shared" ref="E52:F52" si="34">SUM(E53,E75,E173,E187)</f>
        <v>200</v>
      </c>
      <c r="F52" s="175">
        <f t="shared" si="34"/>
        <v>343549</v>
      </c>
      <c r="G52" s="173">
        <f>SUM(G53,G75,G173,G187)</f>
        <v>327560</v>
      </c>
      <c r="H52" s="174">
        <f t="shared" ref="H52:I52" si="35">SUM(H53,H75,H173,H187)</f>
        <v>5928</v>
      </c>
      <c r="I52" s="175">
        <f t="shared" si="35"/>
        <v>333488</v>
      </c>
      <c r="J52" s="173">
        <f>SUM(J53,J75,J173,J187)</f>
        <v>12726</v>
      </c>
      <c r="K52" s="174">
        <f t="shared" ref="K52:L52" si="36">SUM(K53,K75,K173,K187)</f>
        <v>0</v>
      </c>
      <c r="L52" s="175">
        <f t="shared" si="36"/>
        <v>12726</v>
      </c>
      <c r="M52" s="173">
        <f>SUM(M53,M75,M173,M187)</f>
        <v>0</v>
      </c>
      <c r="N52" s="174">
        <f t="shared" ref="N52:O52" si="37">SUM(N53,N75,N173,N187)</f>
        <v>0</v>
      </c>
      <c r="O52" s="175">
        <f t="shared" si="37"/>
        <v>0</v>
      </c>
      <c r="P52" s="176"/>
    </row>
    <row r="53" spans="1:16" s="28" customFormat="1" x14ac:dyDescent="0.25">
      <c r="A53" s="177">
        <v>1000</v>
      </c>
      <c r="B53" s="177" t="s">
        <v>71</v>
      </c>
      <c r="C53" s="178">
        <f t="shared" si="0"/>
        <v>593631</v>
      </c>
      <c r="D53" s="179">
        <f>SUM(D54,D67)</f>
        <v>269173</v>
      </c>
      <c r="E53" s="180">
        <f t="shared" ref="E53:F53" si="38">SUM(E54,E67)</f>
        <v>0</v>
      </c>
      <c r="F53" s="181">
        <f t="shared" si="38"/>
        <v>269173</v>
      </c>
      <c r="G53" s="179">
        <f>SUM(G54,G67)</f>
        <v>320525</v>
      </c>
      <c r="H53" s="180">
        <f t="shared" ref="H53:I53" si="39">SUM(H54,H67)</f>
        <v>3933</v>
      </c>
      <c r="I53" s="181">
        <f t="shared" si="39"/>
        <v>324458</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450457</v>
      </c>
      <c r="D54" s="184">
        <f>SUM(D55,D58,D66)</f>
        <v>191014</v>
      </c>
      <c r="E54" s="185">
        <f t="shared" ref="E54:F54" si="42">SUM(E55,E58,E66)</f>
        <v>0</v>
      </c>
      <c r="F54" s="73">
        <f t="shared" si="42"/>
        <v>191014</v>
      </c>
      <c r="G54" s="184">
        <f>SUM(G55,G58,G66)</f>
        <v>256000</v>
      </c>
      <c r="H54" s="185">
        <f t="shared" ref="H54:I54" si="43">SUM(H55,H58,H66)</f>
        <v>3443</v>
      </c>
      <c r="I54" s="73">
        <f t="shared" si="43"/>
        <v>259443</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411660</v>
      </c>
      <c r="D55" s="187">
        <f>SUM(D56:D57)</f>
        <v>155283</v>
      </c>
      <c r="E55" s="188">
        <f t="shared" ref="E55:F55" si="46">SUM(E56:E57)</f>
        <v>0</v>
      </c>
      <c r="F55" s="141">
        <f t="shared" si="46"/>
        <v>155283</v>
      </c>
      <c r="G55" s="187">
        <f>SUM(G56:G57)</f>
        <v>251476</v>
      </c>
      <c r="H55" s="188">
        <f t="shared" ref="H55:I55" si="47">SUM(H56:H57)</f>
        <v>4901</v>
      </c>
      <c r="I55" s="141">
        <f t="shared" si="47"/>
        <v>256377</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3" customHeight="1" x14ac:dyDescent="0.25">
      <c r="A57" s="51">
        <v>1119</v>
      </c>
      <c r="B57" s="89" t="s">
        <v>75</v>
      </c>
      <c r="C57" s="90">
        <f t="shared" si="0"/>
        <v>411660</v>
      </c>
      <c r="D57" s="53">
        <v>155283</v>
      </c>
      <c r="E57" s="54"/>
      <c r="F57" s="55">
        <f t="shared" si="50"/>
        <v>155283</v>
      </c>
      <c r="G57" s="53">
        <v>251476</v>
      </c>
      <c r="H57" s="54">
        <v>4901</v>
      </c>
      <c r="I57" s="55">
        <f t="shared" si="51"/>
        <v>256377</v>
      </c>
      <c r="J57" s="53"/>
      <c r="K57" s="54"/>
      <c r="L57" s="55">
        <f t="shared" si="52"/>
        <v>0</v>
      </c>
      <c r="M57" s="53"/>
      <c r="N57" s="54"/>
      <c r="O57" s="55">
        <f t="shared" si="53"/>
        <v>0</v>
      </c>
      <c r="P57" s="57" t="s">
        <v>1930</v>
      </c>
    </row>
    <row r="58" spans="1:16" x14ac:dyDescent="0.25">
      <c r="A58" s="189">
        <v>1140</v>
      </c>
      <c r="B58" s="89" t="s">
        <v>76</v>
      </c>
      <c r="C58" s="90">
        <f t="shared" si="0"/>
        <v>36009</v>
      </c>
      <c r="D58" s="190">
        <f>SUM(D59:D65)</f>
        <v>32943</v>
      </c>
      <c r="E58" s="191">
        <f>SUM(E59:E65)</f>
        <v>0</v>
      </c>
      <c r="F58" s="55">
        <f t="shared" ref="F58" si="54">SUM(F59:F65)</f>
        <v>32943</v>
      </c>
      <c r="G58" s="190">
        <f>SUM(G59:G65)</f>
        <v>4524</v>
      </c>
      <c r="H58" s="191">
        <f t="shared" ref="H58:I58" si="55">SUM(H59:H65)</f>
        <v>-1458</v>
      </c>
      <c r="I58" s="55">
        <f t="shared" si="55"/>
        <v>3066</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2998</v>
      </c>
      <c r="D63" s="53">
        <v>2998</v>
      </c>
      <c r="E63" s="54"/>
      <c r="F63" s="55">
        <f t="shared" si="58"/>
        <v>2998</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24744</v>
      </c>
      <c r="D64" s="53">
        <v>24744</v>
      </c>
      <c r="E64" s="54"/>
      <c r="F64" s="55">
        <f t="shared" si="58"/>
        <v>24744</v>
      </c>
      <c r="G64" s="53"/>
      <c r="H64" s="54"/>
      <c r="I64" s="55">
        <f t="shared" si="59"/>
        <v>0</v>
      </c>
      <c r="J64" s="53"/>
      <c r="K64" s="54"/>
      <c r="L64" s="55">
        <f t="shared" si="60"/>
        <v>0</v>
      </c>
      <c r="M64" s="53"/>
      <c r="N64" s="54"/>
      <c r="O64" s="55">
        <f t="shared" si="61"/>
        <v>0</v>
      </c>
      <c r="P64" s="57"/>
    </row>
    <row r="65" spans="1:16" ht="31.5" customHeight="1" x14ac:dyDescent="0.25">
      <c r="A65" s="51">
        <v>1149</v>
      </c>
      <c r="B65" s="89" t="s">
        <v>83</v>
      </c>
      <c r="C65" s="90">
        <f t="shared" si="0"/>
        <v>3066</v>
      </c>
      <c r="D65" s="53"/>
      <c r="E65" s="54"/>
      <c r="F65" s="55">
        <f t="shared" si="58"/>
        <v>0</v>
      </c>
      <c r="G65" s="53">
        <v>4524</v>
      </c>
      <c r="H65" s="54">
        <v>-1458</v>
      </c>
      <c r="I65" s="55">
        <f t="shared" si="59"/>
        <v>3066</v>
      </c>
      <c r="J65" s="53"/>
      <c r="K65" s="54"/>
      <c r="L65" s="55">
        <f t="shared" si="60"/>
        <v>0</v>
      </c>
      <c r="M65" s="53"/>
      <c r="N65" s="54"/>
      <c r="O65" s="55">
        <f t="shared" si="61"/>
        <v>0</v>
      </c>
      <c r="P65" s="57" t="s">
        <v>1931</v>
      </c>
    </row>
    <row r="66" spans="1:16" ht="36" customHeight="1" x14ac:dyDescent="0.25">
      <c r="A66" s="186">
        <v>1150</v>
      </c>
      <c r="B66" s="138" t="s">
        <v>84</v>
      </c>
      <c r="C66" s="143">
        <f t="shared" si="0"/>
        <v>2788</v>
      </c>
      <c r="D66" s="144">
        <v>2788</v>
      </c>
      <c r="E66" s="145"/>
      <c r="F66" s="141">
        <f t="shared" si="58"/>
        <v>2788</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143174</v>
      </c>
      <c r="D67" s="184">
        <f>SUM(D68:D69)</f>
        <v>78159</v>
      </c>
      <c r="E67" s="185">
        <f t="shared" ref="E67:F67" si="62">SUM(E68:E69)</f>
        <v>0</v>
      </c>
      <c r="F67" s="73">
        <f t="shared" si="62"/>
        <v>78159</v>
      </c>
      <c r="G67" s="184">
        <f>SUM(G68:G69)</f>
        <v>64525</v>
      </c>
      <c r="H67" s="185">
        <f t="shared" ref="H67:I67" si="63">SUM(H68:H69)</f>
        <v>490</v>
      </c>
      <c r="I67" s="73">
        <f t="shared" si="63"/>
        <v>65015</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373">
        <v>1210</v>
      </c>
      <c r="B68" s="82" t="s">
        <v>86</v>
      </c>
      <c r="C68" s="83">
        <f t="shared" si="0"/>
        <v>112042</v>
      </c>
      <c r="D68" s="46">
        <v>49327</v>
      </c>
      <c r="E68" s="47"/>
      <c r="F68" s="134">
        <f>D68+E68</f>
        <v>49327</v>
      </c>
      <c r="G68" s="46">
        <v>62225</v>
      </c>
      <c r="H68" s="47">
        <v>490</v>
      </c>
      <c r="I68" s="134">
        <f>G68+H68</f>
        <v>62715</v>
      </c>
      <c r="J68" s="46"/>
      <c r="K68" s="47"/>
      <c r="L68" s="134">
        <f>K68+J68</f>
        <v>0</v>
      </c>
      <c r="M68" s="46"/>
      <c r="N68" s="47"/>
      <c r="O68" s="134">
        <f>N68+M68</f>
        <v>0</v>
      </c>
      <c r="P68" s="49" t="s">
        <v>1932</v>
      </c>
    </row>
    <row r="69" spans="1:16" ht="24" x14ac:dyDescent="0.25">
      <c r="A69" s="189">
        <v>1220</v>
      </c>
      <c r="B69" s="89" t="s">
        <v>87</v>
      </c>
      <c r="C69" s="90">
        <f t="shared" si="0"/>
        <v>31132</v>
      </c>
      <c r="D69" s="190">
        <f>SUM(D70:D74)</f>
        <v>28832</v>
      </c>
      <c r="E69" s="191">
        <f t="shared" ref="E69:F69" si="66">SUM(E70:E74)</f>
        <v>0</v>
      </c>
      <c r="F69" s="55">
        <f t="shared" si="66"/>
        <v>28832</v>
      </c>
      <c r="G69" s="190">
        <f>SUM(G70:G74)</f>
        <v>2300</v>
      </c>
      <c r="H69" s="191">
        <f t="shared" ref="H69:I69" si="67">SUM(H70:H74)</f>
        <v>0</v>
      </c>
      <c r="I69" s="55">
        <f t="shared" si="67"/>
        <v>2300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20387</v>
      </c>
      <c r="D70" s="53">
        <v>18087</v>
      </c>
      <c r="E70" s="54"/>
      <c r="F70" s="55">
        <f t="shared" ref="F70:F74" si="70">D70+E70</f>
        <v>18087</v>
      </c>
      <c r="G70" s="53">
        <v>2300</v>
      </c>
      <c r="H70" s="54"/>
      <c r="I70" s="55">
        <f t="shared" ref="I70:I74" si="71">G70+H70</f>
        <v>2300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10245</v>
      </c>
      <c r="D73" s="53">
        <v>10245</v>
      </c>
      <c r="E73" s="54"/>
      <c r="F73" s="55">
        <f t="shared" si="70"/>
        <v>10245</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96132</v>
      </c>
      <c r="D75" s="179">
        <f>SUM(D76,D83,D130,D164,D165,D172)</f>
        <v>74176</v>
      </c>
      <c r="E75" s="180">
        <f t="shared" ref="E75:F75" si="74">SUM(E76,E83,E130,E164,E165,E172)</f>
        <v>200</v>
      </c>
      <c r="F75" s="181">
        <f t="shared" si="74"/>
        <v>74376</v>
      </c>
      <c r="G75" s="179">
        <f>SUM(G76,G83,G130,G164,G165,G172)</f>
        <v>7035</v>
      </c>
      <c r="H75" s="180">
        <f t="shared" ref="H75:I75" si="75">SUM(H76,H83,H130,H164,H165,H172)</f>
        <v>1995</v>
      </c>
      <c r="I75" s="181">
        <f t="shared" si="75"/>
        <v>9030</v>
      </c>
      <c r="J75" s="179">
        <f>SUM(J76,J83,J130,J164,J165,J172)</f>
        <v>12726</v>
      </c>
      <c r="K75" s="180">
        <f t="shared" ref="K75:L75" si="76">SUM(K76,K83,K130,K164,K165,K172)</f>
        <v>0</v>
      </c>
      <c r="L75" s="181">
        <f t="shared" si="76"/>
        <v>12726</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3">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68660</v>
      </c>
      <c r="D83" s="184">
        <f>SUM(D84,D89,D95,D103,D112,D116,D122,D128)</f>
        <v>51766</v>
      </c>
      <c r="E83" s="185">
        <f t="shared" ref="E83:F83" si="98">SUM(E84,E89,E95,E103,E112,E116,E122,E128)</f>
        <v>200</v>
      </c>
      <c r="F83" s="73">
        <f t="shared" si="98"/>
        <v>51966</v>
      </c>
      <c r="G83" s="184">
        <f>SUM(G84,G89,G95,G103,G112,G116,G122,G128)</f>
        <v>1973</v>
      </c>
      <c r="H83" s="185">
        <f t="shared" ref="H83:I83" si="99">SUM(H84,H89,H95,H103,H112,H116,H122,H128)</f>
        <v>1995</v>
      </c>
      <c r="I83" s="73">
        <f t="shared" si="99"/>
        <v>3968</v>
      </c>
      <c r="J83" s="184">
        <f>SUM(J84,J89,J95,J103,J112,J116,J122,J128)</f>
        <v>12726</v>
      </c>
      <c r="K83" s="185">
        <f t="shared" ref="K83:L83" si="100">SUM(K84,K89,K95,K103,K112,K116,K122,K128)</f>
        <v>0</v>
      </c>
      <c r="L83" s="73">
        <f t="shared" si="100"/>
        <v>12726</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1780</v>
      </c>
      <c r="D84" s="187">
        <f>SUM(D85:D88)</f>
        <v>1780</v>
      </c>
      <c r="E84" s="188">
        <f t="shared" ref="E84:F84" si="103">SUM(E85:E88)</f>
        <v>0</v>
      </c>
      <c r="F84" s="141">
        <f t="shared" si="103"/>
        <v>1780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7.5" customHeight="1" x14ac:dyDescent="0.25">
      <c r="A86" s="51">
        <v>2212</v>
      </c>
      <c r="B86" s="89" t="s">
        <v>102</v>
      </c>
      <c r="C86" s="90">
        <f t="shared" si="102"/>
        <v>1476</v>
      </c>
      <c r="D86" s="196">
        <v>1476</v>
      </c>
      <c r="E86" s="197"/>
      <c r="F86" s="55">
        <f t="shared" si="107"/>
        <v>1476</v>
      </c>
      <c r="G86" s="53"/>
      <c r="H86" s="54"/>
      <c r="I86" s="55">
        <f t="shared" si="108"/>
        <v>0</v>
      </c>
      <c r="J86" s="53"/>
      <c r="K86" s="54"/>
      <c r="L86" s="55">
        <f t="shared" si="109"/>
        <v>0</v>
      </c>
      <c r="M86" s="53"/>
      <c r="N86" s="54"/>
      <c r="O86" s="55">
        <f t="shared" si="110"/>
        <v>0</v>
      </c>
      <c r="P86" s="57"/>
    </row>
    <row r="87" spans="1:16" ht="23.25" customHeight="1" x14ac:dyDescent="0.25">
      <c r="A87" s="51">
        <v>2214</v>
      </c>
      <c r="B87" s="89" t="s">
        <v>103</v>
      </c>
      <c r="C87" s="90">
        <f t="shared" si="102"/>
        <v>204</v>
      </c>
      <c r="D87" s="196">
        <v>204</v>
      </c>
      <c r="E87" s="197"/>
      <c r="F87" s="55">
        <f t="shared" si="107"/>
        <v>204</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100</v>
      </c>
      <c r="D88" s="196">
        <v>100</v>
      </c>
      <c r="E88" s="197"/>
      <c r="F88" s="55">
        <f t="shared" si="107"/>
        <v>100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48178</v>
      </c>
      <c r="D89" s="190">
        <f>SUM(D90:D94)</f>
        <v>35252</v>
      </c>
      <c r="E89" s="191">
        <f t="shared" ref="E89:F89" si="111">SUM(E90:E94)</f>
        <v>200</v>
      </c>
      <c r="F89" s="55">
        <f t="shared" si="111"/>
        <v>35452</v>
      </c>
      <c r="G89" s="190">
        <f>SUM(G90:G94)</f>
        <v>0</v>
      </c>
      <c r="H89" s="191">
        <f t="shared" ref="H89:I89" si="112">SUM(H90:H94)</f>
        <v>0</v>
      </c>
      <c r="I89" s="55">
        <f t="shared" si="112"/>
        <v>0</v>
      </c>
      <c r="J89" s="190">
        <f>SUM(J90:J94)</f>
        <v>12726</v>
      </c>
      <c r="K89" s="191">
        <f t="shared" ref="K89:L89" si="113">SUM(K90:K94)</f>
        <v>0</v>
      </c>
      <c r="L89" s="55">
        <f t="shared" si="113"/>
        <v>12726</v>
      </c>
      <c r="M89" s="190">
        <f>SUM(M90:M94)</f>
        <v>0</v>
      </c>
      <c r="N89" s="191">
        <f t="shared" ref="N89:O89" si="114">SUM(N90:N94)</f>
        <v>0</v>
      </c>
      <c r="O89" s="55">
        <f t="shared" si="114"/>
        <v>0</v>
      </c>
      <c r="P89" s="57"/>
    </row>
    <row r="90" spans="1:16" ht="24" customHeight="1" x14ac:dyDescent="0.25">
      <c r="A90" s="51">
        <v>2221</v>
      </c>
      <c r="B90" s="89" t="s">
        <v>106</v>
      </c>
      <c r="C90" s="90">
        <f t="shared" si="102"/>
        <v>25071</v>
      </c>
      <c r="D90" s="196">
        <v>19242</v>
      </c>
      <c r="E90" s="197"/>
      <c r="F90" s="55">
        <f t="shared" ref="F90:F94" si="115">D90+E90</f>
        <v>19242</v>
      </c>
      <c r="G90" s="53"/>
      <c r="H90" s="54"/>
      <c r="I90" s="55">
        <f t="shared" ref="I90:I94" si="116">G90+H90</f>
        <v>0</v>
      </c>
      <c r="J90" s="53">
        <v>5829</v>
      </c>
      <c r="K90" s="54"/>
      <c r="L90" s="55">
        <f t="shared" ref="L90:L94" si="117">K90+J90</f>
        <v>5829</v>
      </c>
      <c r="M90" s="53"/>
      <c r="N90" s="54"/>
      <c r="O90" s="55">
        <f t="shared" ref="O90:O94" si="118">N90+M90</f>
        <v>0</v>
      </c>
      <c r="P90" s="57"/>
    </row>
    <row r="91" spans="1:16" ht="18.75" customHeight="1" x14ac:dyDescent="0.25">
      <c r="A91" s="51">
        <v>2222</v>
      </c>
      <c r="B91" s="89" t="s">
        <v>107</v>
      </c>
      <c r="C91" s="90">
        <f t="shared" si="102"/>
        <v>2774</v>
      </c>
      <c r="D91" s="196">
        <v>2142</v>
      </c>
      <c r="E91" s="197"/>
      <c r="F91" s="55">
        <f t="shared" si="115"/>
        <v>2142</v>
      </c>
      <c r="G91" s="53"/>
      <c r="H91" s="54"/>
      <c r="I91" s="55">
        <f t="shared" si="116"/>
        <v>0</v>
      </c>
      <c r="J91" s="53">
        <v>632</v>
      </c>
      <c r="K91" s="54"/>
      <c r="L91" s="55">
        <f t="shared" si="117"/>
        <v>632</v>
      </c>
      <c r="M91" s="53"/>
      <c r="N91" s="54"/>
      <c r="O91" s="55">
        <f t="shared" si="118"/>
        <v>0</v>
      </c>
      <c r="P91" s="57"/>
    </row>
    <row r="92" spans="1:16" ht="23.25" customHeight="1" x14ac:dyDescent="0.25">
      <c r="A92" s="51">
        <v>2223</v>
      </c>
      <c r="B92" s="89" t="s">
        <v>108</v>
      </c>
      <c r="C92" s="90">
        <f t="shared" si="102"/>
        <v>19477</v>
      </c>
      <c r="D92" s="196">
        <v>13412</v>
      </c>
      <c r="E92" s="197"/>
      <c r="F92" s="55">
        <f t="shared" si="115"/>
        <v>13412</v>
      </c>
      <c r="G92" s="53"/>
      <c r="H92" s="54"/>
      <c r="I92" s="55">
        <f t="shared" si="116"/>
        <v>0</v>
      </c>
      <c r="J92" s="53">
        <v>6065</v>
      </c>
      <c r="K92" s="54"/>
      <c r="L92" s="55">
        <f t="shared" si="117"/>
        <v>6065</v>
      </c>
      <c r="M92" s="53"/>
      <c r="N92" s="54"/>
      <c r="O92" s="55">
        <f t="shared" si="118"/>
        <v>0</v>
      </c>
      <c r="P92" s="57"/>
    </row>
    <row r="93" spans="1:16" ht="60" customHeight="1" x14ac:dyDescent="0.25">
      <c r="A93" s="51">
        <v>2224</v>
      </c>
      <c r="B93" s="89" t="s">
        <v>109</v>
      </c>
      <c r="C93" s="90">
        <f t="shared" si="102"/>
        <v>856</v>
      </c>
      <c r="D93" s="196">
        <v>456</v>
      </c>
      <c r="E93" s="197">
        <v>200</v>
      </c>
      <c r="F93" s="55">
        <f t="shared" si="115"/>
        <v>656</v>
      </c>
      <c r="G93" s="53"/>
      <c r="H93" s="54"/>
      <c r="I93" s="55">
        <f t="shared" si="116"/>
        <v>0</v>
      </c>
      <c r="J93" s="53">
        <v>200</v>
      </c>
      <c r="K93" s="54"/>
      <c r="L93" s="55">
        <f t="shared" si="117"/>
        <v>200</v>
      </c>
      <c r="M93" s="53"/>
      <c r="N93" s="54"/>
      <c r="O93" s="55">
        <f t="shared" si="118"/>
        <v>0</v>
      </c>
      <c r="P93" s="57" t="s">
        <v>1933</v>
      </c>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2698</v>
      </c>
      <c r="D95" s="190">
        <f>SUM(D96:D102)</f>
        <v>2698</v>
      </c>
      <c r="E95" s="191">
        <f t="shared" ref="E95:F95" si="119">SUM(E96:E102)</f>
        <v>0</v>
      </c>
      <c r="F95" s="55">
        <f t="shared" si="119"/>
        <v>2698</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2698</v>
      </c>
      <c r="D102" s="196">
        <v>2698</v>
      </c>
      <c r="E102" s="197"/>
      <c r="F102" s="55">
        <f t="shared" si="123"/>
        <v>2698</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9977</v>
      </c>
      <c r="D103" s="190">
        <f>SUM(D104:D111)</f>
        <v>9977</v>
      </c>
      <c r="E103" s="191">
        <f t="shared" ref="E103:F103" si="127">SUM(E104:E111)</f>
        <v>0</v>
      </c>
      <c r="F103" s="55">
        <f t="shared" si="127"/>
        <v>9977</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797</v>
      </c>
      <c r="D106" s="196">
        <v>797</v>
      </c>
      <c r="E106" s="197"/>
      <c r="F106" s="55">
        <f t="shared" si="131"/>
        <v>797</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9180</v>
      </c>
      <c r="D107" s="196">
        <v>9180</v>
      </c>
      <c r="E107" s="197"/>
      <c r="F107" s="55">
        <f t="shared" si="131"/>
        <v>9180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1900</v>
      </c>
      <c r="D112" s="190">
        <f>SUM(D113:D115)</f>
        <v>1900</v>
      </c>
      <c r="E112" s="191">
        <f t="shared" ref="E112:F112" si="135">SUM(E113:E115)</f>
        <v>0</v>
      </c>
      <c r="F112" s="55">
        <f t="shared" si="135"/>
        <v>1900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85</v>
      </c>
      <c r="D113" s="196">
        <v>85</v>
      </c>
      <c r="E113" s="197"/>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1355</v>
      </c>
      <c r="D114" s="196">
        <v>1355</v>
      </c>
      <c r="E114" s="197"/>
      <c r="F114" s="55">
        <f t="shared" si="139"/>
        <v>1355</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460</v>
      </c>
      <c r="D115" s="196">
        <v>460</v>
      </c>
      <c r="E115" s="197"/>
      <c r="F115" s="55">
        <f t="shared" si="139"/>
        <v>460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1333</v>
      </c>
      <c r="D116" s="190">
        <f>SUM(D117:D121)</f>
        <v>52</v>
      </c>
      <c r="E116" s="191">
        <f t="shared" ref="E116:F116" si="143">SUM(E117:E121)</f>
        <v>0</v>
      </c>
      <c r="F116" s="55">
        <f t="shared" si="143"/>
        <v>52</v>
      </c>
      <c r="G116" s="190">
        <f>SUM(G117:G121)</f>
        <v>1281</v>
      </c>
      <c r="H116" s="191">
        <f t="shared" ref="H116:I116" si="144">SUM(H117:H121)</f>
        <v>0</v>
      </c>
      <c r="I116" s="55">
        <f t="shared" si="144"/>
        <v>1281</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9.5" customHeight="1" x14ac:dyDescent="0.25">
      <c r="A118" s="51">
        <v>2262</v>
      </c>
      <c r="B118" s="89" t="s">
        <v>134</v>
      </c>
      <c r="C118" s="90">
        <f t="shared" si="102"/>
        <v>1281</v>
      </c>
      <c r="D118" s="196"/>
      <c r="E118" s="197"/>
      <c r="F118" s="55">
        <f t="shared" si="147"/>
        <v>0</v>
      </c>
      <c r="G118" s="53">
        <v>1281</v>
      </c>
      <c r="H118" s="54"/>
      <c r="I118" s="55">
        <f t="shared" si="148"/>
        <v>1281</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2794</v>
      </c>
      <c r="D122" s="190">
        <f>SUM(D123:D127)</f>
        <v>107</v>
      </c>
      <c r="E122" s="191">
        <f t="shared" ref="E122:F122" si="151">SUM(E123:E127)</f>
        <v>0</v>
      </c>
      <c r="F122" s="55">
        <f t="shared" si="151"/>
        <v>107</v>
      </c>
      <c r="G122" s="190">
        <f>SUM(G123:G127)</f>
        <v>692</v>
      </c>
      <c r="H122" s="191">
        <f t="shared" ref="H122:I122" si="152">SUM(H123:H127)</f>
        <v>1995</v>
      </c>
      <c r="I122" s="55">
        <f t="shared" si="152"/>
        <v>2687</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2.25" customHeight="1" x14ac:dyDescent="0.25">
      <c r="A127" s="51">
        <v>2279</v>
      </c>
      <c r="B127" s="89" t="s">
        <v>143</v>
      </c>
      <c r="C127" s="90">
        <f t="shared" si="102"/>
        <v>2794</v>
      </c>
      <c r="D127" s="196">
        <v>107</v>
      </c>
      <c r="E127" s="197"/>
      <c r="F127" s="55">
        <f t="shared" si="155"/>
        <v>107</v>
      </c>
      <c r="G127" s="53">
        <v>692</v>
      </c>
      <c r="H127" s="54">
        <v>1995</v>
      </c>
      <c r="I127" s="55">
        <f t="shared" si="156"/>
        <v>2687</v>
      </c>
      <c r="J127" s="53"/>
      <c r="K127" s="54"/>
      <c r="L127" s="55">
        <f t="shared" si="157"/>
        <v>0</v>
      </c>
      <c r="M127" s="53"/>
      <c r="N127" s="54"/>
      <c r="O127" s="55">
        <f t="shared" si="158"/>
        <v>0</v>
      </c>
      <c r="P127" s="57" t="s">
        <v>1934</v>
      </c>
    </row>
    <row r="128" spans="1:16" ht="48" hidden="1" x14ac:dyDescent="0.25">
      <c r="A128" s="1373">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27472</v>
      </c>
      <c r="D130" s="184">
        <f>SUM(D131,D136,D140,D141,D144,D151,D159,D160,D163)</f>
        <v>22410</v>
      </c>
      <c r="E130" s="185">
        <f t="shared" ref="E130:F130" si="160">SUM(E131,E136,E140,E141,E144,E151,E159,E160,E163)</f>
        <v>0</v>
      </c>
      <c r="F130" s="73">
        <f t="shared" si="160"/>
        <v>22410</v>
      </c>
      <c r="G130" s="184">
        <f>SUM(G131,G136,G140,G141,G144,G151,G159,G160,G163)</f>
        <v>5062</v>
      </c>
      <c r="H130" s="185">
        <f t="shared" ref="H130:I130" si="161">SUM(H131,H136,H140,H141,H144,H151,H159,H160,H163)</f>
        <v>0</v>
      </c>
      <c r="I130" s="73">
        <f t="shared" si="161"/>
        <v>5062</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73">
        <v>2310</v>
      </c>
      <c r="B131" s="82" t="s">
        <v>147</v>
      </c>
      <c r="C131" s="83">
        <f t="shared" si="102"/>
        <v>8538</v>
      </c>
      <c r="D131" s="194">
        <f t="shared" ref="D131:O131" si="164">SUM(D132:D135)</f>
        <v>8538</v>
      </c>
      <c r="E131" s="195">
        <f t="shared" si="164"/>
        <v>0</v>
      </c>
      <c r="F131" s="134">
        <f t="shared" si="164"/>
        <v>8538</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8" customHeight="1" x14ac:dyDescent="0.25">
      <c r="A132" s="51">
        <v>2311</v>
      </c>
      <c r="B132" s="89" t="s">
        <v>148</v>
      </c>
      <c r="C132" s="90">
        <f t="shared" si="102"/>
        <v>1440</v>
      </c>
      <c r="D132" s="196">
        <v>1440</v>
      </c>
      <c r="E132" s="197"/>
      <c r="F132" s="55">
        <f t="shared" ref="F132:F135" si="165">D132+E132</f>
        <v>1440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7058</v>
      </c>
      <c r="D133" s="196">
        <v>7058</v>
      </c>
      <c r="E133" s="197"/>
      <c r="F133" s="55">
        <f t="shared" si="165"/>
        <v>7058</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40</v>
      </c>
      <c r="D135" s="196">
        <v>40</v>
      </c>
      <c r="E135" s="197"/>
      <c r="F135" s="55">
        <f t="shared" si="165"/>
        <v>40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261</v>
      </c>
      <c r="D141" s="190">
        <f>SUM(D142:D143)</f>
        <v>261</v>
      </c>
      <c r="E141" s="191">
        <f t="shared" ref="E141:F141" si="177">SUM(E142:E143)</f>
        <v>0</v>
      </c>
      <c r="F141" s="55">
        <f t="shared" si="177"/>
        <v>261</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261</v>
      </c>
      <c r="D142" s="196">
        <v>261</v>
      </c>
      <c r="E142" s="197"/>
      <c r="F142" s="55">
        <f t="shared" ref="F142:F143" si="181">D142+E142</f>
        <v>261</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5224</v>
      </c>
      <c r="D144" s="187">
        <f>SUM(D145:D150)</f>
        <v>5224</v>
      </c>
      <c r="E144" s="188">
        <f t="shared" ref="E144:F144" si="185">SUM(E145:E150)</f>
        <v>0</v>
      </c>
      <c r="F144" s="141">
        <f t="shared" si="185"/>
        <v>5224</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1924</v>
      </c>
      <c r="D145" s="199">
        <v>1924</v>
      </c>
      <c r="E145" s="200"/>
      <c r="F145" s="134">
        <f t="shared" ref="F145:F150" si="189">D145+E145</f>
        <v>1924</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2967</v>
      </c>
      <c r="D146" s="196">
        <v>2967</v>
      </c>
      <c r="E146" s="197"/>
      <c r="F146" s="55">
        <f t="shared" si="189"/>
        <v>2967</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333</v>
      </c>
      <c r="D149" s="196">
        <v>333</v>
      </c>
      <c r="E149" s="197"/>
      <c r="F149" s="55">
        <f t="shared" si="189"/>
        <v>333</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1400</v>
      </c>
      <c r="D151" s="190">
        <f>SUM(D152:D158)</f>
        <v>1400</v>
      </c>
      <c r="E151" s="191">
        <f t="shared" ref="E151:F151" si="194">SUM(E152:E158)</f>
        <v>0</v>
      </c>
      <c r="F151" s="55">
        <f t="shared" si="194"/>
        <v>1400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8" customHeight="1" x14ac:dyDescent="0.25">
      <c r="A154" s="50">
        <v>2363</v>
      </c>
      <c r="B154" s="89" t="s">
        <v>170</v>
      </c>
      <c r="C154" s="90">
        <f t="shared" si="193"/>
        <v>1400</v>
      </c>
      <c r="D154" s="196">
        <v>1400</v>
      </c>
      <c r="E154" s="197"/>
      <c r="F154" s="55">
        <f t="shared" si="198"/>
        <v>1400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customHeight="1" x14ac:dyDescent="0.25">
      <c r="A159" s="186">
        <v>2370</v>
      </c>
      <c r="B159" s="138" t="s">
        <v>175</v>
      </c>
      <c r="C159" s="143">
        <f t="shared" si="193"/>
        <v>12049</v>
      </c>
      <c r="D159" s="203">
        <v>6987</v>
      </c>
      <c r="E159" s="204"/>
      <c r="F159" s="141">
        <f t="shared" si="198"/>
        <v>6987</v>
      </c>
      <c r="G159" s="144">
        <v>5062</v>
      </c>
      <c r="H159" s="145"/>
      <c r="I159" s="141">
        <f t="shared" si="199"/>
        <v>5062</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73">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3">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3">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3">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3">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5755</v>
      </c>
      <c r="D194" s="173">
        <f t="shared" ref="D194:O194" si="259">SUM(D195,D230,D269,D283)</f>
        <v>5200</v>
      </c>
      <c r="E194" s="174">
        <f t="shared" si="259"/>
        <v>-200</v>
      </c>
      <c r="F194" s="175">
        <f t="shared" si="259"/>
        <v>5000</v>
      </c>
      <c r="G194" s="173">
        <f t="shared" si="259"/>
        <v>755</v>
      </c>
      <c r="H194" s="174">
        <f t="shared" si="259"/>
        <v>0</v>
      </c>
      <c r="I194" s="175">
        <f t="shared" si="259"/>
        <v>755</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5755</v>
      </c>
      <c r="D195" s="179">
        <f>D196+D204</f>
        <v>5200</v>
      </c>
      <c r="E195" s="180">
        <f t="shared" ref="E195:F195" si="260">E196+E204</f>
        <v>-200</v>
      </c>
      <c r="F195" s="181">
        <f t="shared" si="260"/>
        <v>5000</v>
      </c>
      <c r="G195" s="179">
        <f>G196+G204</f>
        <v>755</v>
      </c>
      <c r="H195" s="180">
        <f t="shared" ref="H195:I195" si="261">H196+H204</f>
        <v>0</v>
      </c>
      <c r="I195" s="181">
        <f t="shared" si="261"/>
        <v>755</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3">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5755</v>
      </c>
      <c r="D204" s="184">
        <f>D205+D215+D216+D225+D226+D227+D229</f>
        <v>5200</v>
      </c>
      <c r="E204" s="185">
        <f t="shared" ref="E204:F204" si="276">E205+E215+E216+E225+E226+E227+E229</f>
        <v>-200</v>
      </c>
      <c r="F204" s="73">
        <f t="shared" si="276"/>
        <v>5000</v>
      </c>
      <c r="G204" s="184">
        <f>G205+G215+G216+G225+G226+G227+G229</f>
        <v>755</v>
      </c>
      <c r="H204" s="185">
        <f t="shared" ref="H204:I204" si="277">H205+H215+H216+H225+H226+H227+H229</f>
        <v>0</v>
      </c>
      <c r="I204" s="73">
        <f t="shared" si="277"/>
        <v>755</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5755</v>
      </c>
      <c r="D216" s="190">
        <f>SUM(D217:D224)</f>
        <v>5200</v>
      </c>
      <c r="E216" s="191">
        <f t="shared" ref="E216:F216" si="289">SUM(E217:E224)</f>
        <v>-200</v>
      </c>
      <c r="F216" s="55">
        <f t="shared" si="289"/>
        <v>5000</v>
      </c>
      <c r="G216" s="190">
        <f>SUM(G217:G224)</f>
        <v>755</v>
      </c>
      <c r="H216" s="191">
        <f t="shared" ref="H216:I216" si="290">SUM(H217:H224)</f>
        <v>0</v>
      </c>
      <c r="I216" s="55">
        <f t="shared" si="290"/>
        <v>755</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2755</v>
      </c>
      <c r="D219" s="196">
        <v>2000</v>
      </c>
      <c r="E219" s="197"/>
      <c r="F219" s="55">
        <f t="shared" si="293"/>
        <v>2000</v>
      </c>
      <c r="G219" s="53">
        <v>755</v>
      </c>
      <c r="H219" s="54"/>
      <c r="I219" s="55">
        <f t="shared" si="294"/>
        <v>755</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30.75" customHeight="1" x14ac:dyDescent="0.25">
      <c r="A223" s="51">
        <v>5238</v>
      </c>
      <c r="B223" s="89" t="s">
        <v>239</v>
      </c>
      <c r="C223" s="90">
        <f t="shared" si="288"/>
        <v>2400</v>
      </c>
      <c r="D223" s="196">
        <v>2600</v>
      </c>
      <c r="E223" s="197">
        <v>-200</v>
      </c>
      <c r="F223" s="55">
        <f t="shared" si="293"/>
        <v>2400</v>
      </c>
      <c r="G223" s="53"/>
      <c r="H223" s="54"/>
      <c r="I223" s="55">
        <f t="shared" si="294"/>
        <v>0</v>
      </c>
      <c r="J223" s="53"/>
      <c r="K223" s="54"/>
      <c r="L223" s="55">
        <f t="shared" si="295"/>
        <v>0</v>
      </c>
      <c r="M223" s="53"/>
      <c r="N223" s="54"/>
      <c r="O223" s="55">
        <f t="shared" si="296"/>
        <v>0</v>
      </c>
      <c r="P223" s="57" t="s">
        <v>1935</v>
      </c>
    </row>
    <row r="224" spans="1:16" ht="24" customHeight="1" x14ac:dyDescent="0.25">
      <c r="A224" s="51">
        <v>5239</v>
      </c>
      <c r="B224" s="89" t="s">
        <v>240</v>
      </c>
      <c r="C224" s="90">
        <f t="shared" si="288"/>
        <v>600</v>
      </c>
      <c r="D224" s="196">
        <v>600</v>
      </c>
      <c r="E224" s="197"/>
      <c r="F224" s="55">
        <f t="shared" si="293"/>
        <v>600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3">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3">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3">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3">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3">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3">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22</v>
      </c>
      <c r="D286" s="190">
        <f>SUM(D287:D288)</f>
        <v>0</v>
      </c>
      <c r="E286" s="191">
        <f t="shared" ref="E286:F286" si="381">SUM(E287:E288)</f>
        <v>0</v>
      </c>
      <c r="F286" s="55">
        <f t="shared" si="381"/>
        <v>0</v>
      </c>
      <c r="G286" s="190">
        <f>SUM(G287:G288)</f>
        <v>22</v>
      </c>
      <c r="H286" s="191">
        <f t="shared" ref="H286:I286" si="382">SUM(H287:H288)</f>
        <v>0</v>
      </c>
      <c r="I286" s="55">
        <f t="shared" si="382"/>
        <v>22</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30" customHeight="1" x14ac:dyDescent="0.25">
      <c r="A288" s="201" t="s">
        <v>305</v>
      </c>
      <c r="B288" s="249" t="s">
        <v>306</v>
      </c>
      <c r="C288" s="83">
        <f t="shared" si="371"/>
        <v>22</v>
      </c>
      <c r="D288" s="199"/>
      <c r="E288" s="200"/>
      <c r="F288" s="134">
        <f t="shared" si="385"/>
        <v>0</v>
      </c>
      <c r="G288" s="46">
        <v>22</v>
      </c>
      <c r="H288" s="47"/>
      <c r="I288" s="134">
        <f t="shared" si="386"/>
        <v>22</v>
      </c>
      <c r="J288" s="46"/>
      <c r="K288" s="47"/>
      <c r="L288" s="134">
        <f t="shared" si="387"/>
        <v>0</v>
      </c>
      <c r="M288" s="46"/>
      <c r="N288" s="47"/>
      <c r="O288" s="134">
        <f t="shared" si="388"/>
        <v>0</v>
      </c>
      <c r="P288" s="49"/>
    </row>
    <row r="289" spans="1:16" ht="12.75" thickBot="1" x14ac:dyDescent="0.3">
      <c r="A289" s="250"/>
      <c r="B289" s="250" t="s">
        <v>307</v>
      </c>
      <c r="C289" s="251">
        <f t="shared" si="371"/>
        <v>695540</v>
      </c>
      <c r="D289" s="252">
        <f t="shared" ref="D289:O289" si="389">SUM(D286,D269,D230,D195,D187,D173,D75,D53,D283)</f>
        <v>348549</v>
      </c>
      <c r="E289" s="253">
        <f t="shared" si="389"/>
        <v>0</v>
      </c>
      <c r="F289" s="254">
        <f t="shared" si="389"/>
        <v>348549</v>
      </c>
      <c r="G289" s="252">
        <f t="shared" si="389"/>
        <v>328337</v>
      </c>
      <c r="H289" s="253">
        <f t="shared" si="389"/>
        <v>5928</v>
      </c>
      <c r="I289" s="254">
        <f t="shared" si="389"/>
        <v>334265</v>
      </c>
      <c r="J289" s="252">
        <f t="shared" si="389"/>
        <v>12726</v>
      </c>
      <c r="K289" s="253">
        <f t="shared" si="389"/>
        <v>0</v>
      </c>
      <c r="L289" s="254">
        <f t="shared" si="389"/>
        <v>12726</v>
      </c>
      <c r="M289" s="252">
        <f t="shared" si="389"/>
        <v>0</v>
      </c>
      <c r="N289" s="253">
        <f t="shared" si="389"/>
        <v>0</v>
      </c>
      <c r="O289" s="254">
        <f t="shared" si="389"/>
        <v>0</v>
      </c>
      <c r="P289" s="255"/>
    </row>
    <row r="290" spans="1:16" s="28" customFormat="1" ht="13.5" thickTop="1" thickBot="1" x14ac:dyDescent="0.3">
      <c r="A290" s="1544" t="s">
        <v>308</v>
      </c>
      <c r="B290" s="1545"/>
      <c r="C290" s="256">
        <f t="shared" si="371"/>
        <v>-1998</v>
      </c>
      <c r="D290" s="257">
        <f>SUM(D24,D25,D41)-D51</f>
        <v>0</v>
      </c>
      <c r="E290" s="258">
        <f t="shared" ref="E290:F290" si="390">SUM(E24,E25,E41)-E51</f>
        <v>0</v>
      </c>
      <c r="F290" s="259">
        <f t="shared" si="390"/>
        <v>0</v>
      </c>
      <c r="G290" s="257">
        <f>SUM(G24,G25,G41)-G51</f>
        <v>22</v>
      </c>
      <c r="H290" s="258">
        <f t="shared" ref="H290:I290" si="391">SUM(H24,H25,H41)-H51</f>
        <v>0</v>
      </c>
      <c r="I290" s="259">
        <f t="shared" si="391"/>
        <v>22</v>
      </c>
      <c r="J290" s="257">
        <f>(J26+J43)-J51</f>
        <v>-2020</v>
      </c>
      <c r="K290" s="258">
        <f t="shared" ref="K290:L290" si="392">(K26+K43)-K51</f>
        <v>0</v>
      </c>
      <c r="L290" s="259">
        <f t="shared" si="392"/>
        <v>-2020</v>
      </c>
      <c r="M290" s="257">
        <f>M45-M51</f>
        <v>0</v>
      </c>
      <c r="N290" s="258">
        <f t="shared" ref="N290:O290" si="393">N45-N51</f>
        <v>0</v>
      </c>
      <c r="O290" s="259">
        <f t="shared" si="393"/>
        <v>0</v>
      </c>
      <c r="P290" s="260"/>
    </row>
    <row r="291" spans="1:16" s="28" customFormat="1" ht="12.75" thickTop="1" x14ac:dyDescent="0.25">
      <c r="A291" s="1546" t="s">
        <v>309</v>
      </c>
      <c r="B291" s="1547"/>
      <c r="C291" s="261">
        <f t="shared" si="371"/>
        <v>1998</v>
      </c>
      <c r="D291" s="262">
        <f t="shared" ref="D291:O291" si="394">SUM(D292,D293)-D300+D301</f>
        <v>0</v>
      </c>
      <c r="E291" s="263">
        <f t="shared" si="394"/>
        <v>0</v>
      </c>
      <c r="F291" s="264">
        <f t="shared" si="394"/>
        <v>0</v>
      </c>
      <c r="G291" s="262">
        <f t="shared" si="394"/>
        <v>-22</v>
      </c>
      <c r="H291" s="263">
        <f t="shared" si="394"/>
        <v>0</v>
      </c>
      <c r="I291" s="264">
        <f t="shared" si="394"/>
        <v>-22</v>
      </c>
      <c r="J291" s="262">
        <f t="shared" si="394"/>
        <v>2020</v>
      </c>
      <c r="K291" s="263">
        <f t="shared" si="394"/>
        <v>0</v>
      </c>
      <c r="L291" s="264">
        <f t="shared" si="394"/>
        <v>2020</v>
      </c>
      <c r="M291" s="262">
        <f t="shared" si="394"/>
        <v>0</v>
      </c>
      <c r="N291" s="263">
        <f t="shared" si="394"/>
        <v>0</v>
      </c>
      <c r="O291" s="264">
        <f t="shared" si="394"/>
        <v>0</v>
      </c>
      <c r="P291" s="265"/>
    </row>
    <row r="292" spans="1:16" s="28" customFormat="1" ht="12.75" thickBot="1" x14ac:dyDescent="0.3">
      <c r="A292" s="157" t="s">
        <v>310</v>
      </c>
      <c r="B292" s="157" t="s">
        <v>311</v>
      </c>
      <c r="C292" s="158">
        <f t="shared" si="371"/>
        <v>1998</v>
      </c>
      <c r="D292" s="159">
        <f t="shared" ref="D292:O292" si="395">D21-D286</f>
        <v>0</v>
      </c>
      <c r="E292" s="160">
        <f t="shared" si="395"/>
        <v>0</v>
      </c>
      <c r="F292" s="161">
        <f t="shared" si="395"/>
        <v>0</v>
      </c>
      <c r="G292" s="159">
        <f t="shared" si="395"/>
        <v>-22</v>
      </c>
      <c r="H292" s="160">
        <f t="shared" si="395"/>
        <v>0</v>
      </c>
      <c r="I292" s="161">
        <f t="shared" si="395"/>
        <v>-22</v>
      </c>
      <c r="J292" s="159">
        <f t="shared" si="395"/>
        <v>2020</v>
      </c>
      <c r="K292" s="160">
        <f t="shared" si="395"/>
        <v>0</v>
      </c>
      <c r="L292" s="161">
        <f t="shared" si="395"/>
        <v>2020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8BX38EelA24+Tu7M87Nr7IE2KnDpB5LUypzo8Nu/EZq25gJtCMXM7yI9U8yzyPazRKNgrd7vGUu7SZDr1Vk2Zw==" saltValue="1aIpb5CVwjy2gcJXTquMMA==" spinCount="100000" sheet="1" objects="1" scenarios="1" formatCells="0" formatColumns="0" formatRows="0" deleteColumns="0"/>
  <autoFilter ref="A18:P301">
    <filterColumn colId="2">
      <filters>
        <filter val="1 029"/>
        <filter val="1 281"/>
        <filter val="1 333"/>
        <filter val="1 355"/>
        <filter val="1 400"/>
        <filter val="1 440"/>
        <filter val="1 476"/>
        <filter val="1 780"/>
        <filter val="1 900"/>
        <filter val="1 924"/>
        <filter val="1 998"/>
        <filter val="-1 998"/>
        <filter val="10 245"/>
        <filter val="100"/>
        <filter val="112 042"/>
        <filter val="12 049"/>
        <filter val="143 174"/>
        <filter val="19 477"/>
        <filter val="2 020"/>
        <filter val="2 400"/>
        <filter val="2 698"/>
        <filter val="2 755"/>
        <filter val="2 774"/>
        <filter val="2 788"/>
        <filter val="2 794"/>
        <filter val="2 967"/>
        <filter val="2 998"/>
        <filter val="20 387"/>
        <filter val="204"/>
        <filter val="22"/>
        <filter val="24 744"/>
        <filter val="25 071"/>
        <filter val="261"/>
        <filter val="27 472"/>
        <filter val="3 066"/>
        <filter val="31 132"/>
        <filter val="333"/>
        <filter val="36 009"/>
        <filter val="4 172"/>
        <filter val="40"/>
        <filter val="411 660"/>
        <filter val="450 457"/>
        <filter val="460"/>
        <filter val="48 178"/>
        <filter val="5 220"/>
        <filter val="5 224"/>
        <filter val="5 486"/>
        <filter val="5 755"/>
        <filter val="500"/>
        <filter val="52"/>
        <filter val="593 631"/>
        <filter val="600"/>
        <filter val="68 660"/>
        <filter val="682 814"/>
        <filter val="689 763"/>
        <filter val="695 518"/>
        <filter val="695 540"/>
        <filter val="7 058"/>
        <filter val="797"/>
        <filter val="8 538"/>
        <filter val="85"/>
        <filter val="856"/>
        <filter val="9 180"/>
        <filter val="9 977"/>
        <filter val="96 13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74.pielikums Jūrmalas pilsētas domes
2019.gada 31.oktobra saistošajiem noteikumiem Nr.46
(protokols Nr.14, 28.punkts)
 </firstHeader>
    <firstFooter>&amp;L&amp;9&amp;D; &amp;T&amp;R&amp;9&amp;P (&amp;N)</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17" sqref="S1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1599</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1449</v>
      </c>
      <c r="D3" s="1517"/>
      <c r="E3" s="1517"/>
      <c r="F3" s="1517"/>
      <c r="G3" s="1517"/>
      <c r="H3" s="1517"/>
      <c r="I3" s="1517"/>
      <c r="J3" s="1517"/>
      <c r="K3" s="1517"/>
      <c r="L3" s="1517"/>
      <c r="M3" s="1517"/>
      <c r="N3" s="1517"/>
      <c r="O3" s="1517"/>
      <c r="P3" s="1518"/>
      <c r="Q3" s="277"/>
    </row>
    <row r="4" spans="1:17" ht="12.75" customHeight="1" x14ac:dyDescent="0.25">
      <c r="A4" s="5" t="s">
        <v>4</v>
      </c>
      <c r="B4" s="6"/>
      <c r="C4" s="1517" t="s">
        <v>1450</v>
      </c>
      <c r="D4" s="1517"/>
      <c r="E4" s="1517"/>
      <c r="F4" s="1517"/>
      <c r="G4" s="1517"/>
      <c r="H4" s="1517"/>
      <c r="I4" s="1517"/>
      <c r="J4" s="1517"/>
      <c r="K4" s="1517"/>
      <c r="L4" s="1517"/>
      <c r="M4" s="1517"/>
      <c r="N4" s="1517"/>
      <c r="O4" s="1517"/>
      <c r="P4" s="1518"/>
      <c r="Q4" s="277"/>
    </row>
    <row r="5" spans="1:17" ht="12.75" customHeight="1" x14ac:dyDescent="0.25">
      <c r="A5" s="7" t="s">
        <v>6</v>
      </c>
      <c r="B5" s="8"/>
      <c r="C5" s="1512" t="s">
        <v>1451</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1452</v>
      </c>
      <c r="D9" s="1512"/>
      <c r="E9" s="1512"/>
      <c r="F9" s="1512"/>
      <c r="G9" s="1512"/>
      <c r="H9" s="1512"/>
      <c r="I9" s="1512"/>
      <c r="J9" s="1512"/>
      <c r="K9" s="1512"/>
      <c r="L9" s="1512"/>
      <c r="M9" s="1512"/>
      <c r="N9" s="1512"/>
      <c r="O9" s="1512"/>
      <c r="P9" s="1513"/>
      <c r="Q9" s="277"/>
    </row>
    <row r="10" spans="1:17" ht="12.75" customHeight="1" x14ac:dyDescent="0.25">
      <c r="A10" s="7"/>
      <c r="B10" s="8" t="s">
        <v>15</v>
      </c>
      <c r="C10" s="1512" t="s">
        <v>1453</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1591</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t="s">
        <v>1592</v>
      </c>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680965</v>
      </c>
      <c r="D20" s="32">
        <f>SUM(D21,D24,D25,D41,D43)</f>
        <v>319598</v>
      </c>
      <c r="E20" s="33">
        <f t="shared" ref="E20:F20" si="1">SUM(E21,E24,E25,E41,E43)</f>
        <v>0</v>
      </c>
      <c r="F20" s="34">
        <f t="shared" si="1"/>
        <v>319598</v>
      </c>
      <c r="G20" s="32">
        <f>SUM(G21,G24,G43)</f>
        <v>343290</v>
      </c>
      <c r="H20" s="33">
        <f t="shared" ref="H20:I20" si="2">SUM(H21,H24,H43)</f>
        <v>14453</v>
      </c>
      <c r="I20" s="34">
        <f t="shared" si="2"/>
        <v>357743</v>
      </c>
      <c r="J20" s="32">
        <f>SUM(J21,J26,J43)</f>
        <v>3623</v>
      </c>
      <c r="K20" s="33">
        <f t="shared" ref="K20:L20" si="3">SUM(K21,K26,K43)</f>
        <v>0</v>
      </c>
      <c r="L20" s="34">
        <f t="shared" si="3"/>
        <v>3623</v>
      </c>
      <c r="M20" s="32">
        <f>SUM(M21,M45)</f>
        <v>1</v>
      </c>
      <c r="N20" s="33">
        <f t="shared" ref="N20:O20" si="4">SUM(N21,N45)</f>
        <v>0</v>
      </c>
      <c r="O20" s="34">
        <f t="shared" si="4"/>
        <v>1</v>
      </c>
      <c r="P20" s="35"/>
    </row>
    <row r="21" spans="1:16" ht="12.75" thickTop="1" x14ac:dyDescent="0.25">
      <c r="A21" s="36"/>
      <c r="B21" s="37" t="s">
        <v>39</v>
      </c>
      <c r="C21" s="38">
        <f t="shared" si="0"/>
        <v>101</v>
      </c>
      <c r="D21" s="39">
        <f>SUM(D22:D23)</f>
        <v>0</v>
      </c>
      <c r="E21" s="40">
        <f t="shared" ref="E21:F21" si="5">SUM(E22:E23)</f>
        <v>0</v>
      </c>
      <c r="F21" s="41">
        <f t="shared" si="5"/>
        <v>0</v>
      </c>
      <c r="G21" s="39">
        <f>SUM(G22:G23)</f>
        <v>0</v>
      </c>
      <c r="H21" s="40">
        <f t="shared" ref="H21:I21" si="6">SUM(H22:H23)</f>
        <v>0</v>
      </c>
      <c r="I21" s="41">
        <f t="shared" si="6"/>
        <v>0</v>
      </c>
      <c r="J21" s="39">
        <f>SUM(J22:J23)</f>
        <v>100</v>
      </c>
      <c r="K21" s="40">
        <f t="shared" ref="K21:L21" si="7">SUM(K22:K23)</f>
        <v>0</v>
      </c>
      <c r="L21" s="41">
        <f t="shared" si="7"/>
        <v>100</v>
      </c>
      <c r="M21" s="39">
        <f>SUM(M22:M23)</f>
        <v>1</v>
      </c>
      <c r="N21" s="40">
        <f t="shared" ref="N21:O21" si="8">SUM(N22:N23)</f>
        <v>0</v>
      </c>
      <c r="O21" s="41">
        <f t="shared" si="8"/>
        <v>1</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101</v>
      </c>
      <c r="D23" s="53"/>
      <c r="E23" s="54"/>
      <c r="F23" s="55">
        <f t="shared" ref="F23:F25" si="9">D23+E23</f>
        <v>0</v>
      </c>
      <c r="G23" s="53"/>
      <c r="H23" s="54"/>
      <c r="I23" s="55">
        <f t="shared" ref="I23:I24" si="10">G23+H23</f>
        <v>0</v>
      </c>
      <c r="J23" s="53">
        <v>100</v>
      </c>
      <c r="K23" s="307"/>
      <c r="L23" s="56">
        <f>K23+J23</f>
        <v>100</v>
      </c>
      <c r="M23" s="53">
        <v>1</v>
      </c>
      <c r="N23" s="363"/>
      <c r="O23" s="55">
        <f>N23+M23</f>
        <v>1</v>
      </c>
      <c r="P23" s="57"/>
    </row>
    <row r="24" spans="1:16" s="28" customFormat="1" ht="36.75" customHeight="1" thickBot="1" x14ac:dyDescent="0.3">
      <c r="A24" s="58">
        <v>19300</v>
      </c>
      <c r="B24" s="58" t="s">
        <v>42</v>
      </c>
      <c r="C24" s="59">
        <f>F24+I24</f>
        <v>677341</v>
      </c>
      <c r="D24" s="60">
        <v>319598</v>
      </c>
      <c r="E24" s="1383"/>
      <c r="F24" s="62">
        <f t="shared" si="9"/>
        <v>319598</v>
      </c>
      <c r="G24" s="60">
        <v>343290</v>
      </c>
      <c r="H24" s="63">
        <v>14453</v>
      </c>
      <c r="I24" s="62">
        <f t="shared" si="10"/>
        <v>357743</v>
      </c>
      <c r="J24" s="64" t="s">
        <v>43</v>
      </c>
      <c r="K24" s="65" t="s">
        <v>43</v>
      </c>
      <c r="L24" s="66" t="s">
        <v>43</v>
      </c>
      <c r="M24" s="64" t="s">
        <v>43</v>
      </c>
      <c r="N24" s="65" t="s">
        <v>43</v>
      </c>
      <c r="O24" s="66" t="s">
        <v>43</v>
      </c>
      <c r="P24" s="67" t="s">
        <v>1593</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3323</v>
      </c>
      <c r="D26" s="74" t="s">
        <v>43</v>
      </c>
      <c r="E26" s="75" t="s">
        <v>43</v>
      </c>
      <c r="F26" s="76" t="s">
        <v>43</v>
      </c>
      <c r="G26" s="74" t="s">
        <v>43</v>
      </c>
      <c r="H26" s="75" t="s">
        <v>43</v>
      </c>
      <c r="I26" s="76" t="s">
        <v>43</v>
      </c>
      <c r="J26" s="78">
        <f>SUM(J27,J31,J33,J36)</f>
        <v>3323</v>
      </c>
      <c r="K26" s="79">
        <f t="shared" ref="K26:L26" si="11">SUM(K27,K31,K33,K36)</f>
        <v>0</v>
      </c>
      <c r="L26" s="80">
        <f t="shared" si="11"/>
        <v>3323</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3323</v>
      </c>
      <c r="D36" s="74" t="s">
        <v>43</v>
      </c>
      <c r="E36" s="75" t="s">
        <v>43</v>
      </c>
      <c r="F36" s="76" t="s">
        <v>43</v>
      </c>
      <c r="G36" s="74" t="s">
        <v>43</v>
      </c>
      <c r="H36" s="75" t="s">
        <v>43</v>
      </c>
      <c r="I36" s="76" t="s">
        <v>43</v>
      </c>
      <c r="J36" s="78">
        <f>SUM(J37:J40)</f>
        <v>3323</v>
      </c>
      <c r="K36" s="79">
        <f t="shared" ref="K36:L36" si="19">SUM(K37:K40)</f>
        <v>0</v>
      </c>
      <c r="L36" s="80">
        <f t="shared" si="19"/>
        <v>3323</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3323</v>
      </c>
      <c r="D40" s="111" t="s">
        <v>43</v>
      </c>
      <c r="E40" s="112" t="s">
        <v>43</v>
      </c>
      <c r="F40" s="113" t="s">
        <v>43</v>
      </c>
      <c r="G40" s="111" t="s">
        <v>43</v>
      </c>
      <c r="H40" s="112" t="s">
        <v>43</v>
      </c>
      <c r="I40" s="113" t="s">
        <v>43</v>
      </c>
      <c r="J40" s="114">
        <v>3323</v>
      </c>
      <c r="K40" s="1384"/>
      <c r="L40" s="116">
        <f t="shared" si="20"/>
        <v>3323</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200</v>
      </c>
      <c r="D43" s="78">
        <f>D44</f>
        <v>0</v>
      </c>
      <c r="E43" s="79">
        <f t="shared" ref="E43:L43" si="22">E44</f>
        <v>0</v>
      </c>
      <c r="F43" s="80">
        <f t="shared" si="22"/>
        <v>0</v>
      </c>
      <c r="G43" s="78">
        <f t="shared" si="22"/>
        <v>0</v>
      </c>
      <c r="H43" s="79">
        <f t="shared" si="22"/>
        <v>0</v>
      </c>
      <c r="I43" s="80">
        <f t="shared" si="22"/>
        <v>0</v>
      </c>
      <c r="J43" s="78">
        <f t="shared" si="22"/>
        <v>200</v>
      </c>
      <c r="K43" s="79">
        <f t="shared" si="22"/>
        <v>0</v>
      </c>
      <c r="L43" s="80">
        <f t="shared" si="22"/>
        <v>200</v>
      </c>
      <c r="M43" s="78" t="s">
        <v>43</v>
      </c>
      <c r="N43" s="79" t="s">
        <v>43</v>
      </c>
      <c r="O43" s="80" t="s">
        <v>43</v>
      </c>
      <c r="P43" s="77"/>
    </row>
    <row r="44" spans="1:16" s="28" customFormat="1" ht="33.75" customHeight="1" x14ac:dyDescent="0.25">
      <c r="A44" s="51">
        <v>21499</v>
      </c>
      <c r="B44" s="89" t="s">
        <v>63</v>
      </c>
      <c r="C44" s="133">
        <f>F44+I44+L44</f>
        <v>200</v>
      </c>
      <c r="D44" s="46"/>
      <c r="E44" s="47"/>
      <c r="F44" s="134">
        <f>D44+E44</f>
        <v>0</v>
      </c>
      <c r="G44" s="46"/>
      <c r="H44" s="47"/>
      <c r="I44" s="134">
        <f>G44+H44</f>
        <v>0</v>
      </c>
      <c r="J44" s="46">
        <v>200</v>
      </c>
      <c r="K44" s="312"/>
      <c r="L44" s="48">
        <f>K44+J44</f>
        <v>200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680965</v>
      </c>
      <c r="D50" s="159">
        <f>SUM(D51,D286)</f>
        <v>319598</v>
      </c>
      <c r="E50" s="160">
        <f t="shared" ref="E50:F50" si="26">SUM(E51,E286)</f>
        <v>0</v>
      </c>
      <c r="F50" s="161">
        <f t="shared" si="26"/>
        <v>319598</v>
      </c>
      <c r="G50" s="159">
        <f>SUM(G51,G286)</f>
        <v>343290</v>
      </c>
      <c r="H50" s="160">
        <f>SUM(H51,H286)</f>
        <v>14453</v>
      </c>
      <c r="I50" s="161">
        <f t="shared" ref="I50" si="27">SUM(I51,I286)</f>
        <v>357743</v>
      </c>
      <c r="J50" s="32">
        <f>SUM(J51,J286)</f>
        <v>3623</v>
      </c>
      <c r="K50" s="33">
        <f t="shared" ref="K50:L50" si="28">SUM(K51,K286)</f>
        <v>0</v>
      </c>
      <c r="L50" s="34">
        <f t="shared" si="28"/>
        <v>3623</v>
      </c>
      <c r="M50" s="32">
        <f>SUM(M51,M286)</f>
        <v>1</v>
      </c>
      <c r="N50" s="33">
        <f t="shared" ref="N50:O50" si="29">SUM(N51,N286)</f>
        <v>0</v>
      </c>
      <c r="O50" s="34">
        <f t="shared" si="29"/>
        <v>1</v>
      </c>
      <c r="P50" s="35"/>
    </row>
    <row r="51" spans="1:16" s="28" customFormat="1" ht="36.75" thickTop="1" x14ac:dyDescent="0.25">
      <c r="A51" s="162"/>
      <c r="B51" s="163" t="s">
        <v>69</v>
      </c>
      <c r="C51" s="164">
        <f t="shared" si="0"/>
        <v>680965</v>
      </c>
      <c r="D51" s="165">
        <f>SUM(D52,D194)</f>
        <v>319598</v>
      </c>
      <c r="E51" s="166">
        <f t="shared" ref="E51:F51" si="30">SUM(E52,E194)</f>
        <v>0</v>
      </c>
      <c r="F51" s="167">
        <f t="shared" si="30"/>
        <v>319598</v>
      </c>
      <c r="G51" s="165">
        <f>SUM(G52,G194)</f>
        <v>343290</v>
      </c>
      <c r="H51" s="166">
        <f t="shared" ref="H51:I51" si="31">SUM(H52,H194)</f>
        <v>14453</v>
      </c>
      <c r="I51" s="167">
        <f t="shared" si="31"/>
        <v>357743</v>
      </c>
      <c r="J51" s="168">
        <f>SUM(J52,J194)</f>
        <v>3623</v>
      </c>
      <c r="K51" s="169">
        <f t="shared" ref="K51:L51" si="32">SUM(K52,K194)</f>
        <v>0</v>
      </c>
      <c r="L51" s="170">
        <f t="shared" si="32"/>
        <v>3623</v>
      </c>
      <c r="M51" s="168">
        <f>SUM(M52,M194)</f>
        <v>1</v>
      </c>
      <c r="N51" s="169">
        <f t="shared" ref="N51:O51" si="33">SUM(N52,N194)</f>
        <v>0</v>
      </c>
      <c r="O51" s="170">
        <f t="shared" si="33"/>
        <v>1</v>
      </c>
      <c r="P51" s="171"/>
    </row>
    <row r="52" spans="1:16" s="28" customFormat="1" ht="24" x14ac:dyDescent="0.25">
      <c r="A52" s="24"/>
      <c r="B52" s="22" t="s">
        <v>70</v>
      </c>
      <c r="C52" s="172">
        <f t="shared" si="0"/>
        <v>673481</v>
      </c>
      <c r="D52" s="173">
        <f>SUM(D53,D75,D173,D187)</f>
        <v>314017</v>
      </c>
      <c r="E52" s="174">
        <f t="shared" ref="E52:F52" si="34">SUM(E53,E75,E173,E187)</f>
        <v>0</v>
      </c>
      <c r="F52" s="175">
        <f t="shared" si="34"/>
        <v>314017</v>
      </c>
      <c r="G52" s="173">
        <f>SUM(G53,G75,G173,G187)</f>
        <v>341387</v>
      </c>
      <c r="H52" s="174">
        <f t="shared" ref="H52:I52" si="35">SUM(H53,H75,H173,H187)</f>
        <v>14453</v>
      </c>
      <c r="I52" s="175">
        <f t="shared" si="35"/>
        <v>355840</v>
      </c>
      <c r="J52" s="173">
        <f>SUM(J53,J75,J173,J187)</f>
        <v>3623</v>
      </c>
      <c r="K52" s="174">
        <f t="shared" ref="K52:L52" si="36">SUM(K53,K75,K173,K187)</f>
        <v>0</v>
      </c>
      <c r="L52" s="175">
        <f t="shared" si="36"/>
        <v>3623</v>
      </c>
      <c r="M52" s="173">
        <f>SUM(M53,M75,M173,M187)</f>
        <v>1</v>
      </c>
      <c r="N52" s="174">
        <f t="shared" ref="N52:O52" si="37">SUM(N53,N75,N173,N187)</f>
        <v>0</v>
      </c>
      <c r="O52" s="175">
        <f t="shared" si="37"/>
        <v>1</v>
      </c>
      <c r="P52" s="176"/>
    </row>
    <row r="53" spans="1:16" s="28" customFormat="1" x14ac:dyDescent="0.25">
      <c r="A53" s="177">
        <v>1000</v>
      </c>
      <c r="B53" s="177" t="s">
        <v>71</v>
      </c>
      <c r="C53" s="178">
        <f t="shared" si="0"/>
        <v>610883</v>
      </c>
      <c r="D53" s="179">
        <f>SUM(D54,D67)</f>
        <v>258206</v>
      </c>
      <c r="E53" s="180">
        <f t="shared" ref="E53:F53" si="38">SUM(E54,E67)</f>
        <v>0</v>
      </c>
      <c r="F53" s="181">
        <f t="shared" si="38"/>
        <v>258206</v>
      </c>
      <c r="G53" s="179">
        <f>SUM(G54,G67)</f>
        <v>339225</v>
      </c>
      <c r="H53" s="180">
        <f t="shared" ref="H53:I53" si="39">SUM(H54,H67)</f>
        <v>13452</v>
      </c>
      <c r="I53" s="181">
        <f t="shared" si="39"/>
        <v>352677</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466897</v>
      </c>
      <c r="D54" s="184">
        <f>SUM(D55,D58,D66)</f>
        <v>184968</v>
      </c>
      <c r="E54" s="185">
        <f t="shared" ref="E54:F54" si="42">SUM(E55,E58,E66)</f>
        <v>0</v>
      </c>
      <c r="F54" s="73">
        <f t="shared" si="42"/>
        <v>184968</v>
      </c>
      <c r="G54" s="184">
        <f>SUM(G55,G58,G66)</f>
        <v>271089</v>
      </c>
      <c r="H54" s="185">
        <f t="shared" ref="H54:I54" si="43">SUM(H55,H58,H66)</f>
        <v>10840</v>
      </c>
      <c r="I54" s="73">
        <f t="shared" si="43"/>
        <v>281929</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427340</v>
      </c>
      <c r="D55" s="187">
        <f>SUM(D56:D57)</f>
        <v>157347</v>
      </c>
      <c r="E55" s="188">
        <f t="shared" ref="E55:F55" si="46">SUM(E56:E57)</f>
        <v>0</v>
      </c>
      <c r="F55" s="141">
        <f t="shared" si="46"/>
        <v>157347</v>
      </c>
      <c r="G55" s="187">
        <f>SUM(G56:G57)</f>
        <v>264869</v>
      </c>
      <c r="H55" s="188">
        <f t="shared" ref="H55:I55" si="47">SUM(H56:H57)</f>
        <v>5124</v>
      </c>
      <c r="I55" s="141">
        <f t="shared" si="47"/>
        <v>269993</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5.25" customHeight="1" x14ac:dyDescent="0.25">
      <c r="A57" s="51">
        <v>1119</v>
      </c>
      <c r="B57" s="89" t="s">
        <v>75</v>
      </c>
      <c r="C57" s="90">
        <f t="shared" si="0"/>
        <v>427340</v>
      </c>
      <c r="D57" s="53">
        <v>157347</v>
      </c>
      <c r="E57" s="54"/>
      <c r="F57" s="55">
        <f t="shared" si="50"/>
        <v>157347</v>
      </c>
      <c r="G57" s="53">
        <v>264869</v>
      </c>
      <c r="H57" s="54">
        <v>5124</v>
      </c>
      <c r="I57" s="55">
        <f t="shared" si="51"/>
        <v>269993</v>
      </c>
      <c r="J57" s="53"/>
      <c r="K57" s="54"/>
      <c r="L57" s="55">
        <f t="shared" si="52"/>
        <v>0</v>
      </c>
      <c r="M57" s="53"/>
      <c r="N57" s="54"/>
      <c r="O57" s="55">
        <f t="shared" si="53"/>
        <v>0</v>
      </c>
      <c r="P57" s="57" t="s">
        <v>1594</v>
      </c>
    </row>
    <row r="58" spans="1:16" x14ac:dyDescent="0.25">
      <c r="A58" s="189">
        <v>1140</v>
      </c>
      <c r="B58" s="89" t="s">
        <v>76</v>
      </c>
      <c r="C58" s="90">
        <f t="shared" si="0"/>
        <v>36769</v>
      </c>
      <c r="D58" s="190">
        <f>SUM(D59:D65)</f>
        <v>24833</v>
      </c>
      <c r="E58" s="191">
        <f>SUM(E59:E65)</f>
        <v>0</v>
      </c>
      <c r="F58" s="55">
        <f t="shared" ref="F58" si="54">SUM(F59:F65)</f>
        <v>24833</v>
      </c>
      <c r="G58" s="190">
        <f>SUM(G59:G65)</f>
        <v>6220</v>
      </c>
      <c r="H58" s="191">
        <f t="shared" ref="H58:I58" si="55">SUM(H59:H65)</f>
        <v>5716</v>
      </c>
      <c r="I58" s="55">
        <f t="shared" si="55"/>
        <v>11936</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32.25" customHeight="1" x14ac:dyDescent="0.25">
      <c r="A61" s="51">
        <v>1145</v>
      </c>
      <c r="B61" s="89" t="s">
        <v>79</v>
      </c>
      <c r="C61" s="90">
        <f t="shared" si="0"/>
        <v>2265</v>
      </c>
      <c r="D61" s="53"/>
      <c r="E61" s="54"/>
      <c r="F61" s="55">
        <f t="shared" si="58"/>
        <v>0</v>
      </c>
      <c r="G61" s="53">
        <v>2080</v>
      </c>
      <c r="H61" s="54">
        <v>185</v>
      </c>
      <c r="I61" s="55">
        <f t="shared" si="59"/>
        <v>2265</v>
      </c>
      <c r="J61" s="53"/>
      <c r="K61" s="54"/>
      <c r="L61" s="55">
        <f t="shared" si="60"/>
        <v>0</v>
      </c>
      <c r="M61" s="53"/>
      <c r="N61" s="54"/>
      <c r="O61" s="55">
        <f t="shared" si="61"/>
        <v>0</v>
      </c>
      <c r="P61" s="57" t="s">
        <v>1595</v>
      </c>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2317</v>
      </c>
      <c r="D63" s="53">
        <v>2317</v>
      </c>
      <c r="E63" s="54"/>
      <c r="F63" s="55">
        <f t="shared" si="58"/>
        <v>2317</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17315</v>
      </c>
      <c r="D64" s="53">
        <v>17315</v>
      </c>
      <c r="E64" s="54"/>
      <c r="F64" s="55">
        <f t="shared" si="58"/>
        <v>17315</v>
      </c>
      <c r="G64" s="53"/>
      <c r="H64" s="54"/>
      <c r="I64" s="55">
        <f t="shared" si="59"/>
        <v>0</v>
      </c>
      <c r="J64" s="53"/>
      <c r="K64" s="54"/>
      <c r="L64" s="55">
        <f t="shared" si="60"/>
        <v>0</v>
      </c>
      <c r="M64" s="53"/>
      <c r="N64" s="54"/>
      <c r="O64" s="55">
        <f t="shared" si="61"/>
        <v>0</v>
      </c>
      <c r="P64" s="57"/>
    </row>
    <row r="65" spans="1:16" ht="38.25" customHeight="1" x14ac:dyDescent="0.25">
      <c r="A65" s="51">
        <v>1149</v>
      </c>
      <c r="B65" s="89" t="s">
        <v>83</v>
      </c>
      <c r="C65" s="90">
        <f t="shared" si="0"/>
        <v>9671</v>
      </c>
      <c r="D65" s="53"/>
      <c r="E65" s="54"/>
      <c r="F65" s="55">
        <f t="shared" si="58"/>
        <v>0</v>
      </c>
      <c r="G65" s="53">
        <v>4140</v>
      </c>
      <c r="H65" s="54">
        <v>5531</v>
      </c>
      <c r="I65" s="55">
        <f t="shared" si="59"/>
        <v>9671</v>
      </c>
      <c r="J65" s="53"/>
      <c r="K65" s="54"/>
      <c r="L65" s="55">
        <f t="shared" si="60"/>
        <v>0</v>
      </c>
      <c r="M65" s="53"/>
      <c r="N65" s="54"/>
      <c r="O65" s="55">
        <f t="shared" si="61"/>
        <v>0</v>
      </c>
      <c r="P65" s="57" t="s">
        <v>1596</v>
      </c>
    </row>
    <row r="66" spans="1:16" ht="36" customHeight="1" x14ac:dyDescent="0.25">
      <c r="A66" s="186">
        <v>1150</v>
      </c>
      <c r="B66" s="138" t="s">
        <v>84</v>
      </c>
      <c r="C66" s="143">
        <f t="shared" si="0"/>
        <v>2788</v>
      </c>
      <c r="D66" s="144">
        <v>2788</v>
      </c>
      <c r="E66" s="145"/>
      <c r="F66" s="141">
        <f t="shared" si="58"/>
        <v>2788</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143986</v>
      </c>
      <c r="D67" s="184">
        <f>SUM(D68:D69)</f>
        <v>73238</v>
      </c>
      <c r="E67" s="185">
        <f t="shared" ref="E67:F67" si="62">SUM(E68:E69)</f>
        <v>0</v>
      </c>
      <c r="F67" s="73">
        <f t="shared" si="62"/>
        <v>73238</v>
      </c>
      <c r="G67" s="184">
        <f>SUM(G68:G69)</f>
        <v>68136</v>
      </c>
      <c r="H67" s="185">
        <f t="shared" ref="H67:I67" si="63">SUM(H68:H69)</f>
        <v>2612</v>
      </c>
      <c r="I67" s="73">
        <f t="shared" si="63"/>
        <v>70748</v>
      </c>
      <c r="J67" s="184">
        <f>SUM(J68:J69)</f>
        <v>0</v>
      </c>
      <c r="K67" s="185">
        <f t="shared" ref="K67:L67" si="64">SUM(K68:K69)</f>
        <v>0</v>
      </c>
      <c r="L67" s="73">
        <f t="shared" si="64"/>
        <v>0</v>
      </c>
      <c r="M67" s="184">
        <f>SUM(M68:M69)</f>
        <v>0</v>
      </c>
      <c r="N67" s="185">
        <f t="shared" ref="N67:O67" si="65">SUM(N68:N69)</f>
        <v>0</v>
      </c>
      <c r="O67" s="73">
        <f t="shared" si="65"/>
        <v>0</v>
      </c>
      <c r="P67" s="77"/>
    </row>
    <row r="68" spans="1:16" ht="34.5" customHeight="1" x14ac:dyDescent="0.25">
      <c r="A68" s="1372">
        <v>1210</v>
      </c>
      <c r="B68" s="82" t="s">
        <v>86</v>
      </c>
      <c r="C68" s="83">
        <f t="shared" si="0"/>
        <v>117492</v>
      </c>
      <c r="D68" s="46">
        <v>49024</v>
      </c>
      <c r="E68" s="47"/>
      <c r="F68" s="134">
        <f>D68+E68</f>
        <v>49024</v>
      </c>
      <c r="G68" s="46">
        <v>65856</v>
      </c>
      <c r="H68" s="47">
        <v>2612</v>
      </c>
      <c r="I68" s="134">
        <f>G68+H68</f>
        <v>68468</v>
      </c>
      <c r="J68" s="46"/>
      <c r="K68" s="47"/>
      <c r="L68" s="134">
        <f>K68+J68</f>
        <v>0</v>
      </c>
      <c r="M68" s="46"/>
      <c r="N68" s="47"/>
      <c r="O68" s="134">
        <f>N68+M68</f>
        <v>0</v>
      </c>
      <c r="P68" s="57" t="s">
        <v>1597</v>
      </c>
    </row>
    <row r="69" spans="1:16" ht="24" x14ac:dyDescent="0.25">
      <c r="A69" s="189">
        <v>1220</v>
      </c>
      <c r="B69" s="89" t="s">
        <v>87</v>
      </c>
      <c r="C69" s="90">
        <f t="shared" si="0"/>
        <v>26494</v>
      </c>
      <c r="D69" s="190">
        <f>SUM(D70:D74)</f>
        <v>24214</v>
      </c>
      <c r="E69" s="191">
        <f t="shared" ref="E69:F69" si="66">SUM(E70:E74)</f>
        <v>0</v>
      </c>
      <c r="F69" s="55">
        <f t="shared" si="66"/>
        <v>24214</v>
      </c>
      <c r="G69" s="190">
        <f>SUM(G70:G74)</f>
        <v>2280</v>
      </c>
      <c r="H69" s="191">
        <f t="shared" ref="H69:I69" si="67">SUM(H70:H74)</f>
        <v>0</v>
      </c>
      <c r="I69" s="55">
        <f t="shared" si="67"/>
        <v>2280</v>
      </c>
      <c r="J69" s="190">
        <f>SUM(J70:J74)</f>
        <v>0</v>
      </c>
      <c r="K69" s="191">
        <f t="shared" ref="K69:L69" si="68">SUM(K70:K74)</f>
        <v>0</v>
      </c>
      <c r="L69" s="55">
        <f t="shared" si="68"/>
        <v>0</v>
      </c>
      <c r="M69" s="190">
        <f>SUM(M70:M74)</f>
        <v>0</v>
      </c>
      <c r="N69" s="191">
        <f t="shared" ref="N69:O69" si="69">SUM(N70:N74)</f>
        <v>0</v>
      </c>
      <c r="O69" s="55">
        <f t="shared" si="69"/>
        <v>0</v>
      </c>
      <c r="P69" s="57"/>
    </row>
    <row r="70" spans="1:16" ht="58.5" customHeight="1" x14ac:dyDescent="0.25">
      <c r="A70" s="51">
        <v>1221</v>
      </c>
      <c r="B70" s="89" t="s">
        <v>88</v>
      </c>
      <c r="C70" s="90">
        <f t="shared" si="0"/>
        <v>17456</v>
      </c>
      <c r="D70" s="53">
        <v>15176</v>
      </c>
      <c r="E70" s="54"/>
      <c r="F70" s="55">
        <f t="shared" ref="F70:F74" si="70">D70+E70</f>
        <v>15176</v>
      </c>
      <c r="G70" s="53">
        <v>2280</v>
      </c>
      <c r="H70" s="54"/>
      <c r="I70" s="55">
        <f t="shared" ref="I70:I74" si="71">G70+H70</f>
        <v>2280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8538</v>
      </c>
      <c r="D73" s="53">
        <v>8538</v>
      </c>
      <c r="E73" s="54"/>
      <c r="F73" s="55">
        <f t="shared" si="70"/>
        <v>8538</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62598</v>
      </c>
      <c r="D75" s="179">
        <f>SUM(D76,D83,D130,D164,D165,D172)</f>
        <v>55811</v>
      </c>
      <c r="E75" s="180">
        <f t="shared" ref="E75:F75" si="74">SUM(E76,E83,E130,E164,E165,E172)</f>
        <v>0</v>
      </c>
      <c r="F75" s="181">
        <f t="shared" si="74"/>
        <v>55811</v>
      </c>
      <c r="G75" s="179">
        <f>SUM(G76,G83,G130,G164,G165,G172)</f>
        <v>2162</v>
      </c>
      <c r="H75" s="180">
        <f t="shared" ref="H75:I75" si="75">SUM(H76,H83,H130,H164,H165,H172)</f>
        <v>1001</v>
      </c>
      <c r="I75" s="181">
        <f t="shared" si="75"/>
        <v>3163</v>
      </c>
      <c r="J75" s="179">
        <f>SUM(J76,J83,J130,J164,J165,J172)</f>
        <v>3623</v>
      </c>
      <c r="K75" s="180">
        <f t="shared" ref="K75:L75" si="76">SUM(K76,K83,K130,K164,K165,K172)</f>
        <v>0</v>
      </c>
      <c r="L75" s="181">
        <f t="shared" si="76"/>
        <v>3623</v>
      </c>
      <c r="M75" s="179">
        <f>SUM(M76,M83,M130,M164,M165,M172)</f>
        <v>1</v>
      </c>
      <c r="N75" s="180">
        <f t="shared" ref="N75:O75" si="77">SUM(N76,N83,N130,N164,N165,N172)</f>
        <v>0</v>
      </c>
      <c r="O75" s="181">
        <f t="shared" si="77"/>
        <v>1</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7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56.25" hidden="1" customHeight="1" x14ac:dyDescent="0.25">
      <c r="A78" s="51">
        <v>2111</v>
      </c>
      <c r="B78" s="89" t="s">
        <v>96</v>
      </c>
      <c r="C78" s="90">
        <f t="shared" si="0"/>
        <v>0</v>
      </c>
      <c r="D78" s="196"/>
      <c r="E78" s="31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47074</v>
      </c>
      <c r="D83" s="184">
        <f>SUM(D84,D89,D95,D103,D112,D116,D122,D128)</f>
        <v>41513</v>
      </c>
      <c r="E83" s="185">
        <f t="shared" ref="E83:F83" si="98">SUM(E84,E89,E95,E103,E112,E116,E122,E128)</f>
        <v>0</v>
      </c>
      <c r="F83" s="73">
        <f t="shared" si="98"/>
        <v>41513</v>
      </c>
      <c r="G83" s="184">
        <f>SUM(G84,G89,G95,G103,G112,G116,G122,G128)</f>
        <v>1001</v>
      </c>
      <c r="H83" s="185">
        <f t="shared" ref="H83:I83" si="99">SUM(H84,H89,H95,H103,H112,H116,H122,H128)</f>
        <v>1001</v>
      </c>
      <c r="I83" s="73">
        <f t="shared" si="99"/>
        <v>2002</v>
      </c>
      <c r="J83" s="184">
        <f>SUM(J84,J89,J95,J103,J112,J116,J122,J128)</f>
        <v>3558</v>
      </c>
      <c r="K83" s="185">
        <f t="shared" ref="K83:L83" si="100">SUM(K84,K89,K95,K103,K112,K116,K122,K128)</f>
        <v>0</v>
      </c>
      <c r="L83" s="73">
        <f t="shared" si="100"/>
        <v>3558</v>
      </c>
      <c r="M83" s="184">
        <f>SUM(M84,M89,M95,M103,M112,M116,M122,M128)</f>
        <v>1</v>
      </c>
      <c r="N83" s="185">
        <f t="shared" ref="N83:O83" si="101">SUM(N84,N89,N95,N103,N112,N116,N122,N128)</f>
        <v>0</v>
      </c>
      <c r="O83" s="73">
        <f t="shared" si="101"/>
        <v>1</v>
      </c>
      <c r="P83" s="77"/>
    </row>
    <row r="84" spans="1:16" x14ac:dyDescent="0.25">
      <c r="A84" s="186">
        <v>2210</v>
      </c>
      <c r="B84" s="138" t="s">
        <v>100</v>
      </c>
      <c r="C84" s="143">
        <f t="shared" ref="C84:C147" si="102">F84+I84+L84+O84</f>
        <v>1133</v>
      </c>
      <c r="D84" s="187">
        <f>SUM(D85:D88)</f>
        <v>933</v>
      </c>
      <c r="E84" s="188">
        <f t="shared" ref="E84:F84" si="103">SUM(E85:E88)</f>
        <v>0</v>
      </c>
      <c r="F84" s="141">
        <f t="shared" si="103"/>
        <v>933</v>
      </c>
      <c r="G84" s="187">
        <f>SUM(G85:G88)</f>
        <v>0</v>
      </c>
      <c r="H84" s="188">
        <f t="shared" ref="H84:I84" si="104">SUM(H85:H88)</f>
        <v>0</v>
      </c>
      <c r="I84" s="141">
        <f t="shared" si="104"/>
        <v>0</v>
      </c>
      <c r="J84" s="187">
        <f>SUM(J85:J88)</f>
        <v>200</v>
      </c>
      <c r="K84" s="188">
        <f t="shared" ref="K84:L84" si="105">SUM(K85:K88)</f>
        <v>0</v>
      </c>
      <c r="L84" s="141">
        <f t="shared" si="105"/>
        <v>200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50.25" customHeight="1" x14ac:dyDescent="0.25">
      <c r="A86" s="51">
        <v>2212</v>
      </c>
      <c r="B86" s="89" t="s">
        <v>102</v>
      </c>
      <c r="C86" s="90">
        <f t="shared" si="102"/>
        <v>730</v>
      </c>
      <c r="D86" s="196">
        <v>730</v>
      </c>
      <c r="E86" s="314"/>
      <c r="F86" s="55">
        <f t="shared" si="107"/>
        <v>730</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353</v>
      </c>
      <c r="D87" s="196">
        <v>153</v>
      </c>
      <c r="E87" s="197"/>
      <c r="F87" s="55">
        <f t="shared" si="107"/>
        <v>153</v>
      </c>
      <c r="G87" s="53"/>
      <c r="H87" s="54"/>
      <c r="I87" s="55">
        <f t="shared" si="108"/>
        <v>0</v>
      </c>
      <c r="J87" s="53">
        <v>200</v>
      </c>
      <c r="K87" s="307"/>
      <c r="L87" s="55">
        <f t="shared" si="109"/>
        <v>200</v>
      </c>
      <c r="M87" s="53"/>
      <c r="N87" s="54"/>
      <c r="O87" s="55">
        <f t="shared" si="110"/>
        <v>0</v>
      </c>
      <c r="P87" s="57"/>
    </row>
    <row r="88" spans="1:16" ht="12" customHeight="1" x14ac:dyDescent="0.25">
      <c r="A88" s="51">
        <v>2219</v>
      </c>
      <c r="B88" s="89" t="s">
        <v>104</v>
      </c>
      <c r="C88" s="90">
        <f t="shared" si="102"/>
        <v>50</v>
      </c>
      <c r="D88" s="196">
        <v>50</v>
      </c>
      <c r="E88" s="197"/>
      <c r="F88" s="55">
        <f t="shared" si="107"/>
        <v>50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27721</v>
      </c>
      <c r="D89" s="190">
        <f>SUM(D90:D94)</f>
        <v>24583</v>
      </c>
      <c r="E89" s="191">
        <f t="shared" ref="E89:F89" si="111">SUM(E90:E94)</f>
        <v>0</v>
      </c>
      <c r="F89" s="55">
        <f t="shared" si="111"/>
        <v>24583</v>
      </c>
      <c r="G89" s="190">
        <f>SUM(G90:G94)</f>
        <v>0</v>
      </c>
      <c r="H89" s="191">
        <f t="shared" ref="H89:I89" si="112">SUM(H90:H94)</f>
        <v>0</v>
      </c>
      <c r="I89" s="55">
        <f t="shared" si="112"/>
        <v>0</v>
      </c>
      <c r="J89" s="190">
        <f>SUM(J90:J94)</f>
        <v>3138</v>
      </c>
      <c r="K89" s="191">
        <f t="shared" ref="K89:L89" si="113">SUM(K90:K94)</f>
        <v>0</v>
      </c>
      <c r="L89" s="55">
        <f t="shared" si="113"/>
        <v>3138</v>
      </c>
      <c r="M89" s="190">
        <f>SUM(M90:M94)</f>
        <v>0</v>
      </c>
      <c r="N89" s="191">
        <f t="shared" ref="N89:O89" si="114">SUM(N90:N94)</f>
        <v>0</v>
      </c>
      <c r="O89" s="55">
        <f t="shared" si="114"/>
        <v>0</v>
      </c>
      <c r="P89" s="57"/>
    </row>
    <row r="90" spans="1:16" ht="24" customHeight="1" x14ac:dyDescent="0.25">
      <c r="A90" s="51">
        <v>2221</v>
      </c>
      <c r="B90" s="89" t="s">
        <v>106</v>
      </c>
      <c r="C90" s="90">
        <f t="shared" si="102"/>
        <v>16236</v>
      </c>
      <c r="D90" s="196">
        <v>16236</v>
      </c>
      <c r="E90" s="197"/>
      <c r="F90" s="55">
        <f t="shared" ref="F90:F94" si="115">D90+E90</f>
        <v>16236</v>
      </c>
      <c r="G90" s="53"/>
      <c r="H90" s="54"/>
      <c r="I90" s="55">
        <f t="shared" ref="I90:I94" si="116">G90+H90</f>
        <v>0</v>
      </c>
      <c r="J90" s="53"/>
      <c r="K90" s="54"/>
      <c r="L90" s="55">
        <f t="shared" ref="L90:L94" si="117">K90+J90</f>
        <v>0</v>
      </c>
      <c r="M90" s="53"/>
      <c r="N90" s="54"/>
      <c r="O90" s="55">
        <f t="shared" ref="O90:O94" si="118">N90+M90</f>
        <v>0</v>
      </c>
      <c r="P90" s="57"/>
    </row>
    <row r="91" spans="1:16" ht="24" customHeight="1" x14ac:dyDescent="0.25">
      <c r="A91" s="51">
        <v>2222</v>
      </c>
      <c r="B91" s="89" t="s">
        <v>107</v>
      </c>
      <c r="C91" s="90">
        <f t="shared" si="102"/>
        <v>5272</v>
      </c>
      <c r="D91" s="196">
        <v>3987</v>
      </c>
      <c r="E91" s="314"/>
      <c r="F91" s="55">
        <f t="shared" si="115"/>
        <v>3987</v>
      </c>
      <c r="G91" s="53"/>
      <c r="H91" s="54"/>
      <c r="I91" s="55">
        <f t="shared" si="116"/>
        <v>0</v>
      </c>
      <c r="J91" s="53">
        <v>1285</v>
      </c>
      <c r="K91" s="307"/>
      <c r="L91" s="55">
        <f t="shared" si="117"/>
        <v>1285</v>
      </c>
      <c r="M91" s="53"/>
      <c r="N91" s="54"/>
      <c r="O91" s="55">
        <f t="shared" si="118"/>
        <v>0</v>
      </c>
      <c r="P91" s="57"/>
    </row>
    <row r="92" spans="1:16" ht="12" customHeight="1" x14ac:dyDescent="0.25">
      <c r="A92" s="51">
        <v>2223</v>
      </c>
      <c r="B92" s="89" t="s">
        <v>108</v>
      </c>
      <c r="C92" s="90">
        <f t="shared" si="102"/>
        <v>5732</v>
      </c>
      <c r="D92" s="196">
        <v>3969</v>
      </c>
      <c r="E92" s="197"/>
      <c r="F92" s="55">
        <f t="shared" si="115"/>
        <v>3969</v>
      </c>
      <c r="G92" s="53"/>
      <c r="H92" s="54"/>
      <c r="I92" s="55">
        <f t="shared" si="116"/>
        <v>0</v>
      </c>
      <c r="J92" s="53">
        <v>1763</v>
      </c>
      <c r="K92" s="54"/>
      <c r="L92" s="55">
        <f t="shared" si="117"/>
        <v>1763</v>
      </c>
      <c r="M92" s="53"/>
      <c r="N92" s="54"/>
      <c r="O92" s="55">
        <f t="shared" si="118"/>
        <v>0</v>
      </c>
      <c r="P92" s="57"/>
    </row>
    <row r="93" spans="1:16" ht="48" customHeight="1" x14ac:dyDescent="0.25">
      <c r="A93" s="51">
        <v>2224</v>
      </c>
      <c r="B93" s="89" t="s">
        <v>109</v>
      </c>
      <c r="C93" s="90">
        <f t="shared" si="102"/>
        <v>481</v>
      </c>
      <c r="D93" s="196">
        <v>391</v>
      </c>
      <c r="E93" s="197"/>
      <c r="F93" s="55">
        <f t="shared" si="115"/>
        <v>391</v>
      </c>
      <c r="G93" s="53"/>
      <c r="H93" s="54"/>
      <c r="I93" s="55">
        <f t="shared" si="116"/>
        <v>0</v>
      </c>
      <c r="J93" s="53">
        <v>90</v>
      </c>
      <c r="K93" s="54"/>
      <c r="L93" s="55">
        <f t="shared" si="117"/>
        <v>90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819</v>
      </c>
      <c r="D95" s="190">
        <f>SUM(D96:D102)</f>
        <v>819</v>
      </c>
      <c r="E95" s="191">
        <f t="shared" ref="E95:F95" si="119">SUM(E96:E102)</f>
        <v>0</v>
      </c>
      <c r="F95" s="55">
        <f t="shared" si="119"/>
        <v>819</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customHeight="1" x14ac:dyDescent="0.25">
      <c r="A99" s="51">
        <v>2234</v>
      </c>
      <c r="B99" s="89" t="s">
        <v>115</v>
      </c>
      <c r="C99" s="90">
        <f t="shared" si="102"/>
        <v>140</v>
      </c>
      <c r="D99" s="196">
        <v>140</v>
      </c>
      <c r="E99" s="314"/>
      <c r="F99" s="55">
        <f t="shared" si="123"/>
        <v>140</v>
      </c>
      <c r="G99" s="53"/>
      <c r="H99" s="54"/>
      <c r="I99" s="55">
        <f t="shared" si="124"/>
        <v>0</v>
      </c>
      <c r="J99" s="53"/>
      <c r="K99" s="54"/>
      <c r="L99" s="55">
        <f t="shared" si="125"/>
        <v>0</v>
      </c>
      <c r="M99" s="53"/>
      <c r="N99" s="54"/>
      <c r="O99" s="55">
        <f t="shared" si="126"/>
        <v>0</v>
      </c>
      <c r="P99" s="57"/>
    </row>
    <row r="100" spans="1:16" ht="31.5" customHeight="1" x14ac:dyDescent="0.25">
      <c r="A100" s="51">
        <v>2235</v>
      </c>
      <c r="B100" s="89" t="s">
        <v>116</v>
      </c>
      <c r="C100" s="90">
        <f t="shared" si="102"/>
        <v>20</v>
      </c>
      <c r="D100" s="196">
        <v>20</v>
      </c>
      <c r="E100" s="314"/>
      <c r="F100" s="55">
        <f t="shared" si="123"/>
        <v>20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659</v>
      </c>
      <c r="D102" s="196">
        <v>659</v>
      </c>
      <c r="E102" s="197"/>
      <c r="F102" s="55">
        <f t="shared" si="123"/>
        <v>659</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1718</v>
      </c>
      <c r="D103" s="190">
        <f>SUM(D104:D111)</f>
        <v>1498</v>
      </c>
      <c r="E103" s="191">
        <f t="shared" ref="E103:F103" si="127">SUM(E104:E111)</f>
        <v>0</v>
      </c>
      <c r="F103" s="55">
        <f t="shared" si="127"/>
        <v>1498</v>
      </c>
      <c r="G103" s="190">
        <f>SUM(G104:G111)</f>
        <v>0</v>
      </c>
      <c r="H103" s="191">
        <f t="shared" ref="H103:I103" si="128">SUM(H104:H111)</f>
        <v>0</v>
      </c>
      <c r="I103" s="55">
        <f t="shared" si="128"/>
        <v>0</v>
      </c>
      <c r="J103" s="190">
        <f>SUM(J104:J111)</f>
        <v>220</v>
      </c>
      <c r="K103" s="191">
        <f t="shared" ref="K103:L103" si="129">SUM(K104:K111)</f>
        <v>0</v>
      </c>
      <c r="L103" s="55">
        <f t="shared" si="129"/>
        <v>220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120</v>
      </c>
      <c r="D106" s="196">
        <v>120</v>
      </c>
      <c r="E106" s="197"/>
      <c r="F106" s="55">
        <f t="shared" si="131"/>
        <v>120</v>
      </c>
      <c r="G106" s="53"/>
      <c r="H106" s="54"/>
      <c r="I106" s="55">
        <f t="shared" si="132"/>
        <v>0</v>
      </c>
      <c r="J106" s="53"/>
      <c r="K106" s="54"/>
      <c r="L106" s="55">
        <f t="shared" si="133"/>
        <v>0</v>
      </c>
      <c r="M106" s="53"/>
      <c r="N106" s="54"/>
      <c r="O106" s="55">
        <f t="shared" si="134"/>
        <v>0</v>
      </c>
      <c r="P106" s="57"/>
    </row>
    <row r="107" spans="1:16" ht="17.25" customHeight="1" x14ac:dyDescent="0.25">
      <c r="A107" s="51">
        <v>2244</v>
      </c>
      <c r="B107" s="89" t="s">
        <v>123</v>
      </c>
      <c r="C107" s="90">
        <f t="shared" si="102"/>
        <v>998</v>
      </c>
      <c r="D107" s="196">
        <v>903</v>
      </c>
      <c r="E107" s="316"/>
      <c r="F107" s="55">
        <f t="shared" si="131"/>
        <v>903</v>
      </c>
      <c r="G107" s="53"/>
      <c r="H107" s="54"/>
      <c r="I107" s="55">
        <f t="shared" si="132"/>
        <v>0</v>
      </c>
      <c r="J107" s="53">
        <v>95</v>
      </c>
      <c r="K107" s="307"/>
      <c r="L107" s="55">
        <f t="shared" si="133"/>
        <v>95</v>
      </c>
      <c r="M107" s="53"/>
      <c r="N107" s="54"/>
      <c r="O107" s="55">
        <f t="shared" si="134"/>
        <v>0</v>
      </c>
      <c r="P107" s="454"/>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600</v>
      </c>
      <c r="D111" s="196">
        <v>475</v>
      </c>
      <c r="E111" s="197"/>
      <c r="F111" s="55">
        <f t="shared" si="131"/>
        <v>475</v>
      </c>
      <c r="G111" s="53"/>
      <c r="H111" s="54"/>
      <c r="I111" s="55">
        <f t="shared" si="132"/>
        <v>0</v>
      </c>
      <c r="J111" s="53">
        <v>125</v>
      </c>
      <c r="K111" s="54"/>
      <c r="L111" s="55">
        <f t="shared" si="133"/>
        <v>125</v>
      </c>
      <c r="M111" s="53"/>
      <c r="N111" s="54"/>
      <c r="O111" s="55">
        <f t="shared" si="134"/>
        <v>0</v>
      </c>
      <c r="P111" s="57"/>
    </row>
    <row r="112" spans="1:16" x14ac:dyDescent="0.25">
      <c r="A112" s="189">
        <v>2250</v>
      </c>
      <c r="B112" s="89" t="s">
        <v>128</v>
      </c>
      <c r="C112" s="90">
        <f t="shared" si="102"/>
        <v>530</v>
      </c>
      <c r="D112" s="190">
        <f>SUM(D113:D115)</f>
        <v>530</v>
      </c>
      <c r="E112" s="191">
        <f t="shared" ref="E112:F112" si="135">SUM(E113:E115)</f>
        <v>0</v>
      </c>
      <c r="F112" s="55">
        <f t="shared" si="135"/>
        <v>530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85</v>
      </c>
      <c r="D113" s="196">
        <v>85</v>
      </c>
      <c r="E113" s="197"/>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329</v>
      </c>
      <c r="D114" s="196">
        <v>329</v>
      </c>
      <c r="E114" s="197"/>
      <c r="F114" s="55">
        <f t="shared" si="139"/>
        <v>329</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116</v>
      </c>
      <c r="D115" s="196">
        <v>116</v>
      </c>
      <c r="E115" s="314"/>
      <c r="F115" s="55">
        <f t="shared" si="139"/>
        <v>116</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12955</v>
      </c>
      <c r="D116" s="190">
        <f>SUM(D117:D121)</f>
        <v>12955</v>
      </c>
      <c r="E116" s="191">
        <f t="shared" ref="E116:F116" si="143">SUM(E117:E121)</f>
        <v>0</v>
      </c>
      <c r="F116" s="55">
        <f t="shared" si="143"/>
        <v>12955</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customHeight="1" x14ac:dyDescent="0.25">
      <c r="A117" s="51">
        <v>2261</v>
      </c>
      <c r="B117" s="89" t="s">
        <v>133</v>
      </c>
      <c r="C117" s="90">
        <f t="shared" si="102"/>
        <v>7348</v>
      </c>
      <c r="D117" s="196">
        <v>7348</v>
      </c>
      <c r="E117" s="197"/>
      <c r="F117" s="55">
        <f t="shared" ref="F117:F121" si="147">D117+E117</f>
        <v>7348</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9" t="s">
        <v>135</v>
      </c>
      <c r="C119" s="90">
        <f t="shared" si="102"/>
        <v>5218</v>
      </c>
      <c r="D119" s="196">
        <v>5218</v>
      </c>
      <c r="E119" s="197"/>
      <c r="F119" s="55">
        <f t="shared" si="147"/>
        <v>5218</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389</v>
      </c>
      <c r="D121" s="196">
        <v>389</v>
      </c>
      <c r="E121" s="197"/>
      <c r="F121" s="55">
        <f t="shared" si="147"/>
        <v>389</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2198</v>
      </c>
      <c r="D122" s="190">
        <f>SUM(D123:D127)</f>
        <v>195</v>
      </c>
      <c r="E122" s="191">
        <f t="shared" ref="E122:F122" si="151">SUM(E123:E127)</f>
        <v>0</v>
      </c>
      <c r="F122" s="55">
        <f t="shared" si="151"/>
        <v>195</v>
      </c>
      <c r="G122" s="190">
        <f>SUM(G123:G127)</f>
        <v>1001</v>
      </c>
      <c r="H122" s="191">
        <f t="shared" ref="H122:I122" si="152">SUM(H123:H127)</f>
        <v>1001</v>
      </c>
      <c r="I122" s="55">
        <f t="shared" si="152"/>
        <v>2002</v>
      </c>
      <c r="J122" s="190">
        <f>SUM(J123:J127)</f>
        <v>0</v>
      </c>
      <c r="K122" s="191">
        <f t="shared" ref="K122:L122" si="153">SUM(K123:K127)</f>
        <v>0</v>
      </c>
      <c r="L122" s="55">
        <f t="shared" si="153"/>
        <v>0</v>
      </c>
      <c r="M122" s="190">
        <f>SUM(M123:M127)</f>
        <v>1</v>
      </c>
      <c r="N122" s="191">
        <f t="shared" ref="N122:O122" si="154">SUM(N123:N127)</f>
        <v>0</v>
      </c>
      <c r="O122" s="55">
        <f t="shared" si="154"/>
        <v>1</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9" t="s">
        <v>141</v>
      </c>
      <c r="C125" s="90">
        <f t="shared" si="102"/>
        <v>1</v>
      </c>
      <c r="D125" s="196">
        <v>0</v>
      </c>
      <c r="E125" s="316"/>
      <c r="F125" s="55">
        <f t="shared" si="155"/>
        <v>0</v>
      </c>
      <c r="G125" s="53"/>
      <c r="H125" s="54"/>
      <c r="I125" s="55">
        <f t="shared" si="156"/>
        <v>0</v>
      </c>
      <c r="J125" s="53"/>
      <c r="K125" s="54"/>
      <c r="L125" s="55">
        <f t="shared" si="157"/>
        <v>0</v>
      </c>
      <c r="M125" s="53">
        <v>1</v>
      </c>
      <c r="N125" s="363"/>
      <c r="O125" s="55">
        <f t="shared" si="158"/>
        <v>1</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6" customHeight="1" x14ac:dyDescent="0.25">
      <c r="A127" s="51">
        <v>2279</v>
      </c>
      <c r="B127" s="89" t="s">
        <v>143</v>
      </c>
      <c r="C127" s="90">
        <f t="shared" si="102"/>
        <v>2197</v>
      </c>
      <c r="D127" s="196">
        <v>195</v>
      </c>
      <c r="E127" s="316"/>
      <c r="F127" s="55">
        <f t="shared" si="155"/>
        <v>195</v>
      </c>
      <c r="G127" s="53">
        <v>1001</v>
      </c>
      <c r="H127" s="349">
        <v>1001</v>
      </c>
      <c r="I127" s="55">
        <f t="shared" si="156"/>
        <v>2002</v>
      </c>
      <c r="J127" s="53"/>
      <c r="K127" s="54"/>
      <c r="L127" s="55">
        <f t="shared" si="157"/>
        <v>0</v>
      </c>
      <c r="M127" s="53"/>
      <c r="N127" s="54"/>
      <c r="O127" s="55">
        <f t="shared" si="158"/>
        <v>0</v>
      </c>
      <c r="P127" s="57" t="s">
        <v>1598</v>
      </c>
    </row>
    <row r="128" spans="1:16" ht="48" hidden="1" x14ac:dyDescent="0.25">
      <c r="A128" s="137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15001</v>
      </c>
      <c r="D130" s="184">
        <f>SUM(D131,D136,D140,D141,D144,D151,D159,D160,D163)</f>
        <v>13775</v>
      </c>
      <c r="E130" s="185">
        <f t="shared" ref="E130:F130" si="160">SUM(E131,E136,E140,E141,E144,E151,E159,E160,E163)</f>
        <v>0</v>
      </c>
      <c r="F130" s="73">
        <f t="shared" si="160"/>
        <v>13775</v>
      </c>
      <c r="G130" s="184">
        <f>SUM(G131,G136,G140,G141,G144,G151,G159,G160,G163)</f>
        <v>1161</v>
      </c>
      <c r="H130" s="185">
        <f t="shared" ref="H130:I130" si="161">SUM(H131,H136,H140,H141,H144,H151,H159,H160,H163)</f>
        <v>0</v>
      </c>
      <c r="I130" s="73">
        <f t="shared" si="161"/>
        <v>1161</v>
      </c>
      <c r="J130" s="184">
        <f>SUM(J131,J136,J140,J141,J144,J151,J159,J160,J163)</f>
        <v>65</v>
      </c>
      <c r="K130" s="185">
        <f t="shared" ref="K130:L130" si="162">SUM(K131,K136,K140,K141,K144,K151,K159,K160,K163)</f>
        <v>0</v>
      </c>
      <c r="L130" s="73">
        <f t="shared" si="162"/>
        <v>65</v>
      </c>
      <c r="M130" s="184">
        <f>SUM(M131,M136,M140,M141,M144,M151,M159,M160,M163)</f>
        <v>0</v>
      </c>
      <c r="N130" s="185">
        <f t="shared" ref="N130:O130" si="163">SUM(N131,N136,N140,N141,N144,N151,N159,N160,N163)</f>
        <v>0</v>
      </c>
      <c r="O130" s="73">
        <f t="shared" si="163"/>
        <v>0</v>
      </c>
      <c r="P130" s="77"/>
    </row>
    <row r="131" spans="1:16" ht="24" x14ac:dyDescent="0.25">
      <c r="A131" s="1372">
        <v>2310</v>
      </c>
      <c r="B131" s="82" t="s">
        <v>147</v>
      </c>
      <c r="C131" s="83">
        <f t="shared" si="102"/>
        <v>6694</v>
      </c>
      <c r="D131" s="194">
        <f t="shared" ref="D131:O131" si="164">SUM(D132:D135)</f>
        <v>6694</v>
      </c>
      <c r="E131" s="195">
        <f t="shared" si="164"/>
        <v>0</v>
      </c>
      <c r="F131" s="134">
        <f t="shared" si="164"/>
        <v>6694</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8" customHeight="1" x14ac:dyDescent="0.25">
      <c r="A132" s="51">
        <v>2311</v>
      </c>
      <c r="B132" s="89" t="s">
        <v>148</v>
      </c>
      <c r="C132" s="90">
        <f t="shared" si="102"/>
        <v>1480</v>
      </c>
      <c r="D132" s="196">
        <v>1480</v>
      </c>
      <c r="E132" s="197"/>
      <c r="F132" s="55">
        <f t="shared" ref="F132:F135" si="165">D132+E132</f>
        <v>1480</v>
      </c>
      <c r="G132" s="53"/>
      <c r="H132" s="54"/>
      <c r="I132" s="55">
        <f t="shared" ref="I132:I135" si="166">G132+H132</f>
        <v>0</v>
      </c>
      <c r="J132" s="53"/>
      <c r="K132" s="54"/>
      <c r="L132" s="55">
        <f t="shared" ref="L132:L135" si="167">K132+J132</f>
        <v>0</v>
      </c>
      <c r="M132" s="53"/>
      <c r="N132" s="307"/>
      <c r="O132" s="55">
        <f t="shared" ref="O132:O135" si="168">N132+M132</f>
        <v>0</v>
      </c>
      <c r="P132" s="57"/>
    </row>
    <row r="133" spans="1:16" ht="12" customHeight="1" x14ac:dyDescent="0.25">
      <c r="A133" s="51">
        <v>2312</v>
      </c>
      <c r="B133" s="89" t="s">
        <v>149</v>
      </c>
      <c r="C133" s="90">
        <f t="shared" si="102"/>
        <v>4854</v>
      </c>
      <c r="D133" s="196">
        <v>4854</v>
      </c>
      <c r="E133" s="197"/>
      <c r="F133" s="55">
        <f t="shared" si="165"/>
        <v>4854</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9" t="s">
        <v>150</v>
      </c>
      <c r="C134" s="90">
        <f t="shared" si="102"/>
        <v>60</v>
      </c>
      <c r="D134" s="196">
        <v>60</v>
      </c>
      <c r="E134" s="197"/>
      <c r="F134" s="55">
        <f t="shared" si="165"/>
        <v>60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300</v>
      </c>
      <c r="D135" s="196">
        <v>300</v>
      </c>
      <c r="E135" s="197"/>
      <c r="F135" s="55">
        <f t="shared" si="165"/>
        <v>300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65</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65</v>
      </c>
      <c r="K136" s="191">
        <f t="shared" ref="K136:L136" si="171">SUM(K137:K139)</f>
        <v>0</v>
      </c>
      <c r="L136" s="55">
        <f t="shared" si="171"/>
        <v>65</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65</v>
      </c>
      <c r="D138" s="196"/>
      <c r="E138" s="197"/>
      <c r="F138" s="55">
        <f t="shared" si="173"/>
        <v>0</v>
      </c>
      <c r="G138" s="53"/>
      <c r="H138" s="54"/>
      <c r="I138" s="55">
        <f t="shared" si="174"/>
        <v>0</v>
      </c>
      <c r="J138" s="53">
        <v>65</v>
      </c>
      <c r="K138" s="54"/>
      <c r="L138" s="55">
        <f t="shared" si="175"/>
        <v>65</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50</v>
      </c>
      <c r="D141" s="190">
        <f>SUM(D142:D143)</f>
        <v>50</v>
      </c>
      <c r="E141" s="191">
        <f t="shared" ref="E141:F141" si="177">SUM(E142:E143)</f>
        <v>0</v>
      </c>
      <c r="F141" s="55">
        <f t="shared" si="177"/>
        <v>50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50</v>
      </c>
      <c r="D142" s="196">
        <v>50</v>
      </c>
      <c r="E142" s="197"/>
      <c r="F142" s="55">
        <f t="shared" ref="F142:F143" si="181">D142+E142</f>
        <v>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3125</v>
      </c>
      <c r="D144" s="187">
        <f>SUM(D145:D150)</f>
        <v>3125</v>
      </c>
      <c r="E144" s="188">
        <f t="shared" ref="E144:F144" si="185">SUM(E145:E150)</f>
        <v>0</v>
      </c>
      <c r="F144" s="141">
        <f t="shared" si="185"/>
        <v>3125</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1100</v>
      </c>
      <c r="D145" s="199">
        <v>1100</v>
      </c>
      <c r="E145" s="200"/>
      <c r="F145" s="134">
        <f t="shared" ref="F145:F150" si="189">D145+E145</f>
        <v>1100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1940</v>
      </c>
      <c r="D146" s="196">
        <v>1940</v>
      </c>
      <c r="E146" s="197"/>
      <c r="F146" s="55">
        <f t="shared" si="189"/>
        <v>1940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85</v>
      </c>
      <c r="D149" s="196">
        <v>85</v>
      </c>
      <c r="E149" s="197"/>
      <c r="F149" s="55">
        <f t="shared" si="189"/>
        <v>85</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600</v>
      </c>
      <c r="D151" s="190">
        <f>SUM(D152:D158)</f>
        <v>600</v>
      </c>
      <c r="E151" s="191">
        <f t="shared" ref="E151:F151" si="194">SUM(E152:E158)</f>
        <v>0</v>
      </c>
      <c r="F151" s="55">
        <f t="shared" si="194"/>
        <v>600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120</v>
      </c>
      <c r="D152" s="196">
        <v>120</v>
      </c>
      <c r="E152" s="197"/>
      <c r="F152" s="55">
        <f t="shared" ref="F152:F159" si="198">D152+E152</f>
        <v>120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200</v>
      </c>
      <c r="D153" s="196">
        <v>200</v>
      </c>
      <c r="E153" s="197"/>
      <c r="F153" s="55">
        <f t="shared" si="198"/>
        <v>200</v>
      </c>
      <c r="G153" s="53"/>
      <c r="H153" s="54"/>
      <c r="I153" s="55">
        <f t="shared" si="199"/>
        <v>0</v>
      </c>
      <c r="J153" s="53"/>
      <c r="K153" s="54"/>
      <c r="L153" s="55">
        <f t="shared" si="200"/>
        <v>0</v>
      </c>
      <c r="M153" s="53"/>
      <c r="N153" s="54"/>
      <c r="O153" s="55">
        <f t="shared" si="201"/>
        <v>0</v>
      </c>
      <c r="P153" s="57"/>
    </row>
    <row r="154" spans="1:16" x14ac:dyDescent="0.25">
      <c r="A154" s="50">
        <v>2363</v>
      </c>
      <c r="B154" s="89" t="s">
        <v>170</v>
      </c>
      <c r="C154" s="90">
        <f t="shared" si="193"/>
        <v>280</v>
      </c>
      <c r="D154" s="196">
        <v>280</v>
      </c>
      <c r="E154" s="316"/>
      <c r="F154" s="55">
        <f t="shared" si="198"/>
        <v>280</v>
      </c>
      <c r="G154" s="53"/>
      <c r="H154" s="54"/>
      <c r="I154" s="55">
        <f t="shared" si="199"/>
        <v>0</v>
      </c>
      <c r="J154" s="53"/>
      <c r="K154" s="54"/>
      <c r="L154" s="55">
        <f t="shared" si="200"/>
        <v>0</v>
      </c>
      <c r="M154" s="53"/>
      <c r="N154" s="54"/>
      <c r="O154" s="55">
        <f t="shared" si="201"/>
        <v>0</v>
      </c>
      <c r="P154" s="454"/>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3.5" customHeight="1" x14ac:dyDescent="0.25">
      <c r="A159" s="186">
        <v>2370</v>
      </c>
      <c r="B159" s="138" t="s">
        <v>175</v>
      </c>
      <c r="C159" s="143">
        <f t="shared" si="193"/>
        <v>4467</v>
      </c>
      <c r="D159" s="203">
        <v>3306</v>
      </c>
      <c r="E159" s="204"/>
      <c r="F159" s="141">
        <f t="shared" si="198"/>
        <v>3306</v>
      </c>
      <c r="G159" s="144">
        <v>1161</v>
      </c>
      <c r="H159" s="145"/>
      <c r="I159" s="141">
        <f t="shared" si="199"/>
        <v>1161</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7.75" customHeight="1" x14ac:dyDescent="0.25">
      <c r="A165" s="69">
        <v>2500</v>
      </c>
      <c r="B165" s="183" t="s">
        <v>181</v>
      </c>
      <c r="C165" s="70">
        <f t="shared" si="193"/>
        <v>523</v>
      </c>
      <c r="D165" s="184">
        <f>SUM(D166,D171)</f>
        <v>523</v>
      </c>
      <c r="E165" s="185">
        <f t="shared" ref="E165:O165" si="210">SUM(E166,E171)</f>
        <v>0</v>
      </c>
      <c r="F165" s="73">
        <f t="shared" si="210"/>
        <v>523</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1372">
        <v>2510</v>
      </c>
      <c r="B166" s="82" t="s">
        <v>182</v>
      </c>
      <c r="C166" s="83">
        <f t="shared" si="193"/>
        <v>523</v>
      </c>
      <c r="D166" s="194">
        <f>SUM(D167:D170)</f>
        <v>523</v>
      </c>
      <c r="E166" s="195">
        <f t="shared" ref="E166:O166" si="211">SUM(E167:E170)</f>
        <v>0</v>
      </c>
      <c r="F166" s="134">
        <f t="shared" si="211"/>
        <v>523</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customHeight="1" x14ac:dyDescent="0.25">
      <c r="A168" s="51">
        <v>2513</v>
      </c>
      <c r="B168" s="89" t="s">
        <v>184</v>
      </c>
      <c r="C168" s="90">
        <f t="shared" si="193"/>
        <v>523</v>
      </c>
      <c r="D168" s="196">
        <v>523</v>
      </c>
      <c r="E168" s="197"/>
      <c r="F168" s="55">
        <f t="shared" si="212"/>
        <v>523</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7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7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7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7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7484</v>
      </c>
      <c r="D194" s="173">
        <f t="shared" ref="D194:O194" si="259">SUM(D195,D230,D269,D283)</f>
        <v>5581</v>
      </c>
      <c r="E194" s="174">
        <f t="shared" si="259"/>
        <v>0</v>
      </c>
      <c r="F194" s="175">
        <f t="shared" si="259"/>
        <v>5581</v>
      </c>
      <c r="G194" s="173">
        <f t="shared" si="259"/>
        <v>1903</v>
      </c>
      <c r="H194" s="174">
        <f t="shared" si="259"/>
        <v>0</v>
      </c>
      <c r="I194" s="175">
        <f t="shared" si="259"/>
        <v>1903</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7484</v>
      </c>
      <c r="D195" s="179">
        <f>D196+D204</f>
        <v>5581</v>
      </c>
      <c r="E195" s="180">
        <f t="shared" ref="E195:F195" si="260">E196+E204</f>
        <v>0</v>
      </c>
      <c r="F195" s="181">
        <f t="shared" si="260"/>
        <v>5581</v>
      </c>
      <c r="G195" s="179">
        <f>G196+G204</f>
        <v>1903</v>
      </c>
      <c r="H195" s="180">
        <f t="shared" ref="H195:I195" si="261">H196+H204</f>
        <v>0</v>
      </c>
      <c r="I195" s="181">
        <f t="shared" si="261"/>
        <v>1903</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212</v>
      </c>
      <c r="C196" s="70">
        <f t="shared" si="193"/>
        <v>240</v>
      </c>
      <c r="D196" s="184">
        <f>D197+D198+D201+D202+D203</f>
        <v>240</v>
      </c>
      <c r="E196" s="185">
        <f t="shared" ref="E196:F196" si="264">E197+E198+E201+E202+E203</f>
        <v>0</v>
      </c>
      <c r="F196" s="73">
        <f t="shared" si="264"/>
        <v>240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7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214</v>
      </c>
      <c r="C198" s="90">
        <f t="shared" si="193"/>
        <v>240</v>
      </c>
      <c r="D198" s="190">
        <f>D199+D200</f>
        <v>240</v>
      </c>
      <c r="E198" s="191">
        <f t="shared" ref="E198:F198" si="268">E199+E200</f>
        <v>0</v>
      </c>
      <c r="F198" s="55">
        <f t="shared" si="268"/>
        <v>240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215</v>
      </c>
      <c r="C199" s="90">
        <f t="shared" si="193"/>
        <v>240</v>
      </c>
      <c r="D199" s="196">
        <v>240</v>
      </c>
      <c r="E199" s="1385"/>
      <c r="F199" s="55">
        <f t="shared" ref="F199:F203" si="272">D199+E199</f>
        <v>240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7244</v>
      </c>
      <c r="D204" s="184">
        <f>D205+D215+D216+D225+D226+D227+D229</f>
        <v>5341</v>
      </c>
      <c r="E204" s="185">
        <f t="shared" ref="E204:F204" si="276">E205+E215+E216+E225+E226+E227+E229</f>
        <v>0</v>
      </c>
      <c r="F204" s="73">
        <f t="shared" si="276"/>
        <v>5341</v>
      </c>
      <c r="G204" s="184">
        <f>G205+G215+G216+G225+G226+G227+G229</f>
        <v>1903</v>
      </c>
      <c r="H204" s="185">
        <f t="shared" ref="H204:I204" si="277">H205+H215+H216+H225+H226+H227+H229</f>
        <v>0</v>
      </c>
      <c r="I204" s="73">
        <f t="shared" si="277"/>
        <v>1903</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7244</v>
      </c>
      <c r="D216" s="190">
        <f>SUM(D217:D224)</f>
        <v>5341</v>
      </c>
      <c r="E216" s="191">
        <f t="shared" ref="E216:F216" si="289">SUM(E217:E224)</f>
        <v>0</v>
      </c>
      <c r="F216" s="55">
        <f t="shared" si="289"/>
        <v>5341</v>
      </c>
      <c r="G216" s="190">
        <f>SUM(G217:G224)</f>
        <v>1903</v>
      </c>
      <c r="H216" s="191">
        <f t="shared" ref="H216:I216" si="290">SUM(H217:H224)</f>
        <v>0</v>
      </c>
      <c r="I216" s="55">
        <f t="shared" si="290"/>
        <v>1903</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2688</v>
      </c>
      <c r="D219" s="196">
        <v>785</v>
      </c>
      <c r="E219" s="197"/>
      <c r="F219" s="55">
        <f t="shared" si="293"/>
        <v>785</v>
      </c>
      <c r="G219" s="53">
        <v>1903</v>
      </c>
      <c r="H219" s="54"/>
      <c r="I219" s="55">
        <f t="shared" si="294"/>
        <v>1903</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2000</v>
      </c>
      <c r="D223" s="196">
        <v>2000</v>
      </c>
      <c r="E223" s="197"/>
      <c r="F223" s="55">
        <f t="shared" si="293"/>
        <v>2000</v>
      </c>
      <c r="G223" s="53"/>
      <c r="H223" s="54"/>
      <c r="I223" s="55">
        <f t="shared" si="294"/>
        <v>0</v>
      </c>
      <c r="J223" s="53"/>
      <c r="K223" s="54"/>
      <c r="L223" s="55">
        <f t="shared" si="295"/>
        <v>0</v>
      </c>
      <c r="M223" s="53"/>
      <c r="N223" s="54"/>
      <c r="O223" s="55">
        <f t="shared" si="296"/>
        <v>0</v>
      </c>
      <c r="P223" s="57"/>
    </row>
    <row r="224" spans="1:16" ht="35.25" customHeight="1" x14ac:dyDescent="0.25">
      <c r="A224" s="51">
        <v>5239</v>
      </c>
      <c r="B224" s="89" t="s">
        <v>240</v>
      </c>
      <c r="C224" s="90">
        <f t="shared" si="288"/>
        <v>2556</v>
      </c>
      <c r="D224" s="196">
        <v>2556</v>
      </c>
      <c r="E224" s="314"/>
      <c r="F224" s="55">
        <f t="shared" si="293"/>
        <v>2556</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37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7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7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7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7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7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680965</v>
      </c>
      <c r="D289" s="252">
        <f t="shared" ref="D289:O289" si="389">SUM(D286,D269,D230,D195,D187,D173,D75,D53,D283)</f>
        <v>319598</v>
      </c>
      <c r="E289" s="253">
        <f t="shared" si="389"/>
        <v>0</v>
      </c>
      <c r="F289" s="254">
        <f t="shared" si="389"/>
        <v>319598</v>
      </c>
      <c r="G289" s="252">
        <f t="shared" si="389"/>
        <v>343290</v>
      </c>
      <c r="H289" s="253">
        <f t="shared" si="389"/>
        <v>14453</v>
      </c>
      <c r="I289" s="254">
        <f t="shared" si="389"/>
        <v>357743</v>
      </c>
      <c r="J289" s="252">
        <f t="shared" si="389"/>
        <v>3623</v>
      </c>
      <c r="K289" s="253">
        <f t="shared" si="389"/>
        <v>0</v>
      </c>
      <c r="L289" s="254">
        <f t="shared" si="389"/>
        <v>3623</v>
      </c>
      <c r="M289" s="252">
        <f t="shared" si="389"/>
        <v>1</v>
      </c>
      <c r="N289" s="253">
        <f t="shared" si="389"/>
        <v>0</v>
      </c>
      <c r="O289" s="254">
        <f t="shared" si="389"/>
        <v>1</v>
      </c>
      <c r="P289" s="255"/>
    </row>
    <row r="290" spans="1:16" s="28" customFormat="1" ht="13.5" thickTop="1" thickBot="1" x14ac:dyDescent="0.3">
      <c r="A290" s="1544" t="s">
        <v>308</v>
      </c>
      <c r="B290" s="1545"/>
      <c r="C290" s="256">
        <f t="shared" si="371"/>
        <v>-101</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-100</v>
      </c>
      <c r="K290" s="258">
        <f t="shared" ref="K290:L290" si="392">(K26+K43)-K51</f>
        <v>0</v>
      </c>
      <c r="L290" s="259">
        <f t="shared" si="392"/>
        <v>-100</v>
      </c>
      <c r="M290" s="257">
        <f>M45-M51</f>
        <v>-1</v>
      </c>
      <c r="N290" s="258">
        <f t="shared" ref="N290:O290" si="393">N45-N51</f>
        <v>0</v>
      </c>
      <c r="O290" s="259">
        <f t="shared" si="393"/>
        <v>-1</v>
      </c>
      <c r="P290" s="260"/>
    </row>
    <row r="291" spans="1:16" s="28" customFormat="1" ht="12.75" thickTop="1" x14ac:dyDescent="0.25">
      <c r="A291" s="1546" t="s">
        <v>309</v>
      </c>
      <c r="B291" s="1547"/>
      <c r="C291" s="261">
        <f t="shared" si="371"/>
        <v>101</v>
      </c>
      <c r="D291" s="262">
        <f t="shared" ref="D291:O291" si="394">SUM(D292,D293)-D300+D301</f>
        <v>0</v>
      </c>
      <c r="E291" s="263">
        <f t="shared" si="394"/>
        <v>0</v>
      </c>
      <c r="F291" s="264">
        <f t="shared" si="394"/>
        <v>0</v>
      </c>
      <c r="G291" s="262">
        <f t="shared" si="394"/>
        <v>0</v>
      </c>
      <c r="H291" s="263">
        <f t="shared" si="394"/>
        <v>0</v>
      </c>
      <c r="I291" s="264">
        <f t="shared" si="394"/>
        <v>0</v>
      </c>
      <c r="J291" s="262">
        <f t="shared" si="394"/>
        <v>100</v>
      </c>
      <c r="K291" s="263">
        <f t="shared" si="394"/>
        <v>0</v>
      </c>
      <c r="L291" s="264">
        <f t="shared" si="394"/>
        <v>100</v>
      </c>
      <c r="M291" s="262">
        <f t="shared" si="394"/>
        <v>1</v>
      </c>
      <c r="N291" s="263">
        <f t="shared" si="394"/>
        <v>0</v>
      </c>
      <c r="O291" s="264">
        <f t="shared" si="394"/>
        <v>1</v>
      </c>
      <c r="P291" s="265"/>
    </row>
    <row r="292" spans="1:16" s="28" customFormat="1" ht="12.75" thickBot="1" x14ac:dyDescent="0.3">
      <c r="A292" s="157" t="s">
        <v>310</v>
      </c>
      <c r="B292" s="157" t="s">
        <v>311</v>
      </c>
      <c r="C292" s="158">
        <f t="shared" si="371"/>
        <v>101</v>
      </c>
      <c r="D292" s="159">
        <f t="shared" ref="D292:O292" si="395">D21-D286</f>
        <v>0</v>
      </c>
      <c r="E292" s="160">
        <f t="shared" si="395"/>
        <v>0</v>
      </c>
      <c r="F292" s="161">
        <f t="shared" si="395"/>
        <v>0</v>
      </c>
      <c r="G292" s="159">
        <f t="shared" si="395"/>
        <v>0</v>
      </c>
      <c r="H292" s="160">
        <f t="shared" si="395"/>
        <v>0</v>
      </c>
      <c r="I292" s="161">
        <f t="shared" si="395"/>
        <v>0</v>
      </c>
      <c r="J292" s="159">
        <f t="shared" si="395"/>
        <v>100</v>
      </c>
      <c r="K292" s="160">
        <f t="shared" si="395"/>
        <v>0</v>
      </c>
      <c r="L292" s="161">
        <f t="shared" si="395"/>
        <v>100</v>
      </c>
      <c r="M292" s="159">
        <f t="shared" si="395"/>
        <v>1</v>
      </c>
      <c r="N292" s="160">
        <f t="shared" si="395"/>
        <v>0</v>
      </c>
      <c r="O292" s="161">
        <f t="shared" si="395"/>
        <v>1</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6R3I3Neke25uEFNa0MmrzeID0RjszAlLrAER1CU6yJkWq5oXj0MkhY9GKWKl5TMM5H9aVNsL/wQdAbdnenPlAA==" saltValue="kfr1FSEL9uMB5Jo7avLPEQ==" spinCount="100000" sheet="1" objects="1" scenarios="1" formatCells="0" formatColumns="0" formatRows="0" deleteColumns="0"/>
  <autoFilter ref="A18:P301">
    <filterColumn colId="2">
      <filters>
        <filter val="1"/>
        <filter val="1 029"/>
        <filter val="1 100"/>
        <filter val="1 133"/>
        <filter val="1 480"/>
        <filter val="1 718"/>
        <filter val="1 940"/>
        <filter val="101"/>
        <filter val="-101"/>
        <filter val="116"/>
        <filter val="117 492"/>
        <filter val="12 955"/>
        <filter val="120"/>
        <filter val="140"/>
        <filter val="143 986"/>
        <filter val="15 001"/>
        <filter val="16 236"/>
        <filter val="17 315"/>
        <filter val="17 456"/>
        <filter val="2 000"/>
        <filter val="2 197"/>
        <filter val="2 198"/>
        <filter val="2 265"/>
        <filter val="2 317"/>
        <filter val="2 556"/>
        <filter val="2 688"/>
        <filter val="2 788"/>
        <filter val="20"/>
        <filter val="200"/>
        <filter val="240"/>
        <filter val="26 494"/>
        <filter val="27 721"/>
        <filter val="280"/>
        <filter val="3 125"/>
        <filter val="3 323"/>
        <filter val="300"/>
        <filter val="329"/>
        <filter val="353"/>
        <filter val="36 769"/>
        <filter val="389"/>
        <filter val="4 172"/>
        <filter val="4 467"/>
        <filter val="4 854"/>
        <filter val="427 340"/>
        <filter val="466 897"/>
        <filter val="47 074"/>
        <filter val="481"/>
        <filter val="5 218"/>
        <filter val="5 272"/>
        <filter val="5 732"/>
        <filter val="50"/>
        <filter val="500"/>
        <filter val="523"/>
        <filter val="530"/>
        <filter val="6 694"/>
        <filter val="60"/>
        <filter val="600"/>
        <filter val="610 883"/>
        <filter val="62 598"/>
        <filter val="65"/>
        <filter val="659"/>
        <filter val="673 481"/>
        <filter val="677 341"/>
        <filter val="680 965"/>
        <filter val="7 244"/>
        <filter val="7 348"/>
        <filter val="7 484"/>
        <filter val="730"/>
        <filter val="8 538"/>
        <filter val="819"/>
        <filter val="85"/>
        <filter val="9 671"/>
        <filter val="99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75.pielikums Jūrmalas pilsētas domes
2019.gada 31.oktobra saistošajiem noteikumiem Nr.46
(protokols Nr.14, 28.punkts)
 </firstHeader>
    <firstFooter>&amp;L&amp;9&amp;D; &amp;T&amp;R&amp;9&amp;P (&amp;N)</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6"/>
  <sheetViews>
    <sheetView view="pageLayout" topLeftCell="A31" zoomScaleNormal="100" workbookViewId="0">
      <selection activeCell="M39" sqref="M39"/>
    </sheetView>
  </sheetViews>
  <sheetFormatPr defaultColWidth="9.140625" defaultRowHeight="12" outlineLevelCol="1" x14ac:dyDescent="0.2"/>
  <cols>
    <col min="1" max="1" width="6.140625" style="299" customWidth="1"/>
    <col min="2" max="2" width="26.85546875" style="299" customWidth="1"/>
    <col min="3" max="3" width="10.5703125" style="299" customWidth="1"/>
    <col min="4" max="4" width="12.28515625" style="299" hidden="1" customWidth="1" outlineLevel="1"/>
    <col min="5" max="5" width="11.140625" style="299" hidden="1" customWidth="1" outlineLevel="1"/>
    <col min="6" max="6" width="13.5703125" style="299" customWidth="1" collapsed="1"/>
    <col min="7" max="7" width="26.5703125" style="299" hidden="1" customWidth="1" outlineLevel="1"/>
    <col min="8" max="8" width="19.140625" style="299" customWidth="1" collapsed="1"/>
    <col min="9" max="16384" width="9.140625" style="299"/>
  </cols>
  <sheetData>
    <row r="1" spans="1:8" x14ac:dyDescent="0.2">
      <c r="H1" s="495" t="s">
        <v>1701</v>
      </c>
    </row>
    <row r="2" spans="1:8" x14ac:dyDescent="0.2">
      <c r="H2" s="495" t="s">
        <v>434</v>
      </c>
    </row>
    <row r="3" spans="1:8" x14ac:dyDescent="0.2">
      <c r="A3" s="1755" t="s">
        <v>412</v>
      </c>
      <c r="B3" s="1755"/>
      <c r="C3" s="1282" t="s">
        <v>3</v>
      </c>
      <c r="D3" s="1282"/>
      <c r="E3" s="1282"/>
      <c r="F3" s="1282"/>
      <c r="G3" s="1282"/>
      <c r="H3" s="1282"/>
    </row>
    <row r="4" spans="1:8" x14ac:dyDescent="0.2">
      <c r="A4" s="1755" t="s">
        <v>413</v>
      </c>
      <c r="B4" s="1755"/>
      <c r="C4" s="1283">
        <v>90000056357</v>
      </c>
      <c r="D4" s="1283"/>
      <c r="E4" s="1283"/>
      <c r="F4" s="1283"/>
      <c r="G4" s="1283"/>
      <c r="H4" s="1283"/>
    </row>
    <row r="5" spans="1:8" ht="15.75" x14ac:dyDescent="0.25">
      <c r="A5" s="1756" t="s">
        <v>414</v>
      </c>
      <c r="B5" s="1756"/>
      <c r="C5" s="1756"/>
      <c r="D5" s="1756"/>
      <c r="E5" s="1756"/>
      <c r="F5" s="1756"/>
      <c r="G5" s="1756"/>
      <c r="H5" s="1756"/>
    </row>
    <row r="6" spans="1:8" ht="15.75" x14ac:dyDescent="0.25">
      <c r="A6" s="1284"/>
      <c r="B6" s="1284"/>
      <c r="C6" s="1284"/>
      <c r="D6" s="1284"/>
      <c r="E6" s="1284"/>
      <c r="F6" s="1284"/>
      <c r="G6" s="1284"/>
      <c r="H6" s="1284"/>
    </row>
    <row r="7" spans="1:8" ht="15.75" x14ac:dyDescent="0.25">
      <c r="A7" s="1285" t="s">
        <v>331</v>
      </c>
      <c r="B7" s="1285"/>
      <c r="C7" s="1406" t="s">
        <v>1702</v>
      </c>
      <c r="D7" s="1406"/>
      <c r="E7" s="1406"/>
      <c r="F7" s="1406"/>
      <c r="G7" s="1406"/>
      <c r="H7" s="1406"/>
    </row>
    <row r="8" spans="1:8" x14ac:dyDescent="0.2">
      <c r="A8" s="1285" t="s">
        <v>333</v>
      </c>
      <c r="B8" s="1285"/>
      <c r="C8" s="1282" t="s">
        <v>1700</v>
      </c>
      <c r="D8" s="1282"/>
      <c r="E8" s="1282"/>
      <c r="F8" s="1282"/>
      <c r="G8" s="1282"/>
      <c r="H8" s="1282"/>
    </row>
    <row r="9" spans="1:8" x14ac:dyDescent="0.2">
      <c r="A9" s="1285" t="s">
        <v>334</v>
      </c>
      <c r="B9" s="1285"/>
      <c r="C9" s="1407" t="s">
        <v>511</v>
      </c>
      <c r="D9" s="1407"/>
      <c r="E9" s="1407"/>
      <c r="F9" s="1407"/>
      <c r="G9" s="1407"/>
      <c r="H9" s="1407"/>
    </row>
    <row r="10" spans="1:8" ht="12" customHeight="1" x14ac:dyDescent="0.2">
      <c r="A10" s="1791" t="s">
        <v>335</v>
      </c>
      <c r="B10" s="1793" t="s">
        <v>336</v>
      </c>
      <c r="C10" s="1757" t="s">
        <v>337</v>
      </c>
      <c r="D10" s="1598" t="s">
        <v>338</v>
      </c>
      <c r="E10" s="1598" t="s">
        <v>339</v>
      </c>
      <c r="F10" s="1598" t="s">
        <v>340</v>
      </c>
      <c r="G10" s="1598" t="s">
        <v>35</v>
      </c>
      <c r="H10" s="1598" t="s">
        <v>341</v>
      </c>
    </row>
    <row r="11" spans="1:8" ht="38.25" customHeight="1" x14ac:dyDescent="0.2">
      <c r="A11" s="1792"/>
      <c r="B11" s="1769"/>
      <c r="C11" s="1758"/>
      <c r="D11" s="1599"/>
      <c r="E11" s="1599"/>
      <c r="F11" s="1599"/>
      <c r="G11" s="1599"/>
      <c r="H11" s="1599"/>
    </row>
    <row r="12" spans="1:8" ht="12.75" customHeight="1" x14ac:dyDescent="0.2">
      <c r="A12" s="1794" t="s">
        <v>342</v>
      </c>
      <c r="B12" s="1794"/>
      <c r="C12" s="284"/>
      <c r="D12" s="284">
        <f>SUM(D13:D64)</f>
        <v>1000141</v>
      </c>
      <c r="E12" s="284">
        <f>SUM(E13:E64)</f>
        <v>-11316</v>
      </c>
      <c r="F12" s="284">
        <f t="shared" ref="F12" si="0">SUM(F13:F64)</f>
        <v>988825</v>
      </c>
      <c r="G12" s="284"/>
      <c r="H12" s="284"/>
    </row>
    <row r="13" spans="1:8" s="927" customFormat="1" x14ac:dyDescent="0.25">
      <c r="A13" s="1587">
        <v>1</v>
      </c>
      <c r="B13" s="1589" t="s">
        <v>1703</v>
      </c>
      <c r="C13" s="1408">
        <v>2275</v>
      </c>
      <c r="D13" s="862">
        <v>0</v>
      </c>
      <c r="E13" s="292"/>
      <c r="F13" s="862">
        <f>SUM(D13:E13)</f>
        <v>0</v>
      </c>
      <c r="G13" s="862"/>
      <c r="H13" s="1797" t="s">
        <v>1704</v>
      </c>
    </row>
    <row r="14" spans="1:8" s="927" customFormat="1" ht="15" customHeight="1" x14ac:dyDescent="0.25">
      <c r="A14" s="1795"/>
      <c r="B14" s="1796"/>
      <c r="C14" s="1408">
        <v>1150</v>
      </c>
      <c r="D14" s="862">
        <v>8754</v>
      </c>
      <c r="E14" s="1409"/>
      <c r="F14" s="862">
        <f t="shared" ref="F14:F64" si="1">SUM(D14:E14)</f>
        <v>8754</v>
      </c>
      <c r="G14" s="1800"/>
      <c r="H14" s="1798"/>
    </row>
    <row r="15" spans="1:8" s="927" customFormat="1" ht="15" customHeight="1" x14ac:dyDescent="0.25">
      <c r="A15" s="1795"/>
      <c r="B15" s="1796"/>
      <c r="C15" s="1408">
        <v>1210</v>
      </c>
      <c r="D15" s="862">
        <v>840</v>
      </c>
      <c r="E15" s="1409"/>
      <c r="F15" s="862">
        <f t="shared" si="1"/>
        <v>840</v>
      </c>
      <c r="G15" s="1801"/>
      <c r="H15" s="1798"/>
    </row>
    <row r="16" spans="1:8" s="927" customFormat="1" ht="15" customHeight="1" x14ac:dyDescent="0.25">
      <c r="A16" s="1795"/>
      <c r="B16" s="1796"/>
      <c r="C16" s="1408">
        <v>2264</v>
      </c>
      <c r="D16" s="862">
        <v>650</v>
      </c>
      <c r="E16" s="1409"/>
      <c r="F16" s="862">
        <f t="shared" si="1"/>
        <v>650</v>
      </c>
      <c r="G16" s="862"/>
      <c r="H16" s="1798"/>
    </row>
    <row r="17" spans="1:8" s="927" customFormat="1" x14ac:dyDescent="0.25">
      <c r="A17" s="1795"/>
      <c r="B17" s="1796"/>
      <c r="C17" s="1408">
        <v>2314</v>
      </c>
      <c r="D17" s="862">
        <v>1050</v>
      </c>
      <c r="E17" s="1409"/>
      <c r="F17" s="862">
        <f t="shared" si="1"/>
        <v>1050</v>
      </c>
      <c r="G17" s="862"/>
      <c r="H17" s="1798"/>
    </row>
    <row r="18" spans="1:8" s="927" customFormat="1" x14ac:dyDescent="0.25">
      <c r="A18" s="1795"/>
      <c r="B18" s="1796"/>
      <c r="C18" s="1408">
        <v>2231</v>
      </c>
      <c r="D18" s="862">
        <v>2254</v>
      </c>
      <c r="E18" s="292"/>
      <c r="F18" s="862">
        <f t="shared" si="1"/>
        <v>2254</v>
      </c>
      <c r="G18" s="862"/>
      <c r="H18" s="1798"/>
    </row>
    <row r="19" spans="1:8" s="927" customFormat="1" x14ac:dyDescent="0.25">
      <c r="A19" s="1795"/>
      <c r="B19" s="1796"/>
      <c r="C19" s="1408">
        <v>2261</v>
      </c>
      <c r="D19" s="862">
        <v>596</v>
      </c>
      <c r="E19" s="292"/>
      <c r="F19" s="862">
        <f t="shared" si="1"/>
        <v>596</v>
      </c>
      <c r="G19" s="862"/>
      <c r="H19" s="1798"/>
    </row>
    <row r="20" spans="1:8" s="927" customFormat="1" x14ac:dyDescent="0.25">
      <c r="A20" s="1588"/>
      <c r="B20" s="1590"/>
      <c r="C20" s="1408">
        <v>2279</v>
      </c>
      <c r="D20" s="862">
        <v>2640</v>
      </c>
      <c r="E20" s="292"/>
      <c r="F20" s="862">
        <f t="shared" si="1"/>
        <v>2640</v>
      </c>
      <c r="G20" s="862"/>
      <c r="H20" s="1799"/>
    </row>
    <row r="21" spans="1:8" ht="16.5" customHeight="1" x14ac:dyDescent="0.2">
      <c r="A21" s="1802">
        <v>2</v>
      </c>
      <c r="B21" s="1578" t="s">
        <v>1705</v>
      </c>
      <c r="C21" s="287">
        <v>2275</v>
      </c>
      <c r="D21" s="290">
        <v>0</v>
      </c>
      <c r="E21" s="292"/>
      <c r="F21" s="862">
        <f t="shared" si="1"/>
        <v>0</v>
      </c>
      <c r="G21" s="290"/>
      <c r="H21" s="1803" t="s">
        <v>1706</v>
      </c>
    </row>
    <row r="22" spans="1:8" ht="16.5" customHeight="1" x14ac:dyDescent="0.2">
      <c r="A22" s="1802"/>
      <c r="B22" s="1578"/>
      <c r="C22" s="287">
        <v>3261</v>
      </c>
      <c r="D22" s="290">
        <v>5000</v>
      </c>
      <c r="E22" s="292"/>
      <c r="F22" s="862">
        <f t="shared" si="1"/>
        <v>5000</v>
      </c>
      <c r="G22" s="862"/>
      <c r="H22" s="1803"/>
    </row>
    <row r="23" spans="1:8" ht="16.5" customHeight="1" x14ac:dyDescent="0.2">
      <c r="A23" s="1802"/>
      <c r="B23" s="1578"/>
      <c r="C23" s="287">
        <v>3262</v>
      </c>
      <c r="D23" s="290">
        <v>13619</v>
      </c>
      <c r="E23" s="292"/>
      <c r="F23" s="862">
        <f t="shared" si="1"/>
        <v>13619</v>
      </c>
      <c r="G23" s="862"/>
      <c r="H23" s="1803"/>
    </row>
    <row r="24" spans="1:8" ht="16.5" customHeight="1" x14ac:dyDescent="0.2">
      <c r="A24" s="1802"/>
      <c r="B24" s="1578"/>
      <c r="C24" s="287">
        <v>3263</v>
      </c>
      <c r="D24" s="290">
        <v>106581</v>
      </c>
      <c r="E24" s="292"/>
      <c r="F24" s="862">
        <f t="shared" si="1"/>
        <v>106581</v>
      </c>
      <c r="G24" s="862"/>
      <c r="H24" s="1803"/>
    </row>
    <row r="25" spans="1:8" ht="51" customHeight="1" x14ac:dyDescent="0.2">
      <c r="A25" s="1410">
        <v>3</v>
      </c>
      <c r="B25" s="1374" t="s">
        <v>1707</v>
      </c>
      <c r="C25" s="287">
        <v>3263</v>
      </c>
      <c r="D25" s="290">
        <v>17000</v>
      </c>
      <c r="E25" s="862"/>
      <c r="F25" s="862">
        <f t="shared" si="1"/>
        <v>17000</v>
      </c>
      <c r="G25" s="290"/>
      <c r="H25" s="291" t="s">
        <v>1708</v>
      </c>
    </row>
    <row r="26" spans="1:8" ht="15" customHeight="1" x14ac:dyDescent="0.2">
      <c r="A26" s="1802">
        <v>4</v>
      </c>
      <c r="B26" s="1578" t="s">
        <v>1709</v>
      </c>
      <c r="C26" s="287">
        <v>2275</v>
      </c>
      <c r="D26" s="290">
        <v>25575</v>
      </c>
      <c r="E26" s="292"/>
      <c r="F26" s="862">
        <f t="shared" si="1"/>
        <v>25575</v>
      </c>
      <c r="G26" s="290"/>
      <c r="H26" s="1803" t="s">
        <v>1710</v>
      </c>
    </row>
    <row r="27" spans="1:8" ht="29.25" customHeight="1" x14ac:dyDescent="0.2">
      <c r="A27" s="1802"/>
      <c r="B27" s="1578"/>
      <c r="C27" s="287">
        <v>3262</v>
      </c>
      <c r="D27" s="290">
        <v>4080</v>
      </c>
      <c r="E27" s="862"/>
      <c r="F27" s="862">
        <f t="shared" si="1"/>
        <v>4080</v>
      </c>
      <c r="G27" s="290"/>
      <c r="H27" s="1803"/>
    </row>
    <row r="28" spans="1:8" x14ac:dyDescent="0.2">
      <c r="A28" s="1802"/>
      <c r="B28" s="1578"/>
      <c r="C28" s="287">
        <v>3263</v>
      </c>
      <c r="D28" s="290">
        <v>57281</v>
      </c>
      <c r="E28" s="292"/>
      <c r="F28" s="862">
        <f t="shared" si="1"/>
        <v>57281</v>
      </c>
      <c r="G28" s="290"/>
      <c r="H28" s="1803"/>
    </row>
    <row r="29" spans="1:8" x14ac:dyDescent="0.2">
      <c r="A29" s="1804">
        <v>5</v>
      </c>
      <c r="B29" s="1805" t="s">
        <v>1711</v>
      </c>
      <c r="C29" s="287">
        <v>1150</v>
      </c>
      <c r="D29" s="1288">
        <v>380</v>
      </c>
      <c r="E29" s="876"/>
      <c r="F29" s="862">
        <f t="shared" si="1"/>
        <v>380</v>
      </c>
      <c r="G29" s="1288"/>
      <c r="H29" s="1803" t="s">
        <v>1712</v>
      </c>
    </row>
    <row r="30" spans="1:8" x14ac:dyDescent="0.2">
      <c r="A30" s="1804"/>
      <c r="B30" s="1805"/>
      <c r="C30" s="287">
        <v>1210</v>
      </c>
      <c r="D30" s="1288">
        <v>19</v>
      </c>
      <c r="E30" s="876"/>
      <c r="F30" s="862">
        <f t="shared" si="1"/>
        <v>19</v>
      </c>
      <c r="G30" s="1288"/>
      <c r="H30" s="1803"/>
    </row>
    <row r="31" spans="1:8" x14ac:dyDescent="0.2">
      <c r="A31" s="1804"/>
      <c r="B31" s="1805"/>
      <c r="C31" s="287">
        <v>2262</v>
      </c>
      <c r="D31" s="1288">
        <v>551</v>
      </c>
      <c r="E31" s="894"/>
      <c r="F31" s="862">
        <f t="shared" si="1"/>
        <v>551</v>
      </c>
      <c r="G31" s="285"/>
      <c r="H31" s="1803"/>
    </row>
    <row r="32" spans="1:8" ht="48" x14ac:dyDescent="0.2">
      <c r="A32" s="1587">
        <v>6</v>
      </c>
      <c r="B32" s="1589" t="s">
        <v>1713</v>
      </c>
      <c r="C32" s="287">
        <v>2279</v>
      </c>
      <c r="D32" s="1288">
        <v>242622</v>
      </c>
      <c r="E32" s="1411">
        <v>-858</v>
      </c>
      <c r="F32" s="862">
        <f t="shared" si="1"/>
        <v>241764</v>
      </c>
      <c r="G32" s="285" t="s">
        <v>1714</v>
      </c>
      <c r="H32" s="1584" t="s">
        <v>1715</v>
      </c>
    </row>
    <row r="33" spans="1:8" ht="35.25" customHeight="1" x14ac:dyDescent="0.2">
      <c r="A33" s="1795"/>
      <c r="B33" s="1796"/>
      <c r="C33" s="287">
        <v>1150</v>
      </c>
      <c r="D33" s="1288">
        <v>8653</v>
      </c>
      <c r="E33" s="894"/>
      <c r="F33" s="862">
        <f t="shared" si="1"/>
        <v>8653</v>
      </c>
      <c r="G33" s="1288"/>
      <c r="H33" s="1585"/>
    </row>
    <row r="34" spans="1:8" ht="35.25" customHeight="1" x14ac:dyDescent="0.2">
      <c r="A34" s="1588"/>
      <c r="B34" s="1590"/>
      <c r="C34" s="287">
        <v>1210</v>
      </c>
      <c r="D34" s="1288">
        <v>405</v>
      </c>
      <c r="E34" s="894"/>
      <c r="F34" s="862">
        <f t="shared" si="1"/>
        <v>405</v>
      </c>
      <c r="G34" s="1288"/>
      <c r="H34" s="1586"/>
    </row>
    <row r="35" spans="1:8" ht="21.75" customHeight="1" x14ac:dyDescent="0.2">
      <c r="A35" s="1587">
        <v>7</v>
      </c>
      <c r="B35" s="1589" t="s">
        <v>1716</v>
      </c>
      <c r="C35" s="287">
        <v>2279</v>
      </c>
      <c r="D35" s="1288">
        <v>180423</v>
      </c>
      <c r="E35" s="894"/>
      <c r="F35" s="862">
        <f t="shared" si="1"/>
        <v>180423</v>
      </c>
      <c r="G35" s="1806"/>
      <c r="H35" s="1584" t="s">
        <v>1717</v>
      </c>
    </row>
    <row r="36" spans="1:8" ht="21.75" customHeight="1" x14ac:dyDescent="0.2">
      <c r="A36" s="1795"/>
      <c r="B36" s="1796"/>
      <c r="C36" s="287">
        <v>2264</v>
      </c>
      <c r="D36" s="1288">
        <v>3313</v>
      </c>
      <c r="E36" s="894"/>
      <c r="F36" s="862">
        <f t="shared" si="1"/>
        <v>3313</v>
      </c>
      <c r="G36" s="1807"/>
      <c r="H36" s="1585"/>
    </row>
    <row r="37" spans="1:8" ht="21.75" customHeight="1" x14ac:dyDescent="0.2">
      <c r="A37" s="1795"/>
      <c r="B37" s="1796"/>
      <c r="C37" s="287">
        <v>2248</v>
      </c>
      <c r="D37" s="1288">
        <v>115</v>
      </c>
      <c r="E37" s="894"/>
      <c r="F37" s="862">
        <f t="shared" si="1"/>
        <v>115</v>
      </c>
      <c r="G37" s="1807"/>
      <c r="H37" s="1585"/>
    </row>
    <row r="38" spans="1:8" ht="21.75" customHeight="1" x14ac:dyDescent="0.2">
      <c r="A38" s="1795"/>
      <c r="B38" s="1796"/>
      <c r="C38" s="287">
        <v>1150</v>
      </c>
      <c r="D38" s="1288">
        <f>45198+3515</f>
        <v>48713</v>
      </c>
      <c r="E38" s="894"/>
      <c r="F38" s="862">
        <f t="shared" si="1"/>
        <v>48713</v>
      </c>
      <c r="G38" s="1807"/>
      <c r="H38" s="1585"/>
    </row>
    <row r="39" spans="1:8" ht="21.75" customHeight="1" x14ac:dyDescent="0.2">
      <c r="A39" s="1588"/>
      <c r="B39" s="1590"/>
      <c r="C39" s="287">
        <v>1210</v>
      </c>
      <c r="D39" s="1288">
        <f>2260+176</f>
        <v>2436</v>
      </c>
      <c r="E39" s="894"/>
      <c r="F39" s="862">
        <f t="shared" si="1"/>
        <v>2436</v>
      </c>
      <c r="G39" s="1808"/>
      <c r="H39" s="1586"/>
    </row>
    <row r="40" spans="1:8" x14ac:dyDescent="0.2">
      <c r="A40" s="1809">
        <v>8</v>
      </c>
      <c r="B40" s="1805" t="s">
        <v>1718</v>
      </c>
      <c r="C40" s="287">
        <v>6422</v>
      </c>
      <c r="D40" s="290">
        <v>3508</v>
      </c>
      <c r="E40" s="862"/>
      <c r="F40" s="862">
        <f t="shared" si="1"/>
        <v>3508</v>
      </c>
      <c r="G40" s="290"/>
      <c r="H40" s="1803" t="s">
        <v>2094</v>
      </c>
    </row>
    <row r="41" spans="1:8" x14ac:dyDescent="0.2">
      <c r="A41" s="1809"/>
      <c r="B41" s="1805"/>
      <c r="C41" s="287">
        <v>1150</v>
      </c>
      <c r="D41" s="290">
        <v>12365</v>
      </c>
      <c r="E41" s="292"/>
      <c r="F41" s="862">
        <f t="shared" si="1"/>
        <v>12365</v>
      </c>
      <c r="G41" s="290"/>
      <c r="H41" s="1803"/>
    </row>
    <row r="42" spans="1:8" ht="15" customHeight="1" x14ac:dyDescent="0.2">
      <c r="A42" s="1809"/>
      <c r="B42" s="1805"/>
      <c r="C42" s="287">
        <v>1210</v>
      </c>
      <c r="D42" s="290">
        <v>619</v>
      </c>
      <c r="E42" s="292"/>
      <c r="F42" s="862">
        <f t="shared" si="1"/>
        <v>619</v>
      </c>
      <c r="G42" s="290"/>
      <c r="H42" s="1803"/>
    </row>
    <row r="43" spans="1:8" ht="15" customHeight="1" x14ac:dyDescent="0.2">
      <c r="A43" s="1809"/>
      <c r="B43" s="1805"/>
      <c r="C43" s="287">
        <v>2231</v>
      </c>
      <c r="D43" s="290">
        <v>4787</v>
      </c>
      <c r="E43" s="292"/>
      <c r="F43" s="862">
        <f t="shared" si="1"/>
        <v>4787</v>
      </c>
      <c r="G43" s="290"/>
      <c r="H43" s="1803"/>
    </row>
    <row r="44" spans="1:8" ht="15" customHeight="1" x14ac:dyDescent="0.2">
      <c r="A44" s="1809"/>
      <c r="B44" s="1805"/>
      <c r="C44" s="287">
        <v>2264</v>
      </c>
      <c r="D44" s="290">
        <v>1473</v>
      </c>
      <c r="E44" s="292"/>
      <c r="F44" s="862">
        <f t="shared" si="1"/>
        <v>1473</v>
      </c>
      <c r="G44" s="290"/>
      <c r="H44" s="1803"/>
    </row>
    <row r="45" spans="1:8" ht="15" customHeight="1" x14ac:dyDescent="0.2">
      <c r="A45" s="1809"/>
      <c r="B45" s="1805"/>
      <c r="C45" s="287">
        <v>2314</v>
      </c>
      <c r="D45" s="290">
        <v>148</v>
      </c>
      <c r="E45" s="292"/>
      <c r="F45" s="862">
        <f t="shared" si="1"/>
        <v>148</v>
      </c>
      <c r="G45" s="290"/>
      <c r="H45" s="1803"/>
    </row>
    <row r="46" spans="1:8" ht="15" customHeight="1" x14ac:dyDescent="0.2">
      <c r="A46" s="1809"/>
      <c r="B46" s="1805"/>
      <c r="C46" s="294">
        <v>2279</v>
      </c>
      <c r="D46" s="290">
        <v>765</v>
      </c>
      <c r="E46" s="292"/>
      <c r="F46" s="862">
        <f t="shared" si="1"/>
        <v>765</v>
      </c>
      <c r="G46" s="290"/>
      <c r="H46" s="1803"/>
    </row>
    <row r="47" spans="1:8" ht="60.75" customHeight="1" x14ac:dyDescent="0.2">
      <c r="A47" s="293">
        <v>9</v>
      </c>
      <c r="B47" s="1412" t="s">
        <v>1719</v>
      </c>
      <c r="C47" s="294">
        <v>2279</v>
      </c>
      <c r="D47" s="290">
        <v>50000</v>
      </c>
      <c r="E47" s="290"/>
      <c r="F47" s="862">
        <f t="shared" si="1"/>
        <v>50000</v>
      </c>
      <c r="G47" s="290"/>
      <c r="H47" s="291" t="s">
        <v>1720</v>
      </c>
    </row>
    <row r="48" spans="1:8" ht="30" customHeight="1" x14ac:dyDescent="0.2">
      <c r="A48" s="1587">
        <v>10</v>
      </c>
      <c r="B48" s="1589" t="s">
        <v>1721</v>
      </c>
      <c r="C48" s="287">
        <v>2275</v>
      </c>
      <c r="D48" s="290">
        <v>11316</v>
      </c>
      <c r="E48" s="289">
        <v>-11316</v>
      </c>
      <c r="F48" s="862">
        <f t="shared" si="1"/>
        <v>0</v>
      </c>
      <c r="G48" s="290" t="s">
        <v>1777</v>
      </c>
      <c r="H48" s="1810" t="s">
        <v>1722</v>
      </c>
    </row>
    <row r="49" spans="1:8" ht="30" customHeight="1" x14ac:dyDescent="0.2">
      <c r="A49" s="1588"/>
      <c r="B49" s="1590"/>
      <c r="C49" s="287">
        <v>2279</v>
      </c>
      <c r="D49" s="290">
        <v>27143</v>
      </c>
      <c r="E49" s="292"/>
      <c r="F49" s="862">
        <f t="shared" si="1"/>
        <v>27143</v>
      </c>
      <c r="G49" s="290"/>
      <c r="H49" s="1811"/>
    </row>
    <row r="50" spans="1:8" ht="12.6" customHeight="1" x14ac:dyDescent="0.2">
      <c r="A50" s="1804">
        <v>11</v>
      </c>
      <c r="B50" s="1805" t="s">
        <v>1723</v>
      </c>
      <c r="C50" s="287">
        <v>2261</v>
      </c>
      <c r="D50" s="290">
        <v>1211</v>
      </c>
      <c r="E50" s="290"/>
      <c r="F50" s="862">
        <f t="shared" si="1"/>
        <v>1211</v>
      </c>
      <c r="G50" s="290"/>
      <c r="H50" s="1803" t="s">
        <v>1724</v>
      </c>
    </row>
    <row r="51" spans="1:8" ht="12.75" customHeight="1" x14ac:dyDescent="0.2">
      <c r="A51" s="1804"/>
      <c r="B51" s="1805"/>
      <c r="C51" s="287">
        <v>6423</v>
      </c>
      <c r="D51" s="290">
        <v>289</v>
      </c>
      <c r="E51" s="290"/>
      <c r="F51" s="862">
        <f t="shared" si="1"/>
        <v>289</v>
      </c>
      <c r="G51" s="290"/>
      <c r="H51" s="1803"/>
    </row>
    <row r="52" spans="1:8" ht="36" x14ac:dyDescent="0.2">
      <c r="A52" s="286">
        <v>12</v>
      </c>
      <c r="B52" s="1412" t="s">
        <v>1725</v>
      </c>
      <c r="C52" s="1413">
        <v>5240</v>
      </c>
      <c r="D52" s="288">
        <v>10843</v>
      </c>
      <c r="E52" s="288"/>
      <c r="F52" s="862">
        <f t="shared" si="1"/>
        <v>10843</v>
      </c>
      <c r="G52" s="288"/>
      <c r="H52" s="286" t="s">
        <v>1726</v>
      </c>
    </row>
    <row r="53" spans="1:8" ht="17.25" customHeight="1" x14ac:dyDescent="0.2">
      <c r="A53" s="1587">
        <v>13</v>
      </c>
      <c r="B53" s="1589" t="s">
        <v>1727</v>
      </c>
      <c r="C53" s="1413">
        <v>5240</v>
      </c>
      <c r="D53" s="288">
        <v>0</v>
      </c>
      <c r="E53" s="332"/>
      <c r="F53" s="862">
        <f t="shared" si="1"/>
        <v>0</v>
      </c>
      <c r="G53" s="288"/>
      <c r="H53" s="1587" t="s">
        <v>1726</v>
      </c>
    </row>
    <row r="54" spans="1:8" ht="17.25" customHeight="1" x14ac:dyDescent="0.2">
      <c r="A54" s="1795"/>
      <c r="B54" s="1796"/>
      <c r="C54" s="1413">
        <v>1150</v>
      </c>
      <c r="D54" s="288">
        <v>950</v>
      </c>
      <c r="E54" s="332"/>
      <c r="F54" s="862">
        <f t="shared" si="1"/>
        <v>950</v>
      </c>
      <c r="G54" s="288"/>
      <c r="H54" s="1795"/>
    </row>
    <row r="55" spans="1:8" ht="17.25" customHeight="1" x14ac:dyDescent="0.2">
      <c r="A55" s="1588"/>
      <c r="B55" s="1590"/>
      <c r="C55" s="1413">
        <v>1210</v>
      </c>
      <c r="D55" s="288">
        <v>48</v>
      </c>
      <c r="E55" s="332"/>
      <c r="F55" s="862">
        <f t="shared" si="1"/>
        <v>48</v>
      </c>
      <c r="G55" s="288"/>
      <c r="H55" s="1588"/>
    </row>
    <row r="56" spans="1:8" ht="38.25" customHeight="1" x14ac:dyDescent="0.2">
      <c r="A56" s="286">
        <v>14</v>
      </c>
      <c r="B56" s="1412" t="s">
        <v>1728</v>
      </c>
      <c r="C56" s="1413">
        <v>2279</v>
      </c>
      <c r="D56" s="288">
        <v>100000</v>
      </c>
      <c r="E56" s="288"/>
      <c r="F56" s="862">
        <f t="shared" si="1"/>
        <v>100000</v>
      </c>
      <c r="G56" s="288"/>
      <c r="H56" s="286" t="s">
        <v>1729</v>
      </c>
    </row>
    <row r="57" spans="1:8" ht="36" x14ac:dyDescent="0.2">
      <c r="A57" s="286">
        <v>15</v>
      </c>
      <c r="B57" s="1412" t="s">
        <v>1730</v>
      </c>
      <c r="C57" s="1413">
        <v>2275</v>
      </c>
      <c r="D57" s="290">
        <v>30000</v>
      </c>
      <c r="E57" s="290"/>
      <c r="F57" s="862">
        <f t="shared" si="1"/>
        <v>30000</v>
      </c>
      <c r="G57" s="290"/>
      <c r="H57" s="1410" t="s">
        <v>1731</v>
      </c>
    </row>
    <row r="58" spans="1:8" ht="44.25" customHeight="1" x14ac:dyDescent="0.2">
      <c r="A58" s="286">
        <v>16</v>
      </c>
      <c r="B58" s="1412" t="s">
        <v>1732</v>
      </c>
      <c r="C58" s="1413">
        <v>2279</v>
      </c>
      <c r="D58" s="290">
        <v>2400</v>
      </c>
      <c r="E58" s="292"/>
      <c r="F58" s="862">
        <f t="shared" si="1"/>
        <v>2400</v>
      </c>
      <c r="G58" s="290"/>
      <c r="H58" s="1410" t="s">
        <v>1733</v>
      </c>
    </row>
    <row r="59" spans="1:8" ht="57" customHeight="1" x14ac:dyDescent="0.2">
      <c r="A59" s="286">
        <v>17</v>
      </c>
      <c r="B59" s="1412" t="s">
        <v>1734</v>
      </c>
      <c r="C59" s="1413">
        <v>3263</v>
      </c>
      <c r="D59" s="290">
        <v>5326</v>
      </c>
      <c r="E59" s="292"/>
      <c r="F59" s="862">
        <f t="shared" si="1"/>
        <v>5326</v>
      </c>
      <c r="G59" s="290"/>
      <c r="H59" s="1410" t="s">
        <v>1735</v>
      </c>
    </row>
    <row r="60" spans="1:8" ht="39" customHeight="1" x14ac:dyDescent="0.2">
      <c r="A60" s="286">
        <v>18</v>
      </c>
      <c r="B60" s="1412" t="s">
        <v>1736</v>
      </c>
      <c r="C60" s="1413">
        <v>2279</v>
      </c>
      <c r="D60" s="290">
        <v>2600</v>
      </c>
      <c r="E60" s="292"/>
      <c r="F60" s="862">
        <f t="shared" si="1"/>
        <v>2600</v>
      </c>
      <c r="G60" s="290"/>
      <c r="H60" s="286" t="s">
        <v>1737</v>
      </c>
    </row>
    <row r="61" spans="1:8" ht="39.75" customHeight="1" x14ac:dyDescent="0.2">
      <c r="A61" s="286">
        <v>19</v>
      </c>
      <c r="B61" s="1412" t="s">
        <v>1738</v>
      </c>
      <c r="C61" s="1413">
        <v>2279</v>
      </c>
      <c r="D61" s="290">
        <v>800</v>
      </c>
      <c r="E61" s="292"/>
      <c r="F61" s="862">
        <f t="shared" si="1"/>
        <v>800</v>
      </c>
      <c r="G61" s="290"/>
      <c r="H61" s="286" t="s">
        <v>1739</v>
      </c>
    </row>
    <row r="62" spans="1:8" ht="17.25" customHeight="1" x14ac:dyDescent="0.2">
      <c r="A62" s="1815">
        <v>20</v>
      </c>
      <c r="B62" s="1589" t="s">
        <v>1740</v>
      </c>
      <c r="C62" s="1408">
        <v>1150</v>
      </c>
      <c r="D62" s="862"/>
      <c r="E62" s="289">
        <v>471</v>
      </c>
      <c r="F62" s="862">
        <f t="shared" si="1"/>
        <v>471</v>
      </c>
      <c r="G62" s="1818" t="s">
        <v>1741</v>
      </c>
      <c r="H62" s="1587" t="s">
        <v>1742</v>
      </c>
    </row>
    <row r="63" spans="1:8" ht="15.75" customHeight="1" x14ac:dyDescent="0.2">
      <c r="A63" s="1816"/>
      <c r="B63" s="1796"/>
      <c r="C63" s="1408">
        <v>1210</v>
      </c>
      <c r="D63" s="862"/>
      <c r="E63" s="289">
        <v>24</v>
      </c>
      <c r="F63" s="862">
        <f t="shared" si="1"/>
        <v>24</v>
      </c>
      <c r="G63" s="1819"/>
      <c r="H63" s="1795"/>
    </row>
    <row r="64" spans="1:8" ht="48" x14ac:dyDescent="0.2">
      <c r="A64" s="1817"/>
      <c r="B64" s="1590"/>
      <c r="C64" s="1408">
        <v>2314</v>
      </c>
      <c r="D64" s="862"/>
      <c r="E64" s="289">
        <v>363</v>
      </c>
      <c r="F64" s="862">
        <f t="shared" si="1"/>
        <v>363</v>
      </c>
      <c r="G64" s="862" t="s">
        <v>1743</v>
      </c>
      <c r="H64" s="1588"/>
    </row>
    <row r="65" spans="1:9" x14ac:dyDescent="0.2">
      <c r="A65" s="279"/>
      <c r="B65" s="1414"/>
      <c r="C65" s="279"/>
      <c r="D65" s="1415"/>
      <c r="E65" s="1415"/>
      <c r="F65" s="1415"/>
      <c r="G65" s="1415"/>
      <c r="H65" s="1415"/>
    </row>
    <row r="66" spans="1:9" x14ac:dyDescent="0.2">
      <c r="A66" s="279" t="s">
        <v>360</v>
      </c>
      <c r="B66" s="279"/>
      <c r="C66" s="279"/>
      <c r="D66" s="279"/>
      <c r="E66" s="279"/>
      <c r="F66" s="279"/>
      <c r="G66" s="279"/>
      <c r="H66" s="279"/>
    </row>
    <row r="67" spans="1:9" x14ac:dyDescent="0.2">
      <c r="A67" s="279" t="s">
        <v>361</v>
      </c>
      <c r="B67" s="279"/>
      <c r="C67" s="279"/>
      <c r="D67" s="279"/>
      <c r="E67" s="279"/>
      <c r="F67" s="279"/>
      <c r="G67" s="279"/>
      <c r="H67" s="279"/>
    </row>
    <row r="68" spans="1:9" x14ac:dyDescent="0.2">
      <c r="A68" s="1416" t="s">
        <v>1744</v>
      </c>
      <c r="B68" s="279"/>
      <c r="C68" s="279"/>
      <c r="D68" s="279"/>
      <c r="E68" s="279"/>
      <c r="F68" s="279"/>
      <c r="G68" s="1375"/>
      <c r="H68" s="279"/>
    </row>
    <row r="69" spans="1:9" x14ac:dyDescent="0.2">
      <c r="A69" s="279" t="s">
        <v>1745</v>
      </c>
      <c r="B69" s="279"/>
      <c r="C69" s="279"/>
      <c r="D69" s="1415"/>
      <c r="E69" s="1415"/>
      <c r="F69" s="1415"/>
      <c r="G69" s="1415"/>
      <c r="H69" s="279"/>
      <c r="I69" s="1291"/>
    </row>
    <row r="70" spans="1:9" x14ac:dyDescent="0.2">
      <c r="A70" s="927"/>
      <c r="B70" s="927" t="s">
        <v>1746</v>
      </c>
      <c r="C70" s="927"/>
      <c r="D70" s="1417"/>
      <c r="E70" s="1417"/>
      <c r="F70" s="1417"/>
      <c r="G70" s="1417"/>
      <c r="H70" s="927"/>
      <c r="I70" s="1291"/>
    </row>
    <row r="71" spans="1:9" x14ac:dyDescent="0.2">
      <c r="A71" s="927" t="s">
        <v>363</v>
      </c>
      <c r="B71" s="927"/>
      <c r="C71" s="927"/>
      <c r="D71" s="927"/>
      <c r="E71" s="927"/>
      <c r="F71" s="927"/>
      <c r="G71" s="927"/>
      <c r="H71" s="927"/>
      <c r="I71" s="1292"/>
    </row>
    <row r="72" spans="1:9" x14ac:dyDescent="0.2">
      <c r="A72" s="927"/>
      <c r="B72" s="927" t="s">
        <v>1747</v>
      </c>
      <c r="C72" s="927"/>
      <c r="D72" s="927"/>
      <c r="E72" s="927"/>
      <c r="F72" s="927"/>
      <c r="G72" s="927"/>
      <c r="H72" s="927"/>
      <c r="I72" s="1293"/>
    </row>
    <row r="73" spans="1:9" x14ac:dyDescent="0.2">
      <c r="A73" s="927"/>
      <c r="B73" s="927" t="s">
        <v>1748</v>
      </c>
      <c r="C73" s="927"/>
      <c r="D73" s="927"/>
      <c r="E73" s="927"/>
      <c r="F73" s="927"/>
      <c r="G73" s="927"/>
      <c r="H73" s="927"/>
      <c r="I73" s="1293"/>
    </row>
    <row r="74" spans="1:9" x14ac:dyDescent="0.2">
      <c r="A74" s="927" t="s">
        <v>1749</v>
      </c>
      <c r="B74" s="927"/>
      <c r="C74" s="927"/>
      <c r="D74" s="927"/>
      <c r="E74" s="927"/>
      <c r="F74" s="927"/>
      <c r="G74" s="927"/>
      <c r="H74" s="927"/>
      <c r="I74" s="1293"/>
    </row>
    <row r="75" spans="1:9" x14ac:dyDescent="0.2">
      <c r="A75" s="927"/>
      <c r="B75" s="927" t="s">
        <v>1750</v>
      </c>
      <c r="C75" s="927"/>
      <c r="D75" s="927"/>
      <c r="E75" s="927"/>
      <c r="F75" s="927"/>
      <c r="G75" s="927"/>
      <c r="H75" s="927"/>
      <c r="I75" s="1293"/>
    </row>
    <row r="76" spans="1:9" x14ac:dyDescent="0.2">
      <c r="A76" s="927"/>
      <c r="B76" s="927" t="s">
        <v>1751</v>
      </c>
      <c r="C76" s="927"/>
      <c r="D76" s="927"/>
      <c r="E76" s="927"/>
      <c r="F76" s="927"/>
      <c r="G76" s="927"/>
      <c r="H76" s="927"/>
      <c r="I76" s="1293"/>
    </row>
    <row r="77" spans="1:9" x14ac:dyDescent="0.2">
      <c r="A77" s="927"/>
      <c r="B77" s="927" t="s">
        <v>1752</v>
      </c>
      <c r="C77" s="927"/>
      <c r="D77" s="927"/>
      <c r="E77" s="927"/>
      <c r="F77" s="927"/>
      <c r="G77" s="927"/>
      <c r="H77" s="927"/>
      <c r="I77" s="1293"/>
    </row>
    <row r="78" spans="1:9" x14ac:dyDescent="0.2">
      <c r="A78" s="927"/>
      <c r="B78" s="927" t="s">
        <v>1753</v>
      </c>
      <c r="C78" s="927"/>
      <c r="D78" s="927"/>
      <c r="E78" s="927"/>
      <c r="F78" s="927"/>
      <c r="G78" s="927"/>
      <c r="H78" s="927"/>
      <c r="I78" s="1293"/>
    </row>
    <row r="79" spans="1:9" x14ac:dyDescent="0.2">
      <c r="A79" s="927"/>
      <c r="B79" s="927"/>
      <c r="C79" s="927"/>
      <c r="D79" s="927"/>
      <c r="E79" s="927"/>
      <c r="F79" s="927"/>
      <c r="G79" s="927"/>
      <c r="H79" s="927"/>
      <c r="I79" s="1293"/>
    </row>
    <row r="80" spans="1:9" x14ac:dyDescent="0.2">
      <c r="A80" s="1812" t="s">
        <v>1754</v>
      </c>
      <c r="B80" s="1812"/>
      <c r="C80" s="1812"/>
      <c r="D80" s="1812"/>
      <c r="E80" s="1812"/>
      <c r="F80" s="1812"/>
      <c r="G80" s="1812"/>
      <c r="H80" s="1812"/>
      <c r="I80" s="279"/>
    </row>
    <row r="81" spans="1:12" x14ac:dyDescent="0.2">
      <c r="A81" s="927" t="s">
        <v>1755</v>
      </c>
      <c r="B81" s="927"/>
      <c r="C81" s="927"/>
      <c r="D81" s="927"/>
      <c r="E81" s="927"/>
      <c r="F81" s="927"/>
      <c r="G81" s="927"/>
      <c r="H81" s="927"/>
      <c r="I81" s="279"/>
    </row>
    <row r="82" spans="1:12" x14ac:dyDescent="0.2">
      <c r="A82" s="927"/>
      <c r="B82" s="927" t="s">
        <v>1756</v>
      </c>
      <c r="C82" s="927"/>
      <c r="D82" s="927"/>
      <c r="E82" s="927"/>
      <c r="F82" s="927"/>
      <c r="G82" s="927"/>
      <c r="H82" s="927"/>
      <c r="I82" s="279"/>
    </row>
    <row r="83" spans="1:12" x14ac:dyDescent="0.2">
      <c r="A83" s="927"/>
      <c r="B83" s="927" t="s">
        <v>1757</v>
      </c>
      <c r="C83" s="927"/>
      <c r="D83" s="927"/>
      <c r="E83" s="927"/>
      <c r="F83" s="927"/>
      <c r="G83" s="927"/>
      <c r="H83" s="927"/>
      <c r="I83" s="279"/>
    </row>
    <row r="84" spans="1:12" x14ac:dyDescent="0.2">
      <c r="A84" s="927" t="s">
        <v>1758</v>
      </c>
      <c r="B84" s="927"/>
      <c r="C84" s="927"/>
      <c r="D84" s="927"/>
      <c r="E84" s="927"/>
      <c r="F84" s="927"/>
      <c r="G84" s="927"/>
      <c r="H84" s="927"/>
      <c r="I84" s="279"/>
    </row>
    <row r="85" spans="1:12" x14ac:dyDescent="0.2">
      <c r="A85" s="927"/>
      <c r="B85" s="927" t="s">
        <v>1759</v>
      </c>
      <c r="C85" s="927"/>
      <c r="D85" s="927"/>
      <c r="E85" s="927"/>
      <c r="F85" s="927"/>
      <c r="G85" s="927"/>
      <c r="H85" s="927"/>
      <c r="I85" s="279"/>
    </row>
    <row r="86" spans="1:12" ht="23.25" customHeight="1" x14ac:dyDescent="0.2">
      <c r="A86" s="927"/>
      <c r="B86" s="1813" t="s">
        <v>1760</v>
      </c>
      <c r="C86" s="1813"/>
      <c r="D86" s="1813"/>
      <c r="E86" s="1813"/>
      <c r="F86" s="1813"/>
      <c r="G86" s="1813"/>
      <c r="H86" s="1813"/>
      <c r="I86" s="1813"/>
      <c r="J86" s="1813"/>
      <c r="K86" s="1813"/>
      <c r="L86" s="1813"/>
    </row>
    <row r="87" spans="1:12" x14ac:dyDescent="0.2">
      <c r="A87" s="927"/>
      <c r="B87" s="927" t="s">
        <v>1761</v>
      </c>
      <c r="C87" s="927"/>
      <c r="D87" s="927"/>
      <c r="E87" s="927"/>
      <c r="F87" s="927"/>
      <c r="G87" s="927"/>
      <c r="H87" s="927"/>
      <c r="I87" s="279"/>
    </row>
    <row r="88" spans="1:12" x14ac:dyDescent="0.2">
      <c r="A88" s="927" t="s">
        <v>1762</v>
      </c>
      <c r="B88" s="927"/>
      <c r="C88" s="927"/>
      <c r="D88" s="927"/>
      <c r="E88" s="927"/>
      <c r="F88" s="927"/>
      <c r="G88" s="927"/>
      <c r="H88" s="927"/>
      <c r="I88" s="279"/>
    </row>
    <row r="89" spans="1:12" x14ac:dyDescent="0.2">
      <c r="A89" s="927"/>
      <c r="B89" s="927" t="s">
        <v>1763</v>
      </c>
      <c r="C89" s="927"/>
      <c r="D89" s="927"/>
      <c r="E89" s="927"/>
      <c r="F89" s="927"/>
      <c r="G89" s="927"/>
      <c r="H89" s="927"/>
      <c r="I89" s="279"/>
    </row>
    <row r="90" spans="1:12" x14ac:dyDescent="0.2">
      <c r="A90" s="927"/>
      <c r="B90" s="927" t="s">
        <v>1764</v>
      </c>
      <c r="C90" s="927"/>
      <c r="D90" s="927"/>
      <c r="E90" s="927"/>
      <c r="F90" s="927"/>
      <c r="G90" s="927"/>
      <c r="H90" s="927"/>
      <c r="I90" s="279"/>
    </row>
    <row r="91" spans="1:12" ht="23.25" customHeight="1" x14ac:dyDescent="0.2">
      <c r="A91" s="927"/>
      <c r="B91" s="1814" t="s">
        <v>1765</v>
      </c>
      <c r="C91" s="1814"/>
      <c r="D91" s="1814"/>
      <c r="E91" s="1814"/>
      <c r="F91" s="1814"/>
      <c r="G91" s="1814"/>
      <c r="H91" s="1814"/>
      <c r="I91" s="1814"/>
      <c r="J91" s="1814"/>
      <c r="K91" s="1814"/>
      <c r="L91" s="1814"/>
    </row>
    <row r="92" spans="1:12" x14ac:dyDescent="0.2">
      <c r="A92" s="927"/>
      <c r="B92" s="927" t="s">
        <v>1766</v>
      </c>
      <c r="C92" s="927"/>
      <c r="D92" s="927"/>
      <c r="E92" s="927"/>
      <c r="F92" s="927"/>
      <c r="G92" s="927"/>
      <c r="H92" s="927"/>
      <c r="I92" s="279"/>
    </row>
    <row r="93" spans="1:12" x14ac:dyDescent="0.2">
      <c r="A93" s="927" t="s">
        <v>1767</v>
      </c>
      <c r="B93" s="927"/>
      <c r="C93" s="927"/>
      <c r="D93" s="927"/>
      <c r="E93" s="927"/>
      <c r="F93" s="927"/>
      <c r="G93" s="927"/>
      <c r="H93" s="927"/>
      <c r="I93" s="279"/>
    </row>
    <row r="94" spans="1:12" ht="22.5" customHeight="1" x14ac:dyDescent="0.2">
      <c r="A94" s="927"/>
      <c r="B94" s="1813" t="s">
        <v>1768</v>
      </c>
      <c r="C94" s="1813"/>
      <c r="D94" s="1813"/>
      <c r="E94" s="1813"/>
      <c r="F94" s="1813"/>
      <c r="G94" s="1813"/>
      <c r="H94" s="1813"/>
      <c r="I94" s="1813"/>
      <c r="J94" s="1813"/>
      <c r="K94" s="1813"/>
      <c r="L94" s="1813"/>
    </row>
    <row r="95" spans="1:12" x14ac:dyDescent="0.2">
      <c r="A95" s="927"/>
      <c r="B95" s="927" t="s">
        <v>1769</v>
      </c>
      <c r="C95" s="927"/>
      <c r="D95" s="927"/>
      <c r="E95" s="927"/>
      <c r="F95" s="927"/>
      <c r="G95" s="927"/>
      <c r="H95" s="927"/>
      <c r="I95" s="279"/>
    </row>
    <row r="96" spans="1:12" x14ac:dyDescent="0.2">
      <c r="A96" s="927" t="s">
        <v>1770</v>
      </c>
      <c r="B96" s="927"/>
      <c r="C96" s="927"/>
      <c r="D96" s="927"/>
      <c r="E96" s="927"/>
      <c r="F96" s="927"/>
      <c r="G96" s="927"/>
      <c r="H96" s="927"/>
      <c r="I96" s="279"/>
    </row>
    <row r="97" spans="1:9" x14ac:dyDescent="0.2">
      <c r="A97" s="927"/>
      <c r="B97" s="927" t="s">
        <v>1771</v>
      </c>
      <c r="C97" s="927"/>
      <c r="D97" s="927"/>
      <c r="E97" s="927"/>
      <c r="F97" s="927"/>
      <c r="G97" s="927"/>
      <c r="H97" s="927"/>
      <c r="I97" s="279"/>
    </row>
    <row r="98" spans="1:9" x14ac:dyDescent="0.2">
      <c r="A98" s="927"/>
      <c r="B98" s="927" t="s">
        <v>1772</v>
      </c>
      <c r="C98" s="927"/>
      <c r="D98" s="927"/>
      <c r="E98" s="927"/>
      <c r="F98" s="927"/>
      <c r="G98" s="927"/>
      <c r="H98" s="927"/>
      <c r="I98" s="279"/>
    </row>
    <row r="99" spans="1:9" x14ac:dyDescent="0.2">
      <c r="A99" s="927"/>
      <c r="B99" s="927" t="s">
        <v>1773</v>
      </c>
      <c r="C99" s="927"/>
      <c r="D99" s="927"/>
      <c r="E99" s="927"/>
      <c r="F99" s="927"/>
      <c r="G99" s="927"/>
      <c r="H99" s="927"/>
      <c r="I99" s="279"/>
    </row>
    <row r="100" spans="1:9" x14ac:dyDescent="0.2">
      <c r="A100" s="927"/>
      <c r="B100" s="927"/>
      <c r="C100" s="927"/>
      <c r="D100" s="927"/>
      <c r="E100" s="927"/>
      <c r="F100" s="927"/>
      <c r="G100" s="927"/>
      <c r="H100" s="927"/>
      <c r="I100" s="279"/>
    </row>
    <row r="101" spans="1:9" x14ac:dyDescent="0.2">
      <c r="A101" s="343" t="s">
        <v>1774</v>
      </c>
      <c r="B101" s="279"/>
      <c r="C101" s="279"/>
      <c r="D101" s="279"/>
      <c r="E101" s="279"/>
      <c r="F101" s="279"/>
      <c r="G101" s="279"/>
      <c r="H101" s="279"/>
      <c r="I101" s="279"/>
    </row>
    <row r="102" spans="1:9" x14ac:dyDescent="0.2">
      <c r="B102" s="299" t="s">
        <v>1775</v>
      </c>
    </row>
    <row r="103" spans="1:9" x14ac:dyDescent="0.2">
      <c r="B103" s="299" t="s">
        <v>1776</v>
      </c>
    </row>
    <row r="106" spans="1:9" s="323" customFormat="1" ht="21" customHeight="1" x14ac:dyDescent="0.3">
      <c r="A106" s="1418"/>
      <c r="B106" s="1418"/>
      <c r="C106" s="1418"/>
      <c r="D106" s="1418"/>
      <c r="E106" s="1418"/>
      <c r="F106" s="1418"/>
      <c r="G106" s="1418"/>
      <c r="H106" s="1418"/>
    </row>
  </sheetData>
  <sheetProtection algorithmName="SHA-512" hashValue="wUuPUjy0WLPIxiF9MlLQ+Sh/SjWte2J/9iVgwukSijz5qt15lXZK5wpNaIiOTVO+6yTe5I1f/GM96a/UNw8Q+w==" saltValue="W6SdfroB07cHGASv1JZC9Q==" spinCount="100000" sheet="1" objects="1" scenarios="1"/>
  <mergeCells count="52">
    <mergeCell ref="A80:H80"/>
    <mergeCell ref="B86:L86"/>
    <mergeCell ref="B91:L91"/>
    <mergeCell ref="B94:L94"/>
    <mergeCell ref="A53:A55"/>
    <mergeCell ref="B53:B55"/>
    <mergeCell ref="H53:H55"/>
    <mergeCell ref="A62:A64"/>
    <mergeCell ref="B62:B64"/>
    <mergeCell ref="G62:G63"/>
    <mergeCell ref="H62:H64"/>
    <mergeCell ref="A48:A49"/>
    <mergeCell ref="B48:B49"/>
    <mergeCell ref="H48:H49"/>
    <mergeCell ref="A50:A51"/>
    <mergeCell ref="B50:B51"/>
    <mergeCell ref="H50:H51"/>
    <mergeCell ref="A35:A39"/>
    <mergeCell ref="B35:B39"/>
    <mergeCell ref="G35:G39"/>
    <mergeCell ref="H35:H39"/>
    <mergeCell ref="A40:A46"/>
    <mergeCell ref="B40:B46"/>
    <mergeCell ref="H40:H46"/>
    <mergeCell ref="A29:A31"/>
    <mergeCell ref="B29:B31"/>
    <mergeCell ref="H29:H31"/>
    <mergeCell ref="A32:A34"/>
    <mergeCell ref="B32:B34"/>
    <mergeCell ref="H32:H34"/>
    <mergeCell ref="A21:A24"/>
    <mergeCell ref="B21:B24"/>
    <mergeCell ref="H21:H24"/>
    <mergeCell ref="A26:A28"/>
    <mergeCell ref="B26:B28"/>
    <mergeCell ref="H26:H28"/>
    <mergeCell ref="A12:B12"/>
    <mergeCell ref="A13:A20"/>
    <mergeCell ref="B13:B20"/>
    <mergeCell ref="H13:H20"/>
    <mergeCell ref="G14:G15"/>
    <mergeCell ref="A3:B3"/>
    <mergeCell ref="A4:B4"/>
    <mergeCell ref="A5:H5"/>
    <mergeCell ref="A10:A11"/>
    <mergeCell ref="B10:B11"/>
    <mergeCell ref="C10:C11"/>
    <mergeCell ref="D10:D11"/>
    <mergeCell ref="E10:E11"/>
    <mergeCell ref="F10:F11"/>
    <mergeCell ref="G10:G11"/>
    <mergeCell ref="H10:H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76.pielikums Jūrmalas pilsētas domes
2019.gada 31.oktobra saistošajiem noteikumiem Nr.46
(protokols Nr.14, 28.punkts)</firstHeader>
    <firstFooter>&amp;L&amp;9&amp;D; &amp;T&amp;R&amp;9&amp;P (&amp;N)</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5" sqref="U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1944</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1583</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2093</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1945</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83950</v>
      </c>
      <c r="D20" s="32">
        <f>SUM(D21,D24,D25,D41,D43)</f>
        <v>48522</v>
      </c>
      <c r="E20" s="33">
        <f t="shared" ref="E20:F20" si="1">SUM(E21,E24,E25,E41,E43)</f>
        <v>35428</v>
      </c>
      <c r="F20" s="34">
        <f t="shared" si="1"/>
        <v>83950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39</v>
      </c>
      <c r="C21" s="38">
        <f t="shared" si="0"/>
        <v>25361</v>
      </c>
      <c r="D21" s="39">
        <f>SUM(D22:D23)</f>
        <v>25361</v>
      </c>
      <c r="E21" s="40">
        <f t="shared" ref="E21:F21" si="5">SUM(E22:E23)</f>
        <v>0</v>
      </c>
      <c r="F21" s="41">
        <f t="shared" si="5"/>
        <v>25361</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41</v>
      </c>
      <c r="C23" s="52">
        <f t="shared" si="0"/>
        <v>25361</v>
      </c>
      <c r="D23" s="53">
        <f>30861-5500</f>
        <v>25361</v>
      </c>
      <c r="E23" s="54"/>
      <c r="F23" s="55">
        <f t="shared" ref="F23:F25" si="9">D23+E23</f>
        <v>25361</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42</v>
      </c>
      <c r="C24" s="59">
        <f>F24+I24</f>
        <v>0</v>
      </c>
      <c r="D24" s="60"/>
      <c r="E24" s="63"/>
      <c r="F24" s="62">
        <f t="shared" si="9"/>
        <v>0</v>
      </c>
      <c r="G24" s="60"/>
      <c r="H24" s="63"/>
      <c r="I24" s="62">
        <f t="shared" si="10"/>
        <v>0</v>
      </c>
      <c r="J24" s="64" t="s">
        <v>43</v>
      </c>
      <c r="K24" s="65" t="s">
        <v>43</v>
      </c>
      <c r="L24" s="66" t="s">
        <v>43</v>
      </c>
      <c r="M24" s="64" t="s">
        <v>43</v>
      </c>
      <c r="N24" s="65" t="s">
        <v>43</v>
      </c>
      <c r="O24" s="66" t="s">
        <v>43</v>
      </c>
      <c r="P24" s="67"/>
    </row>
    <row r="25" spans="1:16" s="28" customFormat="1" ht="24.75" customHeight="1" x14ac:dyDescent="0.25">
      <c r="A25" s="68">
        <v>18630</v>
      </c>
      <c r="B25" s="69" t="s">
        <v>44</v>
      </c>
      <c r="C25" s="70">
        <f>F25</f>
        <v>58589</v>
      </c>
      <c r="D25" s="71">
        <f>3411+19750</f>
        <v>23161</v>
      </c>
      <c r="E25" s="1477">
        <v>35428</v>
      </c>
      <c r="F25" s="73">
        <f t="shared" si="9"/>
        <v>58589</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83950</v>
      </c>
      <c r="D50" s="159">
        <f>SUM(D51,D286)</f>
        <v>48522</v>
      </c>
      <c r="E50" s="160">
        <f t="shared" ref="E50:F50" si="26">SUM(E51,E286)</f>
        <v>35428</v>
      </c>
      <c r="F50" s="161">
        <f t="shared" si="26"/>
        <v>83950</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49665</v>
      </c>
      <c r="D51" s="165">
        <f>SUM(D52,D194)</f>
        <v>48522</v>
      </c>
      <c r="E51" s="166">
        <f t="shared" ref="E51:F51" si="30">SUM(E52,E194)</f>
        <v>1143</v>
      </c>
      <c r="F51" s="167">
        <f t="shared" si="30"/>
        <v>49665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22793</v>
      </c>
      <c r="D52" s="173">
        <f>SUM(D53,D75,D173,D187)</f>
        <v>22793</v>
      </c>
      <c r="E52" s="174">
        <f t="shared" ref="E52:F52" si="34">SUM(E53,E75,E173,E187)</f>
        <v>0</v>
      </c>
      <c r="F52" s="175">
        <f t="shared" si="34"/>
        <v>22793</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449">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22793</v>
      </c>
      <c r="D75" s="179">
        <f>SUM(D76,D83,D130,D164,D165,D172)</f>
        <v>22793</v>
      </c>
      <c r="E75" s="180">
        <f t="shared" ref="E75:F75" si="74">SUM(E76,E83,E130,E164,E165,E172)</f>
        <v>0</v>
      </c>
      <c r="F75" s="181">
        <f t="shared" si="74"/>
        <v>22793</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94</v>
      </c>
      <c r="C76" s="70">
        <f t="shared" si="0"/>
        <v>687</v>
      </c>
      <c r="D76" s="184">
        <f>SUM(D77,D80)</f>
        <v>687</v>
      </c>
      <c r="E76" s="185">
        <f t="shared" ref="E76:F76" si="78">SUM(E77,E80)</f>
        <v>0</v>
      </c>
      <c r="F76" s="73">
        <f t="shared" si="78"/>
        <v>687</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1449">
        <v>2110</v>
      </c>
      <c r="B77" s="82" t="s">
        <v>95</v>
      </c>
      <c r="C77" s="83">
        <f t="shared" si="0"/>
        <v>687</v>
      </c>
      <c r="D77" s="194">
        <f>SUM(D78:D79)</f>
        <v>687</v>
      </c>
      <c r="E77" s="195">
        <f t="shared" ref="E77:F77" si="82">SUM(E78:E79)</f>
        <v>0</v>
      </c>
      <c r="F77" s="134">
        <f t="shared" si="82"/>
        <v>687</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687</v>
      </c>
      <c r="D79" s="196">
        <v>687</v>
      </c>
      <c r="E79" s="197"/>
      <c r="F79" s="55">
        <f t="shared" si="86"/>
        <v>687</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19285</v>
      </c>
      <c r="D83" s="184">
        <f>SUM(D84,D89,D95,D103,D112,D116,D122,D128)</f>
        <v>19285</v>
      </c>
      <c r="E83" s="185">
        <f t="shared" ref="E83:F83" si="98">SUM(E84,E89,E95,E103,E112,E116,E122,E128)</f>
        <v>0</v>
      </c>
      <c r="F83" s="73">
        <f t="shared" si="98"/>
        <v>19285</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1400</v>
      </c>
      <c r="D116" s="190">
        <f>SUM(D117:D121)</f>
        <v>1400</v>
      </c>
      <c r="E116" s="191">
        <f t="shared" ref="E116:F116" si="143">SUM(E117:E121)</f>
        <v>0</v>
      </c>
      <c r="F116" s="55">
        <f t="shared" si="143"/>
        <v>1400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0.25" customHeight="1" x14ac:dyDescent="0.25">
      <c r="A118" s="51">
        <v>2262</v>
      </c>
      <c r="B118" s="89" t="s">
        <v>134</v>
      </c>
      <c r="C118" s="90">
        <f t="shared" si="102"/>
        <v>1400</v>
      </c>
      <c r="D118" s="196">
        <v>1400</v>
      </c>
      <c r="E118" s="197"/>
      <c r="F118" s="55">
        <f t="shared" si="147"/>
        <v>1400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2.5"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17885</v>
      </c>
      <c r="D122" s="190">
        <f>SUM(D123:D127)</f>
        <v>17885</v>
      </c>
      <c r="E122" s="191">
        <f t="shared" ref="E122:F122" si="151">SUM(E123:E127)</f>
        <v>0</v>
      </c>
      <c r="F122" s="55">
        <f t="shared" si="151"/>
        <v>17885</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f>372-372</f>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17885</v>
      </c>
      <c r="D127" s="196">
        <f>10313+7572</f>
        <v>17885</v>
      </c>
      <c r="E127" s="197"/>
      <c r="F127" s="55">
        <f t="shared" si="155"/>
        <v>17885</v>
      </c>
      <c r="G127" s="53"/>
      <c r="H127" s="54"/>
      <c r="I127" s="55">
        <f t="shared" si="156"/>
        <v>0</v>
      </c>
      <c r="J127" s="53"/>
      <c r="K127" s="54"/>
      <c r="L127" s="55">
        <f t="shared" si="157"/>
        <v>0</v>
      </c>
      <c r="M127" s="53"/>
      <c r="N127" s="54"/>
      <c r="O127" s="55">
        <f t="shared" si="158"/>
        <v>0</v>
      </c>
      <c r="P127" s="57"/>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2821</v>
      </c>
      <c r="D130" s="184">
        <f>SUM(D131,D136,D140,D141,D144,D151,D159,D160,D163)</f>
        <v>2821</v>
      </c>
      <c r="E130" s="185">
        <f t="shared" ref="E130:F130" si="160">SUM(E131,E136,E140,E141,E144,E151,E159,E160,E163)</f>
        <v>0</v>
      </c>
      <c r="F130" s="73">
        <f t="shared" si="160"/>
        <v>2821</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449">
        <v>2310</v>
      </c>
      <c r="B131" s="82" t="s">
        <v>147</v>
      </c>
      <c r="C131" s="83">
        <f t="shared" si="102"/>
        <v>2521</v>
      </c>
      <c r="D131" s="194">
        <f t="shared" ref="D131:O131" si="164">SUM(D132:D135)</f>
        <v>2521</v>
      </c>
      <c r="E131" s="195">
        <f t="shared" si="164"/>
        <v>0</v>
      </c>
      <c r="F131" s="134">
        <f t="shared" si="164"/>
        <v>2521</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600</v>
      </c>
      <c r="D132" s="196">
        <v>600</v>
      </c>
      <c r="E132" s="197"/>
      <c r="F132" s="55">
        <f t="shared" ref="F132:F135" si="165">D132+E132</f>
        <v>600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337</v>
      </c>
      <c r="D133" s="196">
        <v>337</v>
      </c>
      <c r="E133" s="197"/>
      <c r="F133" s="55">
        <f t="shared" si="165"/>
        <v>337</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1584</v>
      </c>
      <c r="D135" s="196">
        <v>1584</v>
      </c>
      <c r="E135" s="197"/>
      <c r="F135" s="55">
        <f t="shared" si="165"/>
        <v>1584</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300</v>
      </c>
      <c r="D159" s="203">
        <v>300</v>
      </c>
      <c r="E159" s="204"/>
      <c r="F159" s="141">
        <f t="shared" si="198"/>
        <v>300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26872</v>
      </c>
      <c r="D194" s="173">
        <f t="shared" ref="D194:O194" si="259">SUM(D195,D230,D269,D283)</f>
        <v>25729</v>
      </c>
      <c r="E194" s="174">
        <f t="shared" si="259"/>
        <v>1143</v>
      </c>
      <c r="F194" s="175">
        <f t="shared" si="259"/>
        <v>26872</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f>1137-1137</f>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8">
        <v>7000</v>
      </c>
      <c r="B269" s="228" t="s">
        <v>285</v>
      </c>
      <c r="C269" s="229">
        <f t="shared" si="288"/>
        <v>26872</v>
      </c>
      <c r="D269" s="230">
        <f>SUM(D270,D281)</f>
        <v>25729</v>
      </c>
      <c r="E269" s="231">
        <f t="shared" ref="E269:F269" si="355">SUM(E270,E281)</f>
        <v>1143</v>
      </c>
      <c r="F269" s="232">
        <f t="shared" si="355"/>
        <v>26872</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x14ac:dyDescent="0.25">
      <c r="A270" s="69">
        <v>7200</v>
      </c>
      <c r="B270" s="183" t="s">
        <v>286</v>
      </c>
      <c r="C270" s="70">
        <f t="shared" si="288"/>
        <v>26872</v>
      </c>
      <c r="D270" s="184">
        <f>SUM(D271,D272,D275,D276,D280)</f>
        <v>25729</v>
      </c>
      <c r="E270" s="185">
        <f t="shared" ref="E270:F270" si="359">SUM(E271,E272,E275,E276,E280)</f>
        <v>1143</v>
      </c>
      <c r="F270" s="73">
        <f t="shared" si="359"/>
        <v>26872</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291</v>
      </c>
      <c r="C275" s="90">
        <f t="shared" si="288"/>
        <v>26872</v>
      </c>
      <c r="D275" s="196">
        <f>19279+6450</f>
        <v>25729</v>
      </c>
      <c r="E275" s="358">
        <v>1143</v>
      </c>
      <c r="F275" s="55">
        <f t="shared" si="367"/>
        <v>26872</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34285</v>
      </c>
      <c r="D286" s="190">
        <f>SUM(D287:D288)</f>
        <v>0</v>
      </c>
      <c r="E286" s="191">
        <f t="shared" ref="E286:F286" si="381">SUM(E287:E288)</f>
        <v>34285</v>
      </c>
      <c r="F286" s="55">
        <f t="shared" si="381"/>
        <v>34285</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1" t="s">
        <v>303</v>
      </c>
      <c r="B287" s="51" t="s">
        <v>304</v>
      </c>
      <c r="C287" s="90">
        <f t="shared" si="371"/>
        <v>34285</v>
      </c>
      <c r="D287" s="196"/>
      <c r="E287" s="358">
        <v>34285</v>
      </c>
      <c r="F287" s="55">
        <f t="shared" ref="F287:F288" si="385">D287+E287</f>
        <v>34285</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83950</v>
      </c>
      <c r="D289" s="252">
        <f t="shared" ref="D289:O289" si="389">SUM(D286,D269,D230,D195,D187,D173,D75,D53,D283)</f>
        <v>48522</v>
      </c>
      <c r="E289" s="253">
        <f t="shared" si="389"/>
        <v>35428</v>
      </c>
      <c r="F289" s="254">
        <f t="shared" si="389"/>
        <v>83950</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256">
        <f t="shared" si="371"/>
        <v>8924</v>
      </c>
      <c r="D290" s="257">
        <f>SUM(D24,D25,D41)-D51</f>
        <v>-25361</v>
      </c>
      <c r="E290" s="258">
        <f t="shared" ref="E290:F290" si="390">SUM(E24,E25,E41)-E51</f>
        <v>34285</v>
      </c>
      <c r="F290" s="259">
        <f t="shared" si="390"/>
        <v>8924</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261">
        <f t="shared" si="371"/>
        <v>-8924</v>
      </c>
      <c r="D291" s="262">
        <f t="shared" ref="D291:O291" si="394">SUM(D292,D293)-D300+D301</f>
        <v>25361</v>
      </c>
      <c r="E291" s="263">
        <f t="shared" si="394"/>
        <v>-34285</v>
      </c>
      <c r="F291" s="264">
        <f t="shared" si="394"/>
        <v>-8924</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58">
        <f t="shared" si="371"/>
        <v>-8924</v>
      </c>
      <c r="D292" s="159">
        <f t="shared" ref="D292:O292" si="395">D21-D286</f>
        <v>25361</v>
      </c>
      <c r="E292" s="160">
        <f t="shared" si="395"/>
        <v>-34285</v>
      </c>
      <c r="F292" s="161">
        <f t="shared" si="395"/>
        <v>-8924</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cx+uVCz/pBzGYdJxgAztD1ktz+thRJSSJmKn031QT0wJR6xBzBB8PIUoX/PrORUx+O3mzKimdIFlyIxMdJnjAQ==" saltValue="M6fnoghOHjEhUjNfnuYrcw==" spinCount="100000" sheet="1" objects="1" scenarios="1" formatCells="0" formatColumns="0" formatRows="0" deleteColumns="0"/>
  <autoFilter ref="A18:P301">
    <filterColumn colId="2">
      <filters>
        <filter val="1 400"/>
        <filter val="1 584"/>
        <filter val="17 885"/>
        <filter val="19 285"/>
        <filter val="2 521"/>
        <filter val="2 821"/>
        <filter val="22 793"/>
        <filter val="25 361"/>
        <filter val="26 872"/>
        <filter val="300"/>
        <filter val="337"/>
        <filter val="34 285"/>
        <filter val="49 665"/>
        <filter val="58 589"/>
        <filter val="600"/>
        <filter val="687"/>
        <filter val="8 924"/>
        <filter val="-8 924"/>
        <filter val="83 95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77.pielikums Jūrmalas pilsētas domes
2019.gada 31.oktobra saistošajiem noteikumiem Nr.46
(protokols Nr.14, 28.punkts)
 </firstHeader>
    <firstFooter>&amp;L&amp;9&amp;D; &amp;T&amp;R&amp;9&amp;P (&amp;N)</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R4" sqref="R4"/>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2073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2074</v>
      </c>
      <c r="D3" s="1517"/>
      <c r="E3" s="1517"/>
      <c r="F3" s="1517"/>
      <c r="G3" s="1517"/>
      <c r="H3" s="1517"/>
      <c r="I3" s="1517"/>
      <c r="J3" s="1517"/>
      <c r="K3" s="1517"/>
      <c r="L3" s="1517"/>
      <c r="M3" s="1517"/>
      <c r="N3" s="1517"/>
      <c r="O3" s="1517"/>
      <c r="P3" s="1518"/>
      <c r="Q3" s="277"/>
    </row>
    <row r="4" spans="1:17" ht="12.75" customHeight="1" x14ac:dyDescent="0.25">
      <c r="A4" s="5" t="s">
        <v>4</v>
      </c>
      <c r="B4" s="6"/>
      <c r="C4" s="1517" t="s">
        <v>2075</v>
      </c>
      <c r="D4" s="1517"/>
      <c r="E4" s="1517"/>
      <c r="F4" s="1517"/>
      <c r="G4" s="1517"/>
      <c r="H4" s="1517"/>
      <c r="I4" s="1517"/>
      <c r="J4" s="1517"/>
      <c r="K4" s="1517"/>
      <c r="L4" s="1517"/>
      <c r="M4" s="1517"/>
      <c r="N4" s="1517"/>
      <c r="O4" s="1517"/>
      <c r="P4" s="1518"/>
      <c r="Q4" s="277"/>
    </row>
    <row r="5" spans="1:17" ht="12.75" customHeight="1" x14ac:dyDescent="0.25">
      <c r="A5" s="7" t="s">
        <v>6</v>
      </c>
      <c r="B5" s="8"/>
      <c r="C5" s="1512" t="s">
        <v>2076</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5.5" customHeight="1" x14ac:dyDescent="0.25">
      <c r="A7" s="7" t="s">
        <v>10</v>
      </c>
      <c r="B7" s="8"/>
      <c r="C7" s="1517" t="s">
        <v>804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2077</v>
      </c>
      <c r="D9" s="1512"/>
      <c r="E9" s="1512"/>
      <c r="F9" s="1512"/>
      <c r="G9" s="1512"/>
      <c r="H9" s="1512"/>
      <c r="I9" s="1512"/>
      <c r="J9" s="1512"/>
      <c r="K9" s="1512"/>
      <c r="L9" s="1512"/>
      <c r="M9" s="1512"/>
      <c r="N9" s="1512"/>
      <c r="O9" s="1512"/>
      <c r="P9" s="1513"/>
      <c r="Q9" s="277"/>
    </row>
    <row r="10" spans="1:17" ht="12.75" customHeight="1" x14ac:dyDescent="0.25">
      <c r="A10" s="7"/>
      <c r="B10" s="8" t="s">
        <v>15</v>
      </c>
      <c r="C10" s="1512" t="s">
        <v>2078</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2079</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908791</v>
      </c>
      <c r="D20" s="32">
        <f>SUM(D21,D24,D25,D41,D43)</f>
        <v>635002</v>
      </c>
      <c r="E20" s="33">
        <f t="shared" ref="E20:F20" si="1">SUM(E21,E24,E25,E41,E43)</f>
        <v>4693</v>
      </c>
      <c r="F20" s="34">
        <f t="shared" si="1"/>
        <v>639695</v>
      </c>
      <c r="G20" s="32">
        <f>SUM(G21,G24,G43)</f>
        <v>228075</v>
      </c>
      <c r="H20" s="33">
        <f t="shared" ref="H20:I20" si="2">SUM(H21,H24,H43)</f>
        <v>8930</v>
      </c>
      <c r="I20" s="34">
        <f t="shared" si="2"/>
        <v>237005</v>
      </c>
      <c r="J20" s="32">
        <f>SUM(J21,J26,J43)</f>
        <v>32091</v>
      </c>
      <c r="K20" s="33">
        <f t="shared" ref="K20:L20" si="3">SUM(K21,K26,K43)</f>
        <v>0</v>
      </c>
      <c r="L20" s="34">
        <f t="shared" si="3"/>
        <v>32091</v>
      </c>
      <c r="M20" s="32">
        <f>SUM(M21,M45)</f>
        <v>0</v>
      </c>
      <c r="N20" s="33">
        <f t="shared" ref="N20:O20" si="4">SUM(N21,N45)</f>
        <v>0</v>
      </c>
      <c r="O20" s="34">
        <f t="shared" si="4"/>
        <v>0</v>
      </c>
      <c r="P20" s="35"/>
    </row>
    <row r="21" spans="1:16" ht="12.75" thickTop="1" x14ac:dyDescent="0.25">
      <c r="A21" s="36"/>
      <c r="B21" s="37" t="s">
        <v>39</v>
      </c>
      <c r="C21" s="38">
        <f t="shared" si="0"/>
        <v>5337</v>
      </c>
      <c r="D21" s="39">
        <f>SUM(D22:D23)</f>
        <v>0</v>
      </c>
      <c r="E21" s="40">
        <f t="shared" ref="E21:F21" si="5">SUM(E22:E23)</f>
        <v>0</v>
      </c>
      <c r="F21" s="41">
        <f t="shared" si="5"/>
        <v>0</v>
      </c>
      <c r="G21" s="39">
        <f>SUM(G22:G23)</f>
        <v>0</v>
      </c>
      <c r="H21" s="40">
        <f t="shared" ref="H21:I21" si="6">SUM(H22:H23)</f>
        <v>0</v>
      </c>
      <c r="I21" s="41">
        <f t="shared" si="6"/>
        <v>0</v>
      </c>
      <c r="J21" s="39">
        <f>SUM(J22:J23)</f>
        <v>5337</v>
      </c>
      <c r="K21" s="40">
        <f t="shared" ref="K21:L21" si="7">SUM(K22:K23)</f>
        <v>0</v>
      </c>
      <c r="L21" s="41">
        <f t="shared" si="7"/>
        <v>5337</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22.5" customHeight="1" x14ac:dyDescent="0.25">
      <c r="A23" s="50"/>
      <c r="B23" s="51" t="s">
        <v>41</v>
      </c>
      <c r="C23" s="52">
        <f t="shared" si="0"/>
        <v>5337</v>
      </c>
      <c r="D23" s="53"/>
      <c r="E23" s="54"/>
      <c r="F23" s="55">
        <f t="shared" ref="F23:F25" si="9">D23+E23</f>
        <v>0</v>
      </c>
      <c r="G23" s="53"/>
      <c r="H23" s="54"/>
      <c r="I23" s="55">
        <f t="shared" ref="I23:I24" si="10">G23+H23</f>
        <v>0</v>
      </c>
      <c r="J23" s="53">
        <v>5337</v>
      </c>
      <c r="K23" s="54"/>
      <c r="L23" s="56">
        <f>K23+J23</f>
        <v>5337</v>
      </c>
      <c r="M23" s="53"/>
      <c r="N23" s="54"/>
      <c r="O23" s="55">
        <f>N23+M23</f>
        <v>0</v>
      </c>
      <c r="P23" s="57"/>
    </row>
    <row r="24" spans="1:16" s="28" customFormat="1" ht="37.5" customHeight="1" thickBot="1" x14ac:dyDescent="0.3">
      <c r="A24" s="58">
        <v>19300</v>
      </c>
      <c r="B24" s="58" t="s">
        <v>42</v>
      </c>
      <c r="C24" s="59">
        <f>F24+I24</f>
        <v>876700</v>
      </c>
      <c r="D24" s="60">
        <v>635002</v>
      </c>
      <c r="E24" s="63">
        <v>4693</v>
      </c>
      <c r="F24" s="62">
        <f t="shared" si="9"/>
        <v>639695</v>
      </c>
      <c r="G24" s="60">
        <v>228075</v>
      </c>
      <c r="H24" s="63">
        <v>8930</v>
      </c>
      <c r="I24" s="62">
        <f t="shared" si="10"/>
        <v>237005</v>
      </c>
      <c r="J24" s="64" t="s">
        <v>43</v>
      </c>
      <c r="K24" s="65" t="s">
        <v>43</v>
      </c>
      <c r="L24" s="66" t="s">
        <v>43</v>
      </c>
      <c r="M24" s="64" t="s">
        <v>43</v>
      </c>
      <c r="N24" s="65" t="s">
        <v>43</v>
      </c>
      <c r="O24" s="66" t="s">
        <v>43</v>
      </c>
      <c r="P24" s="726" t="s">
        <v>2085</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26754</v>
      </c>
      <c r="D26" s="74" t="s">
        <v>43</v>
      </c>
      <c r="E26" s="75" t="s">
        <v>43</v>
      </c>
      <c r="F26" s="76" t="s">
        <v>43</v>
      </c>
      <c r="G26" s="74" t="s">
        <v>43</v>
      </c>
      <c r="H26" s="75" t="s">
        <v>43</v>
      </c>
      <c r="I26" s="76" t="s">
        <v>43</v>
      </c>
      <c r="J26" s="78">
        <f>SUM(J27,J31,J33,J36)</f>
        <v>26754</v>
      </c>
      <c r="K26" s="79">
        <f t="shared" ref="K26:L26" si="11">SUM(K27,K31,K33,K36)</f>
        <v>0</v>
      </c>
      <c r="L26" s="80">
        <f t="shared" si="11"/>
        <v>26754</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26754</v>
      </c>
      <c r="D36" s="74" t="s">
        <v>43</v>
      </c>
      <c r="E36" s="75" t="s">
        <v>43</v>
      </c>
      <c r="F36" s="76" t="s">
        <v>43</v>
      </c>
      <c r="G36" s="74" t="s">
        <v>43</v>
      </c>
      <c r="H36" s="75" t="s">
        <v>43</v>
      </c>
      <c r="I36" s="76" t="s">
        <v>43</v>
      </c>
      <c r="J36" s="78">
        <f>SUM(J37:J40)</f>
        <v>26754</v>
      </c>
      <c r="K36" s="79">
        <f t="shared" ref="K36:L36" si="19">SUM(K37:K40)</f>
        <v>0</v>
      </c>
      <c r="L36" s="80">
        <f t="shared" si="19"/>
        <v>26754</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26754</v>
      </c>
      <c r="D40" s="111" t="s">
        <v>43</v>
      </c>
      <c r="E40" s="112" t="s">
        <v>43</v>
      </c>
      <c r="F40" s="113" t="s">
        <v>43</v>
      </c>
      <c r="G40" s="111" t="s">
        <v>43</v>
      </c>
      <c r="H40" s="112" t="s">
        <v>43</v>
      </c>
      <c r="I40" s="113" t="s">
        <v>43</v>
      </c>
      <c r="J40" s="114">
        <v>26754</v>
      </c>
      <c r="K40" s="115"/>
      <c r="L40" s="116">
        <f t="shared" si="20"/>
        <v>26754</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908791</v>
      </c>
      <c r="D50" s="159">
        <f>SUM(D51,D286)</f>
        <v>635002</v>
      </c>
      <c r="E50" s="160">
        <f t="shared" ref="E50:F50" si="26">SUM(E51,E286)</f>
        <v>4693</v>
      </c>
      <c r="F50" s="161">
        <f t="shared" si="26"/>
        <v>639695</v>
      </c>
      <c r="G50" s="159">
        <f>SUM(G51,G286)</f>
        <v>228075</v>
      </c>
      <c r="H50" s="160">
        <f>SUM(H51,H286)</f>
        <v>8930</v>
      </c>
      <c r="I50" s="161">
        <f t="shared" ref="I50" si="27">SUM(I51,I286)</f>
        <v>237005</v>
      </c>
      <c r="J50" s="32">
        <f>SUM(J51,J286)</f>
        <v>32091</v>
      </c>
      <c r="K50" s="33">
        <f t="shared" ref="K50:L50" si="28">SUM(K51,K286)</f>
        <v>0</v>
      </c>
      <c r="L50" s="34">
        <f t="shared" si="28"/>
        <v>32091</v>
      </c>
      <c r="M50" s="32">
        <f>SUM(M51,M286)</f>
        <v>0</v>
      </c>
      <c r="N50" s="33">
        <f t="shared" ref="N50:O50" si="29">SUM(N51,N286)</f>
        <v>0</v>
      </c>
      <c r="O50" s="34">
        <f t="shared" si="29"/>
        <v>0</v>
      </c>
      <c r="P50" s="35"/>
    </row>
    <row r="51" spans="1:16" s="28" customFormat="1" ht="36.75" thickTop="1" x14ac:dyDescent="0.25">
      <c r="A51" s="162"/>
      <c r="B51" s="163" t="s">
        <v>69</v>
      </c>
      <c r="C51" s="164">
        <f t="shared" si="0"/>
        <v>908727</v>
      </c>
      <c r="D51" s="165">
        <f>SUM(D52,D194)</f>
        <v>635002</v>
      </c>
      <c r="E51" s="166">
        <f t="shared" ref="E51:F51" si="30">SUM(E52,E194)</f>
        <v>4693</v>
      </c>
      <c r="F51" s="167">
        <f t="shared" si="30"/>
        <v>639695</v>
      </c>
      <c r="G51" s="165">
        <f>SUM(G52,G194)</f>
        <v>228011</v>
      </c>
      <c r="H51" s="166">
        <f t="shared" ref="H51:I51" si="31">SUM(H52,H194)</f>
        <v>8930</v>
      </c>
      <c r="I51" s="167">
        <f t="shared" si="31"/>
        <v>236941</v>
      </c>
      <c r="J51" s="168">
        <f>SUM(J52,J194)</f>
        <v>32091</v>
      </c>
      <c r="K51" s="169">
        <f t="shared" ref="K51:L51" si="32">SUM(K52,K194)</f>
        <v>0</v>
      </c>
      <c r="L51" s="170">
        <f t="shared" si="32"/>
        <v>32091</v>
      </c>
      <c r="M51" s="168">
        <f>SUM(M52,M194)</f>
        <v>0</v>
      </c>
      <c r="N51" s="169">
        <f t="shared" ref="N51:O51" si="33">SUM(N52,N194)</f>
        <v>0</v>
      </c>
      <c r="O51" s="170">
        <f t="shared" si="33"/>
        <v>0</v>
      </c>
      <c r="P51" s="171"/>
    </row>
    <row r="52" spans="1:16" s="28" customFormat="1" ht="24" x14ac:dyDescent="0.25">
      <c r="A52" s="24"/>
      <c r="B52" s="22" t="s">
        <v>70</v>
      </c>
      <c r="C52" s="172">
        <f t="shared" si="0"/>
        <v>904653</v>
      </c>
      <c r="D52" s="173">
        <f>SUM(D53,D75,D173,D187)</f>
        <v>632616</v>
      </c>
      <c r="E52" s="174">
        <f t="shared" ref="E52:F52" si="34">SUM(E53,E75,E173,E187)</f>
        <v>4693</v>
      </c>
      <c r="F52" s="175">
        <f t="shared" si="34"/>
        <v>637309</v>
      </c>
      <c r="G52" s="173">
        <f>SUM(G53,G75,G173,G187)</f>
        <v>226323</v>
      </c>
      <c r="H52" s="174">
        <f t="shared" ref="H52:I52" si="35">SUM(H53,H75,H173,H187)</f>
        <v>8930</v>
      </c>
      <c r="I52" s="175">
        <f t="shared" si="35"/>
        <v>235253</v>
      </c>
      <c r="J52" s="173">
        <f>SUM(J53,J75,J173,J187)</f>
        <v>32091</v>
      </c>
      <c r="K52" s="174">
        <f t="shared" ref="K52:L52" si="36">SUM(K53,K75,K173,K187)</f>
        <v>0</v>
      </c>
      <c r="L52" s="175">
        <f t="shared" si="36"/>
        <v>32091</v>
      </c>
      <c r="M52" s="173">
        <f>SUM(M53,M75,M173,M187)</f>
        <v>0</v>
      </c>
      <c r="N52" s="174">
        <f t="shared" ref="N52:O52" si="37">SUM(N53,N75,N173,N187)</f>
        <v>0</v>
      </c>
      <c r="O52" s="175">
        <f t="shared" si="37"/>
        <v>0</v>
      </c>
      <c r="P52" s="176"/>
    </row>
    <row r="53" spans="1:16" s="28" customFormat="1" x14ac:dyDescent="0.25">
      <c r="A53" s="177">
        <v>1000</v>
      </c>
      <c r="B53" s="177" t="s">
        <v>71</v>
      </c>
      <c r="C53" s="178">
        <f t="shared" si="0"/>
        <v>568564</v>
      </c>
      <c r="D53" s="179">
        <f>SUM(D54,D67)</f>
        <v>337614</v>
      </c>
      <c r="E53" s="180">
        <f t="shared" ref="E53:F53" si="38">SUM(E54,E67)</f>
        <v>0</v>
      </c>
      <c r="F53" s="181">
        <f t="shared" si="38"/>
        <v>337614</v>
      </c>
      <c r="G53" s="179">
        <f>SUM(G54,G67)</f>
        <v>223203</v>
      </c>
      <c r="H53" s="180">
        <f t="shared" ref="H53:I53" si="39">SUM(H54,H67)</f>
        <v>7747</v>
      </c>
      <c r="I53" s="181">
        <f t="shared" si="39"/>
        <v>230950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427714</v>
      </c>
      <c r="D54" s="184">
        <f>SUM(D55,D58,D66)</f>
        <v>242534</v>
      </c>
      <c r="E54" s="185">
        <f t="shared" ref="E54:F54" si="42">SUM(E55,E58,E66)</f>
        <v>0</v>
      </c>
      <c r="F54" s="73">
        <f t="shared" si="42"/>
        <v>242534</v>
      </c>
      <c r="G54" s="184">
        <f>SUM(G55,G58,G66)</f>
        <v>178932</v>
      </c>
      <c r="H54" s="185">
        <f t="shared" ref="H54:I54" si="43">SUM(H55,H58,H66)</f>
        <v>6248</v>
      </c>
      <c r="I54" s="73">
        <f t="shared" si="43"/>
        <v>185180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394444</v>
      </c>
      <c r="D55" s="187">
        <f>SUM(D56:D57)</f>
        <v>209264</v>
      </c>
      <c r="E55" s="188">
        <f t="shared" ref="E55:F55" si="46">SUM(E56:E57)</f>
        <v>0</v>
      </c>
      <c r="F55" s="141">
        <f t="shared" si="46"/>
        <v>209264</v>
      </c>
      <c r="G55" s="187">
        <f>SUM(G56:G57)</f>
        <v>178932</v>
      </c>
      <c r="H55" s="188">
        <f t="shared" ref="H55:I55" si="47">SUM(H56:H57)</f>
        <v>6248</v>
      </c>
      <c r="I55" s="141">
        <f t="shared" si="47"/>
        <v>185180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45" customHeight="1" x14ac:dyDescent="0.25">
      <c r="A57" s="51">
        <v>1119</v>
      </c>
      <c r="B57" s="89" t="s">
        <v>75</v>
      </c>
      <c r="C57" s="90">
        <f t="shared" si="0"/>
        <v>394444</v>
      </c>
      <c r="D57" s="53">
        <v>209264</v>
      </c>
      <c r="E57" s="54"/>
      <c r="F57" s="55">
        <f t="shared" si="50"/>
        <v>209264</v>
      </c>
      <c r="G57" s="53">
        <v>178932</v>
      </c>
      <c r="H57" s="54">
        <v>6248</v>
      </c>
      <c r="I57" s="55">
        <f t="shared" si="51"/>
        <v>185180</v>
      </c>
      <c r="J57" s="53"/>
      <c r="K57" s="54"/>
      <c r="L57" s="55">
        <f t="shared" si="52"/>
        <v>0</v>
      </c>
      <c r="M57" s="53"/>
      <c r="N57" s="54"/>
      <c r="O57" s="55">
        <f t="shared" si="53"/>
        <v>0</v>
      </c>
      <c r="P57" s="57" t="s">
        <v>2080</v>
      </c>
    </row>
    <row r="58" spans="1:16" x14ac:dyDescent="0.25">
      <c r="A58" s="189">
        <v>1140</v>
      </c>
      <c r="B58" s="89" t="s">
        <v>76</v>
      </c>
      <c r="C58" s="90">
        <f t="shared" si="0"/>
        <v>26974</v>
      </c>
      <c r="D58" s="190">
        <f>SUM(D59:D65)</f>
        <v>26974</v>
      </c>
      <c r="E58" s="191">
        <f>SUM(E59:E65)</f>
        <v>0</v>
      </c>
      <c r="F58" s="55">
        <f t="shared" ref="F58" si="54">SUM(F59:F65)</f>
        <v>26974</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2824</v>
      </c>
      <c r="D59" s="53">
        <v>2824</v>
      </c>
      <c r="E59" s="54"/>
      <c r="F59" s="55">
        <f t="shared" ref="F59:F66" si="58">D59+E59</f>
        <v>2824</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931</v>
      </c>
      <c r="D60" s="53">
        <v>931</v>
      </c>
      <c r="E60" s="54"/>
      <c r="F60" s="55">
        <f t="shared" si="58"/>
        <v>931</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3.25" customHeight="1" x14ac:dyDescent="0.25">
      <c r="A63" s="51">
        <v>1147</v>
      </c>
      <c r="B63" s="89" t="s">
        <v>81</v>
      </c>
      <c r="C63" s="90">
        <f t="shared" si="0"/>
        <v>3813</v>
      </c>
      <c r="D63" s="53">
        <v>3813</v>
      </c>
      <c r="E63" s="54"/>
      <c r="F63" s="55">
        <f t="shared" si="58"/>
        <v>3813</v>
      </c>
      <c r="G63" s="53"/>
      <c r="H63" s="54"/>
      <c r="I63" s="55">
        <f t="shared" si="59"/>
        <v>0</v>
      </c>
      <c r="J63" s="53"/>
      <c r="K63" s="54"/>
      <c r="L63" s="55">
        <f t="shared" si="60"/>
        <v>0</v>
      </c>
      <c r="M63" s="53"/>
      <c r="N63" s="54"/>
      <c r="O63" s="55">
        <f t="shared" si="61"/>
        <v>0</v>
      </c>
      <c r="P63" s="57"/>
    </row>
    <row r="64" spans="1:16" ht="20.25" customHeight="1" x14ac:dyDescent="0.25">
      <c r="A64" s="51">
        <v>1148</v>
      </c>
      <c r="B64" s="89" t="s">
        <v>82</v>
      </c>
      <c r="C64" s="90">
        <f t="shared" si="0"/>
        <v>19406</v>
      </c>
      <c r="D64" s="53">
        <v>19406</v>
      </c>
      <c r="E64" s="54"/>
      <c r="F64" s="55">
        <f t="shared" si="58"/>
        <v>19406</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7.5" customHeight="1" x14ac:dyDescent="0.25">
      <c r="A66" s="186">
        <v>1150</v>
      </c>
      <c r="B66" s="138" t="s">
        <v>84</v>
      </c>
      <c r="C66" s="143">
        <f t="shared" si="0"/>
        <v>6296</v>
      </c>
      <c r="D66" s="144">
        <v>6296</v>
      </c>
      <c r="E66" s="145"/>
      <c r="F66" s="141">
        <f t="shared" si="58"/>
        <v>6296</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140850</v>
      </c>
      <c r="D67" s="184">
        <f>SUM(D68:D69)</f>
        <v>95080</v>
      </c>
      <c r="E67" s="185">
        <f t="shared" ref="E67:F67" si="62">SUM(E68:E69)</f>
        <v>0</v>
      </c>
      <c r="F67" s="73">
        <f t="shared" si="62"/>
        <v>95080</v>
      </c>
      <c r="G67" s="184">
        <f>SUM(G68:G69)</f>
        <v>44271</v>
      </c>
      <c r="H67" s="185">
        <f t="shared" ref="H67:I67" si="63">SUM(H68:H69)</f>
        <v>1499</v>
      </c>
      <c r="I67" s="73">
        <f t="shared" si="63"/>
        <v>45770</v>
      </c>
      <c r="J67" s="184">
        <f>SUM(J68:J69)</f>
        <v>0</v>
      </c>
      <c r="K67" s="185">
        <f t="shared" ref="K67:L67" si="64">SUM(K68:K69)</f>
        <v>0</v>
      </c>
      <c r="L67" s="73">
        <f t="shared" si="64"/>
        <v>0</v>
      </c>
      <c r="M67" s="184">
        <f>SUM(M68:M69)</f>
        <v>0</v>
      </c>
      <c r="N67" s="185">
        <f t="shared" ref="N67:O67" si="65">SUM(N68:N69)</f>
        <v>0</v>
      </c>
      <c r="O67" s="73">
        <f t="shared" si="65"/>
        <v>0</v>
      </c>
      <c r="P67" s="77"/>
    </row>
    <row r="68" spans="1:16" ht="25.5" customHeight="1" x14ac:dyDescent="0.25">
      <c r="A68" s="1476">
        <v>1210</v>
      </c>
      <c r="B68" s="82" t="s">
        <v>86</v>
      </c>
      <c r="C68" s="83">
        <f t="shared" si="0"/>
        <v>107529</v>
      </c>
      <c r="D68" s="46">
        <v>62699</v>
      </c>
      <c r="E68" s="47"/>
      <c r="F68" s="134">
        <f>D68+E68</f>
        <v>62699</v>
      </c>
      <c r="G68" s="46">
        <v>43331</v>
      </c>
      <c r="H68" s="47">
        <v>1499</v>
      </c>
      <c r="I68" s="134">
        <f>G68+H68</f>
        <v>44830</v>
      </c>
      <c r="J68" s="46"/>
      <c r="K68" s="47"/>
      <c r="L68" s="134">
        <f>K68+J68</f>
        <v>0</v>
      </c>
      <c r="M68" s="46"/>
      <c r="N68" s="47"/>
      <c r="O68" s="134">
        <f>N68+M68</f>
        <v>0</v>
      </c>
      <c r="P68" s="49" t="s">
        <v>2081</v>
      </c>
    </row>
    <row r="69" spans="1:16" ht="24" x14ac:dyDescent="0.25">
      <c r="A69" s="189">
        <v>1220</v>
      </c>
      <c r="B69" s="89" t="s">
        <v>87</v>
      </c>
      <c r="C69" s="90">
        <f t="shared" si="0"/>
        <v>33321</v>
      </c>
      <c r="D69" s="190">
        <f>SUM(D70:D74)</f>
        <v>32381</v>
      </c>
      <c r="E69" s="191">
        <f t="shared" ref="E69:F69" si="66">SUM(E70:E74)</f>
        <v>0</v>
      </c>
      <c r="F69" s="55">
        <f t="shared" si="66"/>
        <v>32381</v>
      </c>
      <c r="G69" s="190">
        <f>SUM(G70:G74)</f>
        <v>940</v>
      </c>
      <c r="H69" s="191">
        <f t="shared" ref="H69:I69" si="67">SUM(H70:H74)</f>
        <v>0</v>
      </c>
      <c r="I69" s="55">
        <f t="shared" si="67"/>
        <v>940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18674</v>
      </c>
      <c r="D70" s="53">
        <v>17734</v>
      </c>
      <c r="E70" s="54"/>
      <c r="F70" s="55">
        <f t="shared" ref="F70:F74" si="70">D70+E70</f>
        <v>17734</v>
      </c>
      <c r="G70" s="53">
        <v>940</v>
      </c>
      <c r="H70" s="54"/>
      <c r="I70" s="55">
        <f t="shared" ref="I70:I74" si="71">G70+H70</f>
        <v>940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14087</v>
      </c>
      <c r="D73" s="53">
        <v>14087</v>
      </c>
      <c r="E73" s="54"/>
      <c r="F73" s="55">
        <f t="shared" si="70"/>
        <v>14087</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560</v>
      </c>
      <c r="D74" s="53">
        <v>560</v>
      </c>
      <c r="E74" s="54"/>
      <c r="F74" s="55">
        <f t="shared" si="70"/>
        <v>560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336089</v>
      </c>
      <c r="D75" s="179">
        <f>SUM(D76,D83,D130,D164,D165,D172)</f>
        <v>295002</v>
      </c>
      <c r="E75" s="180">
        <f t="shared" ref="E75:F75" si="74">SUM(E76,E83,E130,E164,E165,E172)</f>
        <v>4693</v>
      </c>
      <c r="F75" s="181">
        <f t="shared" si="74"/>
        <v>299695</v>
      </c>
      <c r="G75" s="179">
        <f>SUM(G76,G83,G130,G164,G165,G172)</f>
        <v>3120</v>
      </c>
      <c r="H75" s="180">
        <f t="shared" ref="H75:I75" si="75">SUM(H76,H83,H130,H164,H165,H172)</f>
        <v>1183</v>
      </c>
      <c r="I75" s="181">
        <f t="shared" si="75"/>
        <v>4303</v>
      </c>
      <c r="J75" s="179">
        <f>SUM(J76,J83,J130,J164,J165,J172)</f>
        <v>32091</v>
      </c>
      <c r="K75" s="180">
        <f t="shared" ref="K75:L75" si="76">SUM(K76,K83,K130,K164,K165,K172)</f>
        <v>0</v>
      </c>
      <c r="L75" s="181">
        <f t="shared" si="76"/>
        <v>32091</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76">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264530</v>
      </c>
      <c r="D83" s="184">
        <f>SUM(D84,D89,D95,D103,D112,D116,D122,D128)</f>
        <v>262077</v>
      </c>
      <c r="E83" s="185">
        <f t="shared" ref="E83:F83" si="98">SUM(E84,E89,E95,E103,E112,E116,E122,E128)</f>
        <v>0</v>
      </c>
      <c r="F83" s="73">
        <f t="shared" si="98"/>
        <v>262077</v>
      </c>
      <c r="G83" s="184">
        <f>SUM(G84,G89,G95,G103,G112,G116,G122,G128)</f>
        <v>1120</v>
      </c>
      <c r="H83" s="185">
        <f t="shared" ref="H83:I83" si="99">SUM(H84,H89,H95,H103,H112,H116,H122,H128)</f>
        <v>1183</v>
      </c>
      <c r="I83" s="73">
        <f t="shared" si="99"/>
        <v>2303</v>
      </c>
      <c r="J83" s="184">
        <f>SUM(J84,J89,J95,J103,J112,J116,J122,J128)</f>
        <v>150</v>
      </c>
      <c r="K83" s="185">
        <f t="shared" ref="K83:L83" si="100">SUM(K84,K89,K95,K103,K112,K116,K122,K128)</f>
        <v>0</v>
      </c>
      <c r="L83" s="73">
        <f t="shared" si="100"/>
        <v>150</v>
      </c>
      <c r="M83" s="184">
        <f>SUM(M84,M89,M95,M103,M112,M116,M122,M128)</f>
        <v>0</v>
      </c>
      <c r="N83" s="185">
        <f t="shared" ref="N83:O83" si="101">SUM(N84,N89,N95,N103,N112,N116,N122,N128)</f>
        <v>0</v>
      </c>
      <c r="O83" s="73">
        <f t="shared" si="101"/>
        <v>0</v>
      </c>
      <c r="P83" s="77"/>
    </row>
    <row r="84" spans="1:16" ht="18.75" customHeight="1" x14ac:dyDescent="0.25">
      <c r="A84" s="186">
        <v>2210</v>
      </c>
      <c r="B84" s="138" t="s">
        <v>100</v>
      </c>
      <c r="C84" s="143">
        <f t="shared" ref="C84:C147" si="102">F84+I84+L84+O84</f>
        <v>2545</v>
      </c>
      <c r="D84" s="187">
        <f>SUM(D85:D88)</f>
        <v>2545</v>
      </c>
      <c r="E84" s="188">
        <f t="shared" ref="E84:F84" si="103">SUM(E85:E88)</f>
        <v>0</v>
      </c>
      <c r="F84" s="141">
        <f t="shared" si="103"/>
        <v>2545</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2152</v>
      </c>
      <c r="D86" s="196">
        <v>2152</v>
      </c>
      <c r="E86" s="197"/>
      <c r="F86" s="55">
        <f t="shared" si="107"/>
        <v>2152</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273</v>
      </c>
      <c r="D87" s="196">
        <v>273</v>
      </c>
      <c r="E87" s="197"/>
      <c r="F87" s="55">
        <f t="shared" si="107"/>
        <v>273</v>
      </c>
      <c r="G87" s="53"/>
      <c r="H87" s="54"/>
      <c r="I87" s="55">
        <f t="shared" si="108"/>
        <v>0</v>
      </c>
      <c r="J87" s="53"/>
      <c r="K87" s="54"/>
      <c r="L87" s="55">
        <f t="shared" si="109"/>
        <v>0</v>
      </c>
      <c r="M87" s="53"/>
      <c r="N87" s="54"/>
      <c r="O87" s="55">
        <f t="shared" si="110"/>
        <v>0</v>
      </c>
      <c r="P87" s="57"/>
    </row>
    <row r="88" spans="1:16" ht="18" customHeight="1" x14ac:dyDescent="0.25">
      <c r="A88" s="51">
        <v>2219</v>
      </c>
      <c r="B88" s="89" t="s">
        <v>104</v>
      </c>
      <c r="C88" s="90">
        <f t="shared" si="102"/>
        <v>120</v>
      </c>
      <c r="D88" s="196">
        <v>120</v>
      </c>
      <c r="E88" s="197"/>
      <c r="F88" s="55">
        <f t="shared" si="107"/>
        <v>120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81364</v>
      </c>
      <c r="D89" s="190">
        <f>SUM(D90:D94)</f>
        <v>81364</v>
      </c>
      <c r="E89" s="191">
        <f t="shared" ref="E89:F89" si="111">SUM(E90:E94)</f>
        <v>0</v>
      </c>
      <c r="F89" s="55">
        <f t="shared" si="111"/>
        <v>81364</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90">
        <f t="shared" si="102"/>
        <v>37448</v>
      </c>
      <c r="D90" s="196">
        <v>37448</v>
      </c>
      <c r="E90" s="197"/>
      <c r="F90" s="55">
        <f t="shared" ref="F90:F94" si="115">D90+E90</f>
        <v>37448</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90">
        <f t="shared" si="102"/>
        <v>3939</v>
      </c>
      <c r="D91" s="196">
        <v>3939</v>
      </c>
      <c r="E91" s="197"/>
      <c r="F91" s="55">
        <f t="shared" si="115"/>
        <v>3939</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90">
        <f t="shared" si="102"/>
        <v>38463</v>
      </c>
      <c r="D92" s="196">
        <v>38463</v>
      </c>
      <c r="E92" s="197"/>
      <c r="F92" s="55">
        <f t="shared" si="115"/>
        <v>38463</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90">
        <f t="shared" si="102"/>
        <v>1514</v>
      </c>
      <c r="D93" s="196">
        <v>1514</v>
      </c>
      <c r="E93" s="197"/>
      <c r="F93" s="55">
        <f t="shared" si="115"/>
        <v>1514</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10291</v>
      </c>
      <c r="D95" s="190">
        <f>SUM(D96:D102)</f>
        <v>10291</v>
      </c>
      <c r="E95" s="191">
        <f t="shared" ref="E95:F95" si="119">SUM(E96:E102)</f>
        <v>0</v>
      </c>
      <c r="F95" s="55">
        <f t="shared" si="119"/>
        <v>10291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5.75"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2.5" customHeight="1" x14ac:dyDescent="0.25">
      <c r="A102" s="51">
        <v>2239</v>
      </c>
      <c r="B102" s="89" t="s">
        <v>118</v>
      </c>
      <c r="C102" s="90">
        <f t="shared" si="102"/>
        <v>10291</v>
      </c>
      <c r="D102" s="196">
        <v>10291</v>
      </c>
      <c r="E102" s="197"/>
      <c r="F102" s="55">
        <f t="shared" si="123"/>
        <v>10291</v>
      </c>
      <c r="G102" s="53"/>
      <c r="H102" s="54"/>
      <c r="I102" s="55">
        <f t="shared" si="124"/>
        <v>0</v>
      </c>
      <c r="J102" s="53"/>
      <c r="K102" s="54"/>
      <c r="L102" s="55">
        <f t="shared" si="125"/>
        <v>0</v>
      </c>
      <c r="M102" s="53"/>
      <c r="N102" s="54"/>
      <c r="O102" s="55">
        <f t="shared" si="126"/>
        <v>0</v>
      </c>
      <c r="P102" s="49"/>
    </row>
    <row r="103" spans="1:16" ht="36" x14ac:dyDescent="0.25">
      <c r="A103" s="189">
        <v>2240</v>
      </c>
      <c r="B103" s="89" t="s">
        <v>119</v>
      </c>
      <c r="C103" s="90">
        <f t="shared" si="102"/>
        <v>17488</v>
      </c>
      <c r="D103" s="190">
        <f>SUM(D104:D111)</f>
        <v>17488</v>
      </c>
      <c r="E103" s="191">
        <f t="shared" ref="E103:F103" si="127">SUM(E104:E111)</f>
        <v>0</v>
      </c>
      <c r="F103" s="55">
        <f t="shared" si="127"/>
        <v>17488</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8.75" customHeight="1" x14ac:dyDescent="0.25">
      <c r="A104" s="51">
        <v>2241</v>
      </c>
      <c r="B104" s="89" t="s">
        <v>120</v>
      </c>
      <c r="C104" s="90">
        <f t="shared" si="102"/>
        <v>10502</v>
      </c>
      <c r="D104" s="196">
        <v>10502</v>
      </c>
      <c r="E104" s="197"/>
      <c r="F104" s="55">
        <f t="shared" ref="F104:F111" si="131">D104+E104</f>
        <v>10502</v>
      </c>
      <c r="G104" s="53"/>
      <c r="H104" s="54"/>
      <c r="I104" s="55">
        <f t="shared" ref="I104:I111" si="132">G104+H104</f>
        <v>0</v>
      </c>
      <c r="J104" s="53"/>
      <c r="K104" s="54"/>
      <c r="L104" s="55">
        <f t="shared" ref="L104:L111" si="133">K104+J104</f>
        <v>0</v>
      </c>
      <c r="M104" s="53"/>
      <c r="N104" s="54"/>
      <c r="O104" s="55">
        <f t="shared" ref="O104:O111" si="134">N104+M104</f>
        <v>0</v>
      </c>
      <c r="P104" s="49"/>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2995</v>
      </c>
      <c r="D106" s="196">
        <v>2995</v>
      </c>
      <c r="E106" s="197"/>
      <c r="F106" s="55">
        <f t="shared" si="131"/>
        <v>2995</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3991</v>
      </c>
      <c r="D107" s="196">
        <v>3991</v>
      </c>
      <c r="E107" s="197"/>
      <c r="F107" s="55">
        <f t="shared" si="131"/>
        <v>3991</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3452</v>
      </c>
      <c r="D112" s="190">
        <f>SUM(D113:D115)</f>
        <v>3452</v>
      </c>
      <c r="E112" s="191">
        <f t="shared" ref="E112:F112" si="135">SUM(E113:E115)</f>
        <v>0</v>
      </c>
      <c r="F112" s="55">
        <f t="shared" si="135"/>
        <v>3452</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348</v>
      </c>
      <c r="D113" s="196">
        <v>348</v>
      </c>
      <c r="E113" s="197"/>
      <c r="F113" s="55">
        <f t="shared" ref="F113:F115" si="139">D113+E113</f>
        <v>348</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2668</v>
      </c>
      <c r="D114" s="196">
        <v>2668</v>
      </c>
      <c r="E114" s="197"/>
      <c r="F114" s="55">
        <f t="shared" si="139"/>
        <v>2668</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131</v>
      </c>
      <c r="C115" s="90">
        <f t="shared" si="102"/>
        <v>436</v>
      </c>
      <c r="D115" s="196">
        <v>436</v>
      </c>
      <c r="E115" s="197"/>
      <c r="F115" s="55">
        <f t="shared" si="139"/>
        <v>436</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146874</v>
      </c>
      <c r="D116" s="190">
        <f>SUM(D117:D121)</f>
        <v>146762</v>
      </c>
      <c r="E116" s="191">
        <f t="shared" ref="E116:F116" si="143">SUM(E117:E121)</f>
        <v>0</v>
      </c>
      <c r="F116" s="55">
        <f t="shared" si="143"/>
        <v>146762</v>
      </c>
      <c r="G116" s="190">
        <f>SUM(G117:G121)</f>
        <v>112</v>
      </c>
      <c r="H116" s="191">
        <f t="shared" ref="H116:I116" si="144">SUM(H117:H121)</f>
        <v>0</v>
      </c>
      <c r="I116" s="55">
        <f t="shared" si="144"/>
        <v>112</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9.5" customHeight="1" x14ac:dyDescent="0.25">
      <c r="A117" s="51">
        <v>2261</v>
      </c>
      <c r="B117" s="89" t="s">
        <v>133</v>
      </c>
      <c r="C117" s="90">
        <f t="shared" si="102"/>
        <v>146710</v>
      </c>
      <c r="D117" s="196">
        <v>146710</v>
      </c>
      <c r="E117" s="197"/>
      <c r="F117" s="55">
        <f t="shared" ref="F117:F121" si="147">D117+E117</f>
        <v>146710</v>
      </c>
      <c r="G117" s="53"/>
      <c r="H117" s="54"/>
      <c r="I117" s="55">
        <f t="shared" ref="I117:I121" si="148">G117+H117</f>
        <v>0</v>
      </c>
      <c r="J117" s="53"/>
      <c r="K117" s="54"/>
      <c r="L117" s="55">
        <f t="shared" ref="L117:L121" si="149">K117+J117</f>
        <v>0</v>
      </c>
      <c r="M117" s="53"/>
      <c r="N117" s="54"/>
      <c r="O117" s="55">
        <f t="shared" ref="O117:O121" si="150">N117+M117</f>
        <v>0</v>
      </c>
      <c r="P117" s="57"/>
    </row>
    <row r="118" spans="1:16" ht="26.25" customHeight="1" x14ac:dyDescent="0.25">
      <c r="A118" s="51">
        <v>2262</v>
      </c>
      <c r="B118" s="89" t="s">
        <v>134</v>
      </c>
      <c r="C118" s="90">
        <f t="shared" si="102"/>
        <v>112</v>
      </c>
      <c r="D118" s="196"/>
      <c r="E118" s="197"/>
      <c r="F118" s="55">
        <f t="shared" si="147"/>
        <v>0</v>
      </c>
      <c r="G118" s="53">
        <v>112</v>
      </c>
      <c r="H118" s="54"/>
      <c r="I118" s="55">
        <f t="shared" si="148"/>
        <v>112</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2516</v>
      </c>
      <c r="D122" s="190">
        <f>SUM(D123:D127)</f>
        <v>175</v>
      </c>
      <c r="E122" s="191">
        <f t="shared" ref="E122:F122" si="151">SUM(E123:E127)</f>
        <v>0</v>
      </c>
      <c r="F122" s="55">
        <f t="shared" si="151"/>
        <v>175</v>
      </c>
      <c r="G122" s="190">
        <f>SUM(G123:G127)</f>
        <v>1008</v>
      </c>
      <c r="H122" s="191">
        <f t="shared" ref="H122:I122" si="152">SUM(H123:H127)</f>
        <v>1183</v>
      </c>
      <c r="I122" s="55">
        <f t="shared" si="152"/>
        <v>2191</v>
      </c>
      <c r="J122" s="190">
        <f>SUM(J123:J127)</f>
        <v>150</v>
      </c>
      <c r="K122" s="191">
        <f t="shared" ref="K122:L122" si="153">SUM(K123:K127)</f>
        <v>0</v>
      </c>
      <c r="L122" s="55">
        <f t="shared" si="153"/>
        <v>150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6" customHeight="1" x14ac:dyDescent="0.25">
      <c r="A127" s="51">
        <v>2279</v>
      </c>
      <c r="B127" s="89" t="s">
        <v>143</v>
      </c>
      <c r="C127" s="90">
        <f t="shared" si="102"/>
        <v>2516</v>
      </c>
      <c r="D127" s="196">
        <v>175</v>
      </c>
      <c r="E127" s="197"/>
      <c r="F127" s="55">
        <f t="shared" si="155"/>
        <v>175</v>
      </c>
      <c r="G127" s="53">
        <v>1008</v>
      </c>
      <c r="H127" s="54">
        <v>1183</v>
      </c>
      <c r="I127" s="55">
        <f t="shared" si="156"/>
        <v>2191</v>
      </c>
      <c r="J127" s="53">
        <v>150</v>
      </c>
      <c r="K127" s="54"/>
      <c r="L127" s="55">
        <f t="shared" si="157"/>
        <v>150</v>
      </c>
      <c r="M127" s="53"/>
      <c r="N127" s="54"/>
      <c r="O127" s="55">
        <f t="shared" si="158"/>
        <v>0</v>
      </c>
      <c r="P127" s="57" t="s">
        <v>2082</v>
      </c>
    </row>
    <row r="128" spans="1:16" ht="48" hidden="1" x14ac:dyDescent="0.25">
      <c r="A128" s="1476">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71373</v>
      </c>
      <c r="D130" s="184">
        <f>SUM(D131,D136,D140,D141,D144,D151,D159,D160,D163)</f>
        <v>32739</v>
      </c>
      <c r="E130" s="185">
        <f t="shared" ref="E130:F130" si="160">SUM(E131,E136,E140,E141,E144,E151,E159,E160,E163)</f>
        <v>4693</v>
      </c>
      <c r="F130" s="73">
        <f t="shared" si="160"/>
        <v>37432</v>
      </c>
      <c r="G130" s="184">
        <f>SUM(G131,G136,G140,G141,G144,G151,G159,G160,G163)</f>
        <v>2000</v>
      </c>
      <c r="H130" s="185">
        <f t="shared" ref="H130:I130" si="161">SUM(H131,H136,H140,H141,H144,H151,H159,H160,H163)</f>
        <v>0</v>
      </c>
      <c r="I130" s="73">
        <f t="shared" si="161"/>
        <v>2000</v>
      </c>
      <c r="J130" s="184">
        <f>SUM(J131,J136,J140,J141,J144,J151,J159,J160,J163)</f>
        <v>31941</v>
      </c>
      <c r="K130" s="185">
        <f t="shared" ref="K130:L130" si="162">SUM(K131,K136,K140,K141,K144,K151,K159,K160,K163)</f>
        <v>0</v>
      </c>
      <c r="L130" s="73">
        <f t="shared" si="162"/>
        <v>31941</v>
      </c>
      <c r="M130" s="184">
        <f>SUM(M131,M136,M140,M141,M144,M151,M159,M160,M163)</f>
        <v>0</v>
      </c>
      <c r="N130" s="185">
        <f t="shared" ref="N130:O130" si="163">SUM(N131,N136,N140,N141,N144,N151,N159,N160,N163)</f>
        <v>0</v>
      </c>
      <c r="O130" s="73">
        <f t="shared" si="163"/>
        <v>0</v>
      </c>
      <c r="P130" s="77"/>
    </row>
    <row r="131" spans="1:16" ht="24" x14ac:dyDescent="0.25">
      <c r="A131" s="1476">
        <v>2310</v>
      </c>
      <c r="B131" s="82" t="s">
        <v>147</v>
      </c>
      <c r="C131" s="83">
        <f t="shared" si="102"/>
        <v>10316</v>
      </c>
      <c r="D131" s="194">
        <f t="shared" ref="D131:O131" si="164">SUM(D132:D135)</f>
        <v>7323</v>
      </c>
      <c r="E131" s="195">
        <f t="shared" si="164"/>
        <v>2993</v>
      </c>
      <c r="F131" s="134">
        <f t="shared" si="164"/>
        <v>10316</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2716</v>
      </c>
      <c r="D132" s="196">
        <v>2716</v>
      </c>
      <c r="E132" s="197"/>
      <c r="F132" s="55">
        <f t="shared" ref="F132:F135" si="165">D132+E132</f>
        <v>2716</v>
      </c>
      <c r="G132" s="53"/>
      <c r="H132" s="54"/>
      <c r="I132" s="55">
        <f t="shared" ref="I132:I135" si="166">G132+H132</f>
        <v>0</v>
      </c>
      <c r="J132" s="53"/>
      <c r="K132" s="54"/>
      <c r="L132" s="55">
        <f t="shared" ref="L132:L135" si="167">K132+J132</f>
        <v>0</v>
      </c>
      <c r="M132" s="53"/>
      <c r="N132" s="54"/>
      <c r="O132" s="55">
        <f t="shared" ref="O132:O135" si="168">N132+M132</f>
        <v>0</v>
      </c>
      <c r="P132" s="57"/>
    </row>
    <row r="133" spans="1:16" s="1491" customFormat="1" ht="18" customHeight="1" x14ac:dyDescent="0.25">
      <c r="A133" s="51">
        <v>2312</v>
      </c>
      <c r="B133" s="89" t="s">
        <v>149</v>
      </c>
      <c r="C133" s="90">
        <f t="shared" si="102"/>
        <v>7330</v>
      </c>
      <c r="D133" s="196">
        <v>4337</v>
      </c>
      <c r="E133" s="197">
        <v>2993</v>
      </c>
      <c r="F133" s="55">
        <f t="shared" si="165"/>
        <v>7330</v>
      </c>
      <c r="G133" s="53"/>
      <c r="H133" s="54"/>
      <c r="I133" s="55">
        <f t="shared" si="166"/>
        <v>0</v>
      </c>
      <c r="J133" s="53"/>
      <c r="K133" s="54"/>
      <c r="L133" s="55">
        <f t="shared" si="167"/>
        <v>0</v>
      </c>
      <c r="M133" s="53"/>
      <c r="N133" s="54"/>
      <c r="O133" s="55">
        <f t="shared" si="168"/>
        <v>0</v>
      </c>
      <c r="P133" s="57" t="s">
        <v>2083</v>
      </c>
    </row>
    <row r="134" spans="1:16" ht="12" customHeight="1" x14ac:dyDescent="0.25">
      <c r="A134" s="51">
        <v>2313</v>
      </c>
      <c r="B134" s="89" t="s">
        <v>150</v>
      </c>
      <c r="C134" s="90">
        <f t="shared" si="102"/>
        <v>150</v>
      </c>
      <c r="D134" s="196">
        <v>150</v>
      </c>
      <c r="E134" s="197"/>
      <c r="F134" s="55">
        <f t="shared" si="165"/>
        <v>150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120</v>
      </c>
      <c r="D135" s="196">
        <v>120</v>
      </c>
      <c r="E135" s="197"/>
      <c r="F135" s="55">
        <f t="shared" si="165"/>
        <v>120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3672</v>
      </c>
      <c r="D136" s="190">
        <f>SUM(D137:D139)</f>
        <v>3672</v>
      </c>
      <c r="E136" s="191">
        <f t="shared" ref="E136:F136" si="169">SUM(E137:E139)</f>
        <v>0</v>
      </c>
      <c r="F136" s="55">
        <f t="shared" si="169"/>
        <v>3672</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customHeight="1" x14ac:dyDescent="0.25">
      <c r="A137" s="51">
        <v>2321</v>
      </c>
      <c r="B137" s="89" t="s">
        <v>153</v>
      </c>
      <c r="C137" s="90">
        <f t="shared" si="102"/>
        <v>3380</v>
      </c>
      <c r="D137" s="196">
        <v>3380</v>
      </c>
      <c r="E137" s="197"/>
      <c r="F137" s="55">
        <f t="shared" ref="F137:F140" si="173">D137+E137</f>
        <v>3380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292</v>
      </c>
      <c r="D138" s="196">
        <v>292</v>
      </c>
      <c r="E138" s="197"/>
      <c r="F138" s="55">
        <f t="shared" si="173"/>
        <v>292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245</v>
      </c>
      <c r="D141" s="190">
        <f>SUM(D142:D143)</f>
        <v>245</v>
      </c>
      <c r="E141" s="191">
        <f t="shared" ref="E141:F141" si="177">SUM(E142:E143)</f>
        <v>0</v>
      </c>
      <c r="F141" s="55">
        <f t="shared" si="177"/>
        <v>245</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245</v>
      </c>
      <c r="D142" s="196">
        <v>245</v>
      </c>
      <c r="E142" s="197"/>
      <c r="F142" s="55">
        <f t="shared" ref="F142:F143" si="181">D142+E142</f>
        <v>245</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18531</v>
      </c>
      <c r="D144" s="187">
        <f>SUM(D145:D150)</f>
        <v>16569</v>
      </c>
      <c r="E144" s="188">
        <f t="shared" ref="E144:F144" si="185">SUM(E145:E150)</f>
        <v>1700</v>
      </c>
      <c r="F144" s="141">
        <f t="shared" si="185"/>
        <v>18269</v>
      </c>
      <c r="G144" s="187">
        <f>SUM(G145:G150)</f>
        <v>0</v>
      </c>
      <c r="H144" s="188">
        <f t="shared" ref="H144:I144" si="186">SUM(H145:H150)</f>
        <v>0</v>
      </c>
      <c r="I144" s="141">
        <f t="shared" si="186"/>
        <v>0</v>
      </c>
      <c r="J144" s="187">
        <f>SUM(J145:J150)</f>
        <v>262</v>
      </c>
      <c r="K144" s="188">
        <f t="shared" ref="K144:L144" si="187">SUM(K145:K150)</f>
        <v>0</v>
      </c>
      <c r="L144" s="141">
        <f t="shared" si="187"/>
        <v>262</v>
      </c>
      <c r="M144" s="187">
        <f>SUM(M145:M150)</f>
        <v>0</v>
      </c>
      <c r="N144" s="188">
        <f t="shared" ref="N144:O144" si="188">SUM(N145:N150)</f>
        <v>0</v>
      </c>
      <c r="O144" s="141">
        <f t="shared" si="188"/>
        <v>0</v>
      </c>
      <c r="P144" s="129"/>
    </row>
    <row r="145" spans="1:16" ht="22.5" customHeight="1" x14ac:dyDescent="0.25">
      <c r="A145" s="44">
        <v>2351</v>
      </c>
      <c r="B145" s="82" t="s">
        <v>161</v>
      </c>
      <c r="C145" s="83">
        <f t="shared" si="102"/>
        <v>12454</v>
      </c>
      <c r="D145" s="199">
        <v>12454</v>
      </c>
      <c r="E145" s="200"/>
      <c r="F145" s="134">
        <f t="shared" ref="F145:F150" si="189">D145+E145</f>
        <v>12454</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25.5" customHeight="1" x14ac:dyDescent="0.25">
      <c r="A146" s="51">
        <v>2352</v>
      </c>
      <c r="B146" s="89" t="s">
        <v>162</v>
      </c>
      <c r="C146" s="90">
        <f t="shared" si="102"/>
        <v>5387</v>
      </c>
      <c r="D146" s="196">
        <v>3425</v>
      </c>
      <c r="E146" s="197">
        <v>1700</v>
      </c>
      <c r="F146" s="55">
        <f t="shared" si="189"/>
        <v>5125</v>
      </c>
      <c r="G146" s="53"/>
      <c r="H146" s="54"/>
      <c r="I146" s="55">
        <f t="shared" si="190"/>
        <v>0</v>
      </c>
      <c r="J146" s="53">
        <v>262</v>
      </c>
      <c r="K146" s="54"/>
      <c r="L146" s="55">
        <f t="shared" si="191"/>
        <v>262</v>
      </c>
      <c r="M146" s="53"/>
      <c r="N146" s="54"/>
      <c r="O146" s="55">
        <f t="shared" si="192"/>
        <v>0</v>
      </c>
      <c r="P146" s="57" t="s">
        <v>2084</v>
      </c>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690</v>
      </c>
      <c r="D149" s="196">
        <v>690</v>
      </c>
      <c r="E149" s="197"/>
      <c r="F149" s="55">
        <f t="shared" si="189"/>
        <v>690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32909</v>
      </c>
      <c r="D151" s="190">
        <f>SUM(D152:D158)</f>
        <v>1230</v>
      </c>
      <c r="E151" s="191">
        <f t="shared" ref="E151:F151" si="194">SUM(E152:E158)</f>
        <v>0</v>
      </c>
      <c r="F151" s="55">
        <f t="shared" si="194"/>
        <v>1230</v>
      </c>
      <c r="G151" s="190">
        <f>SUM(G152:G158)</f>
        <v>0</v>
      </c>
      <c r="H151" s="191">
        <f t="shared" ref="H151:I151" si="195">SUM(H152:H158)</f>
        <v>0</v>
      </c>
      <c r="I151" s="55">
        <f t="shared" si="195"/>
        <v>0</v>
      </c>
      <c r="J151" s="190">
        <f>SUM(J152:J158)</f>
        <v>31679</v>
      </c>
      <c r="K151" s="191">
        <f t="shared" ref="K151:L151" si="196">SUM(K152:K158)</f>
        <v>0</v>
      </c>
      <c r="L151" s="55">
        <f t="shared" si="196"/>
        <v>31679</v>
      </c>
      <c r="M151" s="190">
        <f>SUM(M152:M158)</f>
        <v>0</v>
      </c>
      <c r="N151" s="191">
        <f t="shared" ref="N151:O151" si="197">SUM(N152:N158)</f>
        <v>0</v>
      </c>
      <c r="O151" s="55">
        <f t="shared" si="197"/>
        <v>0</v>
      </c>
      <c r="P151" s="57"/>
    </row>
    <row r="152" spans="1:16" ht="12" customHeight="1" x14ac:dyDescent="0.25">
      <c r="A152" s="50">
        <v>2361</v>
      </c>
      <c r="B152" s="89" t="s">
        <v>168</v>
      </c>
      <c r="C152" s="90">
        <f t="shared" si="193"/>
        <v>330</v>
      </c>
      <c r="D152" s="196">
        <v>330</v>
      </c>
      <c r="E152" s="197"/>
      <c r="F152" s="55">
        <f t="shared" ref="F152:F159" si="198">D152+E152</f>
        <v>330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900</v>
      </c>
      <c r="D153" s="196">
        <v>900</v>
      </c>
      <c r="E153" s="197"/>
      <c r="F153" s="55">
        <f t="shared" si="198"/>
        <v>900</v>
      </c>
      <c r="G153" s="53"/>
      <c r="H153" s="54"/>
      <c r="I153" s="55">
        <f t="shared" si="199"/>
        <v>0</v>
      </c>
      <c r="J153" s="53"/>
      <c r="K153" s="54"/>
      <c r="L153" s="55">
        <f t="shared" si="200"/>
        <v>0</v>
      </c>
      <c r="M153" s="53"/>
      <c r="N153" s="54"/>
      <c r="O153" s="55">
        <f t="shared" si="201"/>
        <v>0</v>
      </c>
      <c r="P153" s="57"/>
    </row>
    <row r="154" spans="1:16" ht="23.25" customHeight="1" x14ac:dyDescent="0.25">
      <c r="A154" s="50">
        <v>2363</v>
      </c>
      <c r="B154" s="89" t="s">
        <v>170</v>
      </c>
      <c r="C154" s="90">
        <f t="shared" si="193"/>
        <v>31679</v>
      </c>
      <c r="D154" s="196"/>
      <c r="E154" s="197"/>
      <c r="F154" s="55">
        <f t="shared" si="198"/>
        <v>0</v>
      </c>
      <c r="G154" s="53"/>
      <c r="H154" s="54"/>
      <c r="I154" s="55">
        <f t="shared" si="199"/>
        <v>0</v>
      </c>
      <c r="J154" s="53">
        <v>31679</v>
      </c>
      <c r="K154" s="54"/>
      <c r="L154" s="55">
        <f t="shared" si="200"/>
        <v>31679</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5700</v>
      </c>
      <c r="D159" s="203">
        <v>3700</v>
      </c>
      <c r="E159" s="204"/>
      <c r="F159" s="141">
        <f t="shared" si="198"/>
        <v>3700</v>
      </c>
      <c r="G159" s="144">
        <v>2000</v>
      </c>
      <c r="H159" s="145"/>
      <c r="I159" s="141">
        <f t="shared" si="199"/>
        <v>2000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customHeight="1" x14ac:dyDescent="0.25">
      <c r="A164" s="69">
        <v>2400</v>
      </c>
      <c r="B164" s="183" t="s">
        <v>180</v>
      </c>
      <c r="C164" s="70">
        <f t="shared" si="193"/>
        <v>186</v>
      </c>
      <c r="D164" s="205">
        <v>186</v>
      </c>
      <c r="E164" s="206"/>
      <c r="F164" s="73">
        <f t="shared" si="206"/>
        <v>186</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76">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76">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76">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76">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76">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4074</v>
      </c>
      <c r="D194" s="173">
        <f t="shared" ref="D194:O194" si="259">SUM(D195,D230,D269,D283)</f>
        <v>2386</v>
      </c>
      <c r="E194" s="174">
        <f t="shared" si="259"/>
        <v>0</v>
      </c>
      <c r="F194" s="175">
        <f t="shared" si="259"/>
        <v>2386</v>
      </c>
      <c r="G194" s="173">
        <f t="shared" si="259"/>
        <v>1688</v>
      </c>
      <c r="H194" s="174">
        <f t="shared" si="259"/>
        <v>0</v>
      </c>
      <c r="I194" s="175">
        <f t="shared" si="259"/>
        <v>1688</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4074</v>
      </c>
      <c r="D195" s="179">
        <f>D196+D204</f>
        <v>2386</v>
      </c>
      <c r="E195" s="180">
        <f t="shared" ref="E195:F195" si="260">E196+E204</f>
        <v>0</v>
      </c>
      <c r="F195" s="181">
        <f t="shared" si="260"/>
        <v>2386</v>
      </c>
      <c r="G195" s="179">
        <f>G196+G204</f>
        <v>1688</v>
      </c>
      <c r="H195" s="180">
        <f t="shared" ref="H195:I195" si="261">H196+H204</f>
        <v>0</v>
      </c>
      <c r="I195" s="181">
        <f t="shared" si="261"/>
        <v>1688</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76">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4074</v>
      </c>
      <c r="D204" s="184">
        <f>D205+D215+D216+D225+D226+D227+D229</f>
        <v>2386</v>
      </c>
      <c r="E204" s="185">
        <f t="shared" ref="E204:F204" si="276">E205+E215+E216+E225+E226+E227+E229</f>
        <v>0</v>
      </c>
      <c r="F204" s="73">
        <f t="shared" si="276"/>
        <v>2386</v>
      </c>
      <c r="G204" s="184">
        <f>G205+G215+G216+G225+G226+G227+G229</f>
        <v>1688</v>
      </c>
      <c r="H204" s="185">
        <f t="shared" ref="H204:I204" si="277">H205+H215+H216+H225+H226+H227+H229</f>
        <v>0</v>
      </c>
      <c r="I204" s="73">
        <f t="shared" si="277"/>
        <v>1688</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4074</v>
      </c>
      <c r="D216" s="190">
        <f>SUM(D217:D224)</f>
        <v>2386</v>
      </c>
      <c r="E216" s="191">
        <f t="shared" ref="E216:F216" si="289">SUM(E217:E224)</f>
        <v>0</v>
      </c>
      <c r="F216" s="55">
        <f t="shared" si="289"/>
        <v>2386</v>
      </c>
      <c r="G216" s="190">
        <f>SUM(G217:G224)</f>
        <v>1688</v>
      </c>
      <c r="H216" s="191">
        <f t="shared" ref="H216:I216" si="290">SUM(H217:H224)</f>
        <v>0</v>
      </c>
      <c r="I216" s="55">
        <f t="shared" si="290"/>
        <v>1688</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9" t="s">
        <v>234</v>
      </c>
      <c r="C218" s="90">
        <f t="shared" si="288"/>
        <v>600</v>
      </c>
      <c r="D218" s="196">
        <v>600</v>
      </c>
      <c r="E218" s="197"/>
      <c r="F218" s="55">
        <f t="shared" si="293"/>
        <v>600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3474</v>
      </c>
      <c r="D219" s="196">
        <v>1786</v>
      </c>
      <c r="E219" s="197"/>
      <c r="F219" s="55">
        <f t="shared" si="293"/>
        <v>1786</v>
      </c>
      <c r="G219" s="53">
        <v>1688</v>
      </c>
      <c r="H219" s="54"/>
      <c r="I219" s="55">
        <f t="shared" si="294"/>
        <v>1688</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6.25"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76">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76">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76">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76">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76">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76">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64</v>
      </c>
      <c r="D286" s="190">
        <f>SUM(D287:D288)</f>
        <v>0</v>
      </c>
      <c r="E286" s="191">
        <f t="shared" ref="E286:F286" si="381">SUM(E287:E288)</f>
        <v>0</v>
      </c>
      <c r="F286" s="55">
        <f t="shared" si="381"/>
        <v>0</v>
      </c>
      <c r="G286" s="190">
        <f>SUM(G287:G288)</f>
        <v>64</v>
      </c>
      <c r="H286" s="191">
        <f t="shared" ref="H286:I286" si="382">SUM(H287:H288)</f>
        <v>0</v>
      </c>
      <c r="I286" s="55">
        <f t="shared" si="382"/>
        <v>64</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1" t="s">
        <v>305</v>
      </c>
      <c r="B288" s="249" t="s">
        <v>306</v>
      </c>
      <c r="C288" s="83">
        <f t="shared" si="371"/>
        <v>64</v>
      </c>
      <c r="D288" s="199"/>
      <c r="E288" s="200"/>
      <c r="F288" s="134">
        <f t="shared" si="385"/>
        <v>0</v>
      </c>
      <c r="G288" s="46">
        <v>64</v>
      </c>
      <c r="H288" s="47"/>
      <c r="I288" s="134">
        <f t="shared" si="386"/>
        <v>64</v>
      </c>
      <c r="J288" s="46"/>
      <c r="K288" s="47"/>
      <c r="L288" s="134">
        <f t="shared" si="387"/>
        <v>0</v>
      </c>
      <c r="M288" s="46"/>
      <c r="N288" s="47"/>
      <c r="O288" s="134">
        <f t="shared" si="388"/>
        <v>0</v>
      </c>
      <c r="P288" s="49"/>
    </row>
    <row r="289" spans="1:16" ht="12.75" thickBot="1" x14ac:dyDescent="0.3">
      <c r="A289" s="250"/>
      <c r="B289" s="250" t="s">
        <v>307</v>
      </c>
      <c r="C289" s="251">
        <f t="shared" si="371"/>
        <v>908791</v>
      </c>
      <c r="D289" s="252">
        <f t="shared" ref="D289:O289" si="389">SUM(D286,D269,D230,D195,D187,D173,D75,D53,D283)</f>
        <v>635002</v>
      </c>
      <c r="E289" s="253">
        <f t="shared" si="389"/>
        <v>4693</v>
      </c>
      <c r="F289" s="254">
        <f t="shared" si="389"/>
        <v>639695</v>
      </c>
      <c r="G289" s="252">
        <f t="shared" si="389"/>
        <v>228075</v>
      </c>
      <c r="H289" s="253">
        <f t="shared" si="389"/>
        <v>8930</v>
      </c>
      <c r="I289" s="254">
        <f t="shared" si="389"/>
        <v>237005</v>
      </c>
      <c r="J289" s="252">
        <f t="shared" si="389"/>
        <v>32091</v>
      </c>
      <c r="K289" s="253">
        <f t="shared" si="389"/>
        <v>0</v>
      </c>
      <c r="L289" s="254">
        <f t="shared" si="389"/>
        <v>32091</v>
      </c>
      <c r="M289" s="252">
        <f t="shared" si="389"/>
        <v>0</v>
      </c>
      <c r="N289" s="253">
        <f t="shared" si="389"/>
        <v>0</v>
      </c>
      <c r="O289" s="254">
        <f t="shared" si="389"/>
        <v>0</v>
      </c>
      <c r="P289" s="255"/>
    </row>
    <row r="290" spans="1:16" s="28" customFormat="1" ht="13.5" thickTop="1" thickBot="1" x14ac:dyDescent="0.3">
      <c r="A290" s="1544" t="s">
        <v>308</v>
      </c>
      <c r="B290" s="1545"/>
      <c r="C290" s="256">
        <f t="shared" si="371"/>
        <v>-5273</v>
      </c>
      <c r="D290" s="257">
        <f>SUM(D24,D25,D41)-D51</f>
        <v>0</v>
      </c>
      <c r="E290" s="258">
        <f t="shared" ref="E290:F290" si="390">SUM(E24,E25,E41)-E51</f>
        <v>0</v>
      </c>
      <c r="F290" s="259">
        <f t="shared" si="390"/>
        <v>0</v>
      </c>
      <c r="G290" s="257">
        <f>SUM(G24,G25,G41)-G51</f>
        <v>64</v>
      </c>
      <c r="H290" s="258">
        <f t="shared" ref="H290:I290" si="391">SUM(H24,H25,H41)-H51</f>
        <v>0</v>
      </c>
      <c r="I290" s="259">
        <f t="shared" si="391"/>
        <v>64</v>
      </c>
      <c r="J290" s="257">
        <f>(J26+J43)-J51</f>
        <v>-5337</v>
      </c>
      <c r="K290" s="258">
        <f t="shared" ref="K290:L290" si="392">(K26+K43)-K51</f>
        <v>0</v>
      </c>
      <c r="L290" s="259">
        <f t="shared" si="392"/>
        <v>-5337</v>
      </c>
      <c r="M290" s="257">
        <f>M45-M51</f>
        <v>0</v>
      </c>
      <c r="N290" s="258">
        <f t="shared" ref="N290:O290" si="393">N45-N51</f>
        <v>0</v>
      </c>
      <c r="O290" s="259">
        <f t="shared" si="393"/>
        <v>0</v>
      </c>
      <c r="P290" s="260"/>
    </row>
    <row r="291" spans="1:16" s="28" customFormat="1" ht="12.75" thickTop="1" x14ac:dyDescent="0.25">
      <c r="A291" s="1546" t="s">
        <v>309</v>
      </c>
      <c r="B291" s="1547"/>
      <c r="C291" s="261">
        <f t="shared" si="371"/>
        <v>5273</v>
      </c>
      <c r="D291" s="262">
        <f t="shared" ref="D291:O291" si="394">SUM(D292,D293)-D300+D301</f>
        <v>0</v>
      </c>
      <c r="E291" s="263">
        <f t="shared" si="394"/>
        <v>0</v>
      </c>
      <c r="F291" s="264">
        <f t="shared" si="394"/>
        <v>0</v>
      </c>
      <c r="G291" s="262">
        <f t="shared" si="394"/>
        <v>-64</v>
      </c>
      <c r="H291" s="263">
        <f t="shared" si="394"/>
        <v>0</v>
      </c>
      <c r="I291" s="264">
        <f t="shared" si="394"/>
        <v>-64</v>
      </c>
      <c r="J291" s="262">
        <f t="shared" si="394"/>
        <v>5337</v>
      </c>
      <c r="K291" s="263">
        <f t="shared" si="394"/>
        <v>0</v>
      </c>
      <c r="L291" s="264">
        <f t="shared" si="394"/>
        <v>5337</v>
      </c>
      <c r="M291" s="262">
        <f t="shared" si="394"/>
        <v>0</v>
      </c>
      <c r="N291" s="263">
        <f t="shared" si="394"/>
        <v>0</v>
      </c>
      <c r="O291" s="264">
        <f t="shared" si="394"/>
        <v>0</v>
      </c>
      <c r="P291" s="265"/>
    </row>
    <row r="292" spans="1:16" s="28" customFormat="1" ht="12.75" thickBot="1" x14ac:dyDescent="0.3">
      <c r="A292" s="157" t="s">
        <v>310</v>
      </c>
      <c r="B292" s="157" t="s">
        <v>311</v>
      </c>
      <c r="C292" s="158">
        <f t="shared" si="371"/>
        <v>5273</v>
      </c>
      <c r="D292" s="159">
        <f t="shared" ref="D292:O292" si="395">D21-D286</f>
        <v>0</v>
      </c>
      <c r="E292" s="160">
        <f t="shared" si="395"/>
        <v>0</v>
      </c>
      <c r="F292" s="161">
        <f t="shared" si="395"/>
        <v>0</v>
      </c>
      <c r="G292" s="159">
        <f t="shared" si="395"/>
        <v>-64</v>
      </c>
      <c r="H292" s="160">
        <f t="shared" si="395"/>
        <v>0</v>
      </c>
      <c r="I292" s="161">
        <f t="shared" si="395"/>
        <v>-64</v>
      </c>
      <c r="J292" s="159">
        <f t="shared" si="395"/>
        <v>5337</v>
      </c>
      <c r="K292" s="160">
        <f t="shared" si="395"/>
        <v>0</v>
      </c>
      <c r="L292" s="161">
        <f t="shared" si="395"/>
        <v>5337</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DwX+eHr0kH1Y8YopepBLzq1i0WcxT4CvE/BhQi42aOSTL9wVcMbmjgtxHg7qJ/GM6MCVb70LpaJAKNKGj4ZFtA==" saltValue="c1XMwRYqaGDH1apjVGdhfQ==" spinCount="100000" sheet="1" objects="1" scenarios="1" formatCells="0" formatColumns="0" formatRows="0" deleteColumns="0"/>
  <autoFilter ref="A18:P301">
    <filterColumn colId="2">
      <filters>
        <filter val="1 514"/>
        <filter val="10 291"/>
        <filter val="10 316"/>
        <filter val="107 529"/>
        <filter val="112"/>
        <filter val="120"/>
        <filter val="14 087"/>
        <filter val="140 850"/>
        <filter val="146 710"/>
        <filter val="146 874"/>
        <filter val="150"/>
        <filter val="16 502"/>
        <filter val="18 674"/>
        <filter val="186"/>
        <filter val="19 406"/>
        <filter val="19 954"/>
        <filter val="2 152"/>
        <filter val="2 516"/>
        <filter val="2 545"/>
        <filter val="2 668"/>
        <filter val="2 716"/>
        <filter val="2 824"/>
        <filter val="2 995"/>
        <filter val="23 488"/>
        <filter val="245"/>
        <filter val="26 031"/>
        <filter val="26 754"/>
        <filter val="26 974"/>
        <filter val="270 530"/>
        <filter val="273"/>
        <filter val="292"/>
        <filter val="3 380"/>
        <filter val="3 452"/>
        <filter val="3 474"/>
        <filter val="3 672"/>
        <filter val="3 813"/>
        <filter val="3 939"/>
        <filter val="3 991"/>
        <filter val="31 679"/>
        <filter val="32 909"/>
        <filter val="33 321"/>
        <filter val="330"/>
        <filter val="348"/>
        <filter val="349 589"/>
        <filter val="37 448"/>
        <filter val="38 463"/>
        <filter val="394 444"/>
        <filter val="4 074"/>
        <filter val="427 714"/>
        <filter val="436"/>
        <filter val="5 273"/>
        <filter val="-5 273"/>
        <filter val="5 337"/>
        <filter val="5 387"/>
        <filter val="5 700"/>
        <filter val="52"/>
        <filter val="560"/>
        <filter val="568 564"/>
        <filter val="6 296"/>
        <filter val="600"/>
        <filter val="64"/>
        <filter val="690"/>
        <filter val="7 330"/>
        <filter val="78 873"/>
        <filter val="81 364"/>
        <filter val="890 200"/>
        <filter val="900"/>
        <filter val="918 153"/>
        <filter val="922 227"/>
        <filter val="922 291"/>
        <filter val="93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78.pielikums Jūrmalas pilsētas domes
2019.gada 31.oktobra saistošajiem noteikumiem Nr.46
(protokols Nr.14, 28.punkts) </firstHeader>
    <firstFooter>&amp;L&amp;9&amp;D; &amp;T&amp;R&amp;9&amp;P (&amp;N)</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3" sqref="U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1950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1878</v>
      </c>
      <c r="D3" s="1517"/>
      <c r="E3" s="1517"/>
      <c r="F3" s="1517"/>
      <c r="G3" s="1517"/>
      <c r="H3" s="1517"/>
      <c r="I3" s="1517"/>
      <c r="J3" s="1517"/>
      <c r="K3" s="1517"/>
      <c r="L3" s="1517"/>
      <c r="M3" s="1517"/>
      <c r="N3" s="1517"/>
      <c r="O3" s="1517"/>
      <c r="P3" s="1518"/>
      <c r="Q3" s="277"/>
    </row>
    <row r="4" spans="1:17" ht="12.75" customHeight="1" x14ac:dyDescent="0.25">
      <c r="A4" s="5" t="s">
        <v>4</v>
      </c>
      <c r="B4" s="6"/>
      <c r="C4" s="1517" t="s">
        <v>1879</v>
      </c>
      <c r="D4" s="1517"/>
      <c r="E4" s="1517"/>
      <c r="F4" s="1517"/>
      <c r="G4" s="1517"/>
      <c r="H4" s="1517"/>
      <c r="I4" s="1517"/>
      <c r="J4" s="1517"/>
      <c r="K4" s="1517"/>
      <c r="L4" s="1517"/>
      <c r="M4" s="1517"/>
      <c r="N4" s="1517"/>
      <c r="O4" s="1517"/>
      <c r="P4" s="1518"/>
      <c r="Q4" s="277"/>
    </row>
    <row r="5" spans="1:17" ht="12.75" customHeight="1" x14ac:dyDescent="0.25">
      <c r="A5" s="7" t="s">
        <v>6</v>
      </c>
      <c r="B5" s="8"/>
      <c r="C5" s="1512" t="s">
        <v>1880</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2092</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1951</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7622</v>
      </c>
      <c r="D20" s="32">
        <f>SUM(D21,D24,D25,D41,D43)</f>
        <v>5792</v>
      </c>
      <c r="E20" s="33">
        <f t="shared" ref="E20:F20" si="1">SUM(E21,E24,E25,E41,E43)</f>
        <v>1830</v>
      </c>
      <c r="F20" s="34">
        <f t="shared" si="1"/>
        <v>7622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7622</v>
      </c>
      <c r="D24" s="60">
        <f>4345+1447</f>
        <v>5792</v>
      </c>
      <c r="E24" s="1334">
        <v>1830</v>
      </c>
      <c r="F24" s="62">
        <f t="shared" si="9"/>
        <v>7622</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7622</v>
      </c>
      <c r="D50" s="159">
        <f>SUM(D51,D286)</f>
        <v>5792</v>
      </c>
      <c r="E50" s="160">
        <f t="shared" ref="E50:F50" si="26">SUM(E51,E286)</f>
        <v>1830</v>
      </c>
      <c r="F50" s="161">
        <f t="shared" si="26"/>
        <v>7622</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7622</v>
      </c>
      <c r="D51" s="165">
        <f>SUM(D52,D194)</f>
        <v>5792</v>
      </c>
      <c r="E51" s="166">
        <f t="shared" ref="E51:F51" si="30">SUM(E52,E194)</f>
        <v>1830</v>
      </c>
      <c r="F51" s="167">
        <f t="shared" si="30"/>
        <v>7622</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7622</v>
      </c>
      <c r="D52" s="173">
        <f>SUM(D53,D75,D173,D187)</f>
        <v>5792</v>
      </c>
      <c r="E52" s="174">
        <f t="shared" ref="E52:F52" si="34">SUM(E53,E75,E173,E187)</f>
        <v>1830</v>
      </c>
      <c r="F52" s="175">
        <f t="shared" si="34"/>
        <v>7622</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7622</v>
      </c>
      <c r="D53" s="179">
        <f>SUM(D54,D67)</f>
        <v>5792</v>
      </c>
      <c r="E53" s="180">
        <f t="shared" ref="E53:F53" si="38">SUM(E54,E67)</f>
        <v>1830</v>
      </c>
      <c r="F53" s="181">
        <f t="shared" si="38"/>
        <v>7622</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5994</v>
      </c>
      <c r="D54" s="184">
        <f>SUM(D55,D58,D66)</f>
        <v>4590</v>
      </c>
      <c r="E54" s="185">
        <f t="shared" ref="E54:F54" si="42">SUM(E55,E58,E66)</f>
        <v>1404</v>
      </c>
      <c r="F54" s="73">
        <f t="shared" si="42"/>
        <v>5994</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5994</v>
      </c>
      <c r="D55" s="187">
        <f>SUM(D56:D57)</f>
        <v>4590</v>
      </c>
      <c r="E55" s="188">
        <f t="shared" ref="E55:F55" si="46">SUM(E56:E57)</f>
        <v>1404</v>
      </c>
      <c r="F55" s="141">
        <f t="shared" si="46"/>
        <v>5994</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7.5" customHeight="1" x14ac:dyDescent="0.25">
      <c r="A57" s="51">
        <v>1119</v>
      </c>
      <c r="B57" s="89" t="s">
        <v>75</v>
      </c>
      <c r="C57" s="90">
        <f t="shared" si="0"/>
        <v>5994</v>
      </c>
      <c r="D57" s="53">
        <f>3443+1147</f>
        <v>4590</v>
      </c>
      <c r="E57" s="361">
        <v>1404</v>
      </c>
      <c r="F57" s="55">
        <f t="shared" si="50"/>
        <v>5994</v>
      </c>
      <c r="G57" s="53"/>
      <c r="H57" s="54"/>
      <c r="I57" s="55">
        <f t="shared" si="51"/>
        <v>0</v>
      </c>
      <c r="J57" s="53"/>
      <c r="K57" s="54"/>
      <c r="L57" s="55">
        <f t="shared" si="52"/>
        <v>0</v>
      </c>
      <c r="M57" s="53"/>
      <c r="N57" s="54"/>
      <c r="O57" s="55">
        <f t="shared" si="53"/>
        <v>0</v>
      </c>
      <c r="P57" s="1480" t="s">
        <v>1952</v>
      </c>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1434"/>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1434"/>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1434"/>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1434"/>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1434"/>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1434"/>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1434"/>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1434"/>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481"/>
    </row>
    <row r="67" spans="1:16" ht="24" x14ac:dyDescent="0.25">
      <c r="A67" s="69">
        <v>1200</v>
      </c>
      <c r="B67" s="183" t="s">
        <v>85</v>
      </c>
      <c r="C67" s="70">
        <f t="shared" si="0"/>
        <v>1628</v>
      </c>
      <c r="D67" s="184">
        <f>SUM(D68:D69)</f>
        <v>1202</v>
      </c>
      <c r="E67" s="185">
        <f t="shared" ref="E67:F67" si="62">SUM(E68:E69)</f>
        <v>426</v>
      </c>
      <c r="F67" s="73">
        <f t="shared" si="62"/>
        <v>1628</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1362"/>
    </row>
    <row r="68" spans="1:16" ht="38.25" customHeight="1" x14ac:dyDescent="0.25">
      <c r="A68" s="1449">
        <v>1210</v>
      </c>
      <c r="B68" s="82" t="s">
        <v>86</v>
      </c>
      <c r="C68" s="83">
        <f t="shared" si="0"/>
        <v>1532</v>
      </c>
      <c r="D68" s="46">
        <f>830+276</f>
        <v>1106</v>
      </c>
      <c r="E68" s="1479">
        <v>426</v>
      </c>
      <c r="F68" s="134">
        <f>D68+E68</f>
        <v>1532</v>
      </c>
      <c r="G68" s="46"/>
      <c r="H68" s="47"/>
      <c r="I68" s="134">
        <f>G68+H68</f>
        <v>0</v>
      </c>
      <c r="J68" s="46"/>
      <c r="K68" s="47"/>
      <c r="L68" s="134">
        <f>K68+J68</f>
        <v>0</v>
      </c>
      <c r="M68" s="46"/>
      <c r="N68" s="47"/>
      <c r="O68" s="134">
        <f>N68+M68</f>
        <v>0</v>
      </c>
      <c r="P68" s="1480" t="s">
        <v>1952</v>
      </c>
    </row>
    <row r="69" spans="1:16" ht="24" x14ac:dyDescent="0.25">
      <c r="A69" s="189">
        <v>1220</v>
      </c>
      <c r="B69" s="89" t="s">
        <v>87</v>
      </c>
      <c r="C69" s="90">
        <f t="shared" si="0"/>
        <v>96</v>
      </c>
      <c r="D69" s="190">
        <f>SUM(D70:D74)</f>
        <v>96</v>
      </c>
      <c r="E69" s="191">
        <f t="shared" ref="E69:F69" si="66">SUM(E70:E74)</f>
        <v>0</v>
      </c>
      <c r="F69" s="55">
        <f t="shared" si="66"/>
        <v>96</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1434"/>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1434"/>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1434"/>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1434"/>
    </row>
    <row r="73" spans="1:16" ht="36" customHeight="1" x14ac:dyDescent="0.25">
      <c r="A73" s="51">
        <v>1227</v>
      </c>
      <c r="B73" s="89" t="s">
        <v>91</v>
      </c>
      <c r="C73" s="90">
        <f t="shared" si="0"/>
        <v>96</v>
      </c>
      <c r="D73" s="53">
        <f>72+24</f>
        <v>96</v>
      </c>
      <c r="E73" s="54"/>
      <c r="F73" s="55">
        <f t="shared" si="70"/>
        <v>96</v>
      </c>
      <c r="G73" s="53"/>
      <c r="H73" s="54"/>
      <c r="I73" s="55">
        <f t="shared" si="71"/>
        <v>0</v>
      </c>
      <c r="J73" s="53"/>
      <c r="K73" s="54"/>
      <c r="L73" s="55">
        <f t="shared" si="72"/>
        <v>0</v>
      </c>
      <c r="M73" s="53"/>
      <c r="N73" s="54"/>
      <c r="O73" s="55">
        <f t="shared" si="73"/>
        <v>0</v>
      </c>
      <c r="P73" s="1482"/>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1482"/>
    </row>
    <row r="75" spans="1:16" hidden="1" x14ac:dyDescent="0.25">
      <c r="A75" s="177">
        <v>2000</v>
      </c>
      <c r="B75" s="177" t="s">
        <v>93</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0.25"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2.5"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449">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9.75"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12.75"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7622</v>
      </c>
      <c r="D289" s="252">
        <f t="shared" ref="D289:O289" si="389">SUM(D286,D269,D230,D195,D187,D173,D75,D53,D283)</f>
        <v>5792</v>
      </c>
      <c r="E289" s="253">
        <f t="shared" si="389"/>
        <v>1830</v>
      </c>
      <c r="F289" s="254">
        <f t="shared" si="389"/>
        <v>7622</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bmWXCl6hrniYMi7h8BvjO3BTdFg5PWuFJdnqPuyI3ZgBprEZF4r1ykff3HR5SLjkjs841SasaF8X1llmKxLc/Q==" saltValue="vZTByUpoDQIB+9mR/c76cg==" spinCount="100000" sheet="1" objects="1" scenarios="1" formatCells="0" formatColumns="0" formatRows="0" deleteColumns="0"/>
  <autoFilter ref="A18:P301">
    <filterColumn colId="2">
      <filters>
        <filter val="1 532"/>
        <filter val="1 628"/>
        <filter val="5 994"/>
        <filter val="7 622"/>
        <filter val="9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79.pielikums Jūrmalas pilsētas domes
2019.gada 31.oktobra saistošajiem noteikumiem Nr.46
(protokols Nr.14, 28.punkts)
 </firstHeader>
    <firstFooter>&amp;L&amp;9&amp;D; &amp;T&amp;R&amp;9&amp;P (&amp;N)</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6" sqref="T6"/>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1946</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896</v>
      </c>
      <c r="D3" s="1517"/>
      <c r="E3" s="1517"/>
      <c r="F3" s="1517"/>
      <c r="G3" s="1517"/>
      <c r="H3" s="1517"/>
      <c r="I3" s="1517"/>
      <c r="J3" s="1517"/>
      <c r="K3" s="1517"/>
      <c r="L3" s="1517"/>
      <c r="M3" s="1517"/>
      <c r="N3" s="1517"/>
      <c r="O3" s="1517"/>
      <c r="P3" s="1518"/>
      <c r="Q3" s="277"/>
    </row>
    <row r="4" spans="1:17" ht="12.75" customHeight="1" x14ac:dyDescent="0.25">
      <c r="A4" s="5" t="s">
        <v>4</v>
      </c>
      <c r="B4" s="6"/>
      <c r="C4" s="1517" t="s">
        <v>875</v>
      </c>
      <c r="D4" s="1517"/>
      <c r="E4" s="1517"/>
      <c r="F4" s="1517"/>
      <c r="G4" s="1517"/>
      <c r="H4" s="1517"/>
      <c r="I4" s="1517"/>
      <c r="J4" s="1517"/>
      <c r="K4" s="1517"/>
      <c r="L4" s="1517"/>
      <c r="M4" s="1517"/>
      <c r="N4" s="1517"/>
      <c r="O4" s="1517"/>
      <c r="P4" s="1518"/>
      <c r="Q4" s="277"/>
    </row>
    <row r="5" spans="1:17" ht="12.75" customHeight="1" x14ac:dyDescent="0.25">
      <c r="A5" s="7" t="s">
        <v>6</v>
      </c>
      <c r="B5" s="8"/>
      <c r="C5" s="1512" t="s">
        <v>876</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5.5" customHeight="1" x14ac:dyDescent="0.25">
      <c r="A7" s="7" t="s">
        <v>10</v>
      </c>
      <c r="B7" s="8"/>
      <c r="C7" s="1517" t="s">
        <v>2091</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1947</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9523</v>
      </c>
      <c r="D20" s="32">
        <f>SUM(D21,D24,D25,D41,D43)</f>
        <v>8354</v>
      </c>
      <c r="E20" s="33">
        <f t="shared" ref="E20:F20" si="1">SUM(E21,E24,E25,E41,E43)</f>
        <v>1169</v>
      </c>
      <c r="F20" s="34">
        <f t="shared" si="1"/>
        <v>9523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9523</v>
      </c>
      <c r="D24" s="60">
        <f>6266+2088</f>
        <v>8354</v>
      </c>
      <c r="E24" s="1334">
        <v>1169</v>
      </c>
      <c r="F24" s="62">
        <f t="shared" si="9"/>
        <v>9523</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9523</v>
      </c>
      <c r="D50" s="159">
        <f>SUM(D51,D286)</f>
        <v>8354</v>
      </c>
      <c r="E50" s="160">
        <f t="shared" ref="E50:F50" si="26">SUM(E51,E286)</f>
        <v>1169</v>
      </c>
      <c r="F50" s="161">
        <f t="shared" si="26"/>
        <v>9523</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9523</v>
      </c>
      <c r="D51" s="165">
        <f>SUM(D52,D194)</f>
        <v>8354</v>
      </c>
      <c r="E51" s="166">
        <f t="shared" ref="E51:F51" si="30">SUM(E52,E194)</f>
        <v>1169</v>
      </c>
      <c r="F51" s="167">
        <f t="shared" si="30"/>
        <v>9523</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9523</v>
      </c>
      <c r="D52" s="173">
        <f>SUM(D53,D75,D173,D187)</f>
        <v>8354</v>
      </c>
      <c r="E52" s="174">
        <f t="shared" ref="E52:F52" si="34">SUM(E53,E75,E173,E187)</f>
        <v>1169</v>
      </c>
      <c r="F52" s="175">
        <f t="shared" si="34"/>
        <v>9523</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9523</v>
      </c>
      <c r="D53" s="179">
        <f>SUM(D54,D67)</f>
        <v>8354</v>
      </c>
      <c r="E53" s="180">
        <f t="shared" ref="E53:F53" si="38">SUM(E54,E67)</f>
        <v>1169</v>
      </c>
      <c r="F53" s="181">
        <f t="shared" si="38"/>
        <v>9523</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7674</v>
      </c>
      <c r="D54" s="184">
        <f>SUM(D55,D58,D66)</f>
        <v>6732</v>
      </c>
      <c r="E54" s="185">
        <f t="shared" ref="E54:F54" si="42">SUM(E55,E58,E66)</f>
        <v>942</v>
      </c>
      <c r="F54" s="73">
        <f t="shared" si="42"/>
        <v>7674</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62.25" customHeight="1" x14ac:dyDescent="0.25">
      <c r="A66" s="186">
        <v>1150</v>
      </c>
      <c r="B66" s="138" t="s">
        <v>84</v>
      </c>
      <c r="C66" s="143">
        <f t="shared" si="0"/>
        <v>7674</v>
      </c>
      <c r="D66" s="144">
        <f>5049+1683</f>
        <v>6732</v>
      </c>
      <c r="E66" s="1478">
        <v>942</v>
      </c>
      <c r="F66" s="141">
        <f t="shared" si="58"/>
        <v>7674</v>
      </c>
      <c r="G66" s="144"/>
      <c r="H66" s="145"/>
      <c r="I66" s="141">
        <f t="shared" si="59"/>
        <v>0</v>
      </c>
      <c r="J66" s="144"/>
      <c r="K66" s="145"/>
      <c r="L66" s="141">
        <f t="shared" si="60"/>
        <v>0</v>
      </c>
      <c r="M66" s="144"/>
      <c r="N66" s="145"/>
      <c r="O66" s="141">
        <f t="shared" si="61"/>
        <v>0</v>
      </c>
      <c r="P66" s="129" t="s">
        <v>1948</v>
      </c>
    </row>
    <row r="67" spans="1:16" ht="24" x14ac:dyDescent="0.25">
      <c r="A67" s="69">
        <v>1200</v>
      </c>
      <c r="B67" s="183" t="s">
        <v>85</v>
      </c>
      <c r="C67" s="70">
        <f t="shared" si="0"/>
        <v>1849</v>
      </c>
      <c r="D67" s="184">
        <f>SUM(D68:D69)</f>
        <v>1622</v>
      </c>
      <c r="E67" s="185">
        <f t="shared" ref="E67:F67" si="62">SUM(E68:E69)</f>
        <v>227</v>
      </c>
      <c r="F67" s="73">
        <f t="shared" si="62"/>
        <v>1849</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42" customHeight="1" x14ac:dyDescent="0.25">
      <c r="A68" s="1449">
        <v>1210</v>
      </c>
      <c r="B68" s="82" t="s">
        <v>86</v>
      </c>
      <c r="C68" s="83">
        <f t="shared" si="0"/>
        <v>1849</v>
      </c>
      <c r="D68" s="46">
        <f>1217+405</f>
        <v>1622</v>
      </c>
      <c r="E68" s="1479">
        <v>227</v>
      </c>
      <c r="F68" s="134">
        <f>D68+E68</f>
        <v>1849</v>
      </c>
      <c r="G68" s="46"/>
      <c r="H68" s="47"/>
      <c r="I68" s="134">
        <f>G68+H68</f>
        <v>0</v>
      </c>
      <c r="J68" s="46"/>
      <c r="K68" s="47"/>
      <c r="L68" s="134">
        <f>K68+J68</f>
        <v>0</v>
      </c>
      <c r="M68" s="46"/>
      <c r="N68" s="47"/>
      <c r="O68" s="134">
        <f>N68+M68</f>
        <v>0</v>
      </c>
      <c r="P68" s="49" t="s">
        <v>1949</v>
      </c>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93</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0.25"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2.5"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449">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9.75"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12.75"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9523</v>
      </c>
      <c r="D289" s="252">
        <f t="shared" ref="D289:O289" si="389">SUM(D286,D269,D230,D195,D187,D173,D75,D53,D283)</f>
        <v>8354</v>
      </c>
      <c r="E289" s="253">
        <f t="shared" si="389"/>
        <v>1169</v>
      </c>
      <c r="F289" s="254">
        <f t="shared" si="389"/>
        <v>9523</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AsJOGgbvB2+2n7xKLEMvBKZTTMCvrkR23YJoNDv48+/PjTjrUV11EgN4ZYrNeWcAaJwQrXKCG0lNzy0hbwrVyg==" saltValue="ViKL50Zw+dli6ObssX/8+w==" spinCount="100000" sheet="1" objects="1" scenarios="1" formatCells="0" formatColumns="0" formatRows="0" deleteColumns="0"/>
  <autoFilter ref="A18:P301">
    <filterColumn colId="2">
      <filters>
        <filter val="1 849"/>
        <filter val="7 674"/>
        <filter val="9 52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80.pielikums Jūrmalas pilsētas domes
2019.gada 31.oktobra saistošajiem noteikumiem Nr.46
(protokols Nr.14, 28.punkts)
 </firstHeader>
    <firstFooter>&amp;L&amp;9&amp;D; &amp;T&amp;R&amp;9&amp;P (&amp;N)</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10" sqref="T10"/>
    </sheetView>
  </sheetViews>
  <sheetFormatPr defaultColWidth="9.140625"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8.85546875" customWidth="1" collapsed="1"/>
    <col min="18" max="16384" width="9.140625" style="4"/>
  </cols>
  <sheetData>
    <row r="1" spans="1:17" x14ac:dyDescent="0.25">
      <c r="A1" s="1"/>
      <c r="B1" s="1"/>
      <c r="C1" s="1"/>
      <c r="D1" s="1"/>
      <c r="E1" s="1"/>
      <c r="F1" s="1"/>
      <c r="G1" s="1"/>
      <c r="H1" s="1"/>
      <c r="I1" s="1"/>
      <c r="J1" s="1"/>
      <c r="K1" s="1"/>
      <c r="L1" s="1"/>
      <c r="M1" s="1"/>
      <c r="N1" s="2"/>
      <c r="O1" s="3" t="s">
        <v>1997</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1998</v>
      </c>
      <c r="D3" s="1517"/>
      <c r="E3" s="1517"/>
      <c r="F3" s="1517"/>
      <c r="G3" s="1517"/>
      <c r="H3" s="1517"/>
      <c r="I3" s="1517"/>
      <c r="J3" s="1517"/>
      <c r="K3" s="1517"/>
      <c r="L3" s="1517"/>
      <c r="M3" s="1517"/>
      <c r="N3" s="1517"/>
      <c r="O3" s="1517"/>
      <c r="P3" s="1518"/>
      <c r="Q3" s="853"/>
    </row>
    <row r="4" spans="1:17" ht="12.75" customHeight="1" x14ac:dyDescent="0.25">
      <c r="A4" s="5" t="s">
        <v>4</v>
      </c>
      <c r="B4" s="6"/>
      <c r="C4" s="1517" t="s">
        <v>1999</v>
      </c>
      <c r="D4" s="1517"/>
      <c r="E4" s="1517"/>
      <c r="F4" s="1517"/>
      <c r="G4" s="1517"/>
      <c r="H4" s="1517"/>
      <c r="I4" s="1517"/>
      <c r="J4" s="1517"/>
      <c r="K4" s="1517"/>
      <c r="L4" s="1517"/>
      <c r="M4" s="1517"/>
      <c r="N4" s="1517"/>
      <c r="O4" s="1517"/>
      <c r="P4" s="1518"/>
      <c r="Q4" s="853"/>
    </row>
    <row r="5" spans="1:17" ht="12.75" customHeight="1" x14ac:dyDescent="0.25">
      <c r="A5" s="7" t="s">
        <v>6</v>
      </c>
      <c r="B5" s="8"/>
      <c r="C5" s="1512" t="s">
        <v>2000</v>
      </c>
      <c r="D5" s="1512"/>
      <c r="E5" s="1512"/>
      <c r="F5" s="1512"/>
      <c r="G5" s="1512"/>
      <c r="H5" s="1512"/>
      <c r="I5" s="1512"/>
      <c r="J5" s="1512"/>
      <c r="K5" s="1512"/>
      <c r="L5" s="1512"/>
      <c r="M5" s="1512"/>
      <c r="N5" s="1512"/>
      <c r="O5" s="1512"/>
      <c r="P5" s="1513"/>
      <c r="Q5" s="853"/>
    </row>
    <row r="6" spans="1:17" ht="12.75" customHeight="1" x14ac:dyDescent="0.25">
      <c r="A6" s="7" t="s">
        <v>8</v>
      </c>
      <c r="B6" s="8"/>
      <c r="C6" s="1512" t="s">
        <v>1492</v>
      </c>
      <c r="D6" s="1512"/>
      <c r="E6" s="1512"/>
      <c r="F6" s="1512"/>
      <c r="G6" s="1512"/>
      <c r="H6" s="1512"/>
      <c r="I6" s="1512"/>
      <c r="J6" s="1512"/>
      <c r="K6" s="1512"/>
      <c r="L6" s="1512"/>
      <c r="M6" s="1512"/>
      <c r="N6" s="1512"/>
      <c r="O6" s="1512"/>
      <c r="P6" s="1513"/>
      <c r="Q6" s="853"/>
    </row>
    <row r="7" spans="1:17" ht="24.75" customHeight="1" x14ac:dyDescent="0.25">
      <c r="A7" s="7" t="s">
        <v>10</v>
      </c>
      <c r="B7" s="8"/>
      <c r="C7" s="1517" t="s">
        <v>1604</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2001</v>
      </c>
      <c r="D9" s="1512"/>
      <c r="E9" s="1512"/>
      <c r="F9" s="1512"/>
      <c r="G9" s="1512"/>
      <c r="H9" s="1512"/>
      <c r="I9" s="1512"/>
      <c r="J9" s="1512"/>
      <c r="K9" s="1512"/>
      <c r="L9" s="1512"/>
      <c r="M9" s="1512"/>
      <c r="N9" s="1512"/>
      <c r="O9" s="1512"/>
      <c r="P9" s="1513"/>
      <c r="Q9" s="853"/>
    </row>
    <row r="10" spans="1:17" ht="12.75" customHeight="1" x14ac:dyDescent="0.25">
      <c r="A10" s="7"/>
      <c r="B10" s="8" t="s">
        <v>15</v>
      </c>
      <c r="C10" s="1512" t="s">
        <v>2002</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t="s">
        <v>2003</v>
      </c>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353118</v>
      </c>
      <c r="D20" s="32">
        <f>SUM(D21,D24,D25,D41,D43)</f>
        <v>325959</v>
      </c>
      <c r="E20" s="33">
        <f t="shared" ref="E20:F20" si="1">SUM(E21,E24,E25,E41,E43)</f>
        <v>0</v>
      </c>
      <c r="F20" s="34">
        <f t="shared" si="1"/>
        <v>325959</v>
      </c>
      <c r="G20" s="32">
        <f>SUM(G21,G24,G43)</f>
        <v>26038</v>
      </c>
      <c r="H20" s="33">
        <f t="shared" ref="H20:I20" si="2">SUM(H21,H24,H43)</f>
        <v>73</v>
      </c>
      <c r="I20" s="34">
        <f t="shared" si="2"/>
        <v>26111</v>
      </c>
      <c r="J20" s="32">
        <f>SUM(J21,J26,J43)</f>
        <v>1048</v>
      </c>
      <c r="K20" s="33">
        <f t="shared" ref="K20:L20" si="3">SUM(K21,K26,K43)</f>
        <v>0</v>
      </c>
      <c r="L20" s="34">
        <f t="shared" si="3"/>
        <v>1048</v>
      </c>
      <c r="M20" s="32">
        <f>SUM(M21,M45)</f>
        <v>0</v>
      </c>
      <c r="N20" s="33">
        <f t="shared" ref="N20:O20" si="4">SUM(N21,N45)</f>
        <v>0</v>
      </c>
      <c r="O20" s="34">
        <f t="shared" si="4"/>
        <v>0</v>
      </c>
      <c r="P20" s="35"/>
    </row>
    <row r="21" spans="1:16" ht="15.75" thickTop="1" x14ac:dyDescent="0.25">
      <c r="A21" s="36"/>
      <c r="B21" s="37" t="s">
        <v>39</v>
      </c>
      <c r="C21" s="38">
        <f t="shared" si="0"/>
        <v>12</v>
      </c>
      <c r="D21" s="39">
        <f>SUM(D22:D23)</f>
        <v>0</v>
      </c>
      <c r="E21" s="40">
        <f t="shared" ref="E21:F21" si="5">SUM(E22:E23)</f>
        <v>0</v>
      </c>
      <c r="F21" s="41">
        <f t="shared" si="5"/>
        <v>0</v>
      </c>
      <c r="G21" s="39">
        <f>SUM(G22:G23)</f>
        <v>0</v>
      </c>
      <c r="H21" s="40">
        <f t="shared" ref="H21:I21" si="6">SUM(H22:H23)</f>
        <v>0</v>
      </c>
      <c r="I21" s="41">
        <f t="shared" si="6"/>
        <v>0</v>
      </c>
      <c r="J21" s="39">
        <f>SUM(J22:J23)</f>
        <v>12</v>
      </c>
      <c r="K21" s="40">
        <f t="shared" ref="K21:L21" si="7">SUM(K22:K23)</f>
        <v>0</v>
      </c>
      <c r="L21" s="41">
        <f t="shared" si="7"/>
        <v>12</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30.75" customHeight="1" x14ac:dyDescent="0.25">
      <c r="A23" s="464"/>
      <c r="B23" s="345" t="s">
        <v>41</v>
      </c>
      <c r="C23" s="465">
        <f t="shared" si="0"/>
        <v>12</v>
      </c>
      <c r="D23" s="348"/>
      <c r="E23" s="349"/>
      <c r="F23" s="350">
        <f t="shared" ref="F23:F25" si="9">D23+E23</f>
        <v>0</v>
      </c>
      <c r="G23" s="348"/>
      <c r="H23" s="349"/>
      <c r="I23" s="350">
        <f t="shared" ref="I23:I24" si="10">G23+H23</f>
        <v>0</v>
      </c>
      <c r="J23" s="348">
        <v>12</v>
      </c>
      <c r="K23" s="349"/>
      <c r="L23" s="466">
        <f>K23+J23</f>
        <v>12</v>
      </c>
      <c r="M23" s="348"/>
      <c r="N23" s="349"/>
      <c r="O23" s="350">
        <f>N23+M23</f>
        <v>0</v>
      </c>
      <c r="P23" s="354"/>
    </row>
    <row r="24" spans="1:16" s="28" customFormat="1" ht="36.75" thickBot="1" x14ac:dyDescent="0.3">
      <c r="A24" s="58">
        <v>19300</v>
      </c>
      <c r="B24" s="58" t="s">
        <v>42</v>
      </c>
      <c r="C24" s="59">
        <f>F24+I24</f>
        <v>352070</v>
      </c>
      <c r="D24" s="60">
        <v>325959</v>
      </c>
      <c r="E24" s="63"/>
      <c r="F24" s="62">
        <f t="shared" si="9"/>
        <v>325959</v>
      </c>
      <c r="G24" s="60">
        <v>26038</v>
      </c>
      <c r="H24" s="63">
        <v>73</v>
      </c>
      <c r="I24" s="62">
        <f t="shared" si="10"/>
        <v>26111</v>
      </c>
      <c r="J24" s="64" t="s">
        <v>43</v>
      </c>
      <c r="K24" s="65" t="s">
        <v>43</v>
      </c>
      <c r="L24" s="66" t="s">
        <v>43</v>
      </c>
      <c r="M24" s="64" t="s">
        <v>43</v>
      </c>
      <c r="N24" s="65" t="s">
        <v>43</v>
      </c>
      <c r="O24" s="66" t="s">
        <v>43</v>
      </c>
      <c r="P24" s="67" t="s">
        <v>2004</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1036</v>
      </c>
      <c r="D26" s="74" t="s">
        <v>43</v>
      </c>
      <c r="E26" s="75" t="s">
        <v>43</v>
      </c>
      <c r="F26" s="76" t="s">
        <v>43</v>
      </c>
      <c r="G26" s="74" t="s">
        <v>43</v>
      </c>
      <c r="H26" s="75" t="s">
        <v>43</v>
      </c>
      <c r="I26" s="76" t="s">
        <v>43</v>
      </c>
      <c r="J26" s="78">
        <f>SUM(J27,J31,J33,J36)</f>
        <v>1036</v>
      </c>
      <c r="K26" s="79">
        <f t="shared" ref="K26:L26" si="11">SUM(K27,K31,K33,K36)</f>
        <v>0</v>
      </c>
      <c r="L26" s="80">
        <f t="shared" si="11"/>
        <v>1036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1036</v>
      </c>
      <c r="D36" s="74" t="s">
        <v>43</v>
      </c>
      <c r="E36" s="75" t="s">
        <v>43</v>
      </c>
      <c r="F36" s="76" t="s">
        <v>43</v>
      </c>
      <c r="G36" s="74" t="s">
        <v>43</v>
      </c>
      <c r="H36" s="75" t="s">
        <v>43</v>
      </c>
      <c r="I36" s="76" t="s">
        <v>43</v>
      </c>
      <c r="J36" s="78">
        <f>SUM(J37:J40)</f>
        <v>1036</v>
      </c>
      <c r="K36" s="79">
        <f t="shared" ref="K36:L36" si="19">SUM(K37:K40)</f>
        <v>0</v>
      </c>
      <c r="L36" s="80">
        <f t="shared" si="19"/>
        <v>1036</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1036</v>
      </c>
      <c r="D40" s="111" t="s">
        <v>43</v>
      </c>
      <c r="E40" s="112" t="s">
        <v>43</v>
      </c>
      <c r="F40" s="113" t="s">
        <v>43</v>
      </c>
      <c r="G40" s="111" t="s">
        <v>43</v>
      </c>
      <c r="H40" s="112" t="s">
        <v>43</v>
      </c>
      <c r="I40" s="113" t="s">
        <v>43</v>
      </c>
      <c r="J40" s="114">
        <v>1036</v>
      </c>
      <c r="K40" s="115"/>
      <c r="L40" s="116">
        <f t="shared" si="20"/>
        <v>1036</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353118</v>
      </c>
      <c r="D50" s="159">
        <f>SUM(D51,D286)</f>
        <v>325959</v>
      </c>
      <c r="E50" s="160">
        <f t="shared" ref="E50:F50" si="26">SUM(E51,E286)</f>
        <v>0</v>
      </c>
      <c r="F50" s="161">
        <f t="shared" si="26"/>
        <v>325959</v>
      </c>
      <c r="G50" s="159">
        <f>SUM(G51,G286)</f>
        <v>26038</v>
      </c>
      <c r="H50" s="160">
        <f>SUM(H51,H286)</f>
        <v>73</v>
      </c>
      <c r="I50" s="161">
        <f t="shared" ref="I50" si="27">SUM(I51,I286)</f>
        <v>26111</v>
      </c>
      <c r="J50" s="32">
        <f>SUM(J51,J286)</f>
        <v>1048</v>
      </c>
      <c r="K50" s="33">
        <f t="shared" ref="K50:L50" si="28">SUM(K51,K286)</f>
        <v>0</v>
      </c>
      <c r="L50" s="34">
        <f t="shared" si="28"/>
        <v>1048</v>
      </c>
      <c r="M50" s="32">
        <f>SUM(M51,M286)</f>
        <v>0</v>
      </c>
      <c r="N50" s="33">
        <f t="shared" ref="N50:O50" si="29">SUM(N51,N286)</f>
        <v>0</v>
      </c>
      <c r="O50" s="34">
        <f t="shared" si="29"/>
        <v>0</v>
      </c>
      <c r="P50" s="35"/>
    </row>
    <row r="51" spans="1:16" s="28" customFormat="1" ht="36.75" thickTop="1" x14ac:dyDescent="0.25">
      <c r="A51" s="162"/>
      <c r="B51" s="163" t="s">
        <v>69</v>
      </c>
      <c r="C51" s="164">
        <f t="shared" si="0"/>
        <v>353118</v>
      </c>
      <c r="D51" s="165">
        <f>SUM(D52,D194)</f>
        <v>325959</v>
      </c>
      <c r="E51" s="166">
        <f t="shared" ref="E51:F51" si="30">SUM(E52,E194)</f>
        <v>0</v>
      </c>
      <c r="F51" s="167">
        <f t="shared" si="30"/>
        <v>325959</v>
      </c>
      <c r="G51" s="165">
        <f>SUM(G52,G194)</f>
        <v>26038</v>
      </c>
      <c r="H51" s="166">
        <f t="shared" ref="H51:I51" si="31">SUM(H52,H194)</f>
        <v>73</v>
      </c>
      <c r="I51" s="167">
        <f t="shared" si="31"/>
        <v>26111</v>
      </c>
      <c r="J51" s="168">
        <f>SUM(J52,J194)</f>
        <v>1048</v>
      </c>
      <c r="K51" s="169">
        <f t="shared" ref="K51:L51" si="32">SUM(K52,K194)</f>
        <v>0</v>
      </c>
      <c r="L51" s="170">
        <f t="shared" si="32"/>
        <v>1048</v>
      </c>
      <c r="M51" s="168">
        <f>SUM(M52,M194)</f>
        <v>0</v>
      </c>
      <c r="N51" s="169">
        <f t="shared" ref="N51:O51" si="33">SUM(N52,N194)</f>
        <v>0</v>
      </c>
      <c r="O51" s="170">
        <f t="shared" si="33"/>
        <v>0</v>
      </c>
      <c r="P51" s="171"/>
    </row>
    <row r="52" spans="1:16" s="28" customFormat="1" ht="24" x14ac:dyDescent="0.25">
      <c r="A52" s="24"/>
      <c r="B52" s="22" t="s">
        <v>70</v>
      </c>
      <c r="C52" s="172">
        <f t="shared" si="0"/>
        <v>351346</v>
      </c>
      <c r="D52" s="173">
        <f>SUM(D53,D75,D173,D187)</f>
        <v>324272</v>
      </c>
      <c r="E52" s="174">
        <f t="shared" ref="E52:F52" si="34">SUM(E53,E75,E173,E187)</f>
        <v>0</v>
      </c>
      <c r="F52" s="175">
        <f t="shared" si="34"/>
        <v>324272</v>
      </c>
      <c r="G52" s="173">
        <f>SUM(G53,G75,G173,G187)</f>
        <v>25953</v>
      </c>
      <c r="H52" s="174">
        <f t="shared" ref="H52:I52" si="35">SUM(H53,H75,H173,H187)</f>
        <v>73</v>
      </c>
      <c r="I52" s="175">
        <f t="shared" si="35"/>
        <v>26026</v>
      </c>
      <c r="J52" s="173">
        <f>SUM(J53,J75,J173,J187)</f>
        <v>1048</v>
      </c>
      <c r="K52" s="174">
        <f t="shared" ref="K52:L52" si="36">SUM(K53,K75,K173,K187)</f>
        <v>0</v>
      </c>
      <c r="L52" s="175">
        <f t="shared" si="36"/>
        <v>1048</v>
      </c>
      <c r="M52" s="173">
        <f>SUM(M53,M75,M173,M187)</f>
        <v>0</v>
      </c>
      <c r="N52" s="174">
        <f t="shared" ref="N52:O52" si="37">SUM(N53,N75,N173,N187)</f>
        <v>0</v>
      </c>
      <c r="O52" s="175">
        <f t="shared" si="37"/>
        <v>0</v>
      </c>
      <c r="P52" s="176"/>
    </row>
    <row r="53" spans="1:16" s="28" customFormat="1" ht="12" x14ac:dyDescent="0.25">
      <c r="A53" s="177">
        <v>1000</v>
      </c>
      <c r="B53" s="177" t="s">
        <v>71</v>
      </c>
      <c r="C53" s="178">
        <f t="shared" si="0"/>
        <v>299568</v>
      </c>
      <c r="D53" s="179">
        <f>SUM(D54,D67)</f>
        <v>274084</v>
      </c>
      <c r="E53" s="180">
        <f t="shared" ref="E53:F53" si="38">SUM(E54,E67)</f>
        <v>0</v>
      </c>
      <c r="F53" s="181">
        <f t="shared" si="38"/>
        <v>274084</v>
      </c>
      <c r="G53" s="179">
        <f>SUM(G54,G67)</f>
        <v>25411</v>
      </c>
      <c r="H53" s="180">
        <f t="shared" ref="H53:I53" si="39">SUM(H54,H67)</f>
        <v>73</v>
      </c>
      <c r="I53" s="181">
        <f t="shared" si="39"/>
        <v>25484</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225495</v>
      </c>
      <c r="D54" s="184">
        <f>SUM(D55,D58,D66)</f>
        <v>204105</v>
      </c>
      <c r="E54" s="185">
        <f t="shared" ref="E54:F54" si="42">SUM(E55,E58,E66)</f>
        <v>1223</v>
      </c>
      <c r="F54" s="73">
        <f t="shared" si="42"/>
        <v>205328</v>
      </c>
      <c r="G54" s="184">
        <f>SUM(G55,G58,G66)</f>
        <v>20244</v>
      </c>
      <c r="H54" s="185">
        <f t="shared" ref="H54:I54" si="43">SUM(H55,H58,H66)</f>
        <v>-77</v>
      </c>
      <c r="I54" s="73">
        <f t="shared" si="43"/>
        <v>20167</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203764</v>
      </c>
      <c r="D55" s="187">
        <f>SUM(D56:D57)</f>
        <v>182992</v>
      </c>
      <c r="E55" s="188">
        <f t="shared" ref="E55:F55" si="46">SUM(E56:E57)</f>
        <v>955</v>
      </c>
      <c r="F55" s="141">
        <f t="shared" si="46"/>
        <v>183947</v>
      </c>
      <c r="G55" s="187">
        <f>SUM(G56:G57)</f>
        <v>19904</v>
      </c>
      <c r="H55" s="188">
        <f t="shared" ref="H55:I55" si="47">SUM(H56:H57)</f>
        <v>-87</v>
      </c>
      <c r="I55" s="141">
        <f t="shared" si="47"/>
        <v>19817</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8.25" customHeight="1" x14ac:dyDescent="0.25">
      <c r="A57" s="51">
        <v>1119</v>
      </c>
      <c r="B57" s="89" t="s">
        <v>75</v>
      </c>
      <c r="C57" s="90">
        <f t="shared" si="0"/>
        <v>203764</v>
      </c>
      <c r="D57" s="53">
        <v>182992</v>
      </c>
      <c r="E57" s="54">
        <v>955</v>
      </c>
      <c r="F57" s="55">
        <f t="shared" si="50"/>
        <v>183947</v>
      </c>
      <c r="G57" s="53">
        <v>19904</v>
      </c>
      <c r="H57" s="54">
        <f>-3-77-7</f>
        <v>-87</v>
      </c>
      <c r="I57" s="55">
        <f t="shared" si="51"/>
        <v>19817</v>
      </c>
      <c r="J57" s="53"/>
      <c r="K57" s="54"/>
      <c r="L57" s="55">
        <f t="shared" si="52"/>
        <v>0</v>
      </c>
      <c r="M57" s="53"/>
      <c r="N57" s="54"/>
      <c r="O57" s="55">
        <f t="shared" si="53"/>
        <v>0</v>
      </c>
      <c r="P57" s="57" t="s">
        <v>2005</v>
      </c>
    </row>
    <row r="58" spans="1:16" x14ac:dyDescent="0.25">
      <c r="A58" s="189">
        <v>1140</v>
      </c>
      <c r="B58" s="89" t="s">
        <v>76</v>
      </c>
      <c r="C58" s="90">
        <f t="shared" si="0"/>
        <v>19800</v>
      </c>
      <c r="D58" s="190">
        <f>SUM(D59:D65)</f>
        <v>19450</v>
      </c>
      <c r="E58" s="191">
        <f>SUM(E59:E65)</f>
        <v>0</v>
      </c>
      <c r="F58" s="55">
        <f t="shared" ref="F58" si="54">SUM(F59:F65)</f>
        <v>19450</v>
      </c>
      <c r="G58" s="190">
        <f>SUM(G59:G65)</f>
        <v>340</v>
      </c>
      <c r="H58" s="191">
        <f t="shared" ref="H58:I58" si="55">SUM(H59:H65)</f>
        <v>10</v>
      </c>
      <c r="I58" s="55">
        <f t="shared" si="55"/>
        <v>350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31.5" customHeight="1" x14ac:dyDescent="0.25">
      <c r="A63" s="51">
        <v>1147</v>
      </c>
      <c r="B63" s="89" t="s">
        <v>81</v>
      </c>
      <c r="C63" s="90">
        <f t="shared" si="0"/>
        <v>2937</v>
      </c>
      <c r="D63" s="53">
        <v>2587</v>
      </c>
      <c r="E63" s="54"/>
      <c r="F63" s="55">
        <f t="shared" si="58"/>
        <v>2587</v>
      </c>
      <c r="G63" s="53">
        <v>340</v>
      </c>
      <c r="H63" s="54">
        <v>10</v>
      </c>
      <c r="I63" s="55">
        <f t="shared" si="59"/>
        <v>350</v>
      </c>
      <c r="J63" s="53"/>
      <c r="K63" s="54"/>
      <c r="L63" s="55">
        <f t="shared" si="60"/>
        <v>0</v>
      </c>
      <c r="M63" s="53"/>
      <c r="N63" s="54"/>
      <c r="O63" s="55">
        <f t="shared" si="61"/>
        <v>0</v>
      </c>
      <c r="P63" s="57" t="s">
        <v>2006</v>
      </c>
    </row>
    <row r="64" spans="1:16" ht="12" customHeight="1" x14ac:dyDescent="0.25">
      <c r="A64" s="51">
        <v>1148</v>
      </c>
      <c r="B64" s="89" t="s">
        <v>82</v>
      </c>
      <c r="C64" s="90">
        <f t="shared" si="0"/>
        <v>11662</v>
      </c>
      <c r="D64" s="53">
        <v>11662</v>
      </c>
      <c r="E64" s="54"/>
      <c r="F64" s="55">
        <f t="shared" si="58"/>
        <v>11662</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48" customHeight="1" x14ac:dyDescent="0.25">
      <c r="A66" s="186">
        <v>1150</v>
      </c>
      <c r="B66" s="138" t="s">
        <v>84</v>
      </c>
      <c r="C66" s="143">
        <f t="shared" si="0"/>
        <v>1931</v>
      </c>
      <c r="D66" s="144">
        <v>1663</v>
      </c>
      <c r="E66" s="145">
        <v>268</v>
      </c>
      <c r="F66" s="141">
        <f t="shared" si="58"/>
        <v>1931</v>
      </c>
      <c r="G66" s="144"/>
      <c r="H66" s="145"/>
      <c r="I66" s="141">
        <f t="shared" si="59"/>
        <v>0</v>
      </c>
      <c r="J66" s="144"/>
      <c r="K66" s="145"/>
      <c r="L66" s="141">
        <f t="shared" si="60"/>
        <v>0</v>
      </c>
      <c r="M66" s="144"/>
      <c r="N66" s="145"/>
      <c r="O66" s="141">
        <f t="shared" si="61"/>
        <v>0</v>
      </c>
      <c r="P66" s="129" t="s">
        <v>2007</v>
      </c>
    </row>
    <row r="67" spans="1:16" ht="24" x14ac:dyDescent="0.25">
      <c r="A67" s="69">
        <v>1200</v>
      </c>
      <c r="B67" s="183" t="s">
        <v>85</v>
      </c>
      <c r="C67" s="70">
        <f t="shared" si="0"/>
        <v>74073</v>
      </c>
      <c r="D67" s="184">
        <f>SUM(D68:D69)</f>
        <v>69979</v>
      </c>
      <c r="E67" s="185">
        <f t="shared" ref="E67:F67" si="62">SUM(E68:E69)</f>
        <v>-1223</v>
      </c>
      <c r="F67" s="73">
        <f t="shared" si="62"/>
        <v>68756</v>
      </c>
      <c r="G67" s="184">
        <f>SUM(G68:G69)</f>
        <v>5167</v>
      </c>
      <c r="H67" s="185">
        <f t="shared" ref="H67:I67" si="63">SUM(H68:H69)</f>
        <v>150</v>
      </c>
      <c r="I67" s="73">
        <f t="shared" si="63"/>
        <v>5317</v>
      </c>
      <c r="J67" s="184">
        <f>SUM(J68:J69)</f>
        <v>0</v>
      </c>
      <c r="K67" s="185">
        <f t="shared" ref="K67:L67" si="64">SUM(K68:K69)</f>
        <v>0</v>
      </c>
      <c r="L67" s="73">
        <f t="shared" si="64"/>
        <v>0</v>
      </c>
      <c r="M67" s="184">
        <f>SUM(M68:M69)</f>
        <v>0</v>
      </c>
      <c r="N67" s="185">
        <f t="shared" ref="N67:O67" si="65">SUM(N68:N69)</f>
        <v>0</v>
      </c>
      <c r="O67" s="73">
        <f t="shared" si="65"/>
        <v>0</v>
      </c>
      <c r="P67" s="77"/>
    </row>
    <row r="68" spans="1:16" ht="39" customHeight="1" x14ac:dyDescent="0.25">
      <c r="A68" s="1449">
        <v>1210</v>
      </c>
      <c r="B68" s="82" t="s">
        <v>86</v>
      </c>
      <c r="C68" s="83">
        <f t="shared" si="0"/>
        <v>54698</v>
      </c>
      <c r="D68" s="46">
        <v>51827</v>
      </c>
      <c r="E68" s="47">
        <v>-2073</v>
      </c>
      <c r="F68" s="134">
        <f>D68+E68</f>
        <v>49754</v>
      </c>
      <c r="G68" s="46">
        <v>4867</v>
      </c>
      <c r="H68" s="47">
        <v>77</v>
      </c>
      <c r="I68" s="134">
        <f>G68+H68</f>
        <v>4944</v>
      </c>
      <c r="J68" s="46"/>
      <c r="K68" s="47"/>
      <c r="L68" s="134">
        <f>K68+J68</f>
        <v>0</v>
      </c>
      <c r="M68" s="46"/>
      <c r="N68" s="47"/>
      <c r="O68" s="134">
        <f>N68+M68</f>
        <v>0</v>
      </c>
      <c r="P68" s="49" t="s">
        <v>2008</v>
      </c>
    </row>
    <row r="69" spans="1:16" ht="24" x14ac:dyDescent="0.25">
      <c r="A69" s="189">
        <v>1220</v>
      </c>
      <c r="B69" s="89" t="s">
        <v>87</v>
      </c>
      <c r="C69" s="90">
        <f t="shared" si="0"/>
        <v>19375</v>
      </c>
      <c r="D69" s="190">
        <f>SUM(D70:D74)</f>
        <v>18152</v>
      </c>
      <c r="E69" s="191">
        <f t="shared" ref="E69:F69" si="66">SUM(E70:E74)</f>
        <v>850</v>
      </c>
      <c r="F69" s="55">
        <f t="shared" si="66"/>
        <v>19002</v>
      </c>
      <c r="G69" s="190">
        <f>SUM(G70:G74)</f>
        <v>300</v>
      </c>
      <c r="H69" s="191">
        <f t="shared" ref="H69:I69" si="67">SUM(H70:H74)</f>
        <v>73</v>
      </c>
      <c r="I69" s="55">
        <f t="shared" si="67"/>
        <v>373</v>
      </c>
      <c r="J69" s="190">
        <f>SUM(J70:J74)</f>
        <v>0</v>
      </c>
      <c r="K69" s="191">
        <f t="shared" ref="K69:L69" si="68">SUM(K70:K74)</f>
        <v>0</v>
      </c>
      <c r="L69" s="55">
        <f t="shared" si="68"/>
        <v>0</v>
      </c>
      <c r="M69" s="190">
        <f>SUM(M70:M74)</f>
        <v>0</v>
      </c>
      <c r="N69" s="191">
        <f t="shared" ref="N69:O69" si="69">SUM(N70:N74)</f>
        <v>0</v>
      </c>
      <c r="O69" s="55">
        <f t="shared" si="69"/>
        <v>0</v>
      </c>
      <c r="P69" s="57"/>
    </row>
    <row r="70" spans="1:16" ht="51.75" customHeight="1" x14ac:dyDescent="0.25">
      <c r="A70" s="51">
        <v>1221</v>
      </c>
      <c r="B70" s="89" t="s">
        <v>88</v>
      </c>
      <c r="C70" s="90">
        <f t="shared" si="0"/>
        <v>12258</v>
      </c>
      <c r="D70" s="53">
        <v>11035</v>
      </c>
      <c r="E70" s="54">
        <v>850</v>
      </c>
      <c r="F70" s="55">
        <f t="shared" ref="F70:F74" si="70">D70+E70</f>
        <v>11885</v>
      </c>
      <c r="G70" s="53">
        <v>300</v>
      </c>
      <c r="H70" s="54">
        <v>73</v>
      </c>
      <c r="I70" s="55">
        <f t="shared" ref="I70:I74" si="71">G70+H70</f>
        <v>373</v>
      </c>
      <c r="J70" s="53"/>
      <c r="K70" s="54"/>
      <c r="L70" s="55">
        <f t="shared" ref="L70:L74" si="72">K70+J70</f>
        <v>0</v>
      </c>
      <c r="M70" s="53"/>
      <c r="N70" s="54"/>
      <c r="O70" s="55">
        <f t="shared" ref="O70:O74" si="73">N70+M70</f>
        <v>0</v>
      </c>
      <c r="P70" s="57" t="s">
        <v>2009</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6617</v>
      </c>
      <c r="D73" s="53">
        <v>6617</v>
      </c>
      <c r="E73" s="54"/>
      <c r="F73" s="55">
        <f t="shared" si="70"/>
        <v>6617</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51778</v>
      </c>
      <c r="D75" s="179">
        <f>SUM(D76,D83,D130,D164,D165,D172)</f>
        <v>50188</v>
      </c>
      <c r="E75" s="180">
        <f t="shared" ref="E75:F75" si="74">SUM(E76,E83,E130,E164,E165,E172)</f>
        <v>0</v>
      </c>
      <c r="F75" s="181">
        <f t="shared" si="74"/>
        <v>50188</v>
      </c>
      <c r="G75" s="179">
        <f>SUM(G76,G83,G130,G164,G165,G172)</f>
        <v>542</v>
      </c>
      <c r="H75" s="180">
        <f t="shared" ref="H75:I75" si="75">SUM(H76,H83,H130,H164,H165,H172)</f>
        <v>0</v>
      </c>
      <c r="I75" s="181">
        <f t="shared" si="75"/>
        <v>542</v>
      </c>
      <c r="J75" s="179">
        <f>SUM(J76,J83,J130,J164,J165,J172)</f>
        <v>1048</v>
      </c>
      <c r="K75" s="180">
        <f t="shared" ref="K75:L75" si="76">SUM(K76,K83,K130,K164,K165,K172)</f>
        <v>0</v>
      </c>
      <c r="L75" s="181">
        <f t="shared" si="76"/>
        <v>1048</v>
      </c>
      <c r="M75" s="179">
        <f>SUM(M76,M83,M130,M164,M165,M172)</f>
        <v>0</v>
      </c>
      <c r="N75" s="180">
        <f t="shared" ref="N75:O75" si="77">SUM(N76,N83,N130,N164,N165,N172)</f>
        <v>0</v>
      </c>
      <c r="O75" s="181">
        <f t="shared" si="77"/>
        <v>0</v>
      </c>
      <c r="P75" s="182"/>
    </row>
    <row r="76" spans="1:16" ht="24" x14ac:dyDescent="0.25">
      <c r="A76" s="69">
        <v>2100</v>
      </c>
      <c r="B76" s="183" t="s">
        <v>94</v>
      </c>
      <c r="C76" s="70">
        <f t="shared" si="0"/>
        <v>120</v>
      </c>
      <c r="D76" s="184">
        <f>SUM(D77,D80)</f>
        <v>120</v>
      </c>
      <c r="E76" s="185">
        <f t="shared" ref="E76:F76" si="78">SUM(E77,E80)</f>
        <v>0</v>
      </c>
      <c r="F76" s="73">
        <f t="shared" si="78"/>
        <v>120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x14ac:dyDescent="0.25">
      <c r="A77" s="1449">
        <v>2110</v>
      </c>
      <c r="B77" s="82" t="s">
        <v>95</v>
      </c>
      <c r="C77" s="83">
        <f t="shared" si="0"/>
        <v>120</v>
      </c>
      <c r="D77" s="194">
        <f>SUM(D78:D79)</f>
        <v>120</v>
      </c>
      <c r="E77" s="195">
        <f t="shared" ref="E77:F77" si="82">SUM(E78:E79)</f>
        <v>0</v>
      </c>
      <c r="F77" s="134">
        <f t="shared" si="82"/>
        <v>120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9" t="s">
        <v>97</v>
      </c>
      <c r="C79" s="90">
        <f t="shared" si="0"/>
        <v>120</v>
      </c>
      <c r="D79" s="196">
        <v>120</v>
      </c>
      <c r="E79" s="197"/>
      <c r="F79" s="55">
        <f t="shared" si="86"/>
        <v>120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25400</v>
      </c>
      <c r="D83" s="184">
        <f>SUM(D84,D89,D95,D103,D112,D116,D122,D128)</f>
        <v>25315</v>
      </c>
      <c r="E83" s="185">
        <f t="shared" ref="E83:F83" si="98">SUM(E84,E89,E95,E103,E112,E116,E122,E128)</f>
        <v>85</v>
      </c>
      <c r="F83" s="73">
        <f t="shared" si="98"/>
        <v>25400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575</v>
      </c>
      <c r="D84" s="187">
        <f>SUM(D85:D88)</f>
        <v>575</v>
      </c>
      <c r="E84" s="188">
        <f t="shared" ref="E84:F84" si="103">SUM(E85:E88)</f>
        <v>0</v>
      </c>
      <c r="F84" s="141">
        <f t="shared" si="103"/>
        <v>575</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555</v>
      </c>
      <c r="D86" s="196">
        <v>555</v>
      </c>
      <c r="E86" s="197"/>
      <c r="F86" s="55">
        <f t="shared" si="107"/>
        <v>555</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20</v>
      </c>
      <c r="D88" s="196">
        <v>20</v>
      </c>
      <c r="E88" s="197"/>
      <c r="F88" s="55">
        <f t="shared" si="107"/>
        <v>20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19293</v>
      </c>
      <c r="D89" s="190">
        <f>SUM(D90:D94)</f>
        <v>19293</v>
      </c>
      <c r="E89" s="191">
        <f t="shared" ref="E89:F89" si="111">SUM(E90:E94)</f>
        <v>0</v>
      </c>
      <c r="F89" s="55">
        <f t="shared" si="111"/>
        <v>19293</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90">
        <f t="shared" si="102"/>
        <v>2583</v>
      </c>
      <c r="D91" s="196">
        <v>2583</v>
      </c>
      <c r="E91" s="197"/>
      <c r="F91" s="55">
        <f t="shared" si="115"/>
        <v>2583</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90">
        <f t="shared" si="102"/>
        <v>16139</v>
      </c>
      <c r="D92" s="196">
        <v>16139</v>
      </c>
      <c r="E92" s="197"/>
      <c r="F92" s="55">
        <f t="shared" si="115"/>
        <v>16139</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90">
        <f t="shared" si="102"/>
        <v>571</v>
      </c>
      <c r="D93" s="196">
        <v>571</v>
      </c>
      <c r="E93" s="197"/>
      <c r="F93" s="55">
        <f t="shared" si="115"/>
        <v>571</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924</v>
      </c>
      <c r="D95" s="190">
        <f>SUM(D96:D102)</f>
        <v>924</v>
      </c>
      <c r="E95" s="191">
        <f t="shared" ref="E95:F95" si="119">SUM(E96:E102)</f>
        <v>0</v>
      </c>
      <c r="F95" s="55">
        <f t="shared" si="119"/>
        <v>924</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924</v>
      </c>
      <c r="D102" s="196">
        <v>924</v>
      </c>
      <c r="E102" s="197"/>
      <c r="F102" s="55">
        <f t="shared" si="123"/>
        <v>924</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4146</v>
      </c>
      <c r="D103" s="190">
        <f>SUM(D104:D111)</f>
        <v>4116</v>
      </c>
      <c r="E103" s="191">
        <f t="shared" ref="E103:F103" si="127">SUM(E104:E111)</f>
        <v>30</v>
      </c>
      <c r="F103" s="55">
        <f t="shared" si="127"/>
        <v>4146</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31.5" customHeight="1" x14ac:dyDescent="0.25">
      <c r="A106" s="51">
        <v>2243</v>
      </c>
      <c r="B106" s="89" t="s">
        <v>122</v>
      </c>
      <c r="C106" s="90">
        <f t="shared" si="102"/>
        <v>264</v>
      </c>
      <c r="D106" s="196">
        <v>234</v>
      </c>
      <c r="E106" s="197">
        <v>30</v>
      </c>
      <c r="F106" s="55">
        <f t="shared" si="131"/>
        <v>264</v>
      </c>
      <c r="G106" s="53"/>
      <c r="H106" s="54"/>
      <c r="I106" s="55">
        <f t="shared" si="132"/>
        <v>0</v>
      </c>
      <c r="J106" s="53"/>
      <c r="K106" s="54"/>
      <c r="L106" s="55">
        <f t="shared" si="133"/>
        <v>0</v>
      </c>
      <c r="M106" s="53"/>
      <c r="N106" s="54"/>
      <c r="O106" s="55">
        <f t="shared" si="134"/>
        <v>0</v>
      </c>
      <c r="P106" s="57" t="s">
        <v>2010</v>
      </c>
    </row>
    <row r="107" spans="1:16" ht="12" customHeight="1" x14ac:dyDescent="0.25">
      <c r="A107" s="51">
        <v>2244</v>
      </c>
      <c r="B107" s="89" t="s">
        <v>123</v>
      </c>
      <c r="C107" s="90">
        <f t="shared" si="102"/>
        <v>3807</v>
      </c>
      <c r="D107" s="196">
        <v>3807</v>
      </c>
      <c r="E107" s="197"/>
      <c r="F107" s="55">
        <f t="shared" si="131"/>
        <v>3807</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75</v>
      </c>
      <c r="D111" s="196">
        <v>75</v>
      </c>
      <c r="E111" s="197"/>
      <c r="F111" s="55">
        <f t="shared" si="131"/>
        <v>75</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331</v>
      </c>
      <c r="D112" s="190">
        <f>SUM(D113:D115)</f>
        <v>331</v>
      </c>
      <c r="E112" s="191">
        <f t="shared" ref="E112:F112" si="135">SUM(E113:E115)</f>
        <v>0</v>
      </c>
      <c r="F112" s="55">
        <f t="shared" si="135"/>
        <v>331</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165</v>
      </c>
      <c r="D114" s="196">
        <v>165</v>
      </c>
      <c r="E114" s="197"/>
      <c r="F114" s="55">
        <f t="shared" si="139"/>
        <v>165</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105</v>
      </c>
      <c r="D122" s="190">
        <f>SUM(D123:D127)</f>
        <v>50</v>
      </c>
      <c r="E122" s="191">
        <f t="shared" ref="E122:F122" si="151">SUM(E123:E127)</f>
        <v>55</v>
      </c>
      <c r="F122" s="55">
        <f t="shared" si="151"/>
        <v>105</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105</v>
      </c>
      <c r="D127" s="196">
        <v>50</v>
      </c>
      <c r="E127" s="197">
        <v>55</v>
      </c>
      <c r="F127" s="55">
        <f t="shared" si="155"/>
        <v>105</v>
      </c>
      <c r="G127" s="53"/>
      <c r="H127" s="54"/>
      <c r="I127" s="55">
        <f t="shared" si="156"/>
        <v>0</v>
      </c>
      <c r="J127" s="53"/>
      <c r="K127" s="54"/>
      <c r="L127" s="55">
        <f t="shared" si="157"/>
        <v>0</v>
      </c>
      <c r="M127" s="53"/>
      <c r="N127" s="54"/>
      <c r="O127" s="55">
        <f t="shared" si="158"/>
        <v>0</v>
      </c>
      <c r="P127" s="57" t="s">
        <v>2011</v>
      </c>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25920</v>
      </c>
      <c r="D130" s="184">
        <f>SUM(D131,D136,D140,D141,D144,D151,D159,D160,D163)</f>
        <v>24415</v>
      </c>
      <c r="E130" s="185">
        <f t="shared" ref="E130:F130" si="160">SUM(E131,E136,E140,E141,E144,E151,E159,E160,E163)</f>
        <v>-85</v>
      </c>
      <c r="F130" s="73">
        <f t="shared" si="160"/>
        <v>24330</v>
      </c>
      <c r="G130" s="184">
        <f>SUM(G131,G136,G140,G141,G144,G151,G159,G160,G163)</f>
        <v>542</v>
      </c>
      <c r="H130" s="185">
        <f t="shared" ref="H130:I130" si="161">SUM(H131,H136,H140,H141,H144,H151,H159,H160,H163)</f>
        <v>0</v>
      </c>
      <c r="I130" s="73">
        <f t="shared" si="161"/>
        <v>542</v>
      </c>
      <c r="J130" s="184">
        <f>SUM(J131,J136,J140,J141,J144,J151,J159,J160,J163)</f>
        <v>1048</v>
      </c>
      <c r="K130" s="185">
        <f t="shared" ref="K130:L130" si="162">SUM(K131,K136,K140,K141,K144,K151,K159,K160,K163)</f>
        <v>0</v>
      </c>
      <c r="L130" s="73">
        <f t="shared" si="162"/>
        <v>1048</v>
      </c>
      <c r="M130" s="184">
        <f>SUM(M131,M136,M140,M141,M144,M151,M159,M160,M163)</f>
        <v>0</v>
      </c>
      <c r="N130" s="185">
        <f t="shared" ref="N130:O130" si="163">SUM(N131,N136,N140,N141,N144,N151,N159,N160,N163)</f>
        <v>0</v>
      </c>
      <c r="O130" s="73">
        <f t="shared" si="163"/>
        <v>0</v>
      </c>
      <c r="P130" s="77"/>
    </row>
    <row r="131" spans="1:16" ht="24" x14ac:dyDescent="0.25">
      <c r="A131" s="1449">
        <v>2310</v>
      </c>
      <c r="B131" s="82" t="s">
        <v>147</v>
      </c>
      <c r="C131" s="83">
        <f t="shared" si="102"/>
        <v>868</v>
      </c>
      <c r="D131" s="194">
        <f t="shared" ref="D131:O131" si="164">SUM(D132:D135)</f>
        <v>860</v>
      </c>
      <c r="E131" s="195">
        <f t="shared" si="164"/>
        <v>8</v>
      </c>
      <c r="F131" s="134">
        <f t="shared" si="164"/>
        <v>868</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500</v>
      </c>
      <c r="D132" s="196">
        <v>500</v>
      </c>
      <c r="E132" s="197"/>
      <c r="F132" s="55">
        <f t="shared" ref="F132:F135" si="165">D132+E132</f>
        <v>500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368</v>
      </c>
      <c r="D133" s="196">
        <v>360</v>
      </c>
      <c r="E133" s="197">
        <v>8</v>
      </c>
      <c r="F133" s="55">
        <f t="shared" si="165"/>
        <v>368</v>
      </c>
      <c r="G133" s="53"/>
      <c r="H133" s="54"/>
      <c r="I133" s="55">
        <f t="shared" si="166"/>
        <v>0</v>
      </c>
      <c r="J133" s="53"/>
      <c r="K133" s="54"/>
      <c r="L133" s="55">
        <f t="shared" si="167"/>
        <v>0</v>
      </c>
      <c r="M133" s="53"/>
      <c r="N133" s="54"/>
      <c r="O133" s="55">
        <f t="shared" si="168"/>
        <v>0</v>
      </c>
      <c r="P133" s="57" t="s">
        <v>2012</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18707</v>
      </c>
      <c r="D136" s="190">
        <f>SUM(D137:D139)</f>
        <v>18707</v>
      </c>
      <c r="E136" s="191">
        <f t="shared" ref="E136:F136" si="169">SUM(E137:E139)</f>
        <v>0</v>
      </c>
      <c r="F136" s="55">
        <f t="shared" si="169"/>
        <v>18707</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customHeight="1" x14ac:dyDescent="0.25">
      <c r="A137" s="51">
        <v>2321</v>
      </c>
      <c r="B137" s="89" t="s">
        <v>153</v>
      </c>
      <c r="C137" s="90">
        <f t="shared" si="102"/>
        <v>18641</v>
      </c>
      <c r="D137" s="196">
        <v>18641</v>
      </c>
      <c r="E137" s="197"/>
      <c r="F137" s="55">
        <f t="shared" ref="F137:F140" si="173">D137+E137</f>
        <v>18641</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66</v>
      </c>
      <c r="D138" s="196">
        <v>66</v>
      </c>
      <c r="E138" s="197"/>
      <c r="F138" s="55">
        <f t="shared" si="173"/>
        <v>66</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80</v>
      </c>
      <c r="D141" s="190">
        <f>SUM(D142:D143)</f>
        <v>80</v>
      </c>
      <c r="E141" s="191">
        <f t="shared" ref="E141:F141" si="177">SUM(E142:E143)</f>
        <v>0</v>
      </c>
      <c r="F141" s="55">
        <f t="shared" si="177"/>
        <v>80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80</v>
      </c>
      <c r="D142" s="196">
        <v>80</v>
      </c>
      <c r="E142" s="197"/>
      <c r="F142" s="55">
        <f t="shared" ref="F142:F143" si="181">D142+E142</f>
        <v>80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2440</v>
      </c>
      <c r="D144" s="187">
        <f>SUM(D145:D150)</f>
        <v>2525</v>
      </c>
      <c r="E144" s="188">
        <f t="shared" ref="E144:F144" si="185">SUM(E145:E150)</f>
        <v>-85</v>
      </c>
      <c r="F144" s="141">
        <f t="shared" si="185"/>
        <v>2440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8" customHeight="1" x14ac:dyDescent="0.25">
      <c r="A145" s="458">
        <v>2351</v>
      </c>
      <c r="B145" s="468" t="s">
        <v>161</v>
      </c>
      <c r="C145" s="469">
        <f t="shared" si="102"/>
        <v>80</v>
      </c>
      <c r="D145" s="489">
        <v>80</v>
      </c>
      <c r="E145" s="490"/>
      <c r="F145" s="491">
        <f t="shared" ref="F145:F150" si="189">D145+E145</f>
        <v>80</v>
      </c>
      <c r="G145" s="460"/>
      <c r="H145" s="461"/>
      <c r="I145" s="491">
        <f t="shared" ref="I145:I150" si="190">G145+H145</f>
        <v>0</v>
      </c>
      <c r="J145" s="460"/>
      <c r="K145" s="461"/>
      <c r="L145" s="491">
        <f t="shared" ref="L145:L150" si="191">K145+J145</f>
        <v>0</v>
      </c>
      <c r="M145" s="460"/>
      <c r="N145" s="461"/>
      <c r="O145" s="491">
        <f t="shared" ref="O145:O150" si="192">N145+M145</f>
        <v>0</v>
      </c>
      <c r="P145" s="463"/>
    </row>
    <row r="146" spans="1:16" ht="12" customHeight="1" x14ac:dyDescent="0.25">
      <c r="A146" s="51">
        <v>2352</v>
      </c>
      <c r="B146" s="89" t="s">
        <v>162</v>
      </c>
      <c r="C146" s="90">
        <f t="shared" si="102"/>
        <v>2360</v>
      </c>
      <c r="D146" s="196">
        <v>2360</v>
      </c>
      <c r="E146" s="197"/>
      <c r="F146" s="55">
        <f t="shared" si="189"/>
        <v>2360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v>85</v>
      </c>
      <c r="E147" s="197">
        <v>-85</v>
      </c>
      <c r="F147" s="55">
        <f t="shared" si="189"/>
        <v>0</v>
      </c>
      <c r="G147" s="53"/>
      <c r="H147" s="54"/>
      <c r="I147" s="55">
        <f t="shared" si="190"/>
        <v>0</v>
      </c>
      <c r="J147" s="53"/>
      <c r="K147" s="54"/>
      <c r="L147" s="55">
        <f t="shared" si="191"/>
        <v>0</v>
      </c>
      <c r="M147" s="53"/>
      <c r="N147" s="54"/>
      <c r="O147" s="55">
        <f t="shared" si="192"/>
        <v>0</v>
      </c>
      <c r="P147" s="57" t="s">
        <v>2013</v>
      </c>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1692</v>
      </c>
      <c r="D151" s="190">
        <f>SUM(D152:D158)</f>
        <v>652</v>
      </c>
      <c r="E151" s="191">
        <f t="shared" ref="E151:F151" si="194">SUM(E152:E158)</f>
        <v>-8</v>
      </c>
      <c r="F151" s="55">
        <f t="shared" si="194"/>
        <v>644</v>
      </c>
      <c r="G151" s="190">
        <f>SUM(G152:G158)</f>
        <v>0</v>
      </c>
      <c r="H151" s="191">
        <f t="shared" ref="H151:I151" si="195">SUM(H152:H158)</f>
        <v>0</v>
      </c>
      <c r="I151" s="55">
        <f t="shared" si="195"/>
        <v>0</v>
      </c>
      <c r="J151" s="190">
        <f>SUM(J152:J158)</f>
        <v>1048</v>
      </c>
      <c r="K151" s="191">
        <f t="shared" ref="K151:L151" si="196">SUM(K152:K158)</f>
        <v>0</v>
      </c>
      <c r="L151" s="55">
        <f t="shared" si="196"/>
        <v>1048</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644</v>
      </c>
      <c r="D153" s="196">
        <v>652</v>
      </c>
      <c r="E153" s="197">
        <v>-8</v>
      </c>
      <c r="F153" s="55">
        <f t="shared" si="198"/>
        <v>644</v>
      </c>
      <c r="G153" s="53"/>
      <c r="H153" s="54"/>
      <c r="I153" s="55">
        <f t="shared" si="199"/>
        <v>0</v>
      </c>
      <c r="J153" s="53"/>
      <c r="K153" s="54"/>
      <c r="L153" s="55">
        <f t="shared" si="200"/>
        <v>0</v>
      </c>
      <c r="M153" s="53"/>
      <c r="N153" s="54"/>
      <c r="O153" s="55">
        <f t="shared" si="201"/>
        <v>0</v>
      </c>
      <c r="P153" s="57" t="s">
        <v>2014</v>
      </c>
    </row>
    <row r="154" spans="1:16" ht="18.75" customHeight="1" x14ac:dyDescent="0.25">
      <c r="A154" s="464">
        <v>2363</v>
      </c>
      <c r="B154" s="346" t="s">
        <v>170</v>
      </c>
      <c r="C154" s="347">
        <f t="shared" si="193"/>
        <v>1048</v>
      </c>
      <c r="D154" s="352"/>
      <c r="E154" s="353"/>
      <c r="F154" s="350">
        <f t="shared" si="198"/>
        <v>0</v>
      </c>
      <c r="G154" s="348"/>
      <c r="H154" s="349"/>
      <c r="I154" s="350">
        <f t="shared" si="199"/>
        <v>0</v>
      </c>
      <c r="J154" s="348">
        <v>1048</v>
      </c>
      <c r="K154" s="349"/>
      <c r="L154" s="350">
        <f t="shared" si="200"/>
        <v>1048</v>
      </c>
      <c r="M154" s="348"/>
      <c r="N154" s="349"/>
      <c r="O154" s="350">
        <f t="shared" si="201"/>
        <v>0</v>
      </c>
      <c r="P154" s="354"/>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2133</v>
      </c>
      <c r="D159" s="203">
        <v>1591</v>
      </c>
      <c r="E159" s="204"/>
      <c r="F159" s="141">
        <f t="shared" si="198"/>
        <v>1591</v>
      </c>
      <c r="G159" s="144">
        <v>542</v>
      </c>
      <c r="H159" s="145"/>
      <c r="I159" s="141">
        <f t="shared" si="199"/>
        <v>542</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181</v>
      </c>
      <c r="C165" s="70">
        <f t="shared" si="193"/>
        <v>338</v>
      </c>
      <c r="D165" s="184">
        <f>SUM(D166,D171)</f>
        <v>338</v>
      </c>
      <c r="E165" s="185">
        <f t="shared" ref="E165:O165" si="210">SUM(E166,E171)</f>
        <v>0</v>
      </c>
      <c r="F165" s="73">
        <f t="shared" si="210"/>
        <v>338</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1449">
        <v>2510</v>
      </c>
      <c r="B166" s="82" t="s">
        <v>182</v>
      </c>
      <c r="C166" s="83">
        <f t="shared" si="193"/>
        <v>338</v>
      </c>
      <c r="D166" s="194">
        <f>SUM(D167:D170)</f>
        <v>338</v>
      </c>
      <c r="E166" s="195">
        <f t="shared" ref="E166:O166" si="211">SUM(E167:E170)</f>
        <v>0</v>
      </c>
      <c r="F166" s="134">
        <f t="shared" si="211"/>
        <v>338</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37.5" customHeight="1" x14ac:dyDescent="0.25">
      <c r="A169" s="345">
        <v>2515</v>
      </c>
      <c r="B169" s="346" t="s">
        <v>185</v>
      </c>
      <c r="C169" s="347">
        <f t="shared" si="193"/>
        <v>338</v>
      </c>
      <c r="D169" s="352">
        <v>338</v>
      </c>
      <c r="E169" s="353"/>
      <c r="F169" s="350">
        <f t="shared" si="212"/>
        <v>338</v>
      </c>
      <c r="G169" s="348"/>
      <c r="H169" s="349"/>
      <c r="I169" s="350">
        <f t="shared" si="213"/>
        <v>0</v>
      </c>
      <c r="J169" s="348"/>
      <c r="K169" s="349"/>
      <c r="L169" s="350">
        <f t="shared" si="214"/>
        <v>0</v>
      </c>
      <c r="M169" s="348"/>
      <c r="N169" s="349"/>
      <c r="O169" s="350">
        <f t="shared" si="215"/>
        <v>0</v>
      </c>
      <c r="P169" s="354"/>
    </row>
    <row r="170" spans="1:16" ht="50.25" hidden="1" customHeight="1" x14ac:dyDescent="0.25">
      <c r="A170" s="345">
        <v>2519</v>
      </c>
      <c r="B170" s="346" t="s">
        <v>186</v>
      </c>
      <c r="C170" s="347">
        <f t="shared" si="193"/>
        <v>0</v>
      </c>
      <c r="D170" s="352"/>
      <c r="E170" s="353"/>
      <c r="F170" s="350">
        <f t="shared" si="212"/>
        <v>0</v>
      </c>
      <c r="G170" s="348"/>
      <c r="H170" s="349"/>
      <c r="I170" s="350">
        <f t="shared" si="213"/>
        <v>0</v>
      </c>
      <c r="J170" s="348"/>
      <c r="K170" s="349"/>
      <c r="L170" s="350">
        <f t="shared" si="214"/>
        <v>0</v>
      </c>
      <c r="M170" s="348"/>
      <c r="N170" s="349"/>
      <c r="O170" s="350">
        <f t="shared" si="215"/>
        <v>0</v>
      </c>
      <c r="P170" s="354"/>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1772</v>
      </c>
      <c r="D194" s="173">
        <f t="shared" ref="D194:O194" si="259">SUM(D195,D230,D269,D283)</f>
        <v>1687</v>
      </c>
      <c r="E194" s="174">
        <f t="shared" si="259"/>
        <v>0</v>
      </c>
      <c r="F194" s="175">
        <f t="shared" si="259"/>
        <v>1687</v>
      </c>
      <c r="G194" s="173">
        <f t="shared" si="259"/>
        <v>85</v>
      </c>
      <c r="H194" s="174">
        <f t="shared" si="259"/>
        <v>0</v>
      </c>
      <c r="I194" s="175">
        <f t="shared" si="259"/>
        <v>85</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1772</v>
      </c>
      <c r="D195" s="179">
        <f>D196+D204</f>
        <v>1687</v>
      </c>
      <c r="E195" s="180">
        <f t="shared" ref="E195:F195" si="260">E196+E204</f>
        <v>0</v>
      </c>
      <c r="F195" s="181">
        <f t="shared" si="260"/>
        <v>1687</v>
      </c>
      <c r="G195" s="179">
        <f>G196+G204</f>
        <v>85</v>
      </c>
      <c r="H195" s="180">
        <f t="shared" ref="H195:I195" si="261">H196+H204</f>
        <v>0</v>
      </c>
      <c r="I195" s="181">
        <f t="shared" si="261"/>
        <v>85</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1772</v>
      </c>
      <c r="D204" s="184">
        <f>D205+D215+D216+D225+D226+D227+D229</f>
        <v>1687</v>
      </c>
      <c r="E204" s="185">
        <f t="shared" ref="E204:F204" si="276">E205+E215+E216+E225+E226+E227+E229</f>
        <v>0</v>
      </c>
      <c r="F204" s="73">
        <f t="shared" si="276"/>
        <v>1687</v>
      </c>
      <c r="G204" s="184">
        <f>G205+G215+G216+G225+G226+G227+G229</f>
        <v>85</v>
      </c>
      <c r="H204" s="185">
        <f t="shared" ref="H204:I204" si="277">H205+H215+H216+H225+H226+H227+H229</f>
        <v>0</v>
      </c>
      <c r="I204" s="73">
        <f t="shared" si="277"/>
        <v>85</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1772</v>
      </c>
      <c r="D216" s="190">
        <f>SUM(D217:D224)</f>
        <v>1687</v>
      </c>
      <c r="E216" s="191">
        <f t="shared" ref="E216:F216" si="289">SUM(E217:E224)</f>
        <v>0</v>
      </c>
      <c r="F216" s="55">
        <f t="shared" si="289"/>
        <v>1687</v>
      </c>
      <c r="G216" s="190">
        <f>SUM(G217:G224)</f>
        <v>85</v>
      </c>
      <c r="H216" s="191">
        <f t="shared" ref="H216:I216" si="290">SUM(H217:H224)</f>
        <v>0</v>
      </c>
      <c r="I216" s="55">
        <f t="shared" si="290"/>
        <v>85</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472</v>
      </c>
      <c r="D219" s="196">
        <v>387</v>
      </c>
      <c r="E219" s="197"/>
      <c r="F219" s="55">
        <f t="shared" si="293"/>
        <v>387</v>
      </c>
      <c r="G219" s="53">
        <v>85</v>
      </c>
      <c r="H219" s="54"/>
      <c r="I219" s="55">
        <f t="shared" si="294"/>
        <v>85</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1300</v>
      </c>
      <c r="D223" s="196">
        <v>1300</v>
      </c>
      <c r="E223" s="197"/>
      <c r="F223" s="55">
        <f t="shared" si="293"/>
        <v>1300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353118</v>
      </c>
      <c r="D289" s="252">
        <f t="shared" ref="D289:O289" si="389">SUM(D286,D269,D230,D195,D187,D173,D75,D53,D283)</f>
        <v>325959</v>
      </c>
      <c r="E289" s="253">
        <f t="shared" si="389"/>
        <v>0</v>
      </c>
      <c r="F289" s="254">
        <f t="shared" si="389"/>
        <v>325959</v>
      </c>
      <c r="G289" s="252">
        <f t="shared" si="389"/>
        <v>26038</v>
      </c>
      <c r="H289" s="253">
        <f t="shared" si="389"/>
        <v>73</v>
      </c>
      <c r="I289" s="254">
        <f t="shared" si="389"/>
        <v>26111</v>
      </c>
      <c r="J289" s="252">
        <f t="shared" si="389"/>
        <v>1048</v>
      </c>
      <c r="K289" s="253">
        <f t="shared" si="389"/>
        <v>0</v>
      </c>
      <c r="L289" s="254">
        <f t="shared" si="389"/>
        <v>1048</v>
      </c>
      <c r="M289" s="252">
        <f t="shared" si="389"/>
        <v>0</v>
      </c>
      <c r="N289" s="253">
        <f t="shared" si="389"/>
        <v>0</v>
      </c>
      <c r="O289" s="254">
        <f t="shared" si="389"/>
        <v>0</v>
      </c>
      <c r="P289" s="255"/>
    </row>
    <row r="290" spans="1:16" s="28" customFormat="1" ht="13.5" thickTop="1" thickBot="1" x14ac:dyDescent="0.3">
      <c r="A290" s="1544" t="s">
        <v>308</v>
      </c>
      <c r="B290" s="1545"/>
      <c r="C290" s="256">
        <f t="shared" si="371"/>
        <v>-12</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-12</v>
      </c>
      <c r="K290" s="258">
        <f t="shared" ref="K290:L290" si="392">(K26+K43)-K51</f>
        <v>0</v>
      </c>
      <c r="L290" s="259">
        <f t="shared" si="392"/>
        <v>-12</v>
      </c>
      <c r="M290" s="257">
        <f>M45-M51</f>
        <v>0</v>
      </c>
      <c r="N290" s="258">
        <f t="shared" ref="N290:O290" si="393">N45-N51</f>
        <v>0</v>
      </c>
      <c r="O290" s="259">
        <f t="shared" si="393"/>
        <v>0</v>
      </c>
      <c r="P290" s="260"/>
    </row>
    <row r="291" spans="1:16" s="28" customFormat="1" ht="12.75" thickTop="1" x14ac:dyDescent="0.25">
      <c r="A291" s="1546" t="s">
        <v>309</v>
      </c>
      <c r="B291" s="1547"/>
      <c r="C291" s="261">
        <f t="shared" si="371"/>
        <v>12</v>
      </c>
      <c r="D291" s="262">
        <f t="shared" ref="D291:O291" si="394">SUM(D292,D293)-D300+D301</f>
        <v>0</v>
      </c>
      <c r="E291" s="263">
        <f t="shared" si="394"/>
        <v>0</v>
      </c>
      <c r="F291" s="264">
        <f t="shared" si="394"/>
        <v>0</v>
      </c>
      <c r="G291" s="262">
        <f t="shared" si="394"/>
        <v>0</v>
      </c>
      <c r="H291" s="263">
        <f t="shared" si="394"/>
        <v>0</v>
      </c>
      <c r="I291" s="264">
        <f t="shared" si="394"/>
        <v>0</v>
      </c>
      <c r="J291" s="262">
        <f t="shared" si="394"/>
        <v>12</v>
      </c>
      <c r="K291" s="263">
        <f t="shared" si="394"/>
        <v>0</v>
      </c>
      <c r="L291" s="264">
        <f t="shared" si="394"/>
        <v>12</v>
      </c>
      <c r="M291" s="262">
        <f t="shared" si="394"/>
        <v>0</v>
      </c>
      <c r="N291" s="263">
        <f t="shared" si="394"/>
        <v>0</v>
      </c>
      <c r="O291" s="264">
        <f t="shared" si="394"/>
        <v>0</v>
      </c>
      <c r="P291" s="265"/>
    </row>
    <row r="292" spans="1:16" s="28" customFormat="1" ht="12.75" thickBot="1" x14ac:dyDescent="0.3">
      <c r="A292" s="157" t="s">
        <v>310</v>
      </c>
      <c r="B292" s="157" t="s">
        <v>311</v>
      </c>
      <c r="C292" s="158">
        <f t="shared" si="371"/>
        <v>12</v>
      </c>
      <c r="D292" s="159">
        <f t="shared" ref="D292:O292" si="395">D21-D286</f>
        <v>0</v>
      </c>
      <c r="E292" s="160">
        <f t="shared" si="395"/>
        <v>0</v>
      </c>
      <c r="F292" s="161">
        <f t="shared" si="395"/>
        <v>0</v>
      </c>
      <c r="G292" s="159">
        <f t="shared" si="395"/>
        <v>0</v>
      </c>
      <c r="H292" s="160">
        <f t="shared" si="395"/>
        <v>0</v>
      </c>
      <c r="I292" s="161">
        <f t="shared" si="395"/>
        <v>0</v>
      </c>
      <c r="J292" s="159">
        <f t="shared" si="395"/>
        <v>12</v>
      </c>
      <c r="K292" s="160">
        <f t="shared" si="395"/>
        <v>0</v>
      </c>
      <c r="L292" s="161">
        <f t="shared" si="395"/>
        <v>12</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rTYB5x1vZOuT4ZNQ5le4mWLW9dY9rjnWRu7prEgMZd5bfFbFbIdoaEXbBnvlZBxmaMGxrjCcsqqenrLSPXS2OQ==" saltValue="s8/l+6pr56zvFo/7H5KCyg==" spinCount="100000" sheet="1" objects="1" scenarios="1" formatCells="0" formatColumns="0" formatRows="0" deleteColumns="0"/>
  <autoFilter ref="A18:P301">
    <filterColumn colId="2">
      <filters>
        <filter val="1 029"/>
        <filter val="1 036"/>
        <filter val="1 048"/>
        <filter val="1 300"/>
        <filter val="1 692"/>
        <filter val="1 772"/>
        <filter val="1 931"/>
        <filter val="105"/>
        <filter val="11 662"/>
        <filter val="12"/>
        <filter val="-12"/>
        <filter val="12 258"/>
        <filter val="120"/>
        <filter val="16 139"/>
        <filter val="165"/>
        <filter val="166"/>
        <filter val="18 641"/>
        <filter val="18 707"/>
        <filter val="19 293"/>
        <filter val="19 375"/>
        <filter val="19 800"/>
        <filter val="2 133"/>
        <filter val="2 360"/>
        <filter val="2 440"/>
        <filter val="2 583"/>
        <filter val="2 937"/>
        <filter val="20"/>
        <filter val="203 764"/>
        <filter val="225 495"/>
        <filter val="25 400"/>
        <filter val="25 920"/>
        <filter val="26"/>
        <filter val="264"/>
        <filter val="299 568"/>
        <filter val="3 807"/>
        <filter val="331"/>
        <filter val="338"/>
        <filter val="351 346"/>
        <filter val="352 070"/>
        <filter val="353 118"/>
        <filter val="368"/>
        <filter val="4 146"/>
        <filter val="4 172"/>
        <filter val="472"/>
        <filter val="500"/>
        <filter val="51 778"/>
        <filter val="54 698"/>
        <filter val="555"/>
        <filter val="571"/>
        <filter val="575"/>
        <filter val="6 617"/>
        <filter val="644"/>
        <filter val="66"/>
        <filter val="74 073"/>
        <filter val="75"/>
        <filter val="80"/>
        <filter val="868"/>
        <filter val="92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81.pielikums Jūrmalas pilsētas domes
2019.gada 31.oktobra saistošajiem noteikumiem Nr.46
(protokols Nr.14, 28.punkts)
 </firstHeader>
    <firstFooter>&amp;L&amp;9&amp;D; &amp;T&amp;R&amp;9&amp;P (&amp;N)</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15" sqref="T1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2015</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2016</v>
      </c>
      <c r="D3" s="1517"/>
      <c r="E3" s="1517"/>
      <c r="F3" s="1517"/>
      <c r="G3" s="1517"/>
      <c r="H3" s="1517"/>
      <c r="I3" s="1517"/>
      <c r="J3" s="1517"/>
      <c r="K3" s="1517"/>
      <c r="L3" s="1517"/>
      <c r="M3" s="1517"/>
      <c r="N3" s="1517"/>
      <c r="O3" s="1517"/>
      <c r="P3" s="1518"/>
      <c r="Q3" s="277"/>
    </row>
    <row r="4" spans="1:17" ht="12.75" customHeight="1" x14ac:dyDescent="0.25">
      <c r="A4" s="5" t="s">
        <v>4</v>
      </c>
      <c r="B4" s="6"/>
      <c r="C4" s="1517" t="s">
        <v>2017</v>
      </c>
      <c r="D4" s="1517"/>
      <c r="E4" s="1517"/>
      <c r="F4" s="1517"/>
      <c r="G4" s="1517"/>
      <c r="H4" s="1517"/>
      <c r="I4" s="1517"/>
      <c r="J4" s="1517"/>
      <c r="K4" s="1517"/>
      <c r="L4" s="1517"/>
      <c r="M4" s="1517"/>
      <c r="N4" s="1517"/>
      <c r="O4" s="1517"/>
      <c r="P4" s="1518"/>
      <c r="Q4" s="277"/>
    </row>
    <row r="5" spans="1:17" ht="12.75" customHeight="1" x14ac:dyDescent="0.25">
      <c r="A5" s="7" t="s">
        <v>6</v>
      </c>
      <c r="B5" s="8"/>
      <c r="C5" s="1512" t="s">
        <v>2018</v>
      </c>
      <c r="D5" s="1512"/>
      <c r="E5" s="1512"/>
      <c r="F5" s="1512"/>
      <c r="G5" s="1512"/>
      <c r="H5" s="1512"/>
      <c r="I5" s="1512"/>
      <c r="J5" s="1512"/>
      <c r="K5" s="1512"/>
      <c r="L5" s="1512"/>
      <c r="M5" s="1512"/>
      <c r="N5" s="1512"/>
      <c r="O5" s="1512"/>
      <c r="P5" s="1513"/>
      <c r="Q5" s="277"/>
    </row>
    <row r="6" spans="1:17" ht="12.75" customHeight="1" x14ac:dyDescent="0.25">
      <c r="A6" s="7" t="s">
        <v>8</v>
      </c>
      <c r="B6" s="8"/>
      <c r="C6" s="1512" t="s">
        <v>1492</v>
      </c>
      <c r="D6" s="1512"/>
      <c r="E6" s="1512"/>
      <c r="F6" s="1512"/>
      <c r="G6" s="1512"/>
      <c r="H6" s="1512"/>
      <c r="I6" s="1512"/>
      <c r="J6" s="1512"/>
      <c r="K6" s="1512"/>
      <c r="L6" s="1512"/>
      <c r="M6" s="1512"/>
      <c r="N6" s="1512"/>
      <c r="O6" s="1512"/>
      <c r="P6" s="1513"/>
      <c r="Q6" s="277"/>
    </row>
    <row r="7" spans="1:17" ht="25.5" customHeight="1" x14ac:dyDescent="0.25">
      <c r="A7" s="7" t="s">
        <v>10</v>
      </c>
      <c r="B7" s="8"/>
      <c r="C7" s="1517" t="s">
        <v>1604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2019</v>
      </c>
      <c r="D9" s="1512"/>
      <c r="E9" s="1512"/>
      <c r="F9" s="1512"/>
      <c r="G9" s="1512"/>
      <c r="H9" s="1512"/>
      <c r="I9" s="1512"/>
      <c r="J9" s="1512"/>
      <c r="K9" s="1512"/>
      <c r="L9" s="1512"/>
      <c r="M9" s="1512"/>
      <c r="N9" s="1512"/>
      <c r="O9" s="1512"/>
      <c r="P9" s="1513"/>
      <c r="Q9" s="277"/>
    </row>
    <row r="10" spans="1:17" ht="12.75" customHeight="1" x14ac:dyDescent="0.25">
      <c r="A10" s="7"/>
      <c r="B10" s="8" t="s">
        <v>15</v>
      </c>
      <c r="C10" s="1512" t="s">
        <v>2020</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2021</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665285</v>
      </c>
      <c r="D20" s="32">
        <f>SUM(D21,D24,D25,D41,D43)</f>
        <v>591153</v>
      </c>
      <c r="E20" s="33">
        <f t="shared" ref="E20:F20" si="1">SUM(E21,E24,E25,E41,E43)</f>
        <v>0</v>
      </c>
      <c r="F20" s="34">
        <f t="shared" si="1"/>
        <v>591153</v>
      </c>
      <c r="G20" s="32">
        <f>SUM(G21,G24,G43)</f>
        <v>65542</v>
      </c>
      <c r="H20" s="33">
        <f t="shared" ref="H20:I20" si="2">SUM(H21,H24,H43)</f>
        <v>2266</v>
      </c>
      <c r="I20" s="34">
        <f t="shared" si="2"/>
        <v>67808</v>
      </c>
      <c r="J20" s="32">
        <f>SUM(J21,J26,J43)</f>
        <v>6324</v>
      </c>
      <c r="K20" s="33">
        <f t="shared" ref="K20:L20" si="3">SUM(K21,K26,K43)</f>
        <v>0</v>
      </c>
      <c r="L20" s="34">
        <f t="shared" si="3"/>
        <v>6324</v>
      </c>
      <c r="M20" s="32">
        <f>SUM(M21,M45)</f>
        <v>0</v>
      </c>
      <c r="N20" s="33">
        <f t="shared" ref="N20:O20" si="4">SUM(N21,N45)</f>
        <v>0</v>
      </c>
      <c r="O20" s="34">
        <f t="shared" si="4"/>
        <v>0</v>
      </c>
      <c r="P20" s="35"/>
    </row>
    <row r="21" spans="1:16" ht="12.75" thickTop="1" x14ac:dyDescent="0.25">
      <c r="A21" s="36"/>
      <c r="B21" s="37" t="s">
        <v>39</v>
      </c>
      <c r="C21" s="38">
        <f t="shared" si="0"/>
        <v>408</v>
      </c>
      <c r="D21" s="39">
        <f>SUM(D22:D23)</f>
        <v>0</v>
      </c>
      <c r="E21" s="40">
        <f t="shared" ref="E21:F21" si="5">SUM(E22:E23)</f>
        <v>0</v>
      </c>
      <c r="F21" s="41">
        <f t="shared" si="5"/>
        <v>0</v>
      </c>
      <c r="G21" s="39">
        <f>SUM(G22:G23)</f>
        <v>0</v>
      </c>
      <c r="H21" s="40">
        <f t="shared" ref="H21:I21" si="6">SUM(H22:H23)</f>
        <v>0</v>
      </c>
      <c r="I21" s="41">
        <f t="shared" si="6"/>
        <v>0</v>
      </c>
      <c r="J21" s="39">
        <f>SUM(J22:J23)</f>
        <v>408</v>
      </c>
      <c r="K21" s="40">
        <f t="shared" ref="K21:L21" si="7">SUM(K22:K23)</f>
        <v>0</v>
      </c>
      <c r="L21" s="41">
        <f t="shared" si="7"/>
        <v>408</v>
      </c>
      <c r="M21" s="39">
        <f>SUM(M22:M23)</f>
        <v>0</v>
      </c>
      <c r="N21" s="40">
        <f t="shared" ref="N21:O21" si="8">SUM(N22:N23)</f>
        <v>0</v>
      </c>
      <c r="O21" s="41">
        <f t="shared" si="8"/>
        <v>0</v>
      </c>
      <c r="P21" s="42"/>
    </row>
    <row r="22" spans="1:16" ht="12" hidden="1" customHeight="1" x14ac:dyDescent="0.25">
      <c r="A22" s="457"/>
      <c r="B22" s="458" t="s">
        <v>40</v>
      </c>
      <c r="C22" s="459">
        <f t="shared" si="0"/>
        <v>0</v>
      </c>
      <c r="D22" s="460"/>
      <c r="E22" s="461"/>
      <c r="F22" s="462">
        <f>D22+E22</f>
        <v>0</v>
      </c>
      <c r="G22" s="460"/>
      <c r="H22" s="461"/>
      <c r="I22" s="462">
        <f>G22+H22</f>
        <v>0</v>
      </c>
      <c r="J22" s="460"/>
      <c r="K22" s="461"/>
      <c r="L22" s="462">
        <f>K22+J22</f>
        <v>0</v>
      </c>
      <c r="M22" s="460"/>
      <c r="N22" s="461"/>
      <c r="O22" s="462">
        <f>N22+M22</f>
        <v>0</v>
      </c>
      <c r="P22" s="463"/>
    </row>
    <row r="23" spans="1:16" x14ac:dyDescent="0.25">
      <c r="A23" s="464"/>
      <c r="B23" s="345" t="s">
        <v>41</v>
      </c>
      <c r="C23" s="465">
        <f t="shared" si="0"/>
        <v>408</v>
      </c>
      <c r="D23" s="348"/>
      <c r="E23" s="349"/>
      <c r="F23" s="350">
        <f t="shared" ref="F23:F25" si="9">D23+E23</f>
        <v>0</v>
      </c>
      <c r="G23" s="348"/>
      <c r="H23" s="349"/>
      <c r="I23" s="350">
        <f t="shared" ref="I23:I24" si="10">G23+H23</f>
        <v>0</v>
      </c>
      <c r="J23" s="348">
        <v>408</v>
      </c>
      <c r="K23" s="349"/>
      <c r="L23" s="466">
        <f>K23+J23</f>
        <v>408</v>
      </c>
      <c r="M23" s="348"/>
      <c r="N23" s="349"/>
      <c r="O23" s="350">
        <f>N23+M23</f>
        <v>0</v>
      </c>
      <c r="P23" s="1435"/>
    </row>
    <row r="24" spans="1:16" s="28" customFormat="1" ht="48" customHeight="1" thickBot="1" x14ac:dyDescent="0.3">
      <c r="A24" s="58">
        <v>19300</v>
      </c>
      <c r="B24" s="58" t="s">
        <v>42</v>
      </c>
      <c r="C24" s="59">
        <f>F24+I24</f>
        <v>658961</v>
      </c>
      <c r="D24" s="60">
        <v>591153</v>
      </c>
      <c r="E24" s="63"/>
      <c r="F24" s="62">
        <f t="shared" si="9"/>
        <v>591153</v>
      </c>
      <c r="G24" s="60">
        <v>65542</v>
      </c>
      <c r="H24" s="63">
        <f>1530+736</f>
        <v>2266</v>
      </c>
      <c r="I24" s="62">
        <f t="shared" si="10"/>
        <v>67808</v>
      </c>
      <c r="J24" s="64" t="s">
        <v>43</v>
      </c>
      <c r="K24" s="65" t="s">
        <v>43</v>
      </c>
      <c r="L24" s="66" t="s">
        <v>43</v>
      </c>
      <c r="M24" s="64" t="s">
        <v>43</v>
      </c>
      <c r="N24" s="65" t="s">
        <v>43</v>
      </c>
      <c r="O24" s="66" t="s">
        <v>43</v>
      </c>
      <c r="P24" s="67" t="s">
        <v>2022</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5916</v>
      </c>
      <c r="D26" s="74" t="s">
        <v>43</v>
      </c>
      <c r="E26" s="75" t="s">
        <v>43</v>
      </c>
      <c r="F26" s="76" t="s">
        <v>43</v>
      </c>
      <c r="G26" s="74" t="s">
        <v>43</v>
      </c>
      <c r="H26" s="75" t="s">
        <v>43</v>
      </c>
      <c r="I26" s="76" t="s">
        <v>43</v>
      </c>
      <c r="J26" s="78">
        <f>SUM(J27,J31,J33,J36)</f>
        <v>5916</v>
      </c>
      <c r="K26" s="79">
        <f t="shared" ref="K26:L26" si="11">SUM(K27,K31,K33,K36)</f>
        <v>0</v>
      </c>
      <c r="L26" s="80">
        <f t="shared" si="11"/>
        <v>5916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371</v>
      </c>
      <c r="D33" s="74" t="s">
        <v>43</v>
      </c>
      <c r="E33" s="75" t="s">
        <v>43</v>
      </c>
      <c r="F33" s="76" t="s">
        <v>43</v>
      </c>
      <c r="G33" s="74" t="s">
        <v>43</v>
      </c>
      <c r="H33" s="75" t="s">
        <v>43</v>
      </c>
      <c r="I33" s="76" t="s">
        <v>43</v>
      </c>
      <c r="J33" s="78">
        <f>SUM(J34:J35)</f>
        <v>371</v>
      </c>
      <c r="K33" s="79">
        <f t="shared" ref="K33:L33" si="17">SUM(K34:K35)</f>
        <v>0</v>
      </c>
      <c r="L33" s="80">
        <f t="shared" si="17"/>
        <v>371</v>
      </c>
      <c r="M33" s="78" t="s">
        <v>43</v>
      </c>
      <c r="N33" s="79" t="s">
        <v>43</v>
      </c>
      <c r="O33" s="80" t="s">
        <v>43</v>
      </c>
      <c r="P33" s="77"/>
    </row>
    <row r="34" spans="1:16" ht="28.5" customHeight="1" x14ac:dyDescent="0.25">
      <c r="A34" s="458">
        <v>21381</v>
      </c>
      <c r="B34" s="468" t="s">
        <v>53</v>
      </c>
      <c r="C34" s="469">
        <f t="shared" si="16"/>
        <v>371</v>
      </c>
      <c r="D34" s="470" t="s">
        <v>43</v>
      </c>
      <c r="E34" s="471" t="s">
        <v>43</v>
      </c>
      <c r="F34" s="472" t="s">
        <v>43</v>
      </c>
      <c r="G34" s="470" t="s">
        <v>43</v>
      </c>
      <c r="H34" s="471" t="s">
        <v>43</v>
      </c>
      <c r="I34" s="472" t="s">
        <v>43</v>
      </c>
      <c r="J34" s="460">
        <v>371</v>
      </c>
      <c r="K34" s="461"/>
      <c r="L34" s="462">
        <f t="shared" ref="L34:L35" si="18">K34+J34</f>
        <v>371</v>
      </c>
      <c r="M34" s="473" t="s">
        <v>43</v>
      </c>
      <c r="N34" s="474" t="s">
        <v>43</v>
      </c>
      <c r="O34" s="462" t="s">
        <v>43</v>
      </c>
      <c r="P34" s="463"/>
    </row>
    <row r="35" spans="1:16" ht="24" hidden="1" customHeight="1" x14ac:dyDescent="0.25">
      <c r="A35" s="210">
        <v>21383</v>
      </c>
      <c r="B35" s="227" t="s">
        <v>54</v>
      </c>
      <c r="C35" s="209">
        <f t="shared" si="16"/>
        <v>0</v>
      </c>
      <c r="D35" s="1015" t="s">
        <v>43</v>
      </c>
      <c r="E35" s="1016" t="s">
        <v>43</v>
      </c>
      <c r="F35" s="1017" t="s">
        <v>43</v>
      </c>
      <c r="G35" s="1015" t="s">
        <v>43</v>
      </c>
      <c r="H35" s="1016" t="s">
        <v>43</v>
      </c>
      <c r="I35" s="1017" t="s">
        <v>43</v>
      </c>
      <c r="J35" s="214"/>
      <c r="K35" s="215"/>
      <c r="L35" s="1003">
        <f t="shared" si="18"/>
        <v>0</v>
      </c>
      <c r="M35" s="1001" t="s">
        <v>43</v>
      </c>
      <c r="N35" s="1002" t="s">
        <v>43</v>
      </c>
      <c r="O35" s="1003" t="s">
        <v>43</v>
      </c>
      <c r="P35" s="216"/>
    </row>
    <row r="36" spans="1:16" s="28" customFormat="1" ht="25.5" customHeight="1" x14ac:dyDescent="0.25">
      <c r="A36" s="1004">
        <v>21390</v>
      </c>
      <c r="B36" s="217" t="s">
        <v>55</v>
      </c>
      <c r="C36" s="218">
        <f t="shared" si="16"/>
        <v>5545</v>
      </c>
      <c r="D36" s="1018" t="s">
        <v>43</v>
      </c>
      <c r="E36" s="1019" t="s">
        <v>43</v>
      </c>
      <c r="F36" s="1020" t="s">
        <v>43</v>
      </c>
      <c r="G36" s="1018" t="s">
        <v>43</v>
      </c>
      <c r="H36" s="1019" t="s">
        <v>43</v>
      </c>
      <c r="I36" s="1020" t="s">
        <v>43</v>
      </c>
      <c r="J36" s="1011">
        <f>SUM(J37:J40)</f>
        <v>5545</v>
      </c>
      <c r="K36" s="1012">
        <f t="shared" ref="K36:L36" si="19">SUM(K37:K40)</f>
        <v>0</v>
      </c>
      <c r="L36" s="1013">
        <f t="shared" si="19"/>
        <v>5545</v>
      </c>
      <c r="M36" s="1011" t="s">
        <v>43</v>
      </c>
      <c r="N36" s="1012" t="s">
        <v>43</v>
      </c>
      <c r="O36" s="1013" t="s">
        <v>43</v>
      </c>
      <c r="P36" s="222"/>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5545</v>
      </c>
      <c r="D40" s="111" t="s">
        <v>43</v>
      </c>
      <c r="E40" s="112" t="s">
        <v>43</v>
      </c>
      <c r="F40" s="113" t="s">
        <v>43</v>
      </c>
      <c r="G40" s="111" t="s">
        <v>43</v>
      </c>
      <c r="H40" s="112" t="s">
        <v>43</v>
      </c>
      <c r="I40" s="113" t="s">
        <v>43</v>
      </c>
      <c r="J40" s="114">
        <v>5545</v>
      </c>
      <c r="K40" s="115"/>
      <c r="L40" s="116">
        <f t="shared" si="20"/>
        <v>5545</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665285</v>
      </c>
      <c r="D50" s="159">
        <f>SUM(D51,D286)</f>
        <v>591153</v>
      </c>
      <c r="E50" s="160">
        <f t="shared" ref="E50:F50" si="26">SUM(E51,E286)</f>
        <v>0</v>
      </c>
      <c r="F50" s="161">
        <f t="shared" si="26"/>
        <v>591153</v>
      </c>
      <c r="G50" s="159">
        <f>SUM(G51,G286)</f>
        <v>65542</v>
      </c>
      <c r="H50" s="160">
        <f>SUM(H51,H286)</f>
        <v>2266</v>
      </c>
      <c r="I50" s="161">
        <f t="shared" ref="I50" si="27">SUM(I51,I286)</f>
        <v>67808</v>
      </c>
      <c r="J50" s="32">
        <f>SUM(J51,J286)</f>
        <v>6324</v>
      </c>
      <c r="K50" s="33">
        <f t="shared" ref="K50:L50" si="28">SUM(K51,K286)</f>
        <v>0</v>
      </c>
      <c r="L50" s="34">
        <f t="shared" si="28"/>
        <v>6324</v>
      </c>
      <c r="M50" s="32">
        <f>SUM(M51,M286)</f>
        <v>0</v>
      </c>
      <c r="N50" s="33">
        <f t="shared" ref="N50:O50" si="29">SUM(N51,N286)</f>
        <v>0</v>
      </c>
      <c r="O50" s="34">
        <f t="shared" si="29"/>
        <v>0</v>
      </c>
      <c r="P50" s="35"/>
    </row>
    <row r="51" spans="1:16" s="28" customFormat="1" ht="36.75" thickTop="1" x14ac:dyDescent="0.25">
      <c r="A51" s="162"/>
      <c r="B51" s="163" t="s">
        <v>69</v>
      </c>
      <c r="C51" s="164">
        <f t="shared" si="0"/>
        <v>665285</v>
      </c>
      <c r="D51" s="165">
        <f>SUM(D52,D194)</f>
        <v>591153</v>
      </c>
      <c r="E51" s="166">
        <f t="shared" ref="E51:F51" si="30">SUM(E52,E194)</f>
        <v>0</v>
      </c>
      <c r="F51" s="167">
        <f t="shared" si="30"/>
        <v>591153</v>
      </c>
      <c r="G51" s="165">
        <f>SUM(G52,G194)</f>
        <v>65542</v>
      </c>
      <c r="H51" s="166">
        <f t="shared" ref="H51:I51" si="31">SUM(H52,H194)</f>
        <v>2266</v>
      </c>
      <c r="I51" s="167">
        <f t="shared" si="31"/>
        <v>67808</v>
      </c>
      <c r="J51" s="168">
        <f>SUM(J52,J194)</f>
        <v>6324</v>
      </c>
      <c r="K51" s="169">
        <f t="shared" ref="K51:L51" si="32">SUM(K52,K194)</f>
        <v>0</v>
      </c>
      <c r="L51" s="170">
        <f t="shared" si="32"/>
        <v>6324</v>
      </c>
      <c r="M51" s="168">
        <f>SUM(M52,M194)</f>
        <v>0</v>
      </c>
      <c r="N51" s="169">
        <f t="shared" ref="N51:O51" si="33">SUM(N52,N194)</f>
        <v>0</v>
      </c>
      <c r="O51" s="170">
        <f t="shared" si="33"/>
        <v>0</v>
      </c>
      <c r="P51" s="171"/>
    </row>
    <row r="52" spans="1:16" s="28" customFormat="1" ht="24" x14ac:dyDescent="0.25">
      <c r="A52" s="24"/>
      <c r="B52" s="22" t="s">
        <v>70</v>
      </c>
      <c r="C52" s="172">
        <f t="shared" si="0"/>
        <v>660535</v>
      </c>
      <c r="D52" s="173">
        <f>SUM(D53,D75,D173,D187)</f>
        <v>586453</v>
      </c>
      <c r="E52" s="174">
        <f t="shared" ref="E52:F52" si="34">SUM(E53,E75,E173,E187)</f>
        <v>0</v>
      </c>
      <c r="F52" s="175">
        <f t="shared" si="34"/>
        <v>586453</v>
      </c>
      <c r="G52" s="173">
        <f>SUM(G53,G75,G173,G187)</f>
        <v>65492</v>
      </c>
      <c r="H52" s="174">
        <f t="shared" ref="H52:I52" si="35">SUM(H53,H75,H173,H187)</f>
        <v>2266</v>
      </c>
      <c r="I52" s="175">
        <f t="shared" si="35"/>
        <v>67758</v>
      </c>
      <c r="J52" s="173">
        <f>SUM(J53,J75,J173,J187)</f>
        <v>6324</v>
      </c>
      <c r="K52" s="174">
        <f t="shared" ref="K52:L52" si="36">SUM(K53,K75,K173,K187)</f>
        <v>0</v>
      </c>
      <c r="L52" s="175">
        <f t="shared" si="36"/>
        <v>6324</v>
      </c>
      <c r="M52" s="173">
        <f>SUM(M53,M75,M173,M187)</f>
        <v>0</v>
      </c>
      <c r="N52" s="174">
        <f t="shared" ref="N52:O52" si="37">SUM(N53,N75,N173,N187)</f>
        <v>0</v>
      </c>
      <c r="O52" s="175">
        <f t="shared" si="37"/>
        <v>0</v>
      </c>
      <c r="P52" s="176"/>
    </row>
    <row r="53" spans="1:16" s="28" customFormat="1" x14ac:dyDescent="0.25">
      <c r="A53" s="177">
        <v>1000</v>
      </c>
      <c r="B53" s="177" t="s">
        <v>71</v>
      </c>
      <c r="C53" s="178">
        <f t="shared" si="0"/>
        <v>591101</v>
      </c>
      <c r="D53" s="179">
        <f>SUM(D54,D67)</f>
        <v>524805</v>
      </c>
      <c r="E53" s="180">
        <f t="shared" ref="E53:F53" si="38">SUM(E54,E67)</f>
        <v>0</v>
      </c>
      <c r="F53" s="181">
        <f t="shared" si="38"/>
        <v>524805</v>
      </c>
      <c r="G53" s="179">
        <f>SUM(G54,G67)</f>
        <v>64030</v>
      </c>
      <c r="H53" s="180">
        <f t="shared" ref="H53:I53" si="39">SUM(H54,H67)</f>
        <v>2266</v>
      </c>
      <c r="I53" s="181">
        <f t="shared" si="39"/>
        <v>66296</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444680</v>
      </c>
      <c r="D54" s="184">
        <f>SUM(D55,D58,D66)</f>
        <v>391471</v>
      </c>
      <c r="E54" s="185">
        <f t="shared" ref="E54:F54" si="42">SUM(E55,E58,E66)</f>
        <v>0</v>
      </c>
      <c r="F54" s="73">
        <f t="shared" si="42"/>
        <v>391471</v>
      </c>
      <c r="G54" s="184">
        <f>SUM(G55,G58,G66)</f>
        <v>51388</v>
      </c>
      <c r="H54" s="185">
        <f t="shared" ref="H54:I54" si="43">SUM(H55,H58,H66)</f>
        <v>1821</v>
      </c>
      <c r="I54" s="73">
        <f t="shared" si="43"/>
        <v>53209</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406202</v>
      </c>
      <c r="D55" s="187">
        <f>SUM(D56:D57)</f>
        <v>355140</v>
      </c>
      <c r="E55" s="188">
        <f t="shared" ref="E55:F55" si="46">SUM(E56:E57)</f>
        <v>0</v>
      </c>
      <c r="F55" s="141">
        <f t="shared" si="46"/>
        <v>355140</v>
      </c>
      <c r="G55" s="187">
        <f>SUM(G56:G57)</f>
        <v>48164</v>
      </c>
      <c r="H55" s="188">
        <f t="shared" ref="H55:I55" si="47">SUM(H56:H57)</f>
        <v>2898</v>
      </c>
      <c r="I55" s="141">
        <f t="shared" si="47"/>
        <v>51062</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9.75" customHeight="1" x14ac:dyDescent="0.25">
      <c r="A57" s="51">
        <v>1119</v>
      </c>
      <c r="B57" s="89" t="s">
        <v>75</v>
      </c>
      <c r="C57" s="90">
        <f t="shared" si="0"/>
        <v>406202</v>
      </c>
      <c r="D57" s="53">
        <v>355140</v>
      </c>
      <c r="E57" s="54"/>
      <c r="F57" s="55">
        <f t="shared" si="50"/>
        <v>355140</v>
      </c>
      <c r="G57" s="53">
        <v>48164</v>
      </c>
      <c r="H57" s="54">
        <f>1540+186+399+180+593</f>
        <v>2898</v>
      </c>
      <c r="I57" s="55">
        <f t="shared" si="51"/>
        <v>51062</v>
      </c>
      <c r="J57" s="53"/>
      <c r="K57" s="54"/>
      <c r="L57" s="55">
        <f t="shared" si="52"/>
        <v>0</v>
      </c>
      <c r="M57" s="53"/>
      <c r="N57" s="54"/>
      <c r="O57" s="55">
        <f t="shared" si="53"/>
        <v>0</v>
      </c>
      <c r="P57" s="57" t="s">
        <v>2023</v>
      </c>
    </row>
    <row r="58" spans="1:16" x14ac:dyDescent="0.25">
      <c r="A58" s="189">
        <v>1140</v>
      </c>
      <c r="B58" s="89" t="s">
        <v>76</v>
      </c>
      <c r="C58" s="90">
        <f t="shared" si="0"/>
        <v>35690</v>
      </c>
      <c r="D58" s="190">
        <f>SUM(D59:D65)</f>
        <v>33543</v>
      </c>
      <c r="E58" s="191">
        <f>SUM(E59:E65)</f>
        <v>0</v>
      </c>
      <c r="F58" s="55">
        <f t="shared" ref="F58" si="54">SUM(F59:F65)</f>
        <v>33543</v>
      </c>
      <c r="G58" s="190">
        <f>SUM(G59:G65)</f>
        <v>3224</v>
      </c>
      <c r="H58" s="191">
        <f t="shared" ref="H58:I58" si="55">SUM(H59:H65)</f>
        <v>-1077</v>
      </c>
      <c r="I58" s="55">
        <f t="shared" si="55"/>
        <v>2147</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36.75" customHeight="1" x14ac:dyDescent="0.25">
      <c r="A60" s="51">
        <v>1142</v>
      </c>
      <c r="B60" s="89" t="s">
        <v>78</v>
      </c>
      <c r="C60" s="90">
        <f t="shared" si="0"/>
        <v>1287</v>
      </c>
      <c r="D60" s="53">
        <v>1287</v>
      </c>
      <c r="E60" s="54"/>
      <c r="F60" s="55">
        <f t="shared" si="58"/>
        <v>1287</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30" customHeight="1" x14ac:dyDescent="0.25">
      <c r="A63" s="51">
        <v>1147</v>
      </c>
      <c r="B63" s="89" t="s">
        <v>81</v>
      </c>
      <c r="C63" s="90">
        <f t="shared" si="0"/>
        <v>4838</v>
      </c>
      <c r="D63" s="53">
        <v>3916</v>
      </c>
      <c r="E63" s="54"/>
      <c r="F63" s="55">
        <f t="shared" si="58"/>
        <v>3916</v>
      </c>
      <c r="G63" s="53">
        <v>972</v>
      </c>
      <c r="H63" s="54">
        <f>136-186</f>
        <v>-50</v>
      </c>
      <c r="I63" s="55">
        <f t="shared" si="59"/>
        <v>922</v>
      </c>
      <c r="J63" s="53"/>
      <c r="K63" s="54"/>
      <c r="L63" s="55">
        <f t="shared" si="60"/>
        <v>0</v>
      </c>
      <c r="M63" s="53"/>
      <c r="N63" s="54"/>
      <c r="O63" s="55">
        <f t="shared" si="61"/>
        <v>0</v>
      </c>
      <c r="P63" s="57" t="s">
        <v>2024</v>
      </c>
    </row>
    <row r="64" spans="1:16" ht="31.5" customHeight="1" x14ac:dyDescent="0.25">
      <c r="A64" s="51">
        <v>1148</v>
      </c>
      <c r="B64" s="89" t="s">
        <v>82</v>
      </c>
      <c r="C64" s="90">
        <f t="shared" si="0"/>
        <v>23722</v>
      </c>
      <c r="D64" s="53">
        <v>23682</v>
      </c>
      <c r="E64" s="54">
        <v>40</v>
      </c>
      <c r="F64" s="55">
        <f t="shared" si="58"/>
        <v>23722</v>
      </c>
      <c r="G64" s="53"/>
      <c r="H64" s="54"/>
      <c r="I64" s="55">
        <f t="shared" si="59"/>
        <v>0</v>
      </c>
      <c r="J64" s="53"/>
      <c r="K64" s="54"/>
      <c r="L64" s="55">
        <f t="shared" si="60"/>
        <v>0</v>
      </c>
      <c r="M64" s="53"/>
      <c r="N64" s="54"/>
      <c r="O64" s="55">
        <f t="shared" si="61"/>
        <v>0</v>
      </c>
      <c r="P64" s="57" t="s">
        <v>2025</v>
      </c>
    </row>
    <row r="65" spans="1:16" ht="31.5" customHeight="1" x14ac:dyDescent="0.25">
      <c r="A65" s="51">
        <v>1149</v>
      </c>
      <c r="B65" s="89" t="s">
        <v>83</v>
      </c>
      <c r="C65" s="90">
        <f t="shared" si="0"/>
        <v>1671</v>
      </c>
      <c r="D65" s="53">
        <v>486</v>
      </c>
      <c r="E65" s="54">
        <v>-40</v>
      </c>
      <c r="F65" s="55">
        <f t="shared" si="58"/>
        <v>446</v>
      </c>
      <c r="G65" s="53">
        <v>2252</v>
      </c>
      <c r="H65" s="54">
        <f>-628-399</f>
        <v>-1027</v>
      </c>
      <c r="I65" s="55">
        <f t="shared" si="59"/>
        <v>1225</v>
      </c>
      <c r="J65" s="53"/>
      <c r="K65" s="54"/>
      <c r="L65" s="55">
        <f t="shared" si="60"/>
        <v>0</v>
      </c>
      <c r="M65" s="53"/>
      <c r="N65" s="54"/>
      <c r="O65" s="55">
        <f t="shared" si="61"/>
        <v>0</v>
      </c>
      <c r="P65" s="57" t="s">
        <v>2026</v>
      </c>
    </row>
    <row r="66" spans="1:16" ht="36" customHeight="1" x14ac:dyDescent="0.25">
      <c r="A66" s="186">
        <v>1150</v>
      </c>
      <c r="B66" s="138" t="s">
        <v>84</v>
      </c>
      <c r="C66" s="143">
        <f t="shared" si="0"/>
        <v>2788</v>
      </c>
      <c r="D66" s="144">
        <v>2788</v>
      </c>
      <c r="E66" s="145"/>
      <c r="F66" s="141">
        <f t="shared" si="58"/>
        <v>2788</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146421</v>
      </c>
      <c r="D67" s="184">
        <f>SUM(D68:D69)</f>
        <v>133334</v>
      </c>
      <c r="E67" s="185">
        <f t="shared" ref="E67:F67" si="62">SUM(E68:E69)</f>
        <v>0</v>
      </c>
      <c r="F67" s="73">
        <f t="shared" si="62"/>
        <v>133334</v>
      </c>
      <c r="G67" s="184">
        <f>SUM(G68:G69)</f>
        <v>12642</v>
      </c>
      <c r="H67" s="185">
        <f t="shared" ref="H67:I67" si="63">SUM(H68:H69)</f>
        <v>445</v>
      </c>
      <c r="I67" s="73">
        <f t="shared" si="63"/>
        <v>13087</v>
      </c>
      <c r="J67" s="184">
        <f>SUM(J68:J69)</f>
        <v>0</v>
      </c>
      <c r="K67" s="185">
        <f t="shared" ref="K67:L67" si="64">SUM(K68:K69)</f>
        <v>0</v>
      </c>
      <c r="L67" s="73">
        <f t="shared" si="64"/>
        <v>0</v>
      </c>
      <c r="M67" s="184">
        <f>SUM(M68:M69)</f>
        <v>0</v>
      </c>
      <c r="N67" s="185">
        <f t="shared" ref="N67:O67" si="65">SUM(N68:N69)</f>
        <v>0</v>
      </c>
      <c r="O67" s="73">
        <f t="shared" si="65"/>
        <v>0</v>
      </c>
      <c r="P67" s="77"/>
    </row>
    <row r="68" spans="1:16" ht="37.5" customHeight="1" x14ac:dyDescent="0.25">
      <c r="A68" s="1449">
        <v>1210</v>
      </c>
      <c r="B68" s="82" t="s">
        <v>86</v>
      </c>
      <c r="C68" s="83">
        <f t="shared" si="0"/>
        <v>112061</v>
      </c>
      <c r="D68" s="46">
        <v>99374</v>
      </c>
      <c r="E68" s="47"/>
      <c r="F68" s="134">
        <f>D68+E68</f>
        <v>99374</v>
      </c>
      <c r="G68" s="46">
        <v>12242</v>
      </c>
      <c r="H68" s="47">
        <f>482-180+143</f>
        <v>445</v>
      </c>
      <c r="I68" s="134">
        <f>G68+H68</f>
        <v>12687</v>
      </c>
      <c r="J68" s="46"/>
      <c r="K68" s="47"/>
      <c r="L68" s="134">
        <f>K68+J68</f>
        <v>0</v>
      </c>
      <c r="M68" s="46"/>
      <c r="N68" s="47"/>
      <c r="O68" s="134">
        <f>N68+M68</f>
        <v>0</v>
      </c>
      <c r="P68" s="57" t="s">
        <v>2027</v>
      </c>
    </row>
    <row r="69" spans="1:16" ht="24" x14ac:dyDescent="0.25">
      <c r="A69" s="189">
        <v>1220</v>
      </c>
      <c r="B69" s="89" t="s">
        <v>87</v>
      </c>
      <c r="C69" s="90">
        <f t="shared" si="0"/>
        <v>34360</v>
      </c>
      <c r="D69" s="190">
        <f>SUM(D70:D74)</f>
        <v>33960</v>
      </c>
      <c r="E69" s="191">
        <f t="shared" ref="E69:F69" si="66">SUM(E70:E74)</f>
        <v>0</v>
      </c>
      <c r="F69" s="55">
        <f t="shared" si="66"/>
        <v>33960</v>
      </c>
      <c r="G69" s="190">
        <f>SUM(G70:G74)</f>
        <v>400</v>
      </c>
      <c r="H69" s="191">
        <f t="shared" ref="H69:I69" si="67">SUM(H70:H74)</f>
        <v>0</v>
      </c>
      <c r="I69" s="55">
        <f t="shared" si="67"/>
        <v>400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21444</v>
      </c>
      <c r="D70" s="53">
        <v>21044</v>
      </c>
      <c r="E70" s="54"/>
      <c r="F70" s="55">
        <f t="shared" ref="F70:F74" si="70">D70+E70</f>
        <v>21044</v>
      </c>
      <c r="G70" s="53">
        <v>400</v>
      </c>
      <c r="H70" s="54"/>
      <c r="I70" s="55">
        <f t="shared" ref="I70:I74" si="71">G70+H70</f>
        <v>400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12166</v>
      </c>
      <c r="D73" s="53">
        <v>12166</v>
      </c>
      <c r="E73" s="54"/>
      <c r="F73" s="55">
        <f t="shared" si="70"/>
        <v>12166</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750</v>
      </c>
      <c r="D74" s="53">
        <v>750</v>
      </c>
      <c r="E74" s="54"/>
      <c r="F74" s="55">
        <f t="shared" si="70"/>
        <v>750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69434</v>
      </c>
      <c r="D75" s="179">
        <f>SUM(D76,D83,D130,D164,D165,D172)</f>
        <v>61648</v>
      </c>
      <c r="E75" s="180">
        <f t="shared" ref="E75:F75" si="74">SUM(E76,E83,E130,E164,E165,E172)</f>
        <v>0</v>
      </c>
      <c r="F75" s="181">
        <f t="shared" si="74"/>
        <v>61648</v>
      </c>
      <c r="G75" s="179">
        <f>SUM(G76,G83,G130,G164,G165,G172)</f>
        <v>1462</v>
      </c>
      <c r="H75" s="180">
        <f t="shared" ref="H75:I75" si="75">SUM(H76,H83,H130,H164,H165,H172)</f>
        <v>0</v>
      </c>
      <c r="I75" s="181">
        <f t="shared" si="75"/>
        <v>1462</v>
      </c>
      <c r="J75" s="179">
        <f>SUM(J76,J83,J130,J164,J165,J172)</f>
        <v>6324</v>
      </c>
      <c r="K75" s="180">
        <f t="shared" ref="K75:L75" si="76">SUM(K76,K83,K130,K164,K165,K172)</f>
        <v>0</v>
      </c>
      <c r="L75" s="181">
        <f t="shared" si="76"/>
        <v>6324</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52458</v>
      </c>
      <c r="D83" s="184">
        <f>SUM(D84,D89,D95,D103,D112,D116,D122,D128)</f>
        <v>50101</v>
      </c>
      <c r="E83" s="185">
        <f t="shared" ref="E83:F83" si="98">SUM(E84,E89,E95,E103,E112,E116,E122,E128)</f>
        <v>13</v>
      </c>
      <c r="F83" s="73">
        <f t="shared" si="98"/>
        <v>50114</v>
      </c>
      <c r="G83" s="184">
        <f>SUM(G84,G89,G95,G103,G112,G116,G122,G128)</f>
        <v>0</v>
      </c>
      <c r="H83" s="185">
        <f t="shared" ref="H83:I83" si="99">SUM(H84,H89,H95,H103,H112,H116,H122,H128)</f>
        <v>0</v>
      </c>
      <c r="I83" s="73">
        <f t="shared" si="99"/>
        <v>0</v>
      </c>
      <c r="J83" s="184">
        <f>SUM(J84,J89,J95,J103,J112,J116,J122,J128)</f>
        <v>2344</v>
      </c>
      <c r="K83" s="185">
        <f t="shared" ref="K83:L83" si="100">SUM(K84,K89,K95,K103,K112,K116,K122,K128)</f>
        <v>0</v>
      </c>
      <c r="L83" s="73">
        <f t="shared" si="100"/>
        <v>2344</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784</v>
      </c>
      <c r="D84" s="187">
        <f>SUM(D85:D88)</f>
        <v>876</v>
      </c>
      <c r="E84" s="188">
        <f t="shared" ref="E84:F84" si="103">SUM(E85:E88)</f>
        <v>-92</v>
      </c>
      <c r="F84" s="141">
        <f t="shared" si="103"/>
        <v>784</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55.5" customHeight="1" x14ac:dyDescent="0.25">
      <c r="A86" s="51">
        <v>2212</v>
      </c>
      <c r="B86" s="89" t="s">
        <v>102</v>
      </c>
      <c r="C86" s="90">
        <f t="shared" si="102"/>
        <v>573</v>
      </c>
      <c r="D86" s="196">
        <v>665</v>
      </c>
      <c r="E86" s="197">
        <v>-92</v>
      </c>
      <c r="F86" s="55">
        <f t="shared" si="107"/>
        <v>573</v>
      </c>
      <c r="G86" s="53"/>
      <c r="H86" s="54"/>
      <c r="I86" s="55">
        <f t="shared" si="108"/>
        <v>0</v>
      </c>
      <c r="J86" s="53"/>
      <c r="K86" s="54"/>
      <c r="L86" s="55">
        <f t="shared" si="109"/>
        <v>0</v>
      </c>
      <c r="M86" s="53"/>
      <c r="N86" s="54"/>
      <c r="O86" s="55">
        <f t="shared" si="110"/>
        <v>0</v>
      </c>
      <c r="P86" s="57" t="s">
        <v>2028</v>
      </c>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160</v>
      </c>
      <c r="D88" s="196">
        <v>160</v>
      </c>
      <c r="E88" s="197"/>
      <c r="F88" s="55">
        <f t="shared" si="107"/>
        <v>160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41693</v>
      </c>
      <c r="D89" s="190">
        <f>SUM(D90:D94)</f>
        <v>39332</v>
      </c>
      <c r="E89" s="191">
        <f t="shared" ref="E89:F89" si="111">SUM(E90:E94)</f>
        <v>17</v>
      </c>
      <c r="F89" s="55">
        <f t="shared" si="111"/>
        <v>39349</v>
      </c>
      <c r="G89" s="190">
        <f>SUM(G90:G94)</f>
        <v>0</v>
      </c>
      <c r="H89" s="191">
        <f t="shared" ref="H89:I89" si="112">SUM(H90:H94)</f>
        <v>0</v>
      </c>
      <c r="I89" s="55">
        <f t="shared" si="112"/>
        <v>0</v>
      </c>
      <c r="J89" s="190">
        <f>SUM(J90:J94)</f>
        <v>2344</v>
      </c>
      <c r="K89" s="191">
        <f t="shared" ref="K89:L89" si="113">SUM(K90:K94)</f>
        <v>0</v>
      </c>
      <c r="L89" s="55">
        <f t="shared" si="113"/>
        <v>2344</v>
      </c>
      <c r="M89" s="190">
        <f>SUM(M90:M94)</f>
        <v>0</v>
      </c>
      <c r="N89" s="191">
        <f t="shared" ref="N89:O89" si="114">SUM(N90:N94)</f>
        <v>0</v>
      </c>
      <c r="O89" s="55">
        <f t="shared" si="114"/>
        <v>0</v>
      </c>
      <c r="P89" s="57"/>
    </row>
    <row r="90" spans="1:16" ht="45" customHeight="1" x14ac:dyDescent="0.25">
      <c r="A90" s="51">
        <v>2221</v>
      </c>
      <c r="B90" s="89" t="s">
        <v>106</v>
      </c>
      <c r="C90" s="90">
        <f t="shared" si="102"/>
        <v>20901</v>
      </c>
      <c r="D90" s="196">
        <v>19968</v>
      </c>
      <c r="E90" s="197"/>
      <c r="F90" s="55">
        <f t="shared" ref="F90:F94" si="115">D90+E90</f>
        <v>19968</v>
      </c>
      <c r="G90" s="53"/>
      <c r="H90" s="54"/>
      <c r="I90" s="55">
        <f t="shared" ref="I90:I94" si="116">G90+H90</f>
        <v>0</v>
      </c>
      <c r="J90" s="53">
        <v>933</v>
      </c>
      <c r="K90" s="54"/>
      <c r="L90" s="55">
        <f t="shared" ref="L90:L94" si="117">K90+J90</f>
        <v>933</v>
      </c>
      <c r="M90" s="53"/>
      <c r="N90" s="54"/>
      <c r="O90" s="55">
        <f t="shared" ref="O90:O94" si="118">N90+M90</f>
        <v>0</v>
      </c>
      <c r="P90" s="57"/>
    </row>
    <row r="91" spans="1:16" ht="12" customHeight="1" x14ac:dyDescent="0.25">
      <c r="A91" s="51">
        <v>2222</v>
      </c>
      <c r="B91" s="89" t="s">
        <v>107</v>
      </c>
      <c r="C91" s="90">
        <f t="shared" si="102"/>
        <v>6887</v>
      </c>
      <c r="D91" s="196">
        <v>6392</v>
      </c>
      <c r="E91" s="197"/>
      <c r="F91" s="55">
        <f t="shared" si="115"/>
        <v>6392</v>
      </c>
      <c r="G91" s="53"/>
      <c r="H91" s="54"/>
      <c r="I91" s="55">
        <f t="shared" si="116"/>
        <v>0</v>
      </c>
      <c r="J91" s="53">
        <v>495</v>
      </c>
      <c r="K91" s="54"/>
      <c r="L91" s="55">
        <f t="shared" si="117"/>
        <v>495</v>
      </c>
      <c r="M91" s="53"/>
      <c r="N91" s="54"/>
      <c r="O91" s="55">
        <f t="shared" si="118"/>
        <v>0</v>
      </c>
      <c r="P91" s="57"/>
    </row>
    <row r="92" spans="1:16" ht="12" customHeight="1" x14ac:dyDescent="0.25">
      <c r="A92" s="51">
        <v>2223</v>
      </c>
      <c r="B92" s="89" t="s">
        <v>108</v>
      </c>
      <c r="C92" s="90">
        <f t="shared" si="102"/>
        <v>12572</v>
      </c>
      <c r="D92" s="196">
        <v>11750</v>
      </c>
      <c r="E92" s="197"/>
      <c r="F92" s="55">
        <f t="shared" si="115"/>
        <v>11750</v>
      </c>
      <c r="G92" s="53"/>
      <c r="H92" s="54"/>
      <c r="I92" s="55">
        <f t="shared" si="116"/>
        <v>0</v>
      </c>
      <c r="J92" s="53">
        <v>822</v>
      </c>
      <c r="K92" s="54"/>
      <c r="L92" s="55">
        <f t="shared" si="117"/>
        <v>822</v>
      </c>
      <c r="M92" s="53"/>
      <c r="N92" s="54"/>
      <c r="O92" s="55">
        <f t="shared" si="118"/>
        <v>0</v>
      </c>
      <c r="P92" s="57"/>
    </row>
    <row r="93" spans="1:16" ht="48" customHeight="1" x14ac:dyDescent="0.25">
      <c r="A93" s="51">
        <v>2224</v>
      </c>
      <c r="B93" s="89" t="s">
        <v>109</v>
      </c>
      <c r="C93" s="90">
        <f t="shared" si="102"/>
        <v>1333</v>
      </c>
      <c r="D93" s="196">
        <v>1222</v>
      </c>
      <c r="E93" s="197">
        <f>13+4</f>
        <v>17</v>
      </c>
      <c r="F93" s="55">
        <f t="shared" si="115"/>
        <v>1239</v>
      </c>
      <c r="G93" s="53"/>
      <c r="H93" s="54"/>
      <c r="I93" s="55">
        <f t="shared" si="116"/>
        <v>0</v>
      </c>
      <c r="J93" s="53">
        <v>94</v>
      </c>
      <c r="K93" s="54"/>
      <c r="L93" s="55">
        <f t="shared" si="117"/>
        <v>94</v>
      </c>
      <c r="M93" s="53"/>
      <c r="N93" s="54"/>
      <c r="O93" s="55">
        <f t="shared" si="118"/>
        <v>0</v>
      </c>
      <c r="P93" s="57" t="s">
        <v>2029</v>
      </c>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1504</v>
      </c>
      <c r="D95" s="190">
        <f>SUM(D96:D102)</f>
        <v>1504</v>
      </c>
      <c r="E95" s="191">
        <f t="shared" ref="E95:F95" si="119">SUM(E96:E102)</f>
        <v>0</v>
      </c>
      <c r="F95" s="55">
        <f t="shared" si="119"/>
        <v>1504</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1504</v>
      </c>
      <c r="D102" s="196">
        <v>1504</v>
      </c>
      <c r="E102" s="197"/>
      <c r="F102" s="55">
        <f t="shared" si="123"/>
        <v>1504</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8007</v>
      </c>
      <c r="D103" s="190">
        <f>SUM(D104:D111)</f>
        <v>7915</v>
      </c>
      <c r="E103" s="191">
        <f t="shared" ref="E103:F103" si="127">SUM(E104:E111)</f>
        <v>92</v>
      </c>
      <c r="F103" s="55">
        <f t="shared" si="127"/>
        <v>8007</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330</v>
      </c>
      <c r="D106" s="196">
        <v>330</v>
      </c>
      <c r="E106" s="197"/>
      <c r="F106" s="55">
        <f t="shared" si="131"/>
        <v>330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4254</v>
      </c>
      <c r="D107" s="196">
        <v>4254</v>
      </c>
      <c r="E107" s="197"/>
      <c r="F107" s="55">
        <f t="shared" si="131"/>
        <v>4254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38.25" customHeight="1" x14ac:dyDescent="0.25">
      <c r="A111" s="51">
        <v>2249</v>
      </c>
      <c r="B111" s="89" t="s">
        <v>127</v>
      </c>
      <c r="C111" s="90">
        <f t="shared" si="102"/>
        <v>3423</v>
      </c>
      <c r="D111" s="196">
        <v>3331</v>
      </c>
      <c r="E111" s="197">
        <v>92</v>
      </c>
      <c r="F111" s="55">
        <f t="shared" si="131"/>
        <v>3423</v>
      </c>
      <c r="G111" s="53"/>
      <c r="H111" s="54"/>
      <c r="I111" s="55">
        <f t="shared" si="132"/>
        <v>0</v>
      </c>
      <c r="J111" s="53"/>
      <c r="K111" s="54"/>
      <c r="L111" s="55">
        <f t="shared" si="133"/>
        <v>0</v>
      </c>
      <c r="M111" s="53"/>
      <c r="N111" s="54"/>
      <c r="O111" s="55">
        <f t="shared" si="134"/>
        <v>0</v>
      </c>
      <c r="P111" s="57" t="s">
        <v>2030</v>
      </c>
    </row>
    <row r="112" spans="1:16" x14ac:dyDescent="0.25">
      <c r="A112" s="189">
        <v>2250</v>
      </c>
      <c r="B112" s="89" t="s">
        <v>128</v>
      </c>
      <c r="C112" s="90">
        <f t="shared" si="102"/>
        <v>372</v>
      </c>
      <c r="D112" s="190">
        <f>SUM(D113:D115)</f>
        <v>372</v>
      </c>
      <c r="E112" s="191">
        <f t="shared" ref="E112:F112" si="135">SUM(E113:E115)</f>
        <v>0</v>
      </c>
      <c r="F112" s="55">
        <f t="shared" si="135"/>
        <v>372</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206</v>
      </c>
      <c r="D114" s="196">
        <v>206</v>
      </c>
      <c r="E114" s="197"/>
      <c r="F114" s="55">
        <f t="shared" si="139"/>
        <v>206</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52</v>
      </c>
      <c r="D116" s="190">
        <f>SUM(D117:D121)</f>
        <v>52</v>
      </c>
      <c r="E116" s="191">
        <f t="shared" ref="E116:F116" si="143">SUM(E117:E121)</f>
        <v>0</v>
      </c>
      <c r="F116" s="55">
        <f t="shared" si="143"/>
        <v>52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46</v>
      </c>
      <c r="D122" s="190">
        <f>SUM(D123:D127)</f>
        <v>50</v>
      </c>
      <c r="E122" s="191">
        <f t="shared" ref="E122:F122" si="151">SUM(E123:E127)</f>
        <v>-4</v>
      </c>
      <c r="F122" s="55">
        <f t="shared" si="151"/>
        <v>46</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2.25" customHeight="1" x14ac:dyDescent="0.25">
      <c r="A127" s="51">
        <v>2279</v>
      </c>
      <c r="B127" s="89" t="s">
        <v>143</v>
      </c>
      <c r="C127" s="90">
        <f t="shared" si="102"/>
        <v>46</v>
      </c>
      <c r="D127" s="196">
        <v>50</v>
      </c>
      <c r="E127" s="197">
        <v>-4</v>
      </c>
      <c r="F127" s="55">
        <f t="shared" si="155"/>
        <v>46</v>
      </c>
      <c r="G127" s="53"/>
      <c r="H127" s="54"/>
      <c r="I127" s="55">
        <f t="shared" si="156"/>
        <v>0</v>
      </c>
      <c r="J127" s="53"/>
      <c r="K127" s="54"/>
      <c r="L127" s="55">
        <f t="shared" si="157"/>
        <v>0</v>
      </c>
      <c r="M127" s="53"/>
      <c r="N127" s="54"/>
      <c r="O127" s="55">
        <f t="shared" si="158"/>
        <v>0</v>
      </c>
      <c r="P127" s="57" t="s">
        <v>2031</v>
      </c>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16976</v>
      </c>
      <c r="D130" s="184">
        <f>SUM(D131,D136,D140,D141,D144,D151,D159,D160,D163)</f>
        <v>11547</v>
      </c>
      <c r="E130" s="185">
        <f t="shared" ref="E130:F130" si="160">SUM(E131,E136,E140,E141,E144,E151,E159,E160,E163)</f>
        <v>-13</v>
      </c>
      <c r="F130" s="73">
        <f t="shared" si="160"/>
        <v>11534</v>
      </c>
      <c r="G130" s="184">
        <f>SUM(G131,G136,G140,G141,G144,G151,G159,G160,G163)</f>
        <v>1462</v>
      </c>
      <c r="H130" s="185">
        <f t="shared" ref="H130:I130" si="161">SUM(H131,H136,H140,H141,H144,H151,H159,H160,H163)</f>
        <v>0</v>
      </c>
      <c r="I130" s="73">
        <f t="shared" si="161"/>
        <v>1462</v>
      </c>
      <c r="J130" s="184">
        <f>SUM(J131,J136,J140,J141,J144,J151,J159,J160,J163)</f>
        <v>3980</v>
      </c>
      <c r="K130" s="185">
        <f t="shared" ref="K130:L130" si="162">SUM(K131,K136,K140,K141,K144,K151,K159,K160,K163)</f>
        <v>0</v>
      </c>
      <c r="L130" s="73">
        <f t="shared" si="162"/>
        <v>3980</v>
      </c>
      <c r="M130" s="184">
        <f>SUM(M131,M136,M140,M141,M144,M151,M159,M160,M163)</f>
        <v>0</v>
      </c>
      <c r="N130" s="185">
        <f t="shared" ref="N130:O130" si="163">SUM(N131,N136,N140,N141,N144,N151,N159,N160,N163)</f>
        <v>0</v>
      </c>
      <c r="O130" s="73">
        <f t="shared" si="163"/>
        <v>0</v>
      </c>
      <c r="P130" s="77"/>
    </row>
    <row r="131" spans="1:16" ht="24" x14ac:dyDescent="0.25">
      <c r="A131" s="1449">
        <v>2310</v>
      </c>
      <c r="B131" s="82" t="s">
        <v>147</v>
      </c>
      <c r="C131" s="83">
        <f t="shared" si="102"/>
        <v>4776</v>
      </c>
      <c r="D131" s="194">
        <f t="shared" ref="D131:O131" si="164">SUM(D132:D135)</f>
        <v>4776</v>
      </c>
      <c r="E131" s="195">
        <f t="shared" si="164"/>
        <v>0</v>
      </c>
      <c r="F131" s="134">
        <f t="shared" si="164"/>
        <v>4776</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418</v>
      </c>
      <c r="D132" s="196">
        <v>418</v>
      </c>
      <c r="E132" s="197"/>
      <c r="F132" s="55">
        <f t="shared" ref="F132:F135" si="165">D132+E132</f>
        <v>418</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149</v>
      </c>
      <c r="C133" s="90">
        <f t="shared" si="102"/>
        <v>4208</v>
      </c>
      <c r="D133" s="196">
        <v>4208</v>
      </c>
      <c r="E133" s="197"/>
      <c r="F133" s="55">
        <f t="shared" si="165"/>
        <v>4208</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9" t="s">
        <v>150</v>
      </c>
      <c r="C134" s="90">
        <f t="shared" si="102"/>
        <v>150</v>
      </c>
      <c r="D134" s="196">
        <v>150</v>
      </c>
      <c r="E134" s="197"/>
      <c r="F134" s="55">
        <f t="shared" si="165"/>
        <v>150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59</v>
      </c>
      <c r="D136" s="190">
        <f>SUM(D137:D139)</f>
        <v>59</v>
      </c>
      <c r="E136" s="191">
        <f t="shared" ref="E136:F136" si="169">SUM(E137:E139)</f>
        <v>0</v>
      </c>
      <c r="F136" s="55">
        <f t="shared" si="169"/>
        <v>59</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59</v>
      </c>
      <c r="D138" s="196">
        <v>59</v>
      </c>
      <c r="E138" s="197"/>
      <c r="F138" s="55">
        <f t="shared" si="173"/>
        <v>59</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120</v>
      </c>
      <c r="D141" s="190">
        <f>SUM(D142:D143)</f>
        <v>120</v>
      </c>
      <c r="E141" s="191">
        <f t="shared" ref="E141:F141" si="177">SUM(E142:E143)</f>
        <v>0</v>
      </c>
      <c r="F141" s="55">
        <f t="shared" si="177"/>
        <v>120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120</v>
      </c>
      <c r="D142" s="196">
        <v>120</v>
      </c>
      <c r="E142" s="197"/>
      <c r="F142" s="55">
        <f t="shared" ref="F142:F143" si="181">D142+E142</f>
        <v>120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2690</v>
      </c>
      <c r="D144" s="187">
        <f>SUM(D145:D150)</f>
        <v>2690</v>
      </c>
      <c r="E144" s="188">
        <f t="shared" ref="E144:F144" si="185">SUM(E145:E150)</f>
        <v>0</v>
      </c>
      <c r="F144" s="141">
        <f t="shared" si="185"/>
        <v>2690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254</v>
      </c>
      <c r="D145" s="199">
        <v>254</v>
      </c>
      <c r="E145" s="200"/>
      <c r="F145" s="134">
        <f t="shared" ref="F145:F150" si="189">D145+E145</f>
        <v>254</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2436</v>
      </c>
      <c r="D146" s="196">
        <v>2436</v>
      </c>
      <c r="E146" s="197"/>
      <c r="F146" s="55">
        <f t="shared" si="189"/>
        <v>2436</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5067</v>
      </c>
      <c r="D151" s="190">
        <f>SUM(D152:D158)</f>
        <v>1100</v>
      </c>
      <c r="E151" s="191">
        <f t="shared" ref="E151:F151" si="194">SUM(E152:E158)</f>
        <v>-13</v>
      </c>
      <c r="F151" s="55">
        <f t="shared" si="194"/>
        <v>1087</v>
      </c>
      <c r="G151" s="190">
        <f>SUM(G152:G158)</f>
        <v>0</v>
      </c>
      <c r="H151" s="191">
        <f t="shared" ref="H151:I151" si="195">SUM(H152:H158)</f>
        <v>0</v>
      </c>
      <c r="I151" s="55">
        <f t="shared" si="195"/>
        <v>0</v>
      </c>
      <c r="J151" s="190">
        <f>SUM(J152:J158)</f>
        <v>3980</v>
      </c>
      <c r="K151" s="191">
        <f t="shared" ref="K151:L151" si="196">SUM(K152:K158)</f>
        <v>0</v>
      </c>
      <c r="L151" s="55">
        <f t="shared" si="196"/>
        <v>3980</v>
      </c>
      <c r="M151" s="190">
        <f>SUM(M152:M158)</f>
        <v>0</v>
      </c>
      <c r="N151" s="191">
        <f t="shared" ref="N151:O151" si="197">SUM(N152:N158)</f>
        <v>0</v>
      </c>
      <c r="O151" s="55">
        <f t="shared" si="197"/>
        <v>0</v>
      </c>
      <c r="P151" s="57"/>
    </row>
    <row r="152" spans="1:16" ht="12" customHeight="1" x14ac:dyDescent="0.25">
      <c r="A152" s="50">
        <v>2361</v>
      </c>
      <c r="B152" s="89" t="s">
        <v>168</v>
      </c>
      <c r="C152" s="90">
        <f t="shared" si="193"/>
        <v>950</v>
      </c>
      <c r="D152" s="196">
        <v>950</v>
      </c>
      <c r="E152" s="197"/>
      <c r="F152" s="55">
        <f t="shared" ref="F152:F159" si="198">D152+E152</f>
        <v>950</v>
      </c>
      <c r="G152" s="53"/>
      <c r="H152" s="54"/>
      <c r="I152" s="55">
        <f t="shared" ref="I152:I159" si="199">G152+H152</f>
        <v>0</v>
      </c>
      <c r="J152" s="53"/>
      <c r="K152" s="54"/>
      <c r="L152" s="55">
        <f t="shared" ref="L152:L159" si="200">K152+J152</f>
        <v>0</v>
      </c>
      <c r="M152" s="53"/>
      <c r="N152" s="54"/>
      <c r="O152" s="55">
        <f t="shared" ref="O152:O159" si="201">N152+M152</f>
        <v>0</v>
      </c>
      <c r="P152" s="57"/>
    </row>
    <row r="153" spans="1:16" ht="27" customHeight="1" x14ac:dyDescent="0.25">
      <c r="A153" s="50">
        <v>2362</v>
      </c>
      <c r="B153" s="89" t="s">
        <v>169</v>
      </c>
      <c r="C153" s="90">
        <f t="shared" si="193"/>
        <v>137</v>
      </c>
      <c r="D153" s="196">
        <v>150</v>
      </c>
      <c r="E153" s="197">
        <v>-13</v>
      </c>
      <c r="F153" s="55">
        <f t="shared" si="198"/>
        <v>137</v>
      </c>
      <c r="G153" s="53"/>
      <c r="H153" s="54"/>
      <c r="I153" s="55">
        <f t="shared" si="199"/>
        <v>0</v>
      </c>
      <c r="J153" s="53"/>
      <c r="K153" s="54"/>
      <c r="L153" s="55">
        <f t="shared" si="200"/>
        <v>0</v>
      </c>
      <c r="M153" s="53"/>
      <c r="N153" s="54"/>
      <c r="O153" s="55">
        <f t="shared" si="201"/>
        <v>0</v>
      </c>
      <c r="P153" s="57" t="s">
        <v>2032</v>
      </c>
    </row>
    <row r="154" spans="1:16" ht="18.75" customHeight="1" x14ac:dyDescent="0.25">
      <c r="A154" s="464">
        <v>2363</v>
      </c>
      <c r="B154" s="346" t="s">
        <v>170</v>
      </c>
      <c r="C154" s="347">
        <f t="shared" si="193"/>
        <v>3980</v>
      </c>
      <c r="D154" s="352"/>
      <c r="E154" s="353"/>
      <c r="F154" s="350">
        <f t="shared" si="198"/>
        <v>0</v>
      </c>
      <c r="G154" s="348"/>
      <c r="H154" s="349"/>
      <c r="I154" s="350">
        <f t="shared" si="199"/>
        <v>0</v>
      </c>
      <c r="J154" s="348">
        <v>3980</v>
      </c>
      <c r="K154" s="349"/>
      <c r="L154" s="350">
        <f t="shared" si="200"/>
        <v>3980</v>
      </c>
      <c r="M154" s="348"/>
      <c r="N154" s="349"/>
      <c r="O154" s="350">
        <f t="shared" si="201"/>
        <v>0</v>
      </c>
      <c r="P154" s="351"/>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4228</v>
      </c>
      <c r="D159" s="203">
        <v>2766</v>
      </c>
      <c r="E159" s="204"/>
      <c r="F159" s="141">
        <f t="shared" si="198"/>
        <v>2766</v>
      </c>
      <c r="G159" s="144">
        <v>1462</v>
      </c>
      <c r="H159" s="145"/>
      <c r="I159" s="141">
        <f t="shared" si="199"/>
        <v>1462</v>
      </c>
      <c r="J159" s="144"/>
      <c r="K159" s="145"/>
      <c r="L159" s="141">
        <f t="shared" si="200"/>
        <v>0</v>
      </c>
      <c r="M159" s="144"/>
      <c r="N159" s="145"/>
      <c r="O159" s="141">
        <f t="shared" si="201"/>
        <v>0</v>
      </c>
      <c r="P159" s="129"/>
    </row>
    <row r="160" spans="1:16" x14ac:dyDescent="0.25">
      <c r="A160" s="186">
        <v>2380</v>
      </c>
      <c r="B160" s="138" t="s">
        <v>176</v>
      </c>
      <c r="C160" s="143">
        <f t="shared" si="193"/>
        <v>36</v>
      </c>
      <c r="D160" s="187">
        <f>SUM(D161:D162)</f>
        <v>36</v>
      </c>
      <c r="E160" s="188">
        <f t="shared" ref="E160:F160" si="202">SUM(E161:E162)</f>
        <v>0</v>
      </c>
      <c r="F160" s="141">
        <f t="shared" si="202"/>
        <v>36</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customHeight="1" x14ac:dyDescent="0.25">
      <c r="A162" s="50">
        <v>2389</v>
      </c>
      <c r="B162" s="89" t="s">
        <v>178</v>
      </c>
      <c r="C162" s="90">
        <f t="shared" si="193"/>
        <v>36</v>
      </c>
      <c r="D162" s="196">
        <v>36</v>
      </c>
      <c r="E162" s="197"/>
      <c r="F162" s="55">
        <f t="shared" si="206"/>
        <v>36</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4750</v>
      </c>
      <c r="D194" s="173">
        <f t="shared" ref="D194:O194" si="259">SUM(D195,D230,D269,D283)</f>
        <v>4700</v>
      </c>
      <c r="E194" s="174">
        <f t="shared" si="259"/>
        <v>0</v>
      </c>
      <c r="F194" s="175">
        <f t="shared" si="259"/>
        <v>4700</v>
      </c>
      <c r="G194" s="173">
        <f t="shared" si="259"/>
        <v>50</v>
      </c>
      <c r="H194" s="174">
        <f t="shared" si="259"/>
        <v>0</v>
      </c>
      <c r="I194" s="175">
        <f t="shared" si="259"/>
        <v>50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4750</v>
      </c>
      <c r="D195" s="179">
        <f>D196+D204</f>
        <v>4700</v>
      </c>
      <c r="E195" s="180">
        <f t="shared" ref="E195:F195" si="260">E196+E204</f>
        <v>0</v>
      </c>
      <c r="F195" s="181">
        <f t="shared" si="260"/>
        <v>4700</v>
      </c>
      <c r="G195" s="179">
        <f>G196+G204</f>
        <v>50</v>
      </c>
      <c r="H195" s="180">
        <f t="shared" ref="H195:I195" si="261">H196+H204</f>
        <v>0</v>
      </c>
      <c r="I195" s="181">
        <f t="shared" si="261"/>
        <v>50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4750</v>
      </c>
      <c r="D204" s="184">
        <f>D205+D215+D216+D225+D226+D227+D229</f>
        <v>4700</v>
      </c>
      <c r="E204" s="185">
        <f t="shared" ref="E204:F204" si="276">E205+E215+E216+E225+E226+E227+E229</f>
        <v>0</v>
      </c>
      <c r="F204" s="73">
        <f t="shared" si="276"/>
        <v>4700</v>
      </c>
      <c r="G204" s="184">
        <f>G205+G215+G216+G225+G226+G227+G229</f>
        <v>50</v>
      </c>
      <c r="H204" s="185">
        <f t="shared" ref="H204:I204" si="277">H205+H215+H216+H225+H226+H227+H229</f>
        <v>0</v>
      </c>
      <c r="I204" s="73">
        <f t="shared" si="277"/>
        <v>50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4750</v>
      </c>
      <c r="D216" s="190">
        <f>SUM(D217:D224)</f>
        <v>4700</v>
      </c>
      <c r="E216" s="191">
        <f t="shared" ref="E216:F216" si="289">SUM(E217:E224)</f>
        <v>0</v>
      </c>
      <c r="F216" s="55">
        <f t="shared" si="289"/>
        <v>4700</v>
      </c>
      <c r="G216" s="190">
        <f>SUM(G217:G224)</f>
        <v>50</v>
      </c>
      <c r="H216" s="191">
        <f t="shared" ref="H216:I216" si="290">SUM(H217:H224)</f>
        <v>0</v>
      </c>
      <c r="I216" s="55">
        <f t="shared" si="290"/>
        <v>50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50</v>
      </c>
      <c r="D219" s="196"/>
      <c r="E219" s="197"/>
      <c r="F219" s="55">
        <f t="shared" si="293"/>
        <v>0</v>
      </c>
      <c r="G219" s="53">
        <v>50</v>
      </c>
      <c r="H219" s="54"/>
      <c r="I219" s="55">
        <f t="shared" si="294"/>
        <v>50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4700</v>
      </c>
      <c r="D223" s="196">
        <v>4700</v>
      </c>
      <c r="E223" s="197"/>
      <c r="F223" s="55">
        <f t="shared" si="293"/>
        <v>4700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665285</v>
      </c>
      <c r="D289" s="252">
        <f t="shared" ref="D289:O289" si="389">SUM(D286,D269,D230,D195,D187,D173,D75,D53,D283)</f>
        <v>591153</v>
      </c>
      <c r="E289" s="253">
        <f t="shared" si="389"/>
        <v>0</v>
      </c>
      <c r="F289" s="254">
        <f t="shared" si="389"/>
        <v>591153</v>
      </c>
      <c r="G289" s="252">
        <f t="shared" si="389"/>
        <v>65542</v>
      </c>
      <c r="H289" s="253">
        <f t="shared" si="389"/>
        <v>2266</v>
      </c>
      <c r="I289" s="254">
        <f t="shared" si="389"/>
        <v>67808</v>
      </c>
      <c r="J289" s="252">
        <f t="shared" si="389"/>
        <v>6324</v>
      </c>
      <c r="K289" s="253">
        <f t="shared" si="389"/>
        <v>0</v>
      </c>
      <c r="L289" s="254">
        <f t="shared" si="389"/>
        <v>6324</v>
      </c>
      <c r="M289" s="252">
        <f t="shared" si="389"/>
        <v>0</v>
      </c>
      <c r="N289" s="253">
        <f t="shared" si="389"/>
        <v>0</v>
      </c>
      <c r="O289" s="254">
        <f t="shared" si="389"/>
        <v>0</v>
      </c>
      <c r="P289" s="255"/>
    </row>
    <row r="290" spans="1:16" s="28" customFormat="1" ht="13.5" thickTop="1" thickBot="1" x14ac:dyDescent="0.3">
      <c r="A290" s="1544" t="s">
        <v>308</v>
      </c>
      <c r="B290" s="1545"/>
      <c r="C290" s="256">
        <f t="shared" si="371"/>
        <v>-408</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-408</v>
      </c>
      <c r="K290" s="258">
        <f t="shared" ref="K290:L290" si="392">(K26+K43)-K51</f>
        <v>0</v>
      </c>
      <c r="L290" s="259">
        <f t="shared" si="392"/>
        <v>-408</v>
      </c>
      <c r="M290" s="257">
        <f>M45-M51</f>
        <v>0</v>
      </c>
      <c r="N290" s="258">
        <f t="shared" ref="N290:O290" si="393">N45-N51</f>
        <v>0</v>
      </c>
      <c r="O290" s="259">
        <f t="shared" si="393"/>
        <v>0</v>
      </c>
      <c r="P290" s="260"/>
    </row>
    <row r="291" spans="1:16" s="28" customFormat="1" ht="12.75" thickTop="1" x14ac:dyDescent="0.25">
      <c r="A291" s="1546" t="s">
        <v>309</v>
      </c>
      <c r="B291" s="1547"/>
      <c r="C291" s="261">
        <f t="shared" si="371"/>
        <v>408</v>
      </c>
      <c r="D291" s="262">
        <f t="shared" ref="D291:O291" si="394">SUM(D292,D293)-D300+D301</f>
        <v>0</v>
      </c>
      <c r="E291" s="263">
        <f t="shared" si="394"/>
        <v>0</v>
      </c>
      <c r="F291" s="264">
        <f t="shared" si="394"/>
        <v>0</v>
      </c>
      <c r="G291" s="262">
        <f t="shared" si="394"/>
        <v>0</v>
      </c>
      <c r="H291" s="263">
        <f t="shared" si="394"/>
        <v>0</v>
      </c>
      <c r="I291" s="264">
        <f t="shared" si="394"/>
        <v>0</v>
      </c>
      <c r="J291" s="262">
        <f t="shared" si="394"/>
        <v>408</v>
      </c>
      <c r="K291" s="263">
        <f t="shared" si="394"/>
        <v>0</v>
      </c>
      <c r="L291" s="264">
        <f t="shared" si="394"/>
        <v>408</v>
      </c>
      <c r="M291" s="262">
        <f t="shared" si="394"/>
        <v>0</v>
      </c>
      <c r="N291" s="263">
        <f t="shared" si="394"/>
        <v>0</v>
      </c>
      <c r="O291" s="264">
        <f t="shared" si="394"/>
        <v>0</v>
      </c>
      <c r="P291" s="265"/>
    </row>
    <row r="292" spans="1:16" s="28" customFormat="1" ht="12.75" thickBot="1" x14ac:dyDescent="0.3">
      <c r="A292" s="157" t="s">
        <v>310</v>
      </c>
      <c r="B292" s="157" t="s">
        <v>311</v>
      </c>
      <c r="C292" s="158">
        <f t="shared" si="371"/>
        <v>408</v>
      </c>
      <c r="D292" s="159">
        <f t="shared" ref="D292:O292" si="395">D21-D286</f>
        <v>0</v>
      </c>
      <c r="E292" s="160">
        <f t="shared" si="395"/>
        <v>0</v>
      </c>
      <c r="F292" s="161">
        <f t="shared" si="395"/>
        <v>0</v>
      </c>
      <c r="G292" s="159">
        <f t="shared" si="395"/>
        <v>0</v>
      </c>
      <c r="H292" s="160">
        <f t="shared" si="395"/>
        <v>0</v>
      </c>
      <c r="I292" s="161">
        <f t="shared" si="395"/>
        <v>0</v>
      </c>
      <c r="J292" s="159">
        <f t="shared" si="395"/>
        <v>408</v>
      </c>
      <c r="K292" s="160">
        <f t="shared" si="395"/>
        <v>0</v>
      </c>
      <c r="L292" s="161">
        <f t="shared" si="395"/>
        <v>408</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ddx7OYfzTd+sPSFOHAp7of7oobdP6ma/PseVJ1H3SiCOPqbA+X5sJiFWYowx2PwdVkoiNhJk59CGm5IudVbvDw==" saltValue="loLqaA1u6NSZnKabYw/QHw==" spinCount="100000" sheet="1" objects="1" scenarios="1" formatCells="0" formatColumns="0" formatRows="0" deleteColumns="0"/>
  <autoFilter ref="A18:P301">
    <filterColumn colId="2">
      <filters>
        <filter val="1 287"/>
        <filter val="1 333"/>
        <filter val="1 504"/>
        <filter val="1 671"/>
        <filter val="111 918"/>
        <filter val="12 166"/>
        <filter val="12 572"/>
        <filter val="120"/>
        <filter val="137"/>
        <filter val="146 278"/>
        <filter val="150"/>
        <filter val="16 976"/>
        <filter val="160"/>
        <filter val="166"/>
        <filter val="2 436"/>
        <filter val="2 690"/>
        <filter val="2 788"/>
        <filter val="20 901"/>
        <filter val="206"/>
        <filter val="21 444"/>
        <filter val="23 722"/>
        <filter val="254"/>
        <filter val="3 423"/>
        <filter val="3 980"/>
        <filter val="330"/>
        <filter val="34 360"/>
        <filter val="35 690"/>
        <filter val="36"/>
        <filter val="371"/>
        <filter val="372"/>
        <filter val="4 172"/>
        <filter val="4 208"/>
        <filter val="4 228"/>
        <filter val="4 254"/>
        <filter val="4 700"/>
        <filter val="4 750"/>
        <filter val="4 776"/>
        <filter val="4 838"/>
        <filter val="405 609"/>
        <filter val="408"/>
        <filter val="-408"/>
        <filter val="41 693"/>
        <filter val="418"/>
        <filter val="444 087"/>
        <filter val="46"/>
        <filter val="5 067"/>
        <filter val="5 545"/>
        <filter val="5 916"/>
        <filter val="50"/>
        <filter val="51"/>
        <filter val="52"/>
        <filter val="52 458"/>
        <filter val="573"/>
        <filter val="59"/>
        <filter val="590 365"/>
        <filter val="6 887"/>
        <filter val="658 225"/>
        <filter val="659 799"/>
        <filter val="664 549"/>
        <filter val="69 434"/>
        <filter val="750"/>
        <filter val="784"/>
        <filter val="8 007"/>
        <filter val="95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82.pielikums Jūrmalas pilsētas domes
2019.gada 31.oktobra saistošajiem noteikumiem Nr.46
(protokols Nr.14, 28.punkts)
 </firstHeader>
    <firstFooter>&amp;L&amp;9&amp;D; &amp;T&amp;R&amp;9&amp;P (&amp;N)</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7" sqref="T7:T8"/>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1981</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1982</v>
      </c>
      <c r="D3" s="1517"/>
      <c r="E3" s="1517"/>
      <c r="F3" s="1517"/>
      <c r="G3" s="1517"/>
      <c r="H3" s="1517"/>
      <c r="I3" s="1517"/>
      <c r="J3" s="1517"/>
      <c r="K3" s="1517"/>
      <c r="L3" s="1517"/>
      <c r="M3" s="1517"/>
      <c r="N3" s="1517"/>
      <c r="O3" s="1517"/>
      <c r="P3" s="1518"/>
      <c r="Q3" s="277"/>
    </row>
    <row r="4" spans="1:17" ht="12.75" customHeight="1" x14ac:dyDescent="0.25">
      <c r="A4" s="5" t="s">
        <v>4</v>
      </c>
      <c r="B4" s="6"/>
      <c r="C4" s="1517" t="s">
        <v>1983</v>
      </c>
      <c r="D4" s="1517"/>
      <c r="E4" s="1517"/>
      <c r="F4" s="1517"/>
      <c r="G4" s="1517"/>
      <c r="H4" s="1517"/>
      <c r="I4" s="1517"/>
      <c r="J4" s="1517"/>
      <c r="K4" s="1517"/>
      <c r="L4" s="1517"/>
      <c r="M4" s="1517"/>
      <c r="N4" s="1517"/>
      <c r="O4" s="1517"/>
      <c r="P4" s="1518"/>
      <c r="Q4" s="277"/>
    </row>
    <row r="5" spans="1:17" ht="12.75" customHeight="1" x14ac:dyDescent="0.25">
      <c r="A5" s="7" t="s">
        <v>6</v>
      </c>
      <c r="B5" s="8"/>
      <c r="C5" s="1512" t="s">
        <v>1984</v>
      </c>
      <c r="D5" s="1512"/>
      <c r="E5" s="1512"/>
      <c r="F5" s="1512"/>
      <c r="G5" s="1512"/>
      <c r="H5" s="1512"/>
      <c r="I5" s="1512"/>
      <c r="J5" s="1512"/>
      <c r="K5" s="1512"/>
      <c r="L5" s="1512"/>
      <c r="M5" s="1512"/>
      <c r="N5" s="1512"/>
      <c r="O5" s="1512"/>
      <c r="P5" s="1513"/>
      <c r="Q5" s="277"/>
    </row>
    <row r="6" spans="1:17" ht="12.75" customHeight="1" x14ac:dyDescent="0.25">
      <c r="A6" s="7" t="s">
        <v>8</v>
      </c>
      <c r="B6" s="8"/>
      <c r="C6" s="1512" t="s">
        <v>1492</v>
      </c>
      <c r="D6" s="1512"/>
      <c r="E6" s="1512"/>
      <c r="F6" s="1512"/>
      <c r="G6" s="1512"/>
      <c r="H6" s="1512"/>
      <c r="I6" s="1512"/>
      <c r="J6" s="1512"/>
      <c r="K6" s="1512"/>
      <c r="L6" s="1512"/>
      <c r="M6" s="1512"/>
      <c r="N6" s="1512"/>
      <c r="O6" s="1512"/>
      <c r="P6" s="1513"/>
      <c r="Q6" s="277"/>
    </row>
    <row r="7" spans="1:17" ht="24.75" customHeight="1" x14ac:dyDescent="0.25">
      <c r="A7" s="7" t="s">
        <v>10</v>
      </c>
      <c r="B7" s="8"/>
      <c r="C7" s="1517" t="s">
        <v>1604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1985</v>
      </c>
      <c r="D9" s="1512"/>
      <c r="E9" s="1512"/>
      <c r="F9" s="1512"/>
      <c r="G9" s="1512"/>
      <c r="H9" s="1512"/>
      <c r="I9" s="1512"/>
      <c r="J9" s="1512"/>
      <c r="K9" s="1512"/>
      <c r="L9" s="1512"/>
      <c r="M9" s="1512"/>
      <c r="N9" s="1512"/>
      <c r="O9" s="1512"/>
      <c r="P9" s="1513"/>
      <c r="Q9" s="277"/>
    </row>
    <row r="10" spans="1:17" ht="12.75" customHeight="1" x14ac:dyDescent="0.25">
      <c r="A10" s="7"/>
      <c r="B10" s="8" t="s">
        <v>15</v>
      </c>
      <c r="C10" s="1512" t="s">
        <v>1986</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1987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644341</v>
      </c>
      <c r="D20" s="32">
        <f>SUM(D21,D24,D25,D41,D43)</f>
        <v>552115</v>
      </c>
      <c r="E20" s="33">
        <f t="shared" ref="E20:F20" si="1">SUM(E21,E24,E25,E41,E43)</f>
        <v>0</v>
      </c>
      <c r="F20" s="34">
        <f t="shared" si="1"/>
        <v>552115</v>
      </c>
      <c r="G20" s="32">
        <f>SUM(G21,G24,G43)</f>
        <v>87371</v>
      </c>
      <c r="H20" s="33">
        <f t="shared" ref="H20:I20" si="2">SUM(H21,H24,H43)</f>
        <v>-1744</v>
      </c>
      <c r="I20" s="34">
        <f t="shared" si="2"/>
        <v>85627</v>
      </c>
      <c r="J20" s="32">
        <f>SUM(J21,J26,J43)</f>
        <v>6599</v>
      </c>
      <c r="K20" s="33">
        <f t="shared" ref="K20:L20" si="3">SUM(K21,K26,K43)</f>
        <v>0</v>
      </c>
      <c r="L20" s="34">
        <f t="shared" si="3"/>
        <v>6599</v>
      </c>
      <c r="M20" s="32">
        <f>SUM(M21,M45)</f>
        <v>0</v>
      </c>
      <c r="N20" s="33">
        <f t="shared" ref="N20:O20" si="4">SUM(N21,N45)</f>
        <v>0</v>
      </c>
      <c r="O20" s="34">
        <f t="shared" si="4"/>
        <v>0</v>
      </c>
      <c r="P20" s="35"/>
    </row>
    <row r="21" spans="1:16" ht="12.75" thickTop="1" x14ac:dyDescent="0.25">
      <c r="A21" s="36"/>
      <c r="B21" s="37" t="s">
        <v>39</v>
      </c>
      <c r="C21" s="38">
        <f t="shared" si="0"/>
        <v>565</v>
      </c>
      <c r="D21" s="39">
        <f>SUM(D22:D23)</f>
        <v>0</v>
      </c>
      <c r="E21" s="40">
        <f t="shared" ref="E21:F21" si="5">SUM(E22:E23)</f>
        <v>0</v>
      </c>
      <c r="F21" s="41">
        <f t="shared" si="5"/>
        <v>0</v>
      </c>
      <c r="G21" s="39">
        <f>SUM(G22:G23)</f>
        <v>0</v>
      </c>
      <c r="H21" s="40">
        <f t="shared" ref="H21:I21" si="6">SUM(H22:H23)</f>
        <v>0</v>
      </c>
      <c r="I21" s="41">
        <f t="shared" si="6"/>
        <v>0</v>
      </c>
      <c r="J21" s="39">
        <f>SUM(J22:J23)</f>
        <v>565</v>
      </c>
      <c r="K21" s="40">
        <f t="shared" ref="K21:L21" si="7">SUM(K22:K23)</f>
        <v>0</v>
      </c>
      <c r="L21" s="41">
        <f t="shared" si="7"/>
        <v>565</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30.75" customHeight="1" x14ac:dyDescent="0.25">
      <c r="A23" s="464"/>
      <c r="B23" s="345" t="s">
        <v>41</v>
      </c>
      <c r="C23" s="465">
        <f t="shared" si="0"/>
        <v>565</v>
      </c>
      <c r="D23" s="348"/>
      <c r="E23" s="349"/>
      <c r="F23" s="350">
        <f t="shared" ref="F23:F25" si="9">D23+E23</f>
        <v>0</v>
      </c>
      <c r="G23" s="348"/>
      <c r="H23" s="349"/>
      <c r="I23" s="350">
        <f t="shared" ref="I23:I24" si="10">G23+H23</f>
        <v>0</v>
      </c>
      <c r="J23" s="348">
        <v>565</v>
      </c>
      <c r="K23" s="349"/>
      <c r="L23" s="466">
        <f>K23+J23</f>
        <v>565</v>
      </c>
      <c r="M23" s="348"/>
      <c r="N23" s="349"/>
      <c r="O23" s="350">
        <f>N23+M23</f>
        <v>0</v>
      </c>
      <c r="P23" s="1435"/>
    </row>
    <row r="24" spans="1:16" s="28" customFormat="1" ht="24.75" customHeight="1" thickBot="1" x14ac:dyDescent="0.3">
      <c r="A24" s="58">
        <v>19300</v>
      </c>
      <c r="B24" s="58" t="s">
        <v>42</v>
      </c>
      <c r="C24" s="59">
        <f>F24+I24</f>
        <v>637742</v>
      </c>
      <c r="D24" s="60">
        <v>552115</v>
      </c>
      <c r="E24" s="63"/>
      <c r="F24" s="62">
        <f t="shared" si="9"/>
        <v>552115</v>
      </c>
      <c r="G24" s="60">
        <v>87371</v>
      </c>
      <c r="H24" s="63">
        <v>-1744</v>
      </c>
      <c r="I24" s="62">
        <f t="shared" si="10"/>
        <v>85627</v>
      </c>
      <c r="J24" s="64" t="s">
        <v>43</v>
      </c>
      <c r="K24" s="65" t="s">
        <v>43</v>
      </c>
      <c r="L24" s="66" t="s">
        <v>43</v>
      </c>
      <c r="M24" s="64" t="s">
        <v>43</v>
      </c>
      <c r="N24" s="65" t="s">
        <v>43</v>
      </c>
      <c r="O24" s="66" t="s">
        <v>43</v>
      </c>
      <c r="P24" s="1436" t="s">
        <v>1988</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6034</v>
      </c>
      <c r="D26" s="74" t="s">
        <v>43</v>
      </c>
      <c r="E26" s="75" t="s">
        <v>43</v>
      </c>
      <c r="F26" s="76" t="s">
        <v>43</v>
      </c>
      <c r="G26" s="74" t="s">
        <v>43</v>
      </c>
      <c r="H26" s="75" t="s">
        <v>43</v>
      </c>
      <c r="I26" s="76" t="s">
        <v>43</v>
      </c>
      <c r="J26" s="78">
        <f>SUM(J27,J31,J33,J36)</f>
        <v>6034</v>
      </c>
      <c r="K26" s="79">
        <f t="shared" ref="K26:L26" si="11">SUM(K27,K31,K33,K36)</f>
        <v>0</v>
      </c>
      <c r="L26" s="80">
        <f t="shared" si="11"/>
        <v>6034</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937</v>
      </c>
      <c r="D33" s="74" t="s">
        <v>43</v>
      </c>
      <c r="E33" s="75" t="s">
        <v>43</v>
      </c>
      <c r="F33" s="76" t="s">
        <v>43</v>
      </c>
      <c r="G33" s="74" t="s">
        <v>43</v>
      </c>
      <c r="H33" s="75" t="s">
        <v>43</v>
      </c>
      <c r="I33" s="76" t="s">
        <v>43</v>
      </c>
      <c r="J33" s="78">
        <f>SUM(J34:J35)</f>
        <v>937</v>
      </c>
      <c r="K33" s="79">
        <f t="shared" ref="K33:L33" si="17">SUM(K34:K35)</f>
        <v>0</v>
      </c>
      <c r="L33" s="80">
        <f t="shared" si="17"/>
        <v>937</v>
      </c>
      <c r="M33" s="78" t="s">
        <v>43</v>
      </c>
      <c r="N33" s="79" t="s">
        <v>43</v>
      </c>
      <c r="O33" s="80" t="s">
        <v>43</v>
      </c>
      <c r="P33" s="77"/>
    </row>
    <row r="34" spans="1:16" ht="12" customHeight="1" x14ac:dyDescent="0.25">
      <c r="A34" s="44">
        <v>21381</v>
      </c>
      <c r="B34" s="82" t="s">
        <v>53</v>
      </c>
      <c r="C34" s="83">
        <f t="shared" si="16"/>
        <v>937</v>
      </c>
      <c r="D34" s="84" t="s">
        <v>43</v>
      </c>
      <c r="E34" s="85" t="s">
        <v>43</v>
      </c>
      <c r="F34" s="86" t="s">
        <v>43</v>
      </c>
      <c r="G34" s="84" t="s">
        <v>43</v>
      </c>
      <c r="H34" s="85" t="s">
        <v>43</v>
      </c>
      <c r="I34" s="86" t="s">
        <v>43</v>
      </c>
      <c r="J34" s="46">
        <v>937</v>
      </c>
      <c r="K34" s="47"/>
      <c r="L34" s="48">
        <f t="shared" ref="L34:L35" si="18">K34+J34</f>
        <v>937</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5097</v>
      </c>
      <c r="D36" s="74" t="s">
        <v>43</v>
      </c>
      <c r="E36" s="75" t="s">
        <v>43</v>
      </c>
      <c r="F36" s="76" t="s">
        <v>43</v>
      </c>
      <c r="G36" s="74" t="s">
        <v>43</v>
      </c>
      <c r="H36" s="75" t="s">
        <v>43</v>
      </c>
      <c r="I36" s="76" t="s">
        <v>43</v>
      </c>
      <c r="J36" s="78">
        <f>SUM(J37:J40)</f>
        <v>5097</v>
      </c>
      <c r="K36" s="79">
        <f t="shared" ref="K36:L36" si="19">SUM(K37:K40)</f>
        <v>0</v>
      </c>
      <c r="L36" s="80">
        <f t="shared" si="19"/>
        <v>5097</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5097</v>
      </c>
      <c r="D40" s="111" t="s">
        <v>43</v>
      </c>
      <c r="E40" s="112" t="s">
        <v>43</v>
      </c>
      <c r="F40" s="113" t="s">
        <v>43</v>
      </c>
      <c r="G40" s="111" t="s">
        <v>43</v>
      </c>
      <c r="H40" s="112" t="s">
        <v>43</v>
      </c>
      <c r="I40" s="113" t="s">
        <v>43</v>
      </c>
      <c r="J40" s="114">
        <v>5097</v>
      </c>
      <c r="K40" s="115"/>
      <c r="L40" s="116">
        <f t="shared" si="20"/>
        <v>5097</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644341</v>
      </c>
      <c r="D50" s="159">
        <f>SUM(D51,D286)</f>
        <v>552115</v>
      </c>
      <c r="E50" s="160">
        <f t="shared" ref="E50:F50" si="26">SUM(E51,E286)</f>
        <v>0</v>
      </c>
      <c r="F50" s="161">
        <f t="shared" si="26"/>
        <v>552115</v>
      </c>
      <c r="G50" s="159">
        <f>SUM(G51,G286)</f>
        <v>87371</v>
      </c>
      <c r="H50" s="160">
        <f>SUM(H51,H286)</f>
        <v>-1744</v>
      </c>
      <c r="I50" s="161">
        <f t="shared" ref="I50" si="27">SUM(I51,I286)</f>
        <v>85627</v>
      </c>
      <c r="J50" s="32">
        <f>SUM(J51,J286)</f>
        <v>6599</v>
      </c>
      <c r="K50" s="33">
        <f t="shared" ref="K50:L50" si="28">SUM(K51,K286)</f>
        <v>0</v>
      </c>
      <c r="L50" s="34">
        <f t="shared" si="28"/>
        <v>6599</v>
      </c>
      <c r="M50" s="32">
        <f>SUM(M51,M286)</f>
        <v>0</v>
      </c>
      <c r="N50" s="33">
        <f t="shared" ref="N50:O50" si="29">SUM(N51,N286)</f>
        <v>0</v>
      </c>
      <c r="O50" s="34">
        <f t="shared" si="29"/>
        <v>0</v>
      </c>
      <c r="P50" s="35"/>
    </row>
    <row r="51" spans="1:16" s="28" customFormat="1" ht="36.75" thickTop="1" x14ac:dyDescent="0.25">
      <c r="A51" s="162"/>
      <c r="B51" s="163" t="s">
        <v>69</v>
      </c>
      <c r="C51" s="164">
        <f t="shared" si="0"/>
        <v>644341</v>
      </c>
      <c r="D51" s="165">
        <f>SUM(D52,D194)</f>
        <v>552115</v>
      </c>
      <c r="E51" s="166">
        <f t="shared" ref="E51:F51" si="30">SUM(E52,E194)</f>
        <v>0</v>
      </c>
      <c r="F51" s="167">
        <f t="shared" si="30"/>
        <v>552115</v>
      </c>
      <c r="G51" s="165">
        <f>SUM(G52,G194)</f>
        <v>87371</v>
      </c>
      <c r="H51" s="166">
        <f t="shared" ref="H51:I51" si="31">SUM(H52,H194)</f>
        <v>-1744</v>
      </c>
      <c r="I51" s="167">
        <f t="shared" si="31"/>
        <v>85627</v>
      </c>
      <c r="J51" s="168">
        <f>SUM(J52,J194)</f>
        <v>6599</v>
      </c>
      <c r="K51" s="169">
        <f t="shared" ref="K51:L51" si="32">SUM(K52,K194)</f>
        <v>0</v>
      </c>
      <c r="L51" s="170">
        <f t="shared" si="32"/>
        <v>6599</v>
      </c>
      <c r="M51" s="168">
        <f>SUM(M52,M194)</f>
        <v>0</v>
      </c>
      <c r="N51" s="169">
        <f t="shared" ref="N51:O51" si="33">SUM(N52,N194)</f>
        <v>0</v>
      </c>
      <c r="O51" s="170">
        <f t="shared" si="33"/>
        <v>0</v>
      </c>
      <c r="P51" s="171"/>
    </row>
    <row r="52" spans="1:16" s="28" customFormat="1" ht="24" x14ac:dyDescent="0.25">
      <c r="A52" s="24"/>
      <c r="B52" s="22" t="s">
        <v>70</v>
      </c>
      <c r="C52" s="172">
        <f t="shared" si="0"/>
        <v>643991</v>
      </c>
      <c r="D52" s="173">
        <f>SUM(D53,D75,D173,D187)</f>
        <v>550815</v>
      </c>
      <c r="E52" s="174">
        <f t="shared" ref="E52:F52" si="34">SUM(E53,E75,E173,E187)</f>
        <v>1300</v>
      </c>
      <c r="F52" s="175">
        <f t="shared" si="34"/>
        <v>552115</v>
      </c>
      <c r="G52" s="173">
        <f>SUM(G53,G75,G173,G187)</f>
        <v>87021</v>
      </c>
      <c r="H52" s="174">
        <f t="shared" ref="H52:I52" si="35">SUM(H53,H75,H173,H187)</f>
        <v>-1744</v>
      </c>
      <c r="I52" s="175">
        <f t="shared" si="35"/>
        <v>85277</v>
      </c>
      <c r="J52" s="173">
        <f>SUM(J53,J75,J173,J187)</f>
        <v>6599</v>
      </c>
      <c r="K52" s="174">
        <f t="shared" ref="K52:L52" si="36">SUM(K53,K75,K173,K187)</f>
        <v>0</v>
      </c>
      <c r="L52" s="175">
        <f t="shared" si="36"/>
        <v>6599</v>
      </c>
      <c r="M52" s="173">
        <f>SUM(M53,M75,M173,M187)</f>
        <v>0</v>
      </c>
      <c r="N52" s="174">
        <f t="shared" ref="N52:O52" si="37">SUM(N53,N75,N173,N187)</f>
        <v>0</v>
      </c>
      <c r="O52" s="175">
        <f t="shared" si="37"/>
        <v>0</v>
      </c>
      <c r="P52" s="176"/>
    </row>
    <row r="53" spans="1:16" s="28" customFormat="1" x14ac:dyDescent="0.25">
      <c r="A53" s="177">
        <v>1000</v>
      </c>
      <c r="B53" s="177" t="s">
        <v>71</v>
      </c>
      <c r="C53" s="178">
        <f t="shared" si="0"/>
        <v>586251</v>
      </c>
      <c r="D53" s="179">
        <f>SUM(D54,D67)</f>
        <v>502191</v>
      </c>
      <c r="E53" s="180">
        <f t="shared" ref="E53:F53" si="38">SUM(E54,E67)</f>
        <v>0</v>
      </c>
      <c r="F53" s="181">
        <f t="shared" si="38"/>
        <v>502191</v>
      </c>
      <c r="G53" s="179">
        <f>SUM(G54,G67)</f>
        <v>85804</v>
      </c>
      <c r="H53" s="180">
        <f t="shared" ref="H53:I53" si="39">SUM(H54,H67)</f>
        <v>-1744</v>
      </c>
      <c r="I53" s="181">
        <f t="shared" si="39"/>
        <v>84060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444235</v>
      </c>
      <c r="D54" s="184">
        <f>SUM(D55,D58,D66)</f>
        <v>376919</v>
      </c>
      <c r="E54" s="185">
        <f t="shared" ref="E54:F54" si="42">SUM(E55,E58,E66)</f>
        <v>0</v>
      </c>
      <c r="F54" s="73">
        <f t="shared" si="42"/>
        <v>376919</v>
      </c>
      <c r="G54" s="184">
        <f>SUM(G55,G58,G66)</f>
        <v>69060</v>
      </c>
      <c r="H54" s="185">
        <f t="shared" ref="H54:I54" si="43">SUM(H55,H58,H66)</f>
        <v>-1744</v>
      </c>
      <c r="I54" s="73">
        <f t="shared" si="43"/>
        <v>67316</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398770</v>
      </c>
      <c r="D55" s="187">
        <f>SUM(D56:D57)</f>
        <v>335045</v>
      </c>
      <c r="E55" s="188">
        <f t="shared" ref="E55:F55" si="46">SUM(E56:E57)</f>
        <v>0</v>
      </c>
      <c r="F55" s="141">
        <f t="shared" si="46"/>
        <v>335045</v>
      </c>
      <c r="G55" s="187">
        <f>SUM(G56:G57)</f>
        <v>63878</v>
      </c>
      <c r="H55" s="188">
        <f t="shared" ref="H55:I55" si="47">SUM(H56:H57)</f>
        <v>-153</v>
      </c>
      <c r="I55" s="141">
        <f t="shared" si="47"/>
        <v>63725</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4.5" customHeight="1" x14ac:dyDescent="0.25">
      <c r="A57" s="51">
        <v>1119</v>
      </c>
      <c r="B57" s="89" t="s">
        <v>75</v>
      </c>
      <c r="C57" s="90">
        <f t="shared" si="0"/>
        <v>398770</v>
      </c>
      <c r="D57" s="53">
        <v>335045</v>
      </c>
      <c r="E57" s="54"/>
      <c r="F57" s="55">
        <f t="shared" si="50"/>
        <v>335045</v>
      </c>
      <c r="G57" s="53">
        <v>63878</v>
      </c>
      <c r="H57" s="54">
        <v>-153</v>
      </c>
      <c r="I57" s="55">
        <f t="shared" si="51"/>
        <v>63725</v>
      </c>
      <c r="J57" s="53"/>
      <c r="K57" s="54"/>
      <c r="L57" s="55">
        <f t="shared" si="52"/>
        <v>0</v>
      </c>
      <c r="M57" s="53"/>
      <c r="N57" s="54"/>
      <c r="O57" s="55">
        <f t="shared" si="53"/>
        <v>0</v>
      </c>
      <c r="P57" s="57" t="s">
        <v>1989</v>
      </c>
    </row>
    <row r="58" spans="1:16" x14ac:dyDescent="0.25">
      <c r="A58" s="189">
        <v>1140</v>
      </c>
      <c r="B58" s="89" t="s">
        <v>76</v>
      </c>
      <c r="C58" s="90">
        <f t="shared" si="0"/>
        <v>43116</v>
      </c>
      <c r="D58" s="190">
        <f>SUM(D59:D65)</f>
        <v>39525</v>
      </c>
      <c r="E58" s="191">
        <f>SUM(E59:E65)</f>
        <v>0</v>
      </c>
      <c r="F58" s="55">
        <f t="shared" ref="F58" si="54">SUM(F59:F65)</f>
        <v>39525</v>
      </c>
      <c r="G58" s="190">
        <f>SUM(G59:G65)</f>
        <v>5182</v>
      </c>
      <c r="H58" s="191">
        <f t="shared" ref="H58:I58" si="55">SUM(H59:H65)</f>
        <v>-1591</v>
      </c>
      <c r="I58" s="55">
        <f t="shared" si="55"/>
        <v>3591</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30" customHeight="1" x14ac:dyDescent="0.25">
      <c r="A60" s="345">
        <v>1142</v>
      </c>
      <c r="B60" s="346" t="s">
        <v>78</v>
      </c>
      <c r="C60" s="347">
        <f t="shared" si="0"/>
        <v>1149</v>
      </c>
      <c r="D60" s="348">
        <v>1149</v>
      </c>
      <c r="E60" s="349"/>
      <c r="F60" s="350">
        <f t="shared" si="58"/>
        <v>1149</v>
      </c>
      <c r="G60" s="348"/>
      <c r="H60" s="349"/>
      <c r="I60" s="350">
        <f t="shared" si="59"/>
        <v>0</v>
      </c>
      <c r="J60" s="348"/>
      <c r="K60" s="349"/>
      <c r="L60" s="350">
        <f t="shared" si="60"/>
        <v>0</v>
      </c>
      <c r="M60" s="348"/>
      <c r="N60" s="349"/>
      <c r="O60" s="350">
        <f t="shared" si="61"/>
        <v>0</v>
      </c>
      <c r="P60" s="354"/>
    </row>
    <row r="61" spans="1:16" ht="35.25" customHeight="1" x14ac:dyDescent="0.25">
      <c r="A61" s="51">
        <v>1145</v>
      </c>
      <c r="B61" s="89" t="s">
        <v>79</v>
      </c>
      <c r="C61" s="90">
        <f t="shared" si="0"/>
        <v>4616</v>
      </c>
      <c r="D61" s="53">
        <v>2664</v>
      </c>
      <c r="E61" s="54"/>
      <c r="F61" s="55">
        <f t="shared" si="58"/>
        <v>2664</v>
      </c>
      <c r="G61" s="53">
        <v>2330</v>
      </c>
      <c r="H61" s="54">
        <v>-378</v>
      </c>
      <c r="I61" s="55">
        <f t="shared" si="59"/>
        <v>1952</v>
      </c>
      <c r="J61" s="53"/>
      <c r="K61" s="54"/>
      <c r="L61" s="55">
        <f t="shared" si="60"/>
        <v>0</v>
      </c>
      <c r="M61" s="53"/>
      <c r="N61" s="54"/>
      <c r="O61" s="55">
        <f t="shared" si="61"/>
        <v>0</v>
      </c>
      <c r="P61" s="57" t="s">
        <v>1990</v>
      </c>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1" customHeight="1" x14ac:dyDescent="0.25">
      <c r="A63" s="51">
        <v>1147</v>
      </c>
      <c r="B63" s="89" t="s">
        <v>81</v>
      </c>
      <c r="C63" s="90">
        <f t="shared" si="0"/>
        <v>4736</v>
      </c>
      <c r="D63" s="53">
        <v>4001</v>
      </c>
      <c r="E63" s="54"/>
      <c r="F63" s="55">
        <f t="shared" si="58"/>
        <v>4001</v>
      </c>
      <c r="G63" s="53">
        <v>1100</v>
      </c>
      <c r="H63" s="54">
        <v>-365</v>
      </c>
      <c r="I63" s="55">
        <f t="shared" si="59"/>
        <v>735</v>
      </c>
      <c r="J63" s="53"/>
      <c r="K63" s="54"/>
      <c r="L63" s="55">
        <f t="shared" si="60"/>
        <v>0</v>
      </c>
      <c r="M63" s="53"/>
      <c r="N63" s="54"/>
      <c r="O63" s="55">
        <f t="shared" si="61"/>
        <v>0</v>
      </c>
      <c r="P63" s="57" t="s">
        <v>1991</v>
      </c>
    </row>
    <row r="64" spans="1:16" ht="12" customHeight="1" x14ac:dyDescent="0.25">
      <c r="A64" s="51">
        <v>1148</v>
      </c>
      <c r="B64" s="89" t="s">
        <v>82</v>
      </c>
      <c r="C64" s="90">
        <f t="shared" si="0"/>
        <v>24968</v>
      </c>
      <c r="D64" s="53">
        <v>24968</v>
      </c>
      <c r="E64" s="54"/>
      <c r="F64" s="55">
        <f t="shared" si="58"/>
        <v>24968</v>
      </c>
      <c r="G64" s="53"/>
      <c r="H64" s="54"/>
      <c r="I64" s="55">
        <f t="shared" si="59"/>
        <v>0</v>
      </c>
      <c r="J64" s="53"/>
      <c r="K64" s="54"/>
      <c r="L64" s="55">
        <f t="shared" si="60"/>
        <v>0</v>
      </c>
      <c r="M64" s="53"/>
      <c r="N64" s="54"/>
      <c r="O64" s="55">
        <f t="shared" si="61"/>
        <v>0</v>
      </c>
      <c r="P64" s="57"/>
    </row>
    <row r="65" spans="1:16" ht="33.75" customHeight="1" x14ac:dyDescent="0.25">
      <c r="A65" s="51">
        <v>1149</v>
      </c>
      <c r="B65" s="89" t="s">
        <v>83</v>
      </c>
      <c r="C65" s="90">
        <f t="shared" si="0"/>
        <v>3475</v>
      </c>
      <c r="D65" s="53">
        <v>2571</v>
      </c>
      <c r="E65" s="54"/>
      <c r="F65" s="55">
        <f t="shared" si="58"/>
        <v>2571</v>
      </c>
      <c r="G65" s="53">
        <v>1752</v>
      </c>
      <c r="H65" s="54">
        <v>-848</v>
      </c>
      <c r="I65" s="55">
        <f t="shared" si="59"/>
        <v>904</v>
      </c>
      <c r="J65" s="53"/>
      <c r="K65" s="54"/>
      <c r="L65" s="55">
        <f t="shared" si="60"/>
        <v>0</v>
      </c>
      <c r="M65" s="53"/>
      <c r="N65" s="54"/>
      <c r="O65" s="55">
        <f t="shared" si="61"/>
        <v>0</v>
      </c>
      <c r="P65" s="57" t="s">
        <v>1992</v>
      </c>
    </row>
    <row r="66" spans="1:16" ht="36" customHeight="1" x14ac:dyDescent="0.25">
      <c r="A66" s="186">
        <v>1150</v>
      </c>
      <c r="B66" s="138" t="s">
        <v>84</v>
      </c>
      <c r="C66" s="143">
        <f t="shared" si="0"/>
        <v>2349</v>
      </c>
      <c r="D66" s="144">
        <v>2349</v>
      </c>
      <c r="E66" s="145"/>
      <c r="F66" s="141">
        <f t="shared" si="58"/>
        <v>2349</v>
      </c>
      <c r="G66" s="144"/>
      <c r="H66" s="145"/>
      <c r="I66" s="141">
        <f t="shared" si="59"/>
        <v>0</v>
      </c>
      <c r="J66" s="144"/>
      <c r="K66" s="145"/>
      <c r="L66" s="141">
        <f t="shared" si="60"/>
        <v>0</v>
      </c>
      <c r="M66" s="144"/>
      <c r="N66" s="145"/>
      <c r="O66" s="141">
        <f t="shared" si="61"/>
        <v>0</v>
      </c>
      <c r="P66" s="129"/>
    </row>
    <row r="67" spans="1:16" ht="24" x14ac:dyDescent="0.25">
      <c r="A67" s="69">
        <v>1200</v>
      </c>
      <c r="B67" s="183" t="s">
        <v>85</v>
      </c>
      <c r="C67" s="70">
        <f t="shared" si="0"/>
        <v>142016</v>
      </c>
      <c r="D67" s="184">
        <f>SUM(D68:D69)</f>
        <v>125272</v>
      </c>
      <c r="E67" s="185">
        <f t="shared" ref="E67:F67" si="62">SUM(E68:E69)</f>
        <v>0</v>
      </c>
      <c r="F67" s="73">
        <f t="shared" si="62"/>
        <v>125272</v>
      </c>
      <c r="G67" s="184">
        <f>SUM(G68:G69)</f>
        <v>16744</v>
      </c>
      <c r="H67" s="185">
        <f t="shared" ref="H67:I67" si="63">SUM(H68:H69)</f>
        <v>0</v>
      </c>
      <c r="I67" s="73">
        <f t="shared" si="63"/>
        <v>16744</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488">
        <v>1210</v>
      </c>
      <c r="B68" s="468" t="s">
        <v>86</v>
      </c>
      <c r="C68" s="469">
        <f t="shared" si="0"/>
        <v>111552</v>
      </c>
      <c r="D68" s="460">
        <v>95108</v>
      </c>
      <c r="E68" s="461"/>
      <c r="F68" s="491">
        <f>D68+E68</f>
        <v>95108</v>
      </c>
      <c r="G68" s="460">
        <v>16444</v>
      </c>
      <c r="H68" s="461"/>
      <c r="I68" s="491">
        <f>G68+H68</f>
        <v>16444</v>
      </c>
      <c r="J68" s="460"/>
      <c r="K68" s="461"/>
      <c r="L68" s="491">
        <f>K68+J68</f>
        <v>0</v>
      </c>
      <c r="M68" s="460"/>
      <c r="N68" s="461"/>
      <c r="O68" s="491">
        <f>N68+M68</f>
        <v>0</v>
      </c>
      <c r="P68" s="463"/>
    </row>
    <row r="69" spans="1:16" ht="24" x14ac:dyDescent="0.25">
      <c r="A69" s="189">
        <v>1220</v>
      </c>
      <c r="B69" s="89" t="s">
        <v>87</v>
      </c>
      <c r="C69" s="90">
        <f t="shared" si="0"/>
        <v>30464</v>
      </c>
      <c r="D69" s="190">
        <f>SUM(D70:D74)</f>
        <v>30164</v>
      </c>
      <c r="E69" s="191">
        <f t="shared" ref="E69:F69" si="66">SUM(E70:E74)</f>
        <v>0</v>
      </c>
      <c r="F69" s="55">
        <f t="shared" si="66"/>
        <v>30164</v>
      </c>
      <c r="G69" s="190">
        <f>SUM(G70:G74)</f>
        <v>300</v>
      </c>
      <c r="H69" s="191">
        <f t="shared" ref="H69:I69" si="67">SUM(H70:H74)</f>
        <v>0</v>
      </c>
      <c r="I69" s="55">
        <f t="shared" si="67"/>
        <v>300</v>
      </c>
      <c r="J69" s="190">
        <f>SUM(J70:J74)</f>
        <v>0</v>
      </c>
      <c r="K69" s="191">
        <f t="shared" ref="K69:L69" si="68">SUM(K70:K74)</f>
        <v>0</v>
      </c>
      <c r="L69" s="55">
        <f t="shared" si="68"/>
        <v>0</v>
      </c>
      <c r="M69" s="190">
        <f>SUM(M70:M74)</f>
        <v>0</v>
      </c>
      <c r="N69" s="191">
        <f t="shared" ref="N69:O69" si="69">SUM(N70:N74)</f>
        <v>0</v>
      </c>
      <c r="O69" s="55">
        <f t="shared" si="69"/>
        <v>0</v>
      </c>
      <c r="P69" s="57"/>
    </row>
    <row r="70" spans="1:16" ht="48" x14ac:dyDescent="0.25">
      <c r="A70" s="51">
        <v>1221</v>
      </c>
      <c r="B70" s="89" t="s">
        <v>88</v>
      </c>
      <c r="C70" s="90">
        <f t="shared" si="0"/>
        <v>18188</v>
      </c>
      <c r="D70" s="53">
        <v>17888</v>
      </c>
      <c r="E70" s="54"/>
      <c r="F70" s="55">
        <f t="shared" ref="F70:F74" si="70">D70+E70</f>
        <v>17888</v>
      </c>
      <c r="G70" s="53">
        <v>300</v>
      </c>
      <c r="H70" s="54"/>
      <c r="I70" s="55">
        <f t="shared" ref="I70:I74" si="71">G70+H70</f>
        <v>300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11526</v>
      </c>
      <c r="D73" s="53">
        <v>11526</v>
      </c>
      <c r="E73" s="54"/>
      <c r="F73" s="55">
        <f t="shared" si="70"/>
        <v>11526</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750</v>
      </c>
      <c r="D74" s="53">
        <v>750</v>
      </c>
      <c r="E74" s="54"/>
      <c r="F74" s="55">
        <f t="shared" si="70"/>
        <v>750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57740</v>
      </c>
      <c r="D75" s="179">
        <f>SUM(D76,D83,D130,D164,D165,D172)</f>
        <v>48624</v>
      </c>
      <c r="E75" s="180">
        <f t="shared" ref="E75:F75" si="74">SUM(E76,E83,E130,E164,E165,E172)</f>
        <v>1300</v>
      </c>
      <c r="F75" s="181">
        <f t="shared" si="74"/>
        <v>49924</v>
      </c>
      <c r="G75" s="179">
        <f>SUM(G76,G83,G130,G164,G165,G172)</f>
        <v>1217</v>
      </c>
      <c r="H75" s="180">
        <f t="shared" ref="H75:I75" si="75">SUM(H76,H83,H130,H164,H165,H172)</f>
        <v>0</v>
      </c>
      <c r="I75" s="181">
        <f t="shared" si="75"/>
        <v>1217</v>
      </c>
      <c r="J75" s="179">
        <f>SUM(J76,J83,J130,J164,J165,J172)</f>
        <v>6599</v>
      </c>
      <c r="K75" s="180">
        <f t="shared" ref="K75:L75" si="76">SUM(K76,K83,K130,K164,K165,K172)</f>
        <v>0</v>
      </c>
      <c r="L75" s="181">
        <f t="shared" si="76"/>
        <v>6599</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39657</v>
      </c>
      <c r="D83" s="184">
        <f>SUM(D84,D89,D95,D103,D112,D116,D122,D128)</f>
        <v>35866</v>
      </c>
      <c r="E83" s="185">
        <f t="shared" ref="E83:F83" si="98">SUM(E84,E89,E95,E103,E112,E116,E122,E128)</f>
        <v>0</v>
      </c>
      <c r="F83" s="73">
        <f t="shared" si="98"/>
        <v>35866</v>
      </c>
      <c r="G83" s="184">
        <f>SUM(G84,G89,G95,G103,G112,G116,G122,G128)</f>
        <v>0</v>
      </c>
      <c r="H83" s="185">
        <f t="shared" ref="H83:I83" si="99">SUM(H84,H89,H95,H103,H112,H116,H122,H128)</f>
        <v>0</v>
      </c>
      <c r="I83" s="73">
        <f t="shared" si="99"/>
        <v>0</v>
      </c>
      <c r="J83" s="184">
        <f>SUM(J84,J89,J95,J103,J112,J116,J122,J128)</f>
        <v>3791</v>
      </c>
      <c r="K83" s="185">
        <f t="shared" ref="K83:L83" si="100">SUM(K84,K89,K95,K103,K112,K116,K122,K128)</f>
        <v>0</v>
      </c>
      <c r="L83" s="73">
        <f t="shared" si="100"/>
        <v>3791</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788</v>
      </c>
      <c r="D84" s="187">
        <f>SUM(D85:D88)</f>
        <v>788</v>
      </c>
      <c r="E84" s="188">
        <f t="shared" ref="E84:F84" si="103">SUM(E85:E88)</f>
        <v>0</v>
      </c>
      <c r="F84" s="141">
        <f t="shared" si="103"/>
        <v>788</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692</v>
      </c>
      <c r="D86" s="196">
        <v>692</v>
      </c>
      <c r="E86" s="197"/>
      <c r="F86" s="55">
        <f t="shared" si="107"/>
        <v>692</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45</v>
      </c>
      <c r="D88" s="196">
        <v>45</v>
      </c>
      <c r="E88" s="197"/>
      <c r="F88" s="55">
        <f t="shared" si="107"/>
        <v>45</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33830</v>
      </c>
      <c r="D89" s="190">
        <f>SUM(D90:D94)</f>
        <v>29889</v>
      </c>
      <c r="E89" s="191">
        <f t="shared" ref="E89:F89" si="111">SUM(E90:E94)</f>
        <v>150</v>
      </c>
      <c r="F89" s="55">
        <f t="shared" si="111"/>
        <v>30039</v>
      </c>
      <c r="G89" s="190">
        <f>SUM(G90:G94)</f>
        <v>0</v>
      </c>
      <c r="H89" s="191">
        <f t="shared" ref="H89:I89" si="112">SUM(H90:H94)</f>
        <v>0</v>
      </c>
      <c r="I89" s="55">
        <f t="shared" si="112"/>
        <v>0</v>
      </c>
      <c r="J89" s="190">
        <f>SUM(J90:J94)</f>
        <v>3791</v>
      </c>
      <c r="K89" s="191">
        <f t="shared" ref="K89:L89" si="113">SUM(K90:K94)</f>
        <v>0</v>
      </c>
      <c r="L89" s="55">
        <f t="shared" si="113"/>
        <v>3791</v>
      </c>
      <c r="M89" s="190">
        <f>SUM(M90:M94)</f>
        <v>0</v>
      </c>
      <c r="N89" s="191">
        <f t="shared" ref="N89:O89" si="114">SUM(N90:N94)</f>
        <v>0</v>
      </c>
      <c r="O89" s="55">
        <f t="shared" si="114"/>
        <v>0</v>
      </c>
      <c r="P89" s="57"/>
    </row>
    <row r="90" spans="1:16" s="730" customFormat="1" ht="40.5" customHeight="1" x14ac:dyDescent="0.25">
      <c r="A90" s="345">
        <v>2221</v>
      </c>
      <c r="B90" s="346" t="s">
        <v>106</v>
      </c>
      <c r="C90" s="347">
        <f t="shared" si="102"/>
        <v>17214</v>
      </c>
      <c r="D90" s="352">
        <v>15764</v>
      </c>
      <c r="E90" s="353"/>
      <c r="F90" s="350">
        <f t="shared" ref="F90:F94" si="115">D90+E90</f>
        <v>15764</v>
      </c>
      <c r="G90" s="348"/>
      <c r="H90" s="349"/>
      <c r="I90" s="350">
        <f t="shared" ref="I90:I94" si="116">G90+H90</f>
        <v>0</v>
      </c>
      <c r="J90" s="348">
        <v>1450</v>
      </c>
      <c r="K90" s="349"/>
      <c r="L90" s="350">
        <f t="shared" ref="L90:L94" si="117">K90+J90</f>
        <v>1450</v>
      </c>
      <c r="M90" s="348"/>
      <c r="N90" s="349"/>
      <c r="O90" s="350">
        <f t="shared" ref="O90:O94" si="118">N90+M90</f>
        <v>0</v>
      </c>
      <c r="P90" s="351"/>
    </row>
    <row r="91" spans="1:16" ht="27" customHeight="1" x14ac:dyDescent="0.25">
      <c r="A91" s="51">
        <v>2222</v>
      </c>
      <c r="B91" s="89" t="s">
        <v>107</v>
      </c>
      <c r="C91" s="90">
        <f t="shared" si="102"/>
        <v>5166</v>
      </c>
      <c r="D91" s="196">
        <v>4580</v>
      </c>
      <c r="E91" s="197">
        <v>150</v>
      </c>
      <c r="F91" s="55">
        <f t="shared" si="115"/>
        <v>4730</v>
      </c>
      <c r="G91" s="53"/>
      <c r="H91" s="54"/>
      <c r="I91" s="55">
        <f t="shared" si="116"/>
        <v>0</v>
      </c>
      <c r="J91" s="53">
        <v>436</v>
      </c>
      <c r="K91" s="54"/>
      <c r="L91" s="55">
        <f t="shared" si="117"/>
        <v>436</v>
      </c>
      <c r="M91" s="53"/>
      <c r="N91" s="54"/>
      <c r="O91" s="55">
        <f t="shared" si="118"/>
        <v>0</v>
      </c>
      <c r="P91" s="454" t="s">
        <v>1993</v>
      </c>
    </row>
    <row r="92" spans="1:16" s="730" customFormat="1" ht="23.25" customHeight="1" x14ac:dyDescent="0.25">
      <c r="A92" s="345">
        <v>2223</v>
      </c>
      <c r="B92" s="346" t="s">
        <v>108</v>
      </c>
      <c r="C92" s="347">
        <f t="shared" si="102"/>
        <v>10347</v>
      </c>
      <c r="D92" s="352">
        <v>8918</v>
      </c>
      <c r="E92" s="353"/>
      <c r="F92" s="350">
        <f t="shared" si="115"/>
        <v>8918</v>
      </c>
      <c r="G92" s="348"/>
      <c r="H92" s="349"/>
      <c r="I92" s="350">
        <f t="shared" si="116"/>
        <v>0</v>
      </c>
      <c r="J92" s="348">
        <v>1429</v>
      </c>
      <c r="K92" s="349"/>
      <c r="L92" s="350">
        <f t="shared" si="117"/>
        <v>1429</v>
      </c>
      <c r="M92" s="348"/>
      <c r="N92" s="349"/>
      <c r="O92" s="350">
        <f t="shared" si="118"/>
        <v>0</v>
      </c>
      <c r="P92" s="351"/>
    </row>
    <row r="93" spans="1:16" s="730" customFormat="1" ht="48" customHeight="1" x14ac:dyDescent="0.25">
      <c r="A93" s="345">
        <v>2224</v>
      </c>
      <c r="B93" s="346" t="s">
        <v>109</v>
      </c>
      <c r="C93" s="347">
        <f t="shared" si="102"/>
        <v>1103</v>
      </c>
      <c r="D93" s="352">
        <v>627</v>
      </c>
      <c r="E93" s="353"/>
      <c r="F93" s="350">
        <f t="shared" si="115"/>
        <v>627</v>
      </c>
      <c r="G93" s="348"/>
      <c r="H93" s="349"/>
      <c r="I93" s="350">
        <f t="shared" si="116"/>
        <v>0</v>
      </c>
      <c r="J93" s="348">
        <v>476</v>
      </c>
      <c r="K93" s="349"/>
      <c r="L93" s="350">
        <f t="shared" si="117"/>
        <v>476</v>
      </c>
      <c r="M93" s="348"/>
      <c r="N93" s="349"/>
      <c r="O93" s="350">
        <f t="shared" si="118"/>
        <v>0</v>
      </c>
      <c r="P93" s="351"/>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1150</v>
      </c>
      <c r="D95" s="190">
        <f>SUM(D96:D102)</f>
        <v>1150</v>
      </c>
      <c r="E95" s="191">
        <f t="shared" ref="E95:F95" si="119">SUM(E96:E102)</f>
        <v>0</v>
      </c>
      <c r="F95" s="55">
        <f t="shared" si="119"/>
        <v>1150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1150</v>
      </c>
      <c r="D102" s="196">
        <v>1150</v>
      </c>
      <c r="E102" s="197"/>
      <c r="F102" s="55">
        <f t="shared" si="123"/>
        <v>1150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3429</v>
      </c>
      <c r="D103" s="190">
        <f>SUM(D104:D111)</f>
        <v>3579</v>
      </c>
      <c r="E103" s="191">
        <f t="shared" ref="E103:F103" si="127">SUM(E104:E111)</f>
        <v>-150</v>
      </c>
      <c r="F103" s="55">
        <f t="shared" si="127"/>
        <v>3429</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520</v>
      </c>
      <c r="D106" s="196">
        <v>520</v>
      </c>
      <c r="E106" s="197"/>
      <c r="F106" s="55">
        <f t="shared" si="131"/>
        <v>520</v>
      </c>
      <c r="G106" s="53"/>
      <c r="H106" s="54"/>
      <c r="I106" s="55">
        <f t="shared" si="132"/>
        <v>0</v>
      </c>
      <c r="J106" s="53"/>
      <c r="K106" s="54"/>
      <c r="L106" s="55">
        <f t="shared" si="133"/>
        <v>0</v>
      </c>
      <c r="M106" s="53"/>
      <c r="N106" s="54"/>
      <c r="O106" s="55">
        <f t="shared" si="134"/>
        <v>0</v>
      </c>
      <c r="P106" s="57"/>
    </row>
    <row r="107" spans="1:16" ht="23.25" customHeight="1" x14ac:dyDescent="0.25">
      <c r="A107" s="51">
        <v>2244</v>
      </c>
      <c r="B107" s="89" t="s">
        <v>123</v>
      </c>
      <c r="C107" s="90">
        <f t="shared" si="102"/>
        <v>2909</v>
      </c>
      <c r="D107" s="196">
        <v>3059</v>
      </c>
      <c r="E107" s="197">
        <v>-150</v>
      </c>
      <c r="F107" s="55">
        <f t="shared" si="131"/>
        <v>2909</v>
      </c>
      <c r="G107" s="53"/>
      <c r="H107" s="54"/>
      <c r="I107" s="55">
        <f t="shared" si="132"/>
        <v>0</v>
      </c>
      <c r="J107" s="53"/>
      <c r="K107" s="54"/>
      <c r="L107" s="55">
        <f t="shared" si="133"/>
        <v>0</v>
      </c>
      <c r="M107" s="53"/>
      <c r="N107" s="54"/>
      <c r="O107" s="55">
        <f t="shared" si="134"/>
        <v>0</v>
      </c>
      <c r="P107" s="454" t="s">
        <v>1994</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372</v>
      </c>
      <c r="D112" s="190">
        <f>SUM(D113:D115)</f>
        <v>372</v>
      </c>
      <c r="E112" s="191">
        <f t="shared" ref="E112:F112" si="135">SUM(E113:E115)</f>
        <v>0</v>
      </c>
      <c r="F112" s="55">
        <f t="shared" si="135"/>
        <v>372</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206</v>
      </c>
      <c r="D114" s="196">
        <v>206</v>
      </c>
      <c r="E114" s="197"/>
      <c r="F114" s="55">
        <f t="shared" si="139"/>
        <v>206</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52</v>
      </c>
      <c r="D116" s="190">
        <f>SUM(D117:D121)</f>
        <v>52</v>
      </c>
      <c r="E116" s="191">
        <f t="shared" ref="E116:F116" si="143">SUM(E117:E121)</f>
        <v>0</v>
      </c>
      <c r="F116" s="55">
        <f t="shared" si="143"/>
        <v>52</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36</v>
      </c>
      <c r="D122" s="190">
        <f>SUM(D123:D127)</f>
        <v>36</v>
      </c>
      <c r="E122" s="191">
        <f t="shared" ref="E122:F122" si="151">SUM(E123:E127)</f>
        <v>0</v>
      </c>
      <c r="F122" s="55">
        <f t="shared" si="151"/>
        <v>36</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36</v>
      </c>
      <c r="D127" s="196">
        <v>36</v>
      </c>
      <c r="E127" s="197"/>
      <c r="F127" s="55">
        <f t="shared" si="155"/>
        <v>36</v>
      </c>
      <c r="G127" s="53"/>
      <c r="H127" s="54"/>
      <c r="I127" s="55">
        <f t="shared" si="156"/>
        <v>0</v>
      </c>
      <c r="J127" s="53"/>
      <c r="K127" s="54"/>
      <c r="L127" s="55">
        <f t="shared" si="157"/>
        <v>0</v>
      </c>
      <c r="M127" s="53"/>
      <c r="N127" s="54"/>
      <c r="O127" s="55">
        <f t="shared" si="158"/>
        <v>0</v>
      </c>
      <c r="P127" s="57"/>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18083</v>
      </c>
      <c r="D130" s="184">
        <f>SUM(D131,D136,D140,D141,D144,D151,D159,D160,D163)</f>
        <v>12758</v>
      </c>
      <c r="E130" s="185">
        <f t="shared" ref="E130:F130" si="160">SUM(E131,E136,E140,E141,E144,E151,E159,E160,E163)</f>
        <v>1300</v>
      </c>
      <c r="F130" s="73">
        <f t="shared" si="160"/>
        <v>14058</v>
      </c>
      <c r="G130" s="184">
        <f>SUM(G131,G136,G140,G141,G144,G151,G159,G160,G163)</f>
        <v>1217</v>
      </c>
      <c r="H130" s="185">
        <f t="shared" ref="H130:I130" si="161">SUM(H131,H136,H140,H141,H144,H151,H159,H160,H163)</f>
        <v>0</v>
      </c>
      <c r="I130" s="73">
        <f t="shared" si="161"/>
        <v>1217</v>
      </c>
      <c r="J130" s="184">
        <f>SUM(J131,J136,J140,J141,J144,J151,J159,J160,J163)</f>
        <v>2808</v>
      </c>
      <c r="K130" s="185">
        <f t="shared" ref="K130:L130" si="162">SUM(K131,K136,K140,K141,K144,K151,K159,K160,K163)</f>
        <v>0</v>
      </c>
      <c r="L130" s="73">
        <f t="shared" si="162"/>
        <v>2808</v>
      </c>
      <c r="M130" s="184">
        <f>SUM(M131,M136,M140,M141,M144,M151,M159,M160,M163)</f>
        <v>0</v>
      </c>
      <c r="N130" s="185">
        <f t="shared" ref="N130:O130" si="163">SUM(N131,N136,N140,N141,N144,N151,N159,N160,N163)</f>
        <v>0</v>
      </c>
      <c r="O130" s="73">
        <f t="shared" si="163"/>
        <v>0</v>
      </c>
      <c r="P130" s="77"/>
    </row>
    <row r="131" spans="1:16" ht="24" x14ac:dyDescent="0.25">
      <c r="A131" s="1449">
        <v>2310</v>
      </c>
      <c r="B131" s="82" t="s">
        <v>147</v>
      </c>
      <c r="C131" s="83">
        <f t="shared" si="102"/>
        <v>7657</v>
      </c>
      <c r="D131" s="194">
        <f t="shared" ref="D131:O131" si="164">SUM(D132:D135)</f>
        <v>6357</v>
      </c>
      <c r="E131" s="195">
        <f t="shared" si="164"/>
        <v>1300</v>
      </c>
      <c r="F131" s="134">
        <f t="shared" si="164"/>
        <v>7657</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613</v>
      </c>
      <c r="D132" s="196">
        <v>613</v>
      </c>
      <c r="E132" s="197"/>
      <c r="F132" s="55">
        <f t="shared" ref="F132:F135" si="165">D132+E132</f>
        <v>613</v>
      </c>
      <c r="G132" s="53"/>
      <c r="H132" s="54"/>
      <c r="I132" s="55">
        <f t="shared" ref="I132:I135" si="166">G132+H132</f>
        <v>0</v>
      </c>
      <c r="J132" s="53"/>
      <c r="K132" s="54"/>
      <c r="L132" s="55">
        <f t="shared" ref="L132:L135" si="167">K132+J132</f>
        <v>0</v>
      </c>
      <c r="M132" s="53"/>
      <c r="N132" s="54"/>
      <c r="O132" s="55">
        <f t="shared" ref="O132:O135" si="168">N132+M132</f>
        <v>0</v>
      </c>
      <c r="P132" s="57"/>
    </row>
    <row r="133" spans="1:16" ht="21.75" customHeight="1" x14ac:dyDescent="0.25">
      <c r="A133" s="51">
        <v>2312</v>
      </c>
      <c r="B133" s="89" t="s">
        <v>149</v>
      </c>
      <c r="C133" s="90">
        <f t="shared" si="102"/>
        <v>7044</v>
      </c>
      <c r="D133" s="196">
        <v>5744</v>
      </c>
      <c r="E133" s="197">
        <v>1300</v>
      </c>
      <c r="F133" s="55">
        <f t="shared" si="165"/>
        <v>7044</v>
      </c>
      <c r="G133" s="53"/>
      <c r="H133" s="54"/>
      <c r="I133" s="55">
        <f t="shared" si="166"/>
        <v>0</v>
      </c>
      <c r="J133" s="53"/>
      <c r="K133" s="54"/>
      <c r="L133" s="55">
        <f t="shared" si="167"/>
        <v>0</v>
      </c>
      <c r="M133" s="53"/>
      <c r="N133" s="54"/>
      <c r="O133" s="55">
        <f t="shared" si="168"/>
        <v>0</v>
      </c>
      <c r="P133" s="57" t="s">
        <v>1995</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60</v>
      </c>
      <c r="D136" s="190">
        <f>SUM(D137:D139)</f>
        <v>60</v>
      </c>
      <c r="E136" s="191">
        <f t="shared" ref="E136:F136" si="169">SUM(E137:E139)</f>
        <v>0</v>
      </c>
      <c r="F136" s="55">
        <f t="shared" si="169"/>
        <v>60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60</v>
      </c>
      <c r="D138" s="196">
        <v>60</v>
      </c>
      <c r="E138" s="197"/>
      <c r="F138" s="55">
        <f t="shared" si="173"/>
        <v>60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50</v>
      </c>
      <c r="D141" s="190">
        <f>SUM(D142:D143)</f>
        <v>50</v>
      </c>
      <c r="E141" s="191">
        <f t="shared" ref="E141:F141" si="177">SUM(E142:E143)</f>
        <v>0</v>
      </c>
      <c r="F141" s="55">
        <f t="shared" si="177"/>
        <v>50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50</v>
      </c>
      <c r="D142" s="196">
        <v>50</v>
      </c>
      <c r="E142" s="197"/>
      <c r="F142" s="55">
        <f t="shared" ref="F142:F143" si="181">D142+E142</f>
        <v>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3494</v>
      </c>
      <c r="D144" s="187">
        <f>SUM(D145:D150)</f>
        <v>3494</v>
      </c>
      <c r="E144" s="188">
        <f t="shared" ref="E144:F144" si="185">SUM(E145:E150)</f>
        <v>0</v>
      </c>
      <c r="F144" s="141">
        <f t="shared" si="185"/>
        <v>3494</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446</v>
      </c>
      <c r="D145" s="199">
        <v>446</v>
      </c>
      <c r="E145" s="200"/>
      <c r="F145" s="134">
        <f t="shared" ref="F145:F150" si="189">D145+E145</f>
        <v>446</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3048</v>
      </c>
      <c r="D146" s="196">
        <v>3048</v>
      </c>
      <c r="E146" s="197"/>
      <c r="F146" s="55">
        <f t="shared" si="189"/>
        <v>3048</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4404</v>
      </c>
      <c r="D151" s="190">
        <f>SUM(D152:D158)</f>
        <v>1596</v>
      </c>
      <c r="E151" s="191">
        <f t="shared" ref="E151:F151" si="194">SUM(E152:E158)</f>
        <v>0</v>
      </c>
      <c r="F151" s="55">
        <f t="shared" si="194"/>
        <v>1596</v>
      </c>
      <c r="G151" s="190">
        <f>SUM(G152:G158)</f>
        <v>0</v>
      </c>
      <c r="H151" s="191">
        <f t="shared" ref="H151:I151" si="195">SUM(H152:H158)</f>
        <v>0</v>
      </c>
      <c r="I151" s="55">
        <f t="shared" si="195"/>
        <v>0</v>
      </c>
      <c r="J151" s="190">
        <f>SUM(J152:J158)</f>
        <v>2808</v>
      </c>
      <c r="K151" s="191">
        <f t="shared" ref="K151:L151" si="196">SUM(K152:K158)</f>
        <v>0</v>
      </c>
      <c r="L151" s="55">
        <f t="shared" si="196"/>
        <v>2808</v>
      </c>
      <c r="M151" s="190">
        <f>SUM(M152:M158)</f>
        <v>0</v>
      </c>
      <c r="N151" s="191">
        <f t="shared" ref="N151:O151" si="197">SUM(N152:N158)</f>
        <v>0</v>
      </c>
      <c r="O151" s="55">
        <f t="shared" si="197"/>
        <v>0</v>
      </c>
      <c r="P151" s="57"/>
    </row>
    <row r="152" spans="1:16" ht="12" customHeight="1" x14ac:dyDescent="0.25">
      <c r="A152" s="50">
        <v>2361</v>
      </c>
      <c r="B152" s="89" t="s">
        <v>168</v>
      </c>
      <c r="C152" s="90">
        <f t="shared" si="193"/>
        <v>1000</v>
      </c>
      <c r="D152" s="196">
        <v>1000</v>
      </c>
      <c r="E152" s="197"/>
      <c r="F152" s="55">
        <f t="shared" ref="F152:F159" si="198">D152+E152</f>
        <v>1000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596</v>
      </c>
      <c r="D153" s="196">
        <v>596</v>
      </c>
      <c r="E153" s="197"/>
      <c r="F153" s="55">
        <f t="shared" si="198"/>
        <v>596</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2808</v>
      </c>
      <c r="D154" s="196"/>
      <c r="E154" s="197"/>
      <c r="F154" s="55">
        <f t="shared" si="198"/>
        <v>0</v>
      </c>
      <c r="G154" s="53"/>
      <c r="H154" s="54"/>
      <c r="I154" s="55">
        <f t="shared" si="199"/>
        <v>0</v>
      </c>
      <c r="J154" s="53">
        <v>2808</v>
      </c>
      <c r="K154" s="54"/>
      <c r="L154" s="55">
        <f t="shared" si="200"/>
        <v>2808</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2418</v>
      </c>
      <c r="D159" s="203">
        <v>1201</v>
      </c>
      <c r="E159" s="204"/>
      <c r="F159" s="141">
        <f t="shared" si="198"/>
        <v>1201</v>
      </c>
      <c r="G159" s="144">
        <v>1217</v>
      </c>
      <c r="H159" s="145"/>
      <c r="I159" s="141">
        <f t="shared" si="199"/>
        <v>1217</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350</v>
      </c>
      <c r="D194" s="173">
        <f t="shared" ref="D194:O194" si="259">SUM(D195,D230,D269,D283)</f>
        <v>1300</v>
      </c>
      <c r="E194" s="174">
        <f t="shared" si="259"/>
        <v>-1300</v>
      </c>
      <c r="F194" s="175">
        <f t="shared" si="259"/>
        <v>0</v>
      </c>
      <c r="G194" s="173">
        <f t="shared" si="259"/>
        <v>350</v>
      </c>
      <c r="H194" s="174">
        <f t="shared" si="259"/>
        <v>0</v>
      </c>
      <c r="I194" s="175">
        <f t="shared" si="259"/>
        <v>350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350</v>
      </c>
      <c r="D195" s="179">
        <f>D196+D204</f>
        <v>1300</v>
      </c>
      <c r="E195" s="180">
        <f t="shared" ref="E195:F195" si="260">E196+E204</f>
        <v>-1300</v>
      </c>
      <c r="F195" s="181">
        <f t="shared" si="260"/>
        <v>0</v>
      </c>
      <c r="G195" s="179">
        <f>G196+G204</f>
        <v>350</v>
      </c>
      <c r="H195" s="180">
        <f t="shared" ref="H195:I195" si="261">H196+H204</f>
        <v>0</v>
      </c>
      <c r="I195" s="181">
        <f t="shared" si="261"/>
        <v>350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350</v>
      </c>
      <c r="D204" s="184">
        <f>D205+D215+D216+D225+D226+D227+D229</f>
        <v>1300</v>
      </c>
      <c r="E204" s="185">
        <f t="shared" ref="E204:F204" si="276">E205+E215+E216+E225+E226+E227+E229</f>
        <v>-1300</v>
      </c>
      <c r="F204" s="73">
        <f t="shared" si="276"/>
        <v>0</v>
      </c>
      <c r="G204" s="184">
        <f>G205+G215+G216+G225+G226+G227+G229</f>
        <v>350</v>
      </c>
      <c r="H204" s="185">
        <f t="shared" ref="H204:I204" si="277">H205+H215+H216+H225+H226+H227+H229</f>
        <v>0</v>
      </c>
      <c r="I204" s="73">
        <f t="shared" si="277"/>
        <v>350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350</v>
      </c>
      <c r="D216" s="190">
        <f>SUM(D217:D224)</f>
        <v>1300</v>
      </c>
      <c r="E216" s="191">
        <f t="shared" ref="E216:F216" si="289">SUM(E217:E224)</f>
        <v>-1300</v>
      </c>
      <c r="F216" s="55">
        <f t="shared" si="289"/>
        <v>0</v>
      </c>
      <c r="G216" s="190">
        <f>SUM(G217:G224)</f>
        <v>350</v>
      </c>
      <c r="H216" s="191">
        <f t="shared" ref="H216:I216" si="290">SUM(H217:H224)</f>
        <v>0</v>
      </c>
      <c r="I216" s="55">
        <f t="shared" si="290"/>
        <v>350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350</v>
      </c>
      <c r="D219" s="196"/>
      <c r="E219" s="197"/>
      <c r="F219" s="55">
        <f t="shared" si="293"/>
        <v>0</v>
      </c>
      <c r="G219" s="53">
        <v>350</v>
      </c>
      <c r="H219" s="54"/>
      <c r="I219" s="55">
        <f t="shared" si="294"/>
        <v>350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51.75" hidden="1" customHeight="1" x14ac:dyDescent="0.25">
      <c r="A223" s="51">
        <v>5238</v>
      </c>
      <c r="B223" s="89" t="s">
        <v>239</v>
      </c>
      <c r="C223" s="90">
        <f t="shared" si="288"/>
        <v>0</v>
      </c>
      <c r="D223" s="196">
        <v>1300</v>
      </c>
      <c r="E223" s="197">
        <v>-1300</v>
      </c>
      <c r="F223" s="55">
        <f t="shared" si="293"/>
        <v>0</v>
      </c>
      <c r="G223" s="53"/>
      <c r="H223" s="54"/>
      <c r="I223" s="55">
        <f t="shared" si="294"/>
        <v>0</v>
      </c>
      <c r="J223" s="53"/>
      <c r="K223" s="54"/>
      <c r="L223" s="55">
        <f t="shared" si="295"/>
        <v>0</v>
      </c>
      <c r="M223" s="53"/>
      <c r="N223" s="54"/>
      <c r="O223" s="55">
        <f t="shared" si="296"/>
        <v>0</v>
      </c>
      <c r="P223" s="57" t="s">
        <v>1996</v>
      </c>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644341</v>
      </c>
      <c r="D289" s="252">
        <f t="shared" ref="D289:O289" si="389">SUM(D286,D269,D230,D195,D187,D173,D75,D53,D283)</f>
        <v>552115</v>
      </c>
      <c r="E289" s="253">
        <f t="shared" si="389"/>
        <v>0</v>
      </c>
      <c r="F289" s="254">
        <f t="shared" si="389"/>
        <v>552115</v>
      </c>
      <c r="G289" s="252">
        <f t="shared" si="389"/>
        <v>87371</v>
      </c>
      <c r="H289" s="253">
        <f t="shared" si="389"/>
        <v>-1744</v>
      </c>
      <c r="I289" s="254">
        <f t="shared" si="389"/>
        <v>85627</v>
      </c>
      <c r="J289" s="252">
        <f t="shared" si="389"/>
        <v>6599</v>
      </c>
      <c r="K289" s="253">
        <f t="shared" si="389"/>
        <v>0</v>
      </c>
      <c r="L289" s="254">
        <f t="shared" si="389"/>
        <v>6599</v>
      </c>
      <c r="M289" s="252">
        <f t="shared" si="389"/>
        <v>0</v>
      </c>
      <c r="N289" s="253">
        <f t="shared" si="389"/>
        <v>0</v>
      </c>
      <c r="O289" s="254">
        <f t="shared" si="389"/>
        <v>0</v>
      </c>
      <c r="P289" s="255"/>
    </row>
    <row r="290" spans="1:16" s="28" customFormat="1" ht="13.5" thickTop="1" thickBot="1" x14ac:dyDescent="0.3">
      <c r="A290" s="1544" t="s">
        <v>308</v>
      </c>
      <c r="B290" s="1545"/>
      <c r="C290" s="256">
        <f t="shared" si="371"/>
        <v>-565</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-565</v>
      </c>
      <c r="K290" s="258">
        <f t="shared" ref="K290:L290" si="392">(K26+K43)-K51</f>
        <v>0</v>
      </c>
      <c r="L290" s="259">
        <f t="shared" si="392"/>
        <v>-565</v>
      </c>
      <c r="M290" s="257">
        <f>M45-M51</f>
        <v>0</v>
      </c>
      <c r="N290" s="258">
        <f t="shared" ref="N290:O290" si="393">N45-N51</f>
        <v>0</v>
      </c>
      <c r="O290" s="259">
        <f t="shared" si="393"/>
        <v>0</v>
      </c>
      <c r="P290" s="260"/>
    </row>
    <row r="291" spans="1:16" s="28" customFormat="1" ht="12.75" thickTop="1" x14ac:dyDescent="0.25">
      <c r="A291" s="1546" t="s">
        <v>309</v>
      </c>
      <c r="B291" s="1547"/>
      <c r="C291" s="261">
        <f t="shared" si="371"/>
        <v>565</v>
      </c>
      <c r="D291" s="262">
        <f t="shared" ref="D291:O291" si="394">SUM(D292,D293)-D300+D301</f>
        <v>0</v>
      </c>
      <c r="E291" s="263">
        <f t="shared" si="394"/>
        <v>0</v>
      </c>
      <c r="F291" s="264">
        <f t="shared" si="394"/>
        <v>0</v>
      </c>
      <c r="G291" s="262">
        <f t="shared" si="394"/>
        <v>0</v>
      </c>
      <c r="H291" s="263">
        <f t="shared" si="394"/>
        <v>0</v>
      </c>
      <c r="I291" s="264">
        <f t="shared" si="394"/>
        <v>0</v>
      </c>
      <c r="J291" s="262">
        <f t="shared" si="394"/>
        <v>565</v>
      </c>
      <c r="K291" s="263">
        <f t="shared" si="394"/>
        <v>0</v>
      </c>
      <c r="L291" s="264">
        <f t="shared" si="394"/>
        <v>565</v>
      </c>
      <c r="M291" s="262">
        <f t="shared" si="394"/>
        <v>0</v>
      </c>
      <c r="N291" s="263">
        <f t="shared" si="394"/>
        <v>0</v>
      </c>
      <c r="O291" s="264">
        <f t="shared" si="394"/>
        <v>0</v>
      </c>
      <c r="P291" s="265"/>
    </row>
    <row r="292" spans="1:16" s="28" customFormat="1" ht="12.75" thickBot="1" x14ac:dyDescent="0.3">
      <c r="A292" s="157" t="s">
        <v>310</v>
      </c>
      <c r="B292" s="157" t="s">
        <v>311</v>
      </c>
      <c r="C292" s="158">
        <f t="shared" si="371"/>
        <v>565</v>
      </c>
      <c r="D292" s="159">
        <f t="shared" ref="D292:O292" si="395">D21-D286</f>
        <v>0</v>
      </c>
      <c r="E292" s="160">
        <f t="shared" si="395"/>
        <v>0</v>
      </c>
      <c r="F292" s="161">
        <f t="shared" si="395"/>
        <v>0</v>
      </c>
      <c r="G292" s="159">
        <f t="shared" si="395"/>
        <v>0</v>
      </c>
      <c r="H292" s="160">
        <f t="shared" si="395"/>
        <v>0</v>
      </c>
      <c r="I292" s="161">
        <f t="shared" si="395"/>
        <v>0</v>
      </c>
      <c r="J292" s="159">
        <f t="shared" si="395"/>
        <v>565</v>
      </c>
      <c r="K292" s="160">
        <f t="shared" si="395"/>
        <v>0</v>
      </c>
      <c r="L292" s="161">
        <f t="shared" si="395"/>
        <v>565</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3WlU023HIKBcarVZBDcgGNX297SsYk10j2QrvYa8hLBEdCR89qz3yts4+OLsn4yR+IIXtZAtqqQD9HGE1q5DIA==" saltValue="gSOVBktuUgXmk6eaq1rDJA==" spinCount="100000" sheet="1" objects="1" scenarios="1" formatCells="0" formatColumns="0" formatRows="0" deleteColumns="0"/>
  <autoFilter ref="A18:P301">
    <filterColumn colId="2">
      <filters>
        <filter val="1 000"/>
        <filter val="1 103"/>
        <filter val="1 149"/>
        <filter val="1 150"/>
        <filter val="10 347"/>
        <filter val="11 526"/>
        <filter val="111 552"/>
        <filter val="142 016"/>
        <filter val="166"/>
        <filter val="17 214"/>
        <filter val="18 083"/>
        <filter val="18 188"/>
        <filter val="2 349"/>
        <filter val="2 418"/>
        <filter val="2 808"/>
        <filter val="2 909"/>
        <filter val="206"/>
        <filter val="24 968"/>
        <filter val="3 048"/>
        <filter val="3 429"/>
        <filter val="3 475"/>
        <filter val="3 494"/>
        <filter val="30 464"/>
        <filter val="33 830"/>
        <filter val="350"/>
        <filter val="36"/>
        <filter val="372"/>
        <filter val="39 657"/>
        <filter val="398 770"/>
        <filter val="4 172"/>
        <filter val="4 404"/>
        <filter val="4 616"/>
        <filter val="4 736"/>
        <filter val="43 116"/>
        <filter val="444 235"/>
        <filter val="446"/>
        <filter val="45"/>
        <filter val="5 097"/>
        <filter val="5 166"/>
        <filter val="50"/>
        <filter val="51"/>
        <filter val="52"/>
        <filter val="520"/>
        <filter val="565"/>
        <filter val="-565"/>
        <filter val="57 740"/>
        <filter val="586 251"/>
        <filter val="596"/>
        <filter val="6 034"/>
        <filter val="60"/>
        <filter val="613"/>
        <filter val="637 742"/>
        <filter val="643 991"/>
        <filter val="644 341"/>
        <filter val="692"/>
        <filter val="7 044"/>
        <filter val="7 657"/>
        <filter val="750"/>
        <filter val="788"/>
        <filter val="93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83.pielikums Jūrmalas pilsētas domes
2019.gada 31.oktobra saistošajiem noteikumiem Nr.46
(protokols Nr.14, 28.punkts)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U3" sqref="U3"/>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428</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429</v>
      </c>
      <c r="D5" s="1512"/>
      <c r="E5" s="1512"/>
      <c r="F5" s="1512"/>
      <c r="G5" s="1512"/>
      <c r="H5" s="1512"/>
      <c r="I5" s="1512"/>
      <c r="J5" s="1512"/>
      <c r="K5" s="1512"/>
      <c r="L5" s="1512"/>
      <c r="M5" s="1512"/>
      <c r="N5" s="1512"/>
      <c r="O5" s="1512"/>
      <c r="P5" s="1513"/>
      <c r="Q5" s="277"/>
    </row>
    <row r="6" spans="1:17" ht="12.75" customHeight="1" x14ac:dyDescent="0.25">
      <c r="A6" s="7" t="s">
        <v>8</v>
      </c>
      <c r="B6" s="8"/>
      <c r="C6" s="1512" t="s">
        <v>430</v>
      </c>
      <c r="D6" s="1512"/>
      <c r="E6" s="1512"/>
      <c r="F6" s="1512"/>
      <c r="G6" s="1512"/>
      <c r="H6" s="1512"/>
      <c r="I6" s="1512"/>
      <c r="J6" s="1512"/>
      <c r="K6" s="1512"/>
      <c r="L6" s="1512"/>
      <c r="M6" s="1512"/>
      <c r="N6" s="1512"/>
      <c r="O6" s="1512"/>
      <c r="P6" s="1513"/>
      <c r="Q6" s="277"/>
    </row>
    <row r="7" spans="1:17" x14ac:dyDescent="0.25">
      <c r="A7" s="7" t="s">
        <v>10</v>
      </c>
      <c r="B7" s="8"/>
      <c r="C7" s="1517" t="s">
        <v>431</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432</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692991</v>
      </c>
      <c r="D20" s="32">
        <f>SUM(D21,D24,D25,D41,D43)</f>
        <v>696982</v>
      </c>
      <c r="E20" s="33">
        <f t="shared" ref="E20:F20" si="1">SUM(E21,E24,E25,E41,E43)</f>
        <v>-3991</v>
      </c>
      <c r="F20" s="34">
        <f t="shared" si="1"/>
        <v>692991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692991</v>
      </c>
      <c r="D24" s="60">
        <v>696982</v>
      </c>
      <c r="E24" s="63">
        <v>-3991</v>
      </c>
      <c r="F24" s="62">
        <f t="shared" si="9"/>
        <v>692991</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692991</v>
      </c>
      <c r="D50" s="159">
        <f>SUM(D51,D286)</f>
        <v>696982</v>
      </c>
      <c r="E50" s="160">
        <f t="shared" ref="E50:F50" si="26">SUM(E51,E286)</f>
        <v>-3991</v>
      </c>
      <c r="F50" s="161">
        <f t="shared" si="26"/>
        <v>692991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692991</v>
      </c>
      <c r="D51" s="165">
        <f>SUM(D52,D194)</f>
        <v>696982</v>
      </c>
      <c r="E51" s="166">
        <f t="shared" ref="E51:F51" si="30">SUM(E52,E194)</f>
        <v>-3991</v>
      </c>
      <c r="F51" s="167">
        <f t="shared" si="30"/>
        <v>692991</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692991</v>
      </c>
      <c r="D52" s="173">
        <f>SUM(D53,D75,D173,D187)</f>
        <v>696982</v>
      </c>
      <c r="E52" s="174">
        <f t="shared" ref="E52:F52" si="34">SUM(E53,E75,E173,E187)</f>
        <v>-3991</v>
      </c>
      <c r="F52" s="175">
        <f t="shared" si="34"/>
        <v>692991</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9.75" hidden="1" customHeight="1" x14ac:dyDescent="0.25">
      <c r="A57" s="345">
        <v>1119</v>
      </c>
      <c r="B57" s="346" t="s">
        <v>75</v>
      </c>
      <c r="C57" s="347">
        <f t="shared" si="0"/>
        <v>0</v>
      </c>
      <c r="D57" s="348"/>
      <c r="E57" s="349"/>
      <c r="F57" s="350">
        <f t="shared" si="50"/>
        <v>0</v>
      </c>
      <c r="G57" s="348"/>
      <c r="H57" s="349"/>
      <c r="I57" s="350">
        <f t="shared" si="51"/>
        <v>0</v>
      </c>
      <c r="J57" s="348"/>
      <c r="K57" s="349"/>
      <c r="L57" s="350">
        <f t="shared" si="52"/>
        <v>0</v>
      </c>
      <c r="M57" s="348"/>
      <c r="N57" s="349"/>
      <c r="O57" s="350">
        <f t="shared" si="53"/>
        <v>0</v>
      </c>
      <c r="P57" s="351"/>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08.75" hidden="1" customHeight="1" x14ac:dyDescent="0.25">
      <c r="A64" s="345">
        <v>1148</v>
      </c>
      <c r="B64" s="346" t="s">
        <v>82</v>
      </c>
      <c r="C64" s="347">
        <f t="shared" si="0"/>
        <v>0</v>
      </c>
      <c r="D64" s="348"/>
      <c r="E64" s="349"/>
      <c r="F64" s="350">
        <f t="shared" si="58"/>
        <v>0</v>
      </c>
      <c r="G64" s="348"/>
      <c r="H64" s="349"/>
      <c r="I64" s="350">
        <f t="shared" si="59"/>
        <v>0</v>
      </c>
      <c r="J64" s="348"/>
      <c r="K64" s="349"/>
      <c r="L64" s="350">
        <f t="shared" si="60"/>
        <v>0</v>
      </c>
      <c r="M64" s="348"/>
      <c r="N64" s="349"/>
      <c r="O64" s="350">
        <f t="shared" si="61"/>
        <v>0</v>
      </c>
      <c r="P64" s="351"/>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320">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608819</v>
      </c>
      <c r="D75" s="179">
        <f>SUM(D76,D83,D130,D164,D165,D172)</f>
        <v>612810</v>
      </c>
      <c r="E75" s="180">
        <f t="shared" ref="E75:F75" si="74">SUM(E76,E83,E130,E164,E165,E172)</f>
        <v>-3991</v>
      </c>
      <c r="F75" s="181">
        <f t="shared" si="74"/>
        <v>608819</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320">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608519</v>
      </c>
      <c r="D83" s="184">
        <f>SUM(D84,D89,D95,D103,D112,D116,D122,D128)</f>
        <v>612510</v>
      </c>
      <c r="E83" s="185">
        <f t="shared" ref="E83:F83" si="98">SUM(E84,E89,E95,E103,E112,E116,E122,E128)</f>
        <v>-3991</v>
      </c>
      <c r="F83" s="73">
        <f t="shared" si="98"/>
        <v>608519</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26.25"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345">
        <v>2262</v>
      </c>
      <c r="B118" s="346" t="s">
        <v>134</v>
      </c>
      <c r="C118" s="347">
        <f t="shared" si="102"/>
        <v>0</v>
      </c>
      <c r="D118" s="352"/>
      <c r="E118" s="353"/>
      <c r="F118" s="350">
        <f t="shared" si="147"/>
        <v>0</v>
      </c>
      <c r="G118" s="348"/>
      <c r="H118" s="349"/>
      <c r="I118" s="350">
        <f t="shared" si="148"/>
        <v>0</v>
      </c>
      <c r="J118" s="348"/>
      <c r="K118" s="349"/>
      <c r="L118" s="350">
        <f t="shared" si="149"/>
        <v>0</v>
      </c>
      <c r="M118" s="348"/>
      <c r="N118" s="349"/>
      <c r="O118" s="350">
        <f t="shared" si="150"/>
        <v>0</v>
      </c>
      <c r="P118" s="354"/>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608519</v>
      </c>
      <c r="D122" s="190">
        <f>SUM(D123:D127)</f>
        <v>612510</v>
      </c>
      <c r="E122" s="191">
        <f t="shared" ref="E122:F122" si="151">SUM(E123:E127)</f>
        <v>-3991</v>
      </c>
      <c r="F122" s="55">
        <f t="shared" si="151"/>
        <v>608519</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608519</v>
      </c>
      <c r="D127" s="196">
        <v>612510</v>
      </c>
      <c r="E127" s="197">
        <f>-3991</f>
        <v>-3991</v>
      </c>
      <c r="F127" s="55">
        <f t="shared" si="155"/>
        <v>608519</v>
      </c>
      <c r="G127" s="53"/>
      <c r="H127" s="54"/>
      <c r="I127" s="55">
        <f t="shared" si="156"/>
        <v>0</v>
      </c>
      <c r="J127" s="53"/>
      <c r="K127" s="54"/>
      <c r="L127" s="55">
        <f t="shared" si="157"/>
        <v>0</v>
      </c>
      <c r="M127" s="53"/>
      <c r="N127" s="54"/>
      <c r="O127" s="55">
        <f t="shared" si="158"/>
        <v>0</v>
      </c>
      <c r="P127" s="57"/>
    </row>
    <row r="128" spans="1:16" ht="48" hidden="1" x14ac:dyDescent="0.25">
      <c r="A128" s="320">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300</v>
      </c>
      <c r="D130" s="184">
        <f>SUM(D131,D136,D140,D141,D144,D151,D159,D160,D163)</f>
        <v>300</v>
      </c>
      <c r="E130" s="185">
        <f t="shared" ref="E130:F130" si="160">SUM(E131,E136,E140,E141,E144,E151,E159,E160,E163)</f>
        <v>0</v>
      </c>
      <c r="F130" s="73">
        <f t="shared" si="160"/>
        <v>300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320">
        <v>2310</v>
      </c>
      <c r="B131" s="82" t="s">
        <v>147</v>
      </c>
      <c r="C131" s="83">
        <f t="shared" si="102"/>
        <v>300</v>
      </c>
      <c r="D131" s="194">
        <f t="shared" ref="D131:O131" si="164">SUM(D132:D135)</f>
        <v>300</v>
      </c>
      <c r="E131" s="195">
        <f t="shared" si="164"/>
        <v>0</v>
      </c>
      <c r="F131" s="134">
        <f t="shared" si="164"/>
        <v>300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6.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78" hidden="1" customHeight="1" x14ac:dyDescent="0.25">
      <c r="A133" s="51">
        <v>2312</v>
      </c>
      <c r="B133" s="89" t="s">
        <v>149</v>
      </c>
      <c r="C133" s="90">
        <f t="shared" si="102"/>
        <v>0</v>
      </c>
      <c r="D133" s="196"/>
      <c r="E133" s="197"/>
      <c r="F133" s="55">
        <f t="shared" si="165"/>
        <v>0</v>
      </c>
      <c r="G133" s="53"/>
      <c r="H133" s="54"/>
      <c r="I133" s="55">
        <f t="shared" si="166"/>
        <v>0</v>
      </c>
      <c r="J133" s="53"/>
      <c r="K133" s="363"/>
      <c r="L133" s="55">
        <f t="shared" si="167"/>
        <v>0</v>
      </c>
      <c r="M133" s="53"/>
      <c r="N133" s="54"/>
      <c r="O133" s="55">
        <f t="shared" si="168"/>
        <v>0</v>
      </c>
      <c r="P133" s="364"/>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151</v>
      </c>
      <c r="C135" s="90">
        <f t="shared" si="102"/>
        <v>300</v>
      </c>
      <c r="D135" s="196">
        <v>300</v>
      </c>
      <c r="E135" s="197"/>
      <c r="F135" s="55">
        <f t="shared" si="165"/>
        <v>300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320">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189</v>
      </c>
      <c r="C173" s="178">
        <f t="shared" si="193"/>
        <v>84172</v>
      </c>
      <c r="D173" s="179">
        <f>SUM(D174,D184)</f>
        <v>84172</v>
      </c>
      <c r="E173" s="180">
        <f t="shared" ref="E173:F173" si="216">SUM(E174,E184)</f>
        <v>0</v>
      </c>
      <c r="F173" s="181">
        <f t="shared" si="216"/>
        <v>84172</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x14ac:dyDescent="0.25">
      <c r="A174" s="69">
        <v>3200</v>
      </c>
      <c r="B174" s="208" t="s">
        <v>190</v>
      </c>
      <c r="C174" s="70">
        <f t="shared" si="193"/>
        <v>84172</v>
      </c>
      <c r="D174" s="184">
        <f>SUM(D175,D179)</f>
        <v>84172</v>
      </c>
      <c r="E174" s="185">
        <f t="shared" ref="E174:O174" si="220">SUM(E175,E179)</f>
        <v>0</v>
      </c>
      <c r="F174" s="73">
        <f t="shared" si="220"/>
        <v>84172</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x14ac:dyDescent="0.25">
      <c r="A175" s="320">
        <v>3260</v>
      </c>
      <c r="B175" s="82" t="s">
        <v>191</v>
      </c>
      <c r="C175" s="83">
        <f t="shared" si="193"/>
        <v>84172</v>
      </c>
      <c r="D175" s="194">
        <f>SUM(D176:D178)</f>
        <v>84172</v>
      </c>
      <c r="E175" s="195">
        <f t="shared" ref="E175:F175" si="221">SUM(E176:E178)</f>
        <v>0</v>
      </c>
      <c r="F175" s="134">
        <f t="shared" si="221"/>
        <v>84172</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9" t="s">
        <v>194</v>
      </c>
      <c r="C178" s="90">
        <f t="shared" si="193"/>
        <v>84172</v>
      </c>
      <c r="D178" s="196">
        <v>84172</v>
      </c>
      <c r="E178" s="353"/>
      <c r="F178" s="55">
        <f t="shared" si="225"/>
        <v>84172</v>
      </c>
      <c r="G178" s="53"/>
      <c r="H178" s="54"/>
      <c r="I178" s="55">
        <f t="shared" si="226"/>
        <v>0</v>
      </c>
      <c r="J178" s="53"/>
      <c r="K178" s="54"/>
      <c r="L178" s="55">
        <f t="shared" si="227"/>
        <v>0</v>
      </c>
      <c r="M178" s="53"/>
      <c r="N178" s="54"/>
      <c r="O178" s="55">
        <f t="shared" si="228"/>
        <v>0</v>
      </c>
      <c r="P178" s="57"/>
    </row>
    <row r="179" spans="1:16" ht="84" hidden="1" x14ac:dyDescent="0.25">
      <c r="A179" s="320">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0">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0">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0">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320">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20">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0">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0">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345">
        <v>6424</v>
      </c>
      <c r="B268" s="346" t="s">
        <v>284</v>
      </c>
      <c r="C268" s="347">
        <f t="shared" si="288"/>
        <v>0</v>
      </c>
      <c r="D268" s="352"/>
      <c r="E268" s="353"/>
      <c r="F268" s="350">
        <f t="shared" si="351"/>
        <v>0</v>
      </c>
      <c r="G268" s="348"/>
      <c r="H268" s="349"/>
      <c r="I268" s="350">
        <f t="shared" si="352"/>
        <v>0</v>
      </c>
      <c r="J268" s="348"/>
      <c r="K268" s="349"/>
      <c r="L268" s="350">
        <f t="shared" si="353"/>
        <v>0</v>
      </c>
      <c r="M268" s="348"/>
      <c r="N268" s="349"/>
      <c r="O268" s="350">
        <f t="shared" si="354"/>
        <v>0</v>
      </c>
      <c r="P268" s="354"/>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320">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0">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692991</v>
      </c>
      <c r="D289" s="252">
        <f t="shared" ref="D289:O289" si="389">SUM(D286,D269,D230,D195,D187,D173,D75,D53,D283)</f>
        <v>696982</v>
      </c>
      <c r="E289" s="253">
        <f t="shared" si="389"/>
        <v>-3991</v>
      </c>
      <c r="F289" s="254">
        <f t="shared" si="389"/>
        <v>692991</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BRzDTCAJq67x/TOdXzb6pPTL5VTFaVc5IX0Toz0MzygSvEI0ffs8ocxKa8IETPGCRjVV0fyCTRr9jlHzxbW7YQ==" saltValue="oES/pbyJSAbpDWxRgHixiw==" spinCount="100000" sheet="1" objects="1" scenarios="1" formatCells="0" formatColumns="0" formatRows="0" deleteColumns="0"/>
  <autoFilter ref="A18:P301">
    <filterColumn colId="2">
      <filters>
        <filter val="300"/>
        <filter val="608 519"/>
        <filter val="608 819"/>
        <filter val="692 991"/>
        <filter val="84 1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2019.gada 31.oktobra saistošajiem noteikumiem Nr.46
(protokols Nr.14, 28.punkts) </firstHeader>
    <firstFooter>&amp;L&amp;9&amp;D; &amp;T&amp;R&amp;9&amp;P (&amp;N)</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3" sqref="U3"/>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2052</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821</v>
      </c>
      <c r="D3" s="1517"/>
      <c r="E3" s="1517"/>
      <c r="F3" s="1517"/>
      <c r="G3" s="1517"/>
      <c r="H3" s="1517"/>
      <c r="I3" s="1517"/>
      <c r="J3" s="1517"/>
      <c r="K3" s="1517"/>
      <c r="L3" s="1517"/>
      <c r="M3" s="1517"/>
      <c r="N3" s="1517"/>
      <c r="O3" s="1517"/>
      <c r="P3" s="1518"/>
      <c r="Q3" s="853"/>
    </row>
    <row r="4" spans="1:17" ht="12.75" customHeight="1" x14ac:dyDescent="0.25">
      <c r="A4" s="5" t="s">
        <v>4</v>
      </c>
      <c r="B4" s="6"/>
      <c r="C4" s="1517" t="s">
        <v>822</v>
      </c>
      <c r="D4" s="1517"/>
      <c r="E4" s="1517"/>
      <c r="F4" s="1517"/>
      <c r="G4" s="1517"/>
      <c r="H4" s="1517"/>
      <c r="I4" s="1517"/>
      <c r="J4" s="1517"/>
      <c r="K4" s="1517"/>
      <c r="L4" s="1517"/>
      <c r="M4" s="1517"/>
      <c r="N4" s="1517"/>
      <c r="O4" s="1517"/>
      <c r="P4" s="1518"/>
      <c r="Q4" s="853"/>
    </row>
    <row r="5" spans="1:17" ht="12.75" customHeight="1" x14ac:dyDescent="0.25">
      <c r="A5" s="7" t="s">
        <v>6</v>
      </c>
      <c r="B5" s="8"/>
      <c r="C5" s="1512" t="s">
        <v>2053</v>
      </c>
      <c r="D5" s="1512"/>
      <c r="E5" s="1512"/>
      <c r="F5" s="1512"/>
      <c r="G5" s="1512"/>
      <c r="H5" s="1512"/>
      <c r="I5" s="1512"/>
      <c r="J5" s="1512"/>
      <c r="K5" s="1512"/>
      <c r="L5" s="1512"/>
      <c r="M5" s="1512"/>
      <c r="N5" s="1512"/>
      <c r="O5" s="1512"/>
      <c r="P5" s="1513"/>
      <c r="Q5" s="853"/>
    </row>
    <row r="6" spans="1:17" ht="12.75" customHeight="1" x14ac:dyDescent="0.25">
      <c r="A6" s="7" t="s">
        <v>8</v>
      </c>
      <c r="B6" s="8"/>
      <c r="C6" s="1512" t="s">
        <v>1492</v>
      </c>
      <c r="D6" s="1512"/>
      <c r="E6" s="1512"/>
      <c r="F6" s="1512"/>
      <c r="G6" s="1512"/>
      <c r="H6" s="1512"/>
      <c r="I6" s="1512"/>
      <c r="J6" s="1512"/>
      <c r="K6" s="1512"/>
      <c r="L6" s="1512"/>
      <c r="M6" s="1512"/>
      <c r="N6" s="1512"/>
      <c r="O6" s="1512"/>
      <c r="P6" s="1513"/>
      <c r="Q6" s="853"/>
    </row>
    <row r="7" spans="1:17" ht="24" customHeight="1" x14ac:dyDescent="0.25">
      <c r="A7" s="7" t="s">
        <v>10</v>
      </c>
      <c r="B7" s="8"/>
      <c r="C7" s="1517" t="s">
        <v>2054</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2055</v>
      </c>
      <c r="D9" s="1512"/>
      <c r="E9" s="1512"/>
      <c r="F9" s="1512"/>
      <c r="G9" s="1512"/>
      <c r="H9" s="1512"/>
      <c r="I9" s="1512"/>
      <c r="J9" s="1512"/>
      <c r="K9" s="1512"/>
      <c r="L9" s="1512"/>
      <c r="M9" s="1512"/>
      <c r="N9" s="1512"/>
      <c r="O9" s="1512"/>
      <c r="P9" s="1513"/>
      <c r="Q9" s="853"/>
    </row>
    <row r="10" spans="1:17" ht="12.75" customHeight="1" x14ac:dyDescent="0.25">
      <c r="A10" s="7"/>
      <c r="B10" s="8" t="s">
        <v>15</v>
      </c>
      <c r="C10" s="1512" t="s">
        <v>2056</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t="s">
        <v>2057</v>
      </c>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672585</v>
      </c>
      <c r="D20" s="32">
        <f>SUM(D21,D24,D25,D41,D43)</f>
        <v>613625</v>
      </c>
      <c r="E20" s="33">
        <f t="shared" ref="E20:F20" si="1">SUM(E21,E24,E25,E41,E43)</f>
        <v>0</v>
      </c>
      <c r="F20" s="34">
        <f t="shared" si="1"/>
        <v>613625</v>
      </c>
      <c r="G20" s="32">
        <f>SUM(G21,G24,G43)</f>
        <v>43653</v>
      </c>
      <c r="H20" s="33">
        <f t="shared" ref="H20:I20" si="2">SUM(H21,H24,H43)</f>
        <v>8946</v>
      </c>
      <c r="I20" s="34">
        <f t="shared" si="2"/>
        <v>52599</v>
      </c>
      <c r="J20" s="32">
        <f>SUM(J21,J26,J43)</f>
        <v>6361</v>
      </c>
      <c r="K20" s="33">
        <f t="shared" ref="K20:L20" si="3">SUM(K21,K26,K43)</f>
        <v>0</v>
      </c>
      <c r="L20" s="34">
        <f t="shared" si="3"/>
        <v>6361</v>
      </c>
      <c r="M20" s="32">
        <f>SUM(M21,M45)</f>
        <v>0</v>
      </c>
      <c r="N20" s="33">
        <f t="shared" ref="N20:O20" si="4">SUM(N21,N45)</f>
        <v>0</v>
      </c>
      <c r="O20" s="34">
        <f t="shared" si="4"/>
        <v>0</v>
      </c>
      <c r="P20" s="35"/>
    </row>
    <row r="21" spans="1:16" ht="15.75" thickTop="1" x14ac:dyDescent="0.25">
      <c r="A21" s="36"/>
      <c r="B21" s="37" t="s">
        <v>39</v>
      </c>
      <c r="C21" s="38">
        <f t="shared" si="0"/>
        <v>160</v>
      </c>
      <c r="D21" s="39">
        <f>SUM(D22:D23)</f>
        <v>0</v>
      </c>
      <c r="E21" s="40">
        <f t="shared" ref="E21:F21" si="5">SUM(E22:E23)</f>
        <v>0</v>
      </c>
      <c r="F21" s="41">
        <f t="shared" si="5"/>
        <v>0</v>
      </c>
      <c r="G21" s="39">
        <f>SUM(G22:G23)</f>
        <v>0</v>
      </c>
      <c r="H21" s="40">
        <f t="shared" ref="H21:I21" si="6">SUM(H22:H23)</f>
        <v>0</v>
      </c>
      <c r="I21" s="41">
        <f t="shared" si="6"/>
        <v>0</v>
      </c>
      <c r="J21" s="39">
        <f>SUM(J22:J23)</f>
        <v>160</v>
      </c>
      <c r="K21" s="40">
        <f t="shared" ref="K21:L21" si="7">SUM(K22:K23)</f>
        <v>0</v>
      </c>
      <c r="L21" s="41">
        <f t="shared" si="7"/>
        <v>160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25.5" customHeight="1" x14ac:dyDescent="0.25">
      <c r="A23" s="464"/>
      <c r="B23" s="345" t="s">
        <v>41</v>
      </c>
      <c r="C23" s="465">
        <f t="shared" si="0"/>
        <v>160</v>
      </c>
      <c r="D23" s="348"/>
      <c r="E23" s="349"/>
      <c r="F23" s="350">
        <f t="shared" ref="F23:F25" si="9">D23+E23</f>
        <v>0</v>
      </c>
      <c r="G23" s="348"/>
      <c r="H23" s="349"/>
      <c r="I23" s="350">
        <f t="shared" ref="I23:I24" si="10">G23+H23</f>
        <v>0</v>
      </c>
      <c r="J23" s="348">
        <v>160</v>
      </c>
      <c r="K23" s="349"/>
      <c r="L23" s="466">
        <f>K23+J23</f>
        <v>160</v>
      </c>
      <c r="M23" s="348"/>
      <c r="N23" s="349"/>
      <c r="O23" s="350">
        <f>N23+M23</f>
        <v>0</v>
      </c>
      <c r="P23" s="354"/>
    </row>
    <row r="24" spans="1:16" s="28" customFormat="1" ht="36.75" thickBot="1" x14ac:dyDescent="0.3">
      <c r="A24" s="58">
        <v>19300</v>
      </c>
      <c r="B24" s="58" t="s">
        <v>42</v>
      </c>
      <c r="C24" s="59">
        <f>F24+I24</f>
        <v>666224</v>
      </c>
      <c r="D24" s="60">
        <v>613625</v>
      </c>
      <c r="E24" s="63"/>
      <c r="F24" s="62">
        <f t="shared" si="9"/>
        <v>613625</v>
      </c>
      <c r="G24" s="60">
        <v>43653</v>
      </c>
      <c r="H24" s="63">
        <v>8946</v>
      </c>
      <c r="I24" s="62">
        <f t="shared" si="10"/>
        <v>52599</v>
      </c>
      <c r="J24" s="64" t="s">
        <v>43</v>
      </c>
      <c r="K24" s="65" t="s">
        <v>43</v>
      </c>
      <c r="L24" s="66" t="s">
        <v>43</v>
      </c>
      <c r="M24" s="64" t="s">
        <v>43</v>
      </c>
      <c r="N24" s="65" t="s">
        <v>43</v>
      </c>
      <c r="O24" s="66" t="s">
        <v>43</v>
      </c>
      <c r="P24" s="1014" t="s">
        <v>2058</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6201</v>
      </c>
      <c r="D26" s="74" t="s">
        <v>43</v>
      </c>
      <c r="E26" s="75" t="s">
        <v>43</v>
      </c>
      <c r="F26" s="76" t="s">
        <v>43</v>
      </c>
      <c r="G26" s="74" t="s">
        <v>43</v>
      </c>
      <c r="H26" s="75" t="s">
        <v>43</v>
      </c>
      <c r="I26" s="76" t="s">
        <v>43</v>
      </c>
      <c r="J26" s="78">
        <f>SUM(J27,J31,J33,J36)</f>
        <v>6201</v>
      </c>
      <c r="K26" s="79">
        <f t="shared" ref="K26:L26" si="11">SUM(K27,K31,K33,K36)</f>
        <v>0</v>
      </c>
      <c r="L26" s="80">
        <f t="shared" si="11"/>
        <v>6201</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1000</v>
      </c>
      <c r="D33" s="74" t="s">
        <v>43</v>
      </c>
      <c r="E33" s="75" t="s">
        <v>43</v>
      </c>
      <c r="F33" s="76" t="s">
        <v>43</v>
      </c>
      <c r="G33" s="74" t="s">
        <v>43</v>
      </c>
      <c r="H33" s="75" t="s">
        <v>43</v>
      </c>
      <c r="I33" s="76" t="s">
        <v>43</v>
      </c>
      <c r="J33" s="78">
        <f>SUM(J34:J35)</f>
        <v>1000</v>
      </c>
      <c r="K33" s="79">
        <f t="shared" ref="K33:L33" si="17">SUM(K34:K35)</f>
        <v>0</v>
      </c>
      <c r="L33" s="80">
        <f t="shared" si="17"/>
        <v>1000</v>
      </c>
      <c r="M33" s="78" t="s">
        <v>43</v>
      </c>
      <c r="N33" s="79" t="s">
        <v>43</v>
      </c>
      <c r="O33" s="80" t="s">
        <v>43</v>
      </c>
      <c r="P33" s="77"/>
    </row>
    <row r="34" spans="1:16" ht="12" customHeight="1" x14ac:dyDescent="0.25">
      <c r="A34" s="44">
        <v>21381</v>
      </c>
      <c r="B34" s="82" t="s">
        <v>53</v>
      </c>
      <c r="C34" s="83">
        <f t="shared" si="16"/>
        <v>1000</v>
      </c>
      <c r="D34" s="84" t="s">
        <v>43</v>
      </c>
      <c r="E34" s="85" t="s">
        <v>43</v>
      </c>
      <c r="F34" s="86" t="s">
        <v>43</v>
      </c>
      <c r="G34" s="84" t="s">
        <v>43</v>
      </c>
      <c r="H34" s="85" t="s">
        <v>43</v>
      </c>
      <c r="I34" s="86" t="s">
        <v>43</v>
      </c>
      <c r="J34" s="46">
        <v>1000</v>
      </c>
      <c r="K34" s="47"/>
      <c r="L34" s="48">
        <f t="shared" ref="L34:L35" si="18">K34+J34</f>
        <v>1000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5201</v>
      </c>
      <c r="D36" s="74" t="s">
        <v>43</v>
      </c>
      <c r="E36" s="75" t="s">
        <v>43</v>
      </c>
      <c r="F36" s="76" t="s">
        <v>43</v>
      </c>
      <c r="G36" s="74" t="s">
        <v>43</v>
      </c>
      <c r="H36" s="75" t="s">
        <v>43</v>
      </c>
      <c r="I36" s="76" t="s">
        <v>43</v>
      </c>
      <c r="J36" s="78">
        <f>SUM(J37:J40)</f>
        <v>5201</v>
      </c>
      <c r="K36" s="79">
        <f t="shared" ref="K36:L36" si="19">SUM(K37:K40)</f>
        <v>0</v>
      </c>
      <c r="L36" s="80">
        <f t="shared" si="19"/>
        <v>5201</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5201</v>
      </c>
      <c r="D40" s="111" t="s">
        <v>43</v>
      </c>
      <c r="E40" s="112" t="s">
        <v>43</v>
      </c>
      <c r="F40" s="113" t="s">
        <v>43</v>
      </c>
      <c r="G40" s="111" t="s">
        <v>43</v>
      </c>
      <c r="H40" s="112" t="s">
        <v>43</v>
      </c>
      <c r="I40" s="113" t="s">
        <v>43</v>
      </c>
      <c r="J40" s="114">
        <v>5201</v>
      </c>
      <c r="K40" s="115"/>
      <c r="L40" s="116">
        <f t="shared" si="20"/>
        <v>5201</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672585</v>
      </c>
      <c r="D50" s="159">
        <f>SUM(D51,D286)</f>
        <v>613625</v>
      </c>
      <c r="E50" s="160">
        <f t="shared" ref="E50:F50" si="26">SUM(E51,E286)</f>
        <v>0</v>
      </c>
      <c r="F50" s="161">
        <f t="shared" si="26"/>
        <v>613625</v>
      </c>
      <c r="G50" s="159">
        <f>SUM(G51,G286)</f>
        <v>43653</v>
      </c>
      <c r="H50" s="160">
        <f>SUM(H51,H286)</f>
        <v>8946</v>
      </c>
      <c r="I50" s="161">
        <f t="shared" ref="I50" si="27">SUM(I51,I286)</f>
        <v>52599</v>
      </c>
      <c r="J50" s="32">
        <f>SUM(J51,J286)</f>
        <v>6361</v>
      </c>
      <c r="K50" s="33">
        <f t="shared" ref="K50:L50" si="28">SUM(K51,K286)</f>
        <v>0</v>
      </c>
      <c r="L50" s="34">
        <f t="shared" si="28"/>
        <v>6361</v>
      </c>
      <c r="M50" s="32">
        <f>SUM(M51,M286)</f>
        <v>0</v>
      </c>
      <c r="N50" s="33">
        <f t="shared" ref="N50:O50" si="29">SUM(N51,N286)</f>
        <v>0</v>
      </c>
      <c r="O50" s="34">
        <f t="shared" si="29"/>
        <v>0</v>
      </c>
      <c r="P50" s="35"/>
    </row>
    <row r="51" spans="1:16" s="28" customFormat="1" ht="36.75" thickTop="1" x14ac:dyDescent="0.25">
      <c r="A51" s="162"/>
      <c r="B51" s="163" t="s">
        <v>69</v>
      </c>
      <c r="C51" s="164">
        <f t="shared" si="0"/>
        <v>672585</v>
      </c>
      <c r="D51" s="165">
        <f>SUM(D52,D194)</f>
        <v>613625</v>
      </c>
      <c r="E51" s="166">
        <f t="shared" ref="E51:F51" si="30">SUM(E52,E194)</f>
        <v>0</v>
      </c>
      <c r="F51" s="167">
        <f t="shared" si="30"/>
        <v>613625</v>
      </c>
      <c r="G51" s="165">
        <f>SUM(G52,G194)</f>
        <v>43653</v>
      </c>
      <c r="H51" s="166">
        <f t="shared" ref="H51:I51" si="31">SUM(H52,H194)</f>
        <v>8946</v>
      </c>
      <c r="I51" s="167">
        <f t="shared" si="31"/>
        <v>52599</v>
      </c>
      <c r="J51" s="168">
        <f>SUM(J52,J194)</f>
        <v>6361</v>
      </c>
      <c r="K51" s="169">
        <f t="shared" ref="K51:L51" si="32">SUM(K52,K194)</f>
        <v>0</v>
      </c>
      <c r="L51" s="170">
        <f t="shared" si="32"/>
        <v>6361</v>
      </c>
      <c r="M51" s="168">
        <f>SUM(M52,M194)</f>
        <v>0</v>
      </c>
      <c r="N51" s="169">
        <f t="shared" ref="N51:O51" si="33">SUM(N52,N194)</f>
        <v>0</v>
      </c>
      <c r="O51" s="170">
        <f t="shared" si="33"/>
        <v>0</v>
      </c>
      <c r="P51" s="171"/>
    </row>
    <row r="52" spans="1:16" s="28" customFormat="1" ht="24" x14ac:dyDescent="0.25">
      <c r="A52" s="24"/>
      <c r="B52" s="22" t="s">
        <v>70</v>
      </c>
      <c r="C52" s="172">
        <f t="shared" si="0"/>
        <v>667893</v>
      </c>
      <c r="D52" s="173">
        <f>SUM(D53,D75,D173,D187)</f>
        <v>608930</v>
      </c>
      <c r="E52" s="174">
        <f t="shared" ref="E52:F52" si="34">SUM(E53,E75,E173,E187)</f>
        <v>203</v>
      </c>
      <c r="F52" s="175">
        <f t="shared" si="34"/>
        <v>609133</v>
      </c>
      <c r="G52" s="173">
        <f>SUM(G53,G75,G173,G187)</f>
        <v>43453</v>
      </c>
      <c r="H52" s="174">
        <f t="shared" ref="H52:I52" si="35">SUM(H53,H75,H173,H187)</f>
        <v>8946</v>
      </c>
      <c r="I52" s="175">
        <f t="shared" si="35"/>
        <v>52399</v>
      </c>
      <c r="J52" s="173">
        <f>SUM(J53,J75,J173,J187)</f>
        <v>6361</v>
      </c>
      <c r="K52" s="174">
        <f t="shared" ref="K52:L52" si="36">SUM(K53,K75,K173,K187)</f>
        <v>0</v>
      </c>
      <c r="L52" s="175">
        <f t="shared" si="36"/>
        <v>6361</v>
      </c>
      <c r="M52" s="173">
        <f>SUM(M53,M75,M173,M187)</f>
        <v>0</v>
      </c>
      <c r="N52" s="174">
        <f t="shared" ref="N52:O52" si="37">SUM(N53,N75,N173,N187)</f>
        <v>0</v>
      </c>
      <c r="O52" s="175">
        <f t="shared" si="37"/>
        <v>0</v>
      </c>
      <c r="P52" s="176"/>
    </row>
    <row r="53" spans="1:16" s="28" customFormat="1" ht="12" x14ac:dyDescent="0.25">
      <c r="A53" s="177">
        <v>1000</v>
      </c>
      <c r="B53" s="177" t="s">
        <v>71</v>
      </c>
      <c r="C53" s="178">
        <f t="shared" si="0"/>
        <v>595244</v>
      </c>
      <c r="D53" s="179">
        <f>SUM(D54,D67)</f>
        <v>543696</v>
      </c>
      <c r="E53" s="180">
        <f t="shared" ref="E53:F53" si="38">SUM(E54,E67)</f>
        <v>0</v>
      </c>
      <c r="F53" s="181">
        <f t="shared" si="38"/>
        <v>543696</v>
      </c>
      <c r="G53" s="179">
        <f>SUM(G54,G67)</f>
        <v>42602</v>
      </c>
      <c r="H53" s="180">
        <f t="shared" ref="H53:I53" si="39">SUM(H54,H67)</f>
        <v>8946</v>
      </c>
      <c r="I53" s="181">
        <f t="shared" si="39"/>
        <v>51548</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447393</v>
      </c>
      <c r="D54" s="184">
        <f>SUM(D55,D58,D66)</f>
        <v>406368</v>
      </c>
      <c r="E54" s="185">
        <f t="shared" ref="E54:F54" si="42">SUM(E55,E58,E66)</f>
        <v>81</v>
      </c>
      <c r="F54" s="73">
        <f t="shared" si="42"/>
        <v>406449</v>
      </c>
      <c r="G54" s="184">
        <f>SUM(G55,G58,G66)</f>
        <v>33940</v>
      </c>
      <c r="H54" s="185">
        <f t="shared" ref="H54:I54" si="43">SUM(H55,H58,H66)</f>
        <v>7004</v>
      </c>
      <c r="I54" s="73">
        <f t="shared" si="43"/>
        <v>40944</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407257</v>
      </c>
      <c r="D55" s="187">
        <f>SUM(D56:D57)</f>
        <v>367247</v>
      </c>
      <c r="E55" s="188">
        <f t="shared" ref="E55:F55" si="46">SUM(E56:E57)</f>
        <v>0</v>
      </c>
      <c r="F55" s="141">
        <f t="shared" si="46"/>
        <v>367247</v>
      </c>
      <c r="G55" s="187">
        <f>SUM(G56:G57)</f>
        <v>33380</v>
      </c>
      <c r="H55" s="188">
        <f t="shared" ref="H55:I55" si="47">SUM(H56:H57)</f>
        <v>6630</v>
      </c>
      <c r="I55" s="141">
        <f t="shared" si="47"/>
        <v>40010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s="1438" customFormat="1" ht="27" customHeight="1" x14ac:dyDescent="0.25">
      <c r="A57" s="51">
        <v>1119</v>
      </c>
      <c r="B57" s="89" t="s">
        <v>75</v>
      </c>
      <c r="C57" s="90">
        <f t="shared" si="0"/>
        <v>407257</v>
      </c>
      <c r="D57" s="53">
        <v>367247</v>
      </c>
      <c r="E57" s="54"/>
      <c r="F57" s="55">
        <f t="shared" si="50"/>
        <v>367247</v>
      </c>
      <c r="G57" s="53">
        <v>33380</v>
      </c>
      <c r="H57" s="54">
        <f>6568+62</f>
        <v>6630</v>
      </c>
      <c r="I57" s="55">
        <f t="shared" si="51"/>
        <v>40010</v>
      </c>
      <c r="J57" s="53"/>
      <c r="K57" s="54"/>
      <c r="L57" s="55">
        <f t="shared" si="52"/>
        <v>0</v>
      </c>
      <c r="M57" s="53"/>
      <c r="N57" s="54"/>
      <c r="O57" s="55">
        <f t="shared" si="53"/>
        <v>0</v>
      </c>
      <c r="P57" s="57" t="s">
        <v>2059</v>
      </c>
    </row>
    <row r="58" spans="1:16" s="1438" customFormat="1" x14ac:dyDescent="0.25">
      <c r="A58" s="189">
        <v>1140</v>
      </c>
      <c r="B58" s="89" t="s">
        <v>76</v>
      </c>
      <c r="C58" s="90">
        <f t="shared" si="0"/>
        <v>35218</v>
      </c>
      <c r="D58" s="190">
        <f>SUM(D59:D65)</f>
        <v>34203</v>
      </c>
      <c r="E58" s="191">
        <f>SUM(E59:E65)</f>
        <v>81</v>
      </c>
      <c r="F58" s="55">
        <f t="shared" ref="F58" si="54">SUM(F59:F65)</f>
        <v>34284</v>
      </c>
      <c r="G58" s="190">
        <f>SUM(G59:G65)</f>
        <v>560</v>
      </c>
      <c r="H58" s="191">
        <f t="shared" ref="H58:I58" si="55">SUM(H59:H65)</f>
        <v>374</v>
      </c>
      <c r="I58" s="55">
        <f t="shared" si="55"/>
        <v>934</v>
      </c>
      <c r="J58" s="190">
        <f>SUM(J59:J65)</f>
        <v>0</v>
      </c>
      <c r="K58" s="191">
        <f t="shared" ref="K58:L58" si="56">SUM(K59:K65)</f>
        <v>0</v>
      </c>
      <c r="L58" s="55">
        <f t="shared" si="56"/>
        <v>0</v>
      </c>
      <c r="M58" s="190">
        <f>SUM(M59:M65)</f>
        <v>0</v>
      </c>
      <c r="N58" s="191">
        <f t="shared" ref="N58:O58" si="57">SUM(N59:N65)</f>
        <v>0</v>
      </c>
      <c r="O58" s="55">
        <f t="shared" si="57"/>
        <v>0</v>
      </c>
      <c r="P58" s="57"/>
    </row>
    <row r="59" spans="1:16" s="1438" customFormat="1" ht="21.75" customHeight="1" x14ac:dyDescent="0.25">
      <c r="A59" s="51">
        <v>1141</v>
      </c>
      <c r="B59" s="89" t="s">
        <v>77</v>
      </c>
      <c r="C59" s="90">
        <f t="shared" si="0"/>
        <v>4173</v>
      </c>
      <c r="D59" s="53">
        <v>4172</v>
      </c>
      <c r="E59" s="54">
        <v>1</v>
      </c>
      <c r="F59" s="55">
        <f t="shared" ref="F59:F66" si="58">D59+E59</f>
        <v>4173</v>
      </c>
      <c r="G59" s="53"/>
      <c r="H59" s="54"/>
      <c r="I59" s="55">
        <f t="shared" ref="I59:I66" si="59">G59+H59</f>
        <v>0</v>
      </c>
      <c r="J59" s="53"/>
      <c r="K59" s="54"/>
      <c r="L59" s="55">
        <f t="shared" ref="L59:L66" si="60">K59+J59</f>
        <v>0</v>
      </c>
      <c r="M59" s="53"/>
      <c r="N59" s="54"/>
      <c r="O59" s="55">
        <f t="shared" ref="O59:O66" si="61">N59+M59</f>
        <v>0</v>
      </c>
      <c r="P59" s="57" t="s">
        <v>2060</v>
      </c>
    </row>
    <row r="60" spans="1:16" s="1438" customFormat="1"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s="1438" customFormat="1" ht="23.25" customHeight="1" x14ac:dyDescent="0.25">
      <c r="A63" s="51">
        <v>1147</v>
      </c>
      <c r="B63" s="89" t="s">
        <v>81</v>
      </c>
      <c r="C63" s="90">
        <f t="shared" si="0"/>
        <v>4894</v>
      </c>
      <c r="D63" s="53">
        <v>4122</v>
      </c>
      <c r="E63" s="54"/>
      <c r="F63" s="55">
        <f t="shared" si="58"/>
        <v>4122</v>
      </c>
      <c r="G63" s="53">
        <v>560</v>
      </c>
      <c r="H63" s="54">
        <v>212</v>
      </c>
      <c r="I63" s="55">
        <f t="shared" si="59"/>
        <v>772</v>
      </c>
      <c r="J63" s="53"/>
      <c r="K63" s="54"/>
      <c r="L63" s="55">
        <f t="shared" si="60"/>
        <v>0</v>
      </c>
      <c r="M63" s="53"/>
      <c r="N63" s="54"/>
      <c r="O63" s="55">
        <f t="shared" si="61"/>
        <v>0</v>
      </c>
      <c r="P63" s="57" t="s">
        <v>2061</v>
      </c>
    </row>
    <row r="64" spans="1:16" s="1438" customFormat="1" ht="32.25" customHeight="1" x14ac:dyDescent="0.25">
      <c r="A64" s="51">
        <v>1148</v>
      </c>
      <c r="B64" s="89" t="s">
        <v>82</v>
      </c>
      <c r="C64" s="90">
        <f t="shared" si="0"/>
        <v>24960</v>
      </c>
      <c r="D64" s="53">
        <v>24880</v>
      </c>
      <c r="E64" s="54">
        <v>80</v>
      </c>
      <c r="F64" s="55">
        <f t="shared" si="58"/>
        <v>24960</v>
      </c>
      <c r="G64" s="53"/>
      <c r="H64" s="54"/>
      <c r="I64" s="55">
        <f t="shared" si="59"/>
        <v>0</v>
      </c>
      <c r="J64" s="53"/>
      <c r="K64" s="54"/>
      <c r="L64" s="55">
        <f t="shared" si="60"/>
        <v>0</v>
      </c>
      <c r="M64" s="53"/>
      <c r="N64" s="54"/>
      <c r="O64" s="55">
        <f t="shared" si="61"/>
        <v>0</v>
      </c>
      <c r="P64" s="57" t="s">
        <v>2062</v>
      </c>
    </row>
    <row r="65" spans="1:16" s="1438" customFormat="1" ht="42" customHeight="1" x14ac:dyDescent="0.25">
      <c r="A65" s="51">
        <v>1149</v>
      </c>
      <c r="B65" s="89" t="s">
        <v>83</v>
      </c>
      <c r="C65" s="90">
        <f t="shared" si="0"/>
        <v>162</v>
      </c>
      <c r="D65" s="53"/>
      <c r="E65" s="54"/>
      <c r="F65" s="55">
        <f t="shared" si="58"/>
        <v>0</v>
      </c>
      <c r="G65" s="53"/>
      <c r="H65" s="54">
        <v>162</v>
      </c>
      <c r="I65" s="55">
        <f t="shared" si="59"/>
        <v>162</v>
      </c>
      <c r="J65" s="53"/>
      <c r="K65" s="54"/>
      <c r="L65" s="55">
        <f t="shared" si="60"/>
        <v>0</v>
      </c>
      <c r="M65" s="53"/>
      <c r="N65" s="54"/>
      <c r="O65" s="55">
        <f t="shared" si="61"/>
        <v>0</v>
      </c>
      <c r="P65" s="57" t="s">
        <v>2063</v>
      </c>
    </row>
    <row r="66" spans="1:16" s="1438" customFormat="1" ht="36" customHeight="1" x14ac:dyDescent="0.25">
      <c r="A66" s="186">
        <v>1150</v>
      </c>
      <c r="B66" s="138" t="s">
        <v>84</v>
      </c>
      <c r="C66" s="143">
        <f t="shared" si="0"/>
        <v>4918</v>
      </c>
      <c r="D66" s="144">
        <v>4918</v>
      </c>
      <c r="E66" s="145"/>
      <c r="F66" s="141">
        <f t="shared" si="58"/>
        <v>4918</v>
      </c>
      <c r="G66" s="144"/>
      <c r="H66" s="145"/>
      <c r="I66" s="141">
        <f t="shared" si="59"/>
        <v>0</v>
      </c>
      <c r="J66" s="144"/>
      <c r="K66" s="145"/>
      <c r="L66" s="141">
        <f t="shared" si="60"/>
        <v>0</v>
      </c>
      <c r="M66" s="144"/>
      <c r="N66" s="145"/>
      <c r="O66" s="141">
        <f t="shared" si="61"/>
        <v>0</v>
      </c>
      <c r="P66" s="129"/>
    </row>
    <row r="67" spans="1:16" s="1438" customFormat="1" ht="24" x14ac:dyDescent="0.25">
      <c r="A67" s="69">
        <v>1200</v>
      </c>
      <c r="B67" s="183" t="s">
        <v>85</v>
      </c>
      <c r="C67" s="70">
        <f t="shared" si="0"/>
        <v>147851</v>
      </c>
      <c r="D67" s="184">
        <f>SUM(D68:D69)</f>
        <v>137328</v>
      </c>
      <c r="E67" s="185">
        <f t="shared" ref="E67:F67" si="62">SUM(E68:E69)</f>
        <v>-81</v>
      </c>
      <c r="F67" s="73">
        <f t="shared" si="62"/>
        <v>137247</v>
      </c>
      <c r="G67" s="184">
        <f>SUM(G68:G69)</f>
        <v>8662</v>
      </c>
      <c r="H67" s="185">
        <f t="shared" ref="H67:I67" si="63">SUM(H68:H69)</f>
        <v>1942</v>
      </c>
      <c r="I67" s="73">
        <f t="shared" si="63"/>
        <v>10604</v>
      </c>
      <c r="J67" s="184">
        <f>SUM(J68:J69)</f>
        <v>0</v>
      </c>
      <c r="K67" s="185">
        <f t="shared" ref="K67:L67" si="64">SUM(K68:K69)</f>
        <v>0</v>
      </c>
      <c r="L67" s="73">
        <f t="shared" si="64"/>
        <v>0</v>
      </c>
      <c r="M67" s="184">
        <f>SUM(M68:M69)</f>
        <v>0</v>
      </c>
      <c r="N67" s="185">
        <f t="shared" ref="N67:O67" si="65">SUM(N68:N69)</f>
        <v>0</v>
      </c>
      <c r="O67" s="73">
        <f t="shared" si="65"/>
        <v>0</v>
      </c>
      <c r="P67" s="77"/>
    </row>
    <row r="68" spans="1:16" s="1438" customFormat="1" ht="33" customHeight="1" x14ac:dyDescent="0.25">
      <c r="A68" s="1449">
        <v>1210</v>
      </c>
      <c r="B68" s="82" t="s">
        <v>86</v>
      </c>
      <c r="C68" s="83">
        <f t="shared" si="0"/>
        <v>112448</v>
      </c>
      <c r="D68" s="46">
        <v>102876</v>
      </c>
      <c r="E68" s="47">
        <v>-532</v>
      </c>
      <c r="F68" s="134">
        <f>D68+E68</f>
        <v>102344</v>
      </c>
      <c r="G68" s="46">
        <v>8162</v>
      </c>
      <c r="H68" s="47">
        <v>1942</v>
      </c>
      <c r="I68" s="134">
        <f>G68+H68</f>
        <v>10104</v>
      </c>
      <c r="J68" s="46"/>
      <c r="K68" s="47"/>
      <c r="L68" s="134">
        <f>K68+J68</f>
        <v>0</v>
      </c>
      <c r="M68" s="46"/>
      <c r="N68" s="47"/>
      <c r="O68" s="134">
        <f>N68+M68</f>
        <v>0</v>
      </c>
      <c r="P68" s="57" t="s">
        <v>2064</v>
      </c>
    </row>
    <row r="69" spans="1:16" ht="24" x14ac:dyDescent="0.25">
      <c r="A69" s="189">
        <v>1220</v>
      </c>
      <c r="B69" s="89" t="s">
        <v>87</v>
      </c>
      <c r="C69" s="90">
        <f t="shared" si="0"/>
        <v>35403</v>
      </c>
      <c r="D69" s="190">
        <f>SUM(D70:D74)</f>
        <v>34452</v>
      </c>
      <c r="E69" s="191">
        <f t="shared" ref="E69:F69" si="66">SUM(E70:E74)</f>
        <v>451</v>
      </c>
      <c r="F69" s="55">
        <f t="shared" si="66"/>
        <v>34903</v>
      </c>
      <c r="G69" s="190">
        <f>SUM(G70:G74)</f>
        <v>500</v>
      </c>
      <c r="H69" s="191">
        <f t="shared" ref="H69:I69" si="67">SUM(H70:H74)</f>
        <v>0</v>
      </c>
      <c r="I69" s="55">
        <f t="shared" si="67"/>
        <v>500</v>
      </c>
      <c r="J69" s="190">
        <f>SUM(J70:J74)</f>
        <v>0</v>
      </c>
      <c r="K69" s="191">
        <f t="shared" ref="K69:L69" si="68">SUM(K70:K74)</f>
        <v>0</v>
      </c>
      <c r="L69" s="55">
        <f t="shared" si="68"/>
        <v>0</v>
      </c>
      <c r="M69" s="190">
        <f>SUM(M70:M74)</f>
        <v>0</v>
      </c>
      <c r="N69" s="191">
        <f t="shared" ref="N69:O69" si="69">SUM(N70:N74)</f>
        <v>0</v>
      </c>
      <c r="O69" s="55">
        <f t="shared" si="69"/>
        <v>0</v>
      </c>
      <c r="P69" s="57"/>
    </row>
    <row r="70" spans="1:16" s="1438" customFormat="1" ht="66.75" customHeight="1" x14ac:dyDescent="0.25">
      <c r="A70" s="51">
        <v>1221</v>
      </c>
      <c r="B70" s="89" t="s">
        <v>88</v>
      </c>
      <c r="C70" s="90">
        <f t="shared" si="0"/>
        <v>21383</v>
      </c>
      <c r="D70" s="53">
        <v>20682</v>
      </c>
      <c r="E70" s="54">
        <f>180+21</f>
        <v>201</v>
      </c>
      <c r="F70" s="55">
        <f t="shared" ref="F70:F74" si="70">D70+E70</f>
        <v>20883</v>
      </c>
      <c r="G70" s="53">
        <v>500</v>
      </c>
      <c r="H70" s="54"/>
      <c r="I70" s="55">
        <f t="shared" ref="I70:I74" si="71">G70+H70</f>
        <v>500</v>
      </c>
      <c r="J70" s="53"/>
      <c r="K70" s="54"/>
      <c r="L70" s="55">
        <f t="shared" ref="L70:L74" si="72">K70+J70</f>
        <v>0</v>
      </c>
      <c r="M70" s="53"/>
      <c r="N70" s="54"/>
      <c r="O70" s="55">
        <f t="shared" ref="O70:O74" si="73">N70+M70</f>
        <v>0</v>
      </c>
      <c r="P70" s="57" t="s">
        <v>2065</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s="1438" customFormat="1" ht="36" customHeight="1" x14ac:dyDescent="0.25">
      <c r="A73" s="51">
        <v>1227</v>
      </c>
      <c r="B73" s="89" t="s">
        <v>91</v>
      </c>
      <c r="C73" s="90">
        <f t="shared" si="0"/>
        <v>13020</v>
      </c>
      <c r="D73" s="53">
        <v>13020</v>
      </c>
      <c r="E73" s="54"/>
      <c r="F73" s="55">
        <f t="shared" si="70"/>
        <v>13020</v>
      </c>
      <c r="G73" s="53"/>
      <c r="H73" s="54"/>
      <c r="I73" s="55">
        <f t="shared" si="71"/>
        <v>0</v>
      </c>
      <c r="J73" s="53"/>
      <c r="K73" s="54"/>
      <c r="L73" s="55">
        <f t="shared" si="72"/>
        <v>0</v>
      </c>
      <c r="M73" s="53"/>
      <c r="N73" s="54"/>
      <c r="O73" s="55">
        <f t="shared" si="73"/>
        <v>0</v>
      </c>
      <c r="P73" s="57"/>
    </row>
    <row r="74" spans="1:16" s="1438" customFormat="1" ht="48" customHeight="1" x14ac:dyDescent="0.25">
      <c r="A74" s="51">
        <v>1228</v>
      </c>
      <c r="B74" s="89" t="s">
        <v>92</v>
      </c>
      <c r="C74" s="90">
        <f t="shared" si="0"/>
        <v>1000</v>
      </c>
      <c r="D74" s="53">
        <v>750</v>
      </c>
      <c r="E74" s="54">
        <f>250</f>
        <v>250</v>
      </c>
      <c r="F74" s="55">
        <f t="shared" si="70"/>
        <v>1000</v>
      </c>
      <c r="G74" s="53"/>
      <c r="H74" s="54"/>
      <c r="I74" s="55">
        <f t="shared" si="71"/>
        <v>0</v>
      </c>
      <c r="J74" s="53"/>
      <c r="K74" s="54"/>
      <c r="L74" s="55">
        <f t="shared" si="72"/>
        <v>0</v>
      </c>
      <c r="M74" s="53"/>
      <c r="N74" s="54"/>
      <c r="O74" s="55">
        <f t="shared" si="73"/>
        <v>0</v>
      </c>
      <c r="P74" s="57" t="s">
        <v>2066</v>
      </c>
    </row>
    <row r="75" spans="1:16" x14ac:dyDescent="0.25">
      <c r="A75" s="177">
        <v>2000</v>
      </c>
      <c r="B75" s="177" t="s">
        <v>93</v>
      </c>
      <c r="C75" s="178">
        <f t="shared" si="0"/>
        <v>72649</v>
      </c>
      <c r="D75" s="179">
        <f>SUM(D76,D83,D130,D164,D165,D172)</f>
        <v>65234</v>
      </c>
      <c r="E75" s="180">
        <f t="shared" ref="E75:F75" si="74">SUM(E76,E83,E130,E164,E165,E172)</f>
        <v>203</v>
      </c>
      <c r="F75" s="181">
        <f t="shared" si="74"/>
        <v>65437</v>
      </c>
      <c r="G75" s="179">
        <f>SUM(G76,G83,G130,G164,G165,G172)</f>
        <v>851</v>
      </c>
      <c r="H75" s="180">
        <f t="shared" ref="H75:I75" si="75">SUM(H76,H83,H130,H164,H165,H172)</f>
        <v>0</v>
      </c>
      <c r="I75" s="181">
        <f t="shared" si="75"/>
        <v>851</v>
      </c>
      <c r="J75" s="179">
        <f>SUM(J76,J83,J130,J164,J165,J172)</f>
        <v>6361</v>
      </c>
      <c r="K75" s="180">
        <f t="shared" ref="K75:L75" si="76">SUM(K76,K83,K130,K164,K165,K172)</f>
        <v>0</v>
      </c>
      <c r="L75" s="181">
        <f t="shared" si="76"/>
        <v>6361</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54938</v>
      </c>
      <c r="D83" s="184">
        <f>SUM(D84,D89,D95,D103,D112,D116,D122,D128)</f>
        <v>54164</v>
      </c>
      <c r="E83" s="185">
        <f t="shared" ref="E83:F83" si="98">SUM(E84,E89,E95,E103,E112,E116,E122,E128)</f>
        <v>-386</v>
      </c>
      <c r="F83" s="73">
        <f t="shared" si="98"/>
        <v>53778</v>
      </c>
      <c r="G83" s="184">
        <f>SUM(G84,G89,G95,G103,G112,G116,G122,G128)</f>
        <v>0</v>
      </c>
      <c r="H83" s="185">
        <f t="shared" ref="H83:I83" si="99">SUM(H84,H89,H95,H103,H112,H116,H122,H128)</f>
        <v>0</v>
      </c>
      <c r="I83" s="73">
        <f t="shared" si="99"/>
        <v>0</v>
      </c>
      <c r="J83" s="184">
        <f>SUM(J84,J89,J95,J103,J112,J116,J122,J128)</f>
        <v>1160</v>
      </c>
      <c r="K83" s="185">
        <f t="shared" ref="K83:L83" si="100">SUM(K84,K89,K95,K103,K112,K116,K122,K128)</f>
        <v>0</v>
      </c>
      <c r="L83" s="73">
        <f t="shared" si="100"/>
        <v>1160</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728</v>
      </c>
      <c r="D84" s="187">
        <f>SUM(D85:D88)</f>
        <v>728</v>
      </c>
      <c r="E84" s="188">
        <f t="shared" ref="E84:F84" si="103">SUM(E85:E88)</f>
        <v>0</v>
      </c>
      <c r="F84" s="141">
        <f t="shared" si="103"/>
        <v>728</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586</v>
      </c>
      <c r="D86" s="196">
        <v>586</v>
      </c>
      <c r="E86" s="197"/>
      <c r="F86" s="55">
        <f t="shared" si="107"/>
        <v>586</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102</v>
      </c>
      <c r="D87" s="196">
        <v>102</v>
      </c>
      <c r="E87" s="197"/>
      <c r="F87" s="55">
        <f t="shared" si="107"/>
        <v>102</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40</v>
      </c>
      <c r="D88" s="196">
        <v>40</v>
      </c>
      <c r="E88" s="197"/>
      <c r="F88" s="55">
        <f t="shared" si="107"/>
        <v>40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36938</v>
      </c>
      <c r="D89" s="190">
        <f>SUM(D90:D94)</f>
        <v>35778</v>
      </c>
      <c r="E89" s="191">
        <f t="shared" ref="E89:F89" si="111">SUM(E90:E94)</f>
        <v>0</v>
      </c>
      <c r="F89" s="55">
        <f t="shared" si="111"/>
        <v>35778</v>
      </c>
      <c r="G89" s="190">
        <f>SUM(G90:G94)</f>
        <v>0</v>
      </c>
      <c r="H89" s="191">
        <f t="shared" ref="H89:I89" si="112">SUM(H90:H94)</f>
        <v>0</v>
      </c>
      <c r="I89" s="55">
        <f t="shared" si="112"/>
        <v>0</v>
      </c>
      <c r="J89" s="190">
        <f>SUM(J90:J94)</f>
        <v>1160</v>
      </c>
      <c r="K89" s="191">
        <f t="shared" ref="K89:L89" si="113">SUM(K90:K94)</f>
        <v>0</v>
      </c>
      <c r="L89" s="55">
        <f t="shared" si="113"/>
        <v>1160</v>
      </c>
      <c r="M89" s="190">
        <f>SUM(M90:M94)</f>
        <v>0</v>
      </c>
      <c r="N89" s="191">
        <f t="shared" ref="N89:O89" si="114">SUM(N90:N94)</f>
        <v>0</v>
      </c>
      <c r="O89" s="55">
        <f t="shared" si="114"/>
        <v>0</v>
      </c>
      <c r="P89" s="57"/>
    </row>
    <row r="90" spans="1:16" ht="24" customHeight="1" x14ac:dyDescent="0.25">
      <c r="A90" s="51">
        <v>2221</v>
      </c>
      <c r="B90" s="89" t="s">
        <v>106</v>
      </c>
      <c r="C90" s="90">
        <f t="shared" si="102"/>
        <v>18161</v>
      </c>
      <c r="D90" s="196">
        <v>18161</v>
      </c>
      <c r="E90" s="197"/>
      <c r="F90" s="55">
        <f t="shared" ref="F90:F94" si="115">D90+E90</f>
        <v>18161</v>
      </c>
      <c r="G90" s="53"/>
      <c r="H90" s="54"/>
      <c r="I90" s="55">
        <f t="shared" ref="I90:I94" si="116">G90+H90</f>
        <v>0</v>
      </c>
      <c r="J90" s="53"/>
      <c r="K90" s="54"/>
      <c r="L90" s="55">
        <f t="shared" ref="L90:L94" si="117">K90+J90</f>
        <v>0</v>
      </c>
      <c r="M90" s="53"/>
      <c r="N90" s="54"/>
      <c r="O90" s="55">
        <f t="shared" ref="O90:O94" si="118">N90+M90</f>
        <v>0</v>
      </c>
      <c r="P90" s="57"/>
    </row>
    <row r="91" spans="1:16" s="1438" customFormat="1" ht="24" customHeight="1" x14ac:dyDescent="0.25">
      <c r="A91" s="51">
        <v>2222</v>
      </c>
      <c r="B91" s="89" t="s">
        <v>107</v>
      </c>
      <c r="C91" s="90">
        <f t="shared" si="102"/>
        <v>5913</v>
      </c>
      <c r="D91" s="196">
        <v>5454</v>
      </c>
      <c r="E91" s="197">
        <v>79</v>
      </c>
      <c r="F91" s="55">
        <f t="shared" si="115"/>
        <v>5533</v>
      </c>
      <c r="G91" s="53"/>
      <c r="H91" s="54"/>
      <c r="I91" s="55">
        <f t="shared" si="116"/>
        <v>0</v>
      </c>
      <c r="J91" s="53">
        <v>380</v>
      </c>
      <c r="K91" s="54"/>
      <c r="L91" s="55">
        <f t="shared" si="117"/>
        <v>380</v>
      </c>
      <c r="M91" s="53"/>
      <c r="N91" s="54"/>
      <c r="O91" s="55">
        <f t="shared" si="118"/>
        <v>0</v>
      </c>
      <c r="P91" s="1439" t="s">
        <v>2067</v>
      </c>
    </row>
    <row r="92" spans="1:16" s="1438" customFormat="1" ht="25.5" customHeight="1" x14ac:dyDescent="0.25">
      <c r="A92" s="51">
        <v>2223</v>
      </c>
      <c r="B92" s="89" t="s">
        <v>108</v>
      </c>
      <c r="C92" s="90">
        <f t="shared" si="102"/>
        <v>10381</v>
      </c>
      <c r="D92" s="196">
        <v>9860</v>
      </c>
      <c r="E92" s="197">
        <v>-79</v>
      </c>
      <c r="F92" s="55">
        <f t="shared" si="115"/>
        <v>9781</v>
      </c>
      <c r="G92" s="53"/>
      <c r="H92" s="54"/>
      <c r="I92" s="55">
        <f t="shared" si="116"/>
        <v>0</v>
      </c>
      <c r="J92" s="53">
        <v>600</v>
      </c>
      <c r="K92" s="54"/>
      <c r="L92" s="55">
        <f t="shared" si="117"/>
        <v>600</v>
      </c>
      <c r="M92" s="53"/>
      <c r="N92" s="54"/>
      <c r="O92" s="55">
        <f t="shared" si="118"/>
        <v>0</v>
      </c>
      <c r="P92" s="1439" t="s">
        <v>2068</v>
      </c>
    </row>
    <row r="93" spans="1:16" ht="54.75" customHeight="1" x14ac:dyDescent="0.25">
      <c r="A93" s="345">
        <v>2224</v>
      </c>
      <c r="B93" s="346" t="s">
        <v>109</v>
      </c>
      <c r="C93" s="347">
        <f t="shared" si="102"/>
        <v>2483</v>
      </c>
      <c r="D93" s="352">
        <v>2303</v>
      </c>
      <c r="E93" s="353"/>
      <c r="F93" s="350">
        <f t="shared" si="115"/>
        <v>2303</v>
      </c>
      <c r="G93" s="348"/>
      <c r="H93" s="349"/>
      <c r="I93" s="350">
        <f t="shared" si="116"/>
        <v>0</v>
      </c>
      <c r="J93" s="348">
        <v>180</v>
      </c>
      <c r="K93" s="349"/>
      <c r="L93" s="350">
        <f t="shared" si="117"/>
        <v>180</v>
      </c>
      <c r="M93" s="348"/>
      <c r="N93" s="349"/>
      <c r="O93" s="350">
        <f t="shared" si="118"/>
        <v>0</v>
      </c>
      <c r="P93" s="1490"/>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1942</v>
      </c>
      <c r="D95" s="190">
        <f>SUM(D96:D102)</f>
        <v>1942</v>
      </c>
      <c r="E95" s="191">
        <f t="shared" ref="E95:F95" si="119">SUM(E96:E102)</f>
        <v>0</v>
      </c>
      <c r="F95" s="55">
        <f t="shared" si="119"/>
        <v>1942</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1942</v>
      </c>
      <c r="D102" s="196">
        <v>1942</v>
      </c>
      <c r="E102" s="197"/>
      <c r="F102" s="55">
        <f t="shared" si="123"/>
        <v>1942</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7329</v>
      </c>
      <c r="D103" s="190">
        <f>SUM(D104:D111)</f>
        <v>7715</v>
      </c>
      <c r="E103" s="191">
        <f t="shared" ref="E103:F103" si="127">SUM(E104:E111)</f>
        <v>-386</v>
      </c>
      <c r="F103" s="55">
        <f t="shared" si="127"/>
        <v>7329</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1017</v>
      </c>
      <c r="D106" s="196">
        <v>1017</v>
      </c>
      <c r="E106" s="197"/>
      <c r="F106" s="55">
        <f t="shared" si="131"/>
        <v>1017</v>
      </c>
      <c r="G106" s="53"/>
      <c r="H106" s="54"/>
      <c r="I106" s="55">
        <f t="shared" si="132"/>
        <v>0</v>
      </c>
      <c r="J106" s="53"/>
      <c r="K106" s="54"/>
      <c r="L106" s="55">
        <f t="shared" si="133"/>
        <v>0</v>
      </c>
      <c r="M106" s="53"/>
      <c r="N106" s="54"/>
      <c r="O106" s="55">
        <f t="shared" si="134"/>
        <v>0</v>
      </c>
      <c r="P106" s="57"/>
    </row>
    <row r="107" spans="1:16" s="1438" customFormat="1" ht="24" customHeight="1" x14ac:dyDescent="0.25">
      <c r="A107" s="51">
        <v>2244</v>
      </c>
      <c r="B107" s="89" t="s">
        <v>123</v>
      </c>
      <c r="C107" s="90">
        <f t="shared" si="102"/>
        <v>3167</v>
      </c>
      <c r="D107" s="196">
        <v>3553</v>
      </c>
      <c r="E107" s="197">
        <v>-386</v>
      </c>
      <c r="F107" s="55">
        <f t="shared" si="131"/>
        <v>3167</v>
      </c>
      <c r="G107" s="53"/>
      <c r="H107" s="54"/>
      <c r="I107" s="55">
        <f t="shared" si="132"/>
        <v>0</v>
      </c>
      <c r="J107" s="53"/>
      <c r="K107" s="54"/>
      <c r="L107" s="55">
        <f t="shared" si="133"/>
        <v>0</v>
      </c>
      <c r="M107" s="53"/>
      <c r="N107" s="54"/>
      <c r="O107" s="55">
        <f t="shared" si="134"/>
        <v>0</v>
      </c>
      <c r="P107" s="57" t="s">
        <v>2069</v>
      </c>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3145</v>
      </c>
      <c r="D111" s="196">
        <v>3145</v>
      </c>
      <c r="E111" s="197"/>
      <c r="F111" s="55">
        <f t="shared" si="131"/>
        <v>3145</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331</v>
      </c>
      <c r="D112" s="190">
        <f>SUM(D113:D115)</f>
        <v>331</v>
      </c>
      <c r="E112" s="191">
        <f t="shared" ref="E112:F112" si="135">SUM(E113:E115)</f>
        <v>0</v>
      </c>
      <c r="F112" s="55">
        <f t="shared" si="135"/>
        <v>331</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165</v>
      </c>
      <c r="D114" s="196">
        <v>165</v>
      </c>
      <c r="E114" s="197"/>
      <c r="F114" s="55">
        <f t="shared" si="139"/>
        <v>165</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7670</v>
      </c>
      <c r="D116" s="190">
        <f>SUM(D117:D121)</f>
        <v>7670</v>
      </c>
      <c r="E116" s="191">
        <f t="shared" ref="E116:F116" si="143">SUM(E117:E121)</f>
        <v>0</v>
      </c>
      <c r="F116" s="55">
        <f t="shared" si="143"/>
        <v>7670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9" t="s">
        <v>135</v>
      </c>
      <c r="C119" s="90">
        <f t="shared" si="102"/>
        <v>7618</v>
      </c>
      <c r="D119" s="196">
        <v>7618</v>
      </c>
      <c r="E119" s="197"/>
      <c r="F119" s="55">
        <f t="shared" si="147"/>
        <v>7618</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17711</v>
      </c>
      <c r="D130" s="184">
        <f>SUM(D131,D136,D140,D141,D144,D151,D159,D160,D163)</f>
        <v>11070</v>
      </c>
      <c r="E130" s="185">
        <f t="shared" ref="E130:F130" si="160">SUM(E131,E136,E140,E141,E144,E151,E159,E160,E163)</f>
        <v>589</v>
      </c>
      <c r="F130" s="73">
        <f t="shared" si="160"/>
        <v>11659</v>
      </c>
      <c r="G130" s="184">
        <f>SUM(G131,G136,G140,G141,G144,G151,G159,G160,G163)</f>
        <v>851</v>
      </c>
      <c r="H130" s="185">
        <f t="shared" ref="H130:I130" si="161">SUM(H131,H136,H140,H141,H144,H151,H159,H160,H163)</f>
        <v>0</v>
      </c>
      <c r="I130" s="73">
        <f t="shared" si="161"/>
        <v>851</v>
      </c>
      <c r="J130" s="184">
        <f>SUM(J131,J136,J140,J141,J144,J151,J159,J160,J163)</f>
        <v>5201</v>
      </c>
      <c r="K130" s="185">
        <f t="shared" ref="K130:L130" si="162">SUM(K131,K136,K140,K141,K144,K151,K159,K160,K163)</f>
        <v>0</v>
      </c>
      <c r="L130" s="73">
        <f t="shared" si="162"/>
        <v>5201</v>
      </c>
      <c r="M130" s="184">
        <f>SUM(M131,M136,M140,M141,M144,M151,M159,M160,M163)</f>
        <v>0</v>
      </c>
      <c r="N130" s="185">
        <f t="shared" ref="N130:O130" si="163">SUM(N131,N136,N140,N141,N144,N151,N159,N160,N163)</f>
        <v>0</v>
      </c>
      <c r="O130" s="73">
        <f t="shared" si="163"/>
        <v>0</v>
      </c>
      <c r="P130" s="77"/>
    </row>
    <row r="131" spans="1:16" ht="24" x14ac:dyDescent="0.25">
      <c r="A131" s="1449">
        <v>2310</v>
      </c>
      <c r="B131" s="82" t="s">
        <v>147</v>
      </c>
      <c r="C131" s="83">
        <f t="shared" si="102"/>
        <v>4731</v>
      </c>
      <c r="D131" s="194">
        <f t="shared" ref="D131:O131" si="164">SUM(D132:D135)</f>
        <v>4142</v>
      </c>
      <c r="E131" s="195">
        <f t="shared" si="164"/>
        <v>589</v>
      </c>
      <c r="F131" s="134">
        <f t="shared" si="164"/>
        <v>4731</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s="1438" customFormat="1" ht="22.5" customHeight="1" x14ac:dyDescent="0.25">
      <c r="A132" s="51">
        <v>2311</v>
      </c>
      <c r="B132" s="89" t="s">
        <v>148</v>
      </c>
      <c r="C132" s="90">
        <f t="shared" si="102"/>
        <v>434</v>
      </c>
      <c r="D132" s="196">
        <v>386</v>
      </c>
      <c r="E132" s="197">
        <v>48</v>
      </c>
      <c r="F132" s="55">
        <f t="shared" ref="F132:F135" si="165">D132+E132</f>
        <v>434</v>
      </c>
      <c r="G132" s="53"/>
      <c r="H132" s="54"/>
      <c r="I132" s="55">
        <f t="shared" ref="I132:I135" si="166">G132+H132</f>
        <v>0</v>
      </c>
      <c r="J132" s="53"/>
      <c r="K132" s="54"/>
      <c r="L132" s="55">
        <f t="shared" ref="L132:L135" si="167">K132+J132</f>
        <v>0</v>
      </c>
      <c r="M132" s="53"/>
      <c r="N132" s="54"/>
      <c r="O132" s="55">
        <f t="shared" ref="O132:O135" si="168">N132+M132</f>
        <v>0</v>
      </c>
      <c r="P132" s="57" t="s">
        <v>2070</v>
      </c>
    </row>
    <row r="133" spans="1:16" s="1438" customFormat="1" ht="18" customHeight="1" x14ac:dyDescent="0.25">
      <c r="A133" s="51">
        <v>2312</v>
      </c>
      <c r="B133" s="89" t="s">
        <v>149</v>
      </c>
      <c r="C133" s="90">
        <f t="shared" si="102"/>
        <v>3912</v>
      </c>
      <c r="D133" s="196">
        <v>3371</v>
      </c>
      <c r="E133" s="197">
        <f>155+386</f>
        <v>541</v>
      </c>
      <c r="F133" s="55">
        <f t="shared" si="165"/>
        <v>3912</v>
      </c>
      <c r="G133" s="53"/>
      <c r="H133" s="54"/>
      <c r="I133" s="55">
        <f t="shared" si="166"/>
        <v>0</v>
      </c>
      <c r="J133" s="53"/>
      <c r="K133" s="54"/>
      <c r="L133" s="55">
        <f t="shared" si="167"/>
        <v>0</v>
      </c>
      <c r="M133" s="53"/>
      <c r="N133" s="54"/>
      <c r="O133" s="55">
        <f t="shared" si="168"/>
        <v>0</v>
      </c>
      <c r="P133" s="57" t="s">
        <v>2071</v>
      </c>
    </row>
    <row r="134" spans="1:16" ht="12" customHeight="1" x14ac:dyDescent="0.25">
      <c r="A134" s="51">
        <v>2313</v>
      </c>
      <c r="B134" s="89" t="s">
        <v>150</v>
      </c>
      <c r="C134" s="90">
        <f t="shared" si="102"/>
        <v>385</v>
      </c>
      <c r="D134" s="196">
        <v>385</v>
      </c>
      <c r="E134" s="197"/>
      <c r="F134" s="55">
        <f t="shared" si="165"/>
        <v>385</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67</v>
      </c>
      <c r="D136" s="190">
        <f>SUM(D137:D139)</f>
        <v>67</v>
      </c>
      <c r="E136" s="191">
        <f t="shared" ref="E136:F136" si="169">SUM(E137:E139)</f>
        <v>0</v>
      </c>
      <c r="F136" s="55">
        <f t="shared" si="169"/>
        <v>67</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67</v>
      </c>
      <c r="D138" s="196">
        <v>67</v>
      </c>
      <c r="E138" s="197"/>
      <c r="F138" s="55">
        <f t="shared" si="173"/>
        <v>67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50</v>
      </c>
      <c r="D141" s="190">
        <f>SUM(D142:D143)</f>
        <v>50</v>
      </c>
      <c r="E141" s="191">
        <f t="shared" ref="E141:F141" si="177">SUM(E142:E143)</f>
        <v>0</v>
      </c>
      <c r="F141" s="55">
        <f t="shared" si="177"/>
        <v>50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50</v>
      </c>
      <c r="D142" s="196">
        <v>50</v>
      </c>
      <c r="E142" s="197"/>
      <c r="F142" s="55">
        <f t="shared" ref="F142:F143" si="181">D142+E142</f>
        <v>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4594</v>
      </c>
      <c r="D144" s="187">
        <f>SUM(D145:D150)</f>
        <v>4594</v>
      </c>
      <c r="E144" s="188">
        <f t="shared" ref="E144:F144" si="185">SUM(E145:E150)</f>
        <v>0</v>
      </c>
      <c r="F144" s="141">
        <f t="shared" si="185"/>
        <v>4594</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490</v>
      </c>
      <c r="D145" s="199">
        <v>490</v>
      </c>
      <c r="E145" s="200"/>
      <c r="F145" s="134">
        <f t="shared" ref="F145:F150" si="189">D145+E145</f>
        <v>490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162</v>
      </c>
      <c r="C146" s="90">
        <f t="shared" si="102"/>
        <v>4064</v>
      </c>
      <c r="D146" s="196">
        <v>4064</v>
      </c>
      <c r="E146" s="197"/>
      <c r="F146" s="55">
        <f t="shared" si="189"/>
        <v>4064</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40</v>
      </c>
      <c r="D149" s="196">
        <v>40</v>
      </c>
      <c r="E149" s="197"/>
      <c r="F149" s="55">
        <f t="shared" si="189"/>
        <v>40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6400</v>
      </c>
      <c r="D151" s="190">
        <f>SUM(D152:D158)</f>
        <v>1199</v>
      </c>
      <c r="E151" s="191">
        <f t="shared" ref="E151:F151" si="194">SUM(E152:E158)</f>
        <v>0</v>
      </c>
      <c r="F151" s="55">
        <f t="shared" si="194"/>
        <v>1199</v>
      </c>
      <c r="G151" s="190">
        <f>SUM(G152:G158)</f>
        <v>0</v>
      </c>
      <c r="H151" s="191">
        <f t="shared" ref="H151:I151" si="195">SUM(H152:H158)</f>
        <v>0</v>
      </c>
      <c r="I151" s="55">
        <f t="shared" si="195"/>
        <v>0</v>
      </c>
      <c r="J151" s="190">
        <f>SUM(J152:J158)</f>
        <v>5201</v>
      </c>
      <c r="K151" s="191">
        <f t="shared" ref="K151:L151" si="196">SUM(K152:K158)</f>
        <v>0</v>
      </c>
      <c r="L151" s="55">
        <f t="shared" si="196"/>
        <v>5201</v>
      </c>
      <c r="M151" s="190">
        <f>SUM(M152:M158)</f>
        <v>0</v>
      </c>
      <c r="N151" s="191">
        <f t="shared" ref="N151:O151" si="197">SUM(N152:N158)</f>
        <v>0</v>
      </c>
      <c r="O151" s="55">
        <f t="shared" si="197"/>
        <v>0</v>
      </c>
      <c r="P151" s="57"/>
    </row>
    <row r="152" spans="1:16" ht="12" customHeight="1" x14ac:dyDescent="0.25">
      <c r="A152" s="50">
        <v>2361</v>
      </c>
      <c r="B152" s="89" t="s">
        <v>168</v>
      </c>
      <c r="C152" s="90">
        <f t="shared" si="193"/>
        <v>584</v>
      </c>
      <c r="D152" s="196">
        <v>584</v>
      </c>
      <c r="E152" s="197"/>
      <c r="F152" s="55">
        <f t="shared" ref="F152:F159" si="198">D152+E152</f>
        <v>584</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615</v>
      </c>
      <c r="D153" s="196">
        <v>615</v>
      </c>
      <c r="E153" s="197"/>
      <c r="F153" s="55">
        <f t="shared" si="198"/>
        <v>615</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170</v>
      </c>
      <c r="C154" s="90">
        <f t="shared" si="193"/>
        <v>5201</v>
      </c>
      <c r="D154" s="196"/>
      <c r="E154" s="197"/>
      <c r="F154" s="55">
        <f t="shared" si="198"/>
        <v>0</v>
      </c>
      <c r="G154" s="53"/>
      <c r="H154" s="54"/>
      <c r="I154" s="55">
        <f t="shared" si="199"/>
        <v>0</v>
      </c>
      <c r="J154" s="53">
        <v>5201</v>
      </c>
      <c r="K154" s="54"/>
      <c r="L154" s="55">
        <f t="shared" si="200"/>
        <v>5201</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1869</v>
      </c>
      <c r="D159" s="203">
        <v>1018</v>
      </c>
      <c r="E159" s="204"/>
      <c r="F159" s="141">
        <f t="shared" si="198"/>
        <v>1018</v>
      </c>
      <c r="G159" s="144">
        <v>851</v>
      </c>
      <c r="H159" s="145"/>
      <c r="I159" s="141">
        <f t="shared" si="199"/>
        <v>851</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4692</v>
      </c>
      <c r="D194" s="173">
        <f t="shared" ref="D194:O194" si="259">SUM(D195,D230,D269,D283)</f>
        <v>4695</v>
      </c>
      <c r="E194" s="174">
        <f t="shared" si="259"/>
        <v>-203</v>
      </c>
      <c r="F194" s="175">
        <f t="shared" si="259"/>
        <v>4492</v>
      </c>
      <c r="G194" s="173">
        <f t="shared" si="259"/>
        <v>200</v>
      </c>
      <c r="H194" s="174">
        <f t="shared" si="259"/>
        <v>0</v>
      </c>
      <c r="I194" s="175">
        <f t="shared" si="259"/>
        <v>200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4692</v>
      </c>
      <c r="D195" s="179">
        <f>D196+D204</f>
        <v>4695</v>
      </c>
      <c r="E195" s="180">
        <f t="shared" ref="E195:F195" si="260">E196+E204</f>
        <v>-203</v>
      </c>
      <c r="F195" s="181">
        <f t="shared" si="260"/>
        <v>4492</v>
      </c>
      <c r="G195" s="179">
        <f>G196+G204</f>
        <v>200</v>
      </c>
      <c r="H195" s="180">
        <f t="shared" ref="H195:I195" si="261">H196+H204</f>
        <v>0</v>
      </c>
      <c r="I195" s="181">
        <f t="shared" si="261"/>
        <v>200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4692</v>
      </c>
      <c r="D204" s="184">
        <f>D205+D215+D216+D225+D226+D227+D229</f>
        <v>4695</v>
      </c>
      <c r="E204" s="185">
        <f t="shared" ref="E204:F204" si="276">E205+E215+E216+E225+E226+E227+E229</f>
        <v>-203</v>
      </c>
      <c r="F204" s="73">
        <f t="shared" si="276"/>
        <v>4492</v>
      </c>
      <c r="G204" s="184">
        <f>G205+G215+G216+G225+G226+G227+G229</f>
        <v>200</v>
      </c>
      <c r="H204" s="185">
        <f t="shared" ref="H204:I204" si="277">H205+H215+H216+H225+H226+H227+H229</f>
        <v>0</v>
      </c>
      <c r="I204" s="73">
        <f t="shared" si="277"/>
        <v>200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4692</v>
      </c>
      <c r="D216" s="190">
        <f>SUM(D217:D224)</f>
        <v>4695</v>
      </c>
      <c r="E216" s="191">
        <f t="shared" ref="E216:F216" si="289">SUM(E217:E224)</f>
        <v>-203</v>
      </c>
      <c r="F216" s="55">
        <f t="shared" si="289"/>
        <v>4492</v>
      </c>
      <c r="G216" s="190">
        <f>SUM(G217:G224)</f>
        <v>200</v>
      </c>
      <c r="H216" s="191">
        <f t="shared" ref="H216:I216" si="290">SUM(H217:H224)</f>
        <v>0</v>
      </c>
      <c r="I216" s="55">
        <f t="shared" si="290"/>
        <v>200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9" t="s">
        <v>234</v>
      </c>
      <c r="C218" s="90">
        <f t="shared" si="288"/>
        <v>1890</v>
      </c>
      <c r="D218" s="196">
        <v>1890</v>
      </c>
      <c r="E218" s="197"/>
      <c r="F218" s="55">
        <f t="shared" si="293"/>
        <v>1890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235</v>
      </c>
      <c r="C219" s="90">
        <f t="shared" si="288"/>
        <v>405</v>
      </c>
      <c r="D219" s="196">
        <v>205</v>
      </c>
      <c r="E219" s="197"/>
      <c r="F219" s="55">
        <f t="shared" si="293"/>
        <v>205</v>
      </c>
      <c r="G219" s="53">
        <v>200</v>
      </c>
      <c r="H219" s="54"/>
      <c r="I219" s="55">
        <f t="shared" si="294"/>
        <v>200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s="1438" customFormat="1" ht="24" customHeight="1" x14ac:dyDescent="0.25">
      <c r="A223" s="51">
        <v>5238</v>
      </c>
      <c r="B223" s="89" t="s">
        <v>239</v>
      </c>
      <c r="C223" s="90">
        <f t="shared" si="288"/>
        <v>2397</v>
      </c>
      <c r="D223" s="196">
        <v>2600</v>
      </c>
      <c r="E223" s="197">
        <v>-203</v>
      </c>
      <c r="F223" s="55">
        <f t="shared" si="293"/>
        <v>2397</v>
      </c>
      <c r="G223" s="53"/>
      <c r="H223" s="54"/>
      <c r="I223" s="55">
        <f t="shared" si="294"/>
        <v>0</v>
      </c>
      <c r="J223" s="53"/>
      <c r="K223" s="54"/>
      <c r="L223" s="55">
        <f t="shared" si="295"/>
        <v>0</v>
      </c>
      <c r="M223" s="53"/>
      <c r="N223" s="54"/>
      <c r="O223" s="55">
        <f t="shared" si="296"/>
        <v>0</v>
      </c>
      <c r="P223" s="57" t="s">
        <v>2072</v>
      </c>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672585</v>
      </c>
      <c r="D289" s="252">
        <f t="shared" ref="D289:O289" si="389">SUM(D286,D269,D230,D195,D187,D173,D75,D53,D283)</f>
        <v>613625</v>
      </c>
      <c r="E289" s="253">
        <f t="shared" si="389"/>
        <v>0</v>
      </c>
      <c r="F289" s="254">
        <f t="shared" si="389"/>
        <v>613625</v>
      </c>
      <c r="G289" s="252">
        <f t="shared" si="389"/>
        <v>43653</v>
      </c>
      <c r="H289" s="253">
        <f t="shared" si="389"/>
        <v>8946</v>
      </c>
      <c r="I289" s="254">
        <f t="shared" si="389"/>
        <v>52599</v>
      </c>
      <c r="J289" s="252">
        <f t="shared" si="389"/>
        <v>6361</v>
      </c>
      <c r="K289" s="253">
        <f t="shared" si="389"/>
        <v>0</v>
      </c>
      <c r="L289" s="254">
        <f t="shared" si="389"/>
        <v>6361</v>
      </c>
      <c r="M289" s="252">
        <f t="shared" si="389"/>
        <v>0</v>
      </c>
      <c r="N289" s="253">
        <f t="shared" si="389"/>
        <v>0</v>
      </c>
      <c r="O289" s="254">
        <f t="shared" si="389"/>
        <v>0</v>
      </c>
      <c r="P289" s="255"/>
    </row>
    <row r="290" spans="1:16" s="28" customFormat="1" ht="13.5" thickTop="1" thickBot="1" x14ac:dyDescent="0.3">
      <c r="A290" s="1544" t="s">
        <v>308</v>
      </c>
      <c r="B290" s="1545"/>
      <c r="C290" s="256">
        <f t="shared" si="371"/>
        <v>-160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-160</v>
      </c>
      <c r="K290" s="258">
        <f t="shared" ref="K290:L290" si="392">(K26+K43)-K51</f>
        <v>0</v>
      </c>
      <c r="L290" s="259">
        <f t="shared" si="392"/>
        <v>-160</v>
      </c>
      <c r="M290" s="257">
        <f>M45-M51</f>
        <v>0</v>
      </c>
      <c r="N290" s="258">
        <f t="shared" ref="N290:O290" si="393">N45-N51</f>
        <v>0</v>
      </c>
      <c r="O290" s="259">
        <f t="shared" si="393"/>
        <v>0</v>
      </c>
      <c r="P290" s="260"/>
    </row>
    <row r="291" spans="1:16" s="28" customFormat="1" ht="12.75" thickTop="1" x14ac:dyDescent="0.25">
      <c r="A291" s="1546" t="s">
        <v>309</v>
      </c>
      <c r="B291" s="1547"/>
      <c r="C291" s="261">
        <f t="shared" si="371"/>
        <v>160</v>
      </c>
      <c r="D291" s="262">
        <f t="shared" ref="D291:O291" si="394">SUM(D292,D293)-D300+D301</f>
        <v>0</v>
      </c>
      <c r="E291" s="263">
        <f t="shared" si="394"/>
        <v>0</v>
      </c>
      <c r="F291" s="264">
        <f t="shared" si="394"/>
        <v>0</v>
      </c>
      <c r="G291" s="262">
        <f t="shared" si="394"/>
        <v>0</v>
      </c>
      <c r="H291" s="263">
        <f t="shared" si="394"/>
        <v>0</v>
      </c>
      <c r="I291" s="264">
        <f t="shared" si="394"/>
        <v>0</v>
      </c>
      <c r="J291" s="262">
        <f t="shared" si="394"/>
        <v>160</v>
      </c>
      <c r="K291" s="263">
        <f t="shared" si="394"/>
        <v>0</v>
      </c>
      <c r="L291" s="264">
        <f t="shared" si="394"/>
        <v>160</v>
      </c>
      <c r="M291" s="262">
        <f t="shared" si="394"/>
        <v>0</v>
      </c>
      <c r="N291" s="263">
        <f t="shared" si="394"/>
        <v>0</v>
      </c>
      <c r="O291" s="264">
        <f t="shared" si="394"/>
        <v>0</v>
      </c>
      <c r="P291" s="265"/>
    </row>
    <row r="292" spans="1:16" s="28" customFormat="1" ht="12.75" thickBot="1" x14ac:dyDescent="0.3">
      <c r="A292" s="157" t="s">
        <v>310</v>
      </c>
      <c r="B292" s="157" t="s">
        <v>311</v>
      </c>
      <c r="C292" s="158">
        <f t="shared" si="371"/>
        <v>160</v>
      </c>
      <c r="D292" s="159">
        <f t="shared" ref="D292:O292" si="395">D21-D286</f>
        <v>0</v>
      </c>
      <c r="E292" s="160">
        <f t="shared" si="395"/>
        <v>0</v>
      </c>
      <c r="F292" s="161">
        <f t="shared" si="395"/>
        <v>0</v>
      </c>
      <c r="G292" s="159">
        <f t="shared" si="395"/>
        <v>0</v>
      </c>
      <c r="H292" s="160">
        <f t="shared" si="395"/>
        <v>0</v>
      </c>
      <c r="I292" s="161">
        <f t="shared" si="395"/>
        <v>0</v>
      </c>
      <c r="J292" s="159">
        <f t="shared" si="395"/>
        <v>160</v>
      </c>
      <c r="K292" s="160">
        <f t="shared" si="395"/>
        <v>0</v>
      </c>
      <c r="L292" s="161">
        <f t="shared" si="395"/>
        <v>160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N+Xnlk8FxjSawb47rl7QOgb9BWFEcUpmC1Mw/yoQMRjZgMtR5FoM6sfji+UeL0zCevrQJJWq7jGcycwRcEArpg==" saltValue="4qtwLlWhCmqjj1IIuIDJrw==" spinCount="100000" sheet="1" objects="1" scenarios="1" formatCells="0" formatColumns="0" formatRows="0" deleteColumns="0"/>
  <autoFilter ref="A18:P301">
    <filterColumn colId="2">
      <filters>
        <filter val="1 000"/>
        <filter val="1 017"/>
        <filter val="1 029"/>
        <filter val="1 869"/>
        <filter val="1 890"/>
        <filter val="1 942"/>
        <filter val="10 381"/>
        <filter val="102"/>
        <filter val="112 448"/>
        <filter val="13 020"/>
        <filter val="147 851"/>
        <filter val="160"/>
        <filter val="-160"/>
        <filter val="162"/>
        <filter val="165"/>
        <filter val="166"/>
        <filter val="17 711"/>
        <filter val="18 161"/>
        <filter val="2 397"/>
        <filter val="2 483"/>
        <filter val="21 383"/>
        <filter val="24 960"/>
        <filter val="3 145"/>
        <filter val="3 167"/>
        <filter val="3 912"/>
        <filter val="331"/>
        <filter val="35 218"/>
        <filter val="35 403"/>
        <filter val="36 938"/>
        <filter val="385"/>
        <filter val="4 064"/>
        <filter val="4 173"/>
        <filter val="4 594"/>
        <filter val="4 692"/>
        <filter val="4 731"/>
        <filter val="4 894"/>
        <filter val="4 918"/>
        <filter val="40"/>
        <filter val="405"/>
        <filter val="407 257"/>
        <filter val="434"/>
        <filter val="447 393"/>
        <filter val="490"/>
        <filter val="5 201"/>
        <filter val="5 913"/>
        <filter val="50"/>
        <filter val="52"/>
        <filter val="54 938"/>
        <filter val="584"/>
        <filter val="586"/>
        <filter val="595 244"/>
        <filter val="6 201"/>
        <filter val="6 400"/>
        <filter val="615"/>
        <filter val="666 224"/>
        <filter val="667 893"/>
        <filter val="67"/>
        <filter val="672 585"/>
        <filter val="7 329"/>
        <filter val="7 618"/>
        <filter val="7 670"/>
        <filter val="72 649"/>
        <filter val="72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84.pielikums Jūrmalas pilsētas domes
2019.gada 31.oktobra saistošajiem noteikumiem Nr.46
(protokols Nr.14, 28.punkts)
 </firstHeader>
    <firstFooter>&amp;L&amp;9&amp;D; &amp;T&amp;R&amp;9&amp;P (&amp;N)</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3" sqref="U3"/>
    </sheetView>
  </sheetViews>
  <sheetFormatPr defaultRowHeight="15"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2033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853"/>
    </row>
    <row r="3" spans="1:17" ht="12.75" customHeight="1" x14ac:dyDescent="0.25">
      <c r="A3" s="5" t="s">
        <v>2</v>
      </c>
      <c r="B3" s="6"/>
      <c r="C3" s="1517" t="s">
        <v>2034</v>
      </c>
      <c r="D3" s="1517"/>
      <c r="E3" s="1517"/>
      <c r="F3" s="1517"/>
      <c r="G3" s="1517"/>
      <c r="H3" s="1517"/>
      <c r="I3" s="1517"/>
      <c r="J3" s="1517"/>
      <c r="K3" s="1517"/>
      <c r="L3" s="1517"/>
      <c r="M3" s="1517"/>
      <c r="N3" s="1517"/>
      <c r="O3" s="1517"/>
      <c r="P3" s="1518"/>
      <c r="Q3" s="853"/>
    </row>
    <row r="4" spans="1:17" ht="12.75" customHeight="1" x14ac:dyDescent="0.25">
      <c r="A4" s="5" t="s">
        <v>4</v>
      </c>
      <c r="B4" s="6"/>
      <c r="C4" s="1517" t="s">
        <v>2035</v>
      </c>
      <c r="D4" s="1517"/>
      <c r="E4" s="1517"/>
      <c r="F4" s="1517"/>
      <c r="G4" s="1517"/>
      <c r="H4" s="1517"/>
      <c r="I4" s="1517"/>
      <c r="J4" s="1517"/>
      <c r="K4" s="1517"/>
      <c r="L4" s="1517"/>
      <c r="M4" s="1517"/>
      <c r="N4" s="1517"/>
      <c r="O4" s="1517"/>
      <c r="P4" s="1518"/>
      <c r="Q4" s="853"/>
    </row>
    <row r="5" spans="1:17" ht="12.75" customHeight="1" x14ac:dyDescent="0.25">
      <c r="A5" s="7" t="s">
        <v>6</v>
      </c>
      <c r="B5" s="8"/>
      <c r="C5" s="1512" t="s">
        <v>2036</v>
      </c>
      <c r="D5" s="1512"/>
      <c r="E5" s="1512"/>
      <c r="F5" s="1512"/>
      <c r="G5" s="1512"/>
      <c r="H5" s="1512"/>
      <c r="I5" s="1512"/>
      <c r="J5" s="1512"/>
      <c r="K5" s="1512"/>
      <c r="L5" s="1512"/>
      <c r="M5" s="1512"/>
      <c r="N5" s="1512"/>
      <c r="O5" s="1512"/>
      <c r="P5" s="1513"/>
      <c r="Q5" s="853"/>
    </row>
    <row r="6" spans="1:17" ht="12.75" customHeight="1" x14ac:dyDescent="0.25">
      <c r="A6" s="7" t="s">
        <v>8</v>
      </c>
      <c r="B6" s="8"/>
      <c r="C6" s="1790" t="s">
        <v>1492</v>
      </c>
      <c r="D6" s="1512"/>
      <c r="E6" s="1512"/>
      <c r="F6" s="1512"/>
      <c r="G6" s="1512"/>
      <c r="H6" s="1512"/>
      <c r="I6" s="1512"/>
      <c r="J6" s="1512"/>
      <c r="K6" s="1512"/>
      <c r="L6" s="1512"/>
      <c r="M6" s="1512"/>
      <c r="N6" s="1512"/>
      <c r="O6" s="1512"/>
      <c r="P6" s="1513"/>
      <c r="Q6" s="853"/>
    </row>
    <row r="7" spans="1:17" ht="25.5" customHeight="1" x14ac:dyDescent="0.25">
      <c r="A7" s="7" t="s">
        <v>10</v>
      </c>
      <c r="B7" s="8"/>
      <c r="C7" s="1517" t="s">
        <v>1604</v>
      </c>
      <c r="D7" s="1517"/>
      <c r="E7" s="1517"/>
      <c r="F7" s="1517"/>
      <c r="G7" s="1517"/>
      <c r="H7" s="1517"/>
      <c r="I7" s="1517"/>
      <c r="J7" s="1517"/>
      <c r="K7" s="1517"/>
      <c r="L7" s="1517"/>
      <c r="M7" s="1517"/>
      <c r="N7" s="1517"/>
      <c r="O7" s="1517"/>
      <c r="P7" s="1518"/>
      <c r="Q7" s="853"/>
    </row>
    <row r="8" spans="1:17" ht="12.75" customHeight="1" x14ac:dyDescent="0.25">
      <c r="A8" s="9" t="s">
        <v>12</v>
      </c>
      <c r="B8" s="8"/>
      <c r="C8" s="1519"/>
      <c r="D8" s="1519"/>
      <c r="E8" s="1519"/>
      <c r="F8" s="1519"/>
      <c r="G8" s="1519"/>
      <c r="H8" s="1519"/>
      <c r="I8" s="1519"/>
      <c r="J8" s="1519"/>
      <c r="K8" s="1519"/>
      <c r="L8" s="1519"/>
      <c r="M8" s="1519"/>
      <c r="N8" s="1519"/>
      <c r="O8" s="1519"/>
      <c r="P8" s="1520"/>
      <c r="Q8" s="853"/>
    </row>
    <row r="9" spans="1:17" ht="12.75" customHeight="1" x14ac:dyDescent="0.25">
      <c r="A9" s="7"/>
      <c r="B9" s="8" t="s">
        <v>13</v>
      </c>
      <c r="C9" s="1512" t="s">
        <v>2037</v>
      </c>
      <c r="D9" s="1512"/>
      <c r="E9" s="1512"/>
      <c r="F9" s="1512"/>
      <c r="G9" s="1512"/>
      <c r="H9" s="1512"/>
      <c r="I9" s="1512"/>
      <c r="J9" s="1512"/>
      <c r="K9" s="1512"/>
      <c r="L9" s="1512"/>
      <c r="M9" s="1512"/>
      <c r="N9" s="1512"/>
      <c r="O9" s="1512"/>
      <c r="P9" s="1513"/>
      <c r="Q9" s="853"/>
    </row>
    <row r="10" spans="1:17" ht="12.75" customHeight="1" x14ac:dyDescent="0.25">
      <c r="A10" s="7"/>
      <c r="B10" s="8" t="s">
        <v>15</v>
      </c>
      <c r="C10" s="1512" t="s">
        <v>2038</v>
      </c>
      <c r="D10" s="1512"/>
      <c r="E10" s="1512"/>
      <c r="F10" s="1512"/>
      <c r="G10" s="1512"/>
      <c r="H10" s="1512"/>
      <c r="I10" s="1512"/>
      <c r="J10" s="1512"/>
      <c r="K10" s="1512"/>
      <c r="L10" s="1512"/>
      <c r="M10" s="1512"/>
      <c r="N10" s="1512"/>
      <c r="O10" s="1512"/>
      <c r="P10" s="1513"/>
      <c r="Q10" s="853"/>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853"/>
    </row>
    <row r="12" spans="1:17" ht="12.75" customHeight="1" x14ac:dyDescent="0.25">
      <c r="A12" s="7"/>
      <c r="B12" s="8" t="s">
        <v>17</v>
      </c>
      <c r="C12" s="1512" t="s">
        <v>2039</v>
      </c>
      <c r="D12" s="1512"/>
      <c r="E12" s="1512"/>
      <c r="F12" s="1512"/>
      <c r="G12" s="1512"/>
      <c r="H12" s="1512"/>
      <c r="I12" s="1512"/>
      <c r="J12" s="1512"/>
      <c r="K12" s="1512"/>
      <c r="L12" s="1512"/>
      <c r="M12" s="1512"/>
      <c r="N12" s="1512"/>
      <c r="O12" s="1512"/>
      <c r="P12" s="1513"/>
      <c r="Q12" s="853"/>
    </row>
    <row r="13" spans="1:17" ht="12.75" customHeight="1" x14ac:dyDescent="0.25">
      <c r="A13" s="7"/>
      <c r="B13" s="8" t="s">
        <v>18</v>
      </c>
      <c r="C13" s="1512" t="s">
        <v>2040</v>
      </c>
      <c r="D13" s="1512"/>
      <c r="E13" s="1512"/>
      <c r="F13" s="1512"/>
      <c r="G13" s="1512"/>
      <c r="H13" s="1512"/>
      <c r="I13" s="1512"/>
      <c r="J13" s="1512"/>
      <c r="K13" s="1512"/>
      <c r="L13" s="1512"/>
      <c r="M13" s="1512"/>
      <c r="N13" s="1512"/>
      <c r="O13" s="1512"/>
      <c r="P13" s="1513"/>
      <c r="Q13" s="853"/>
    </row>
    <row r="14" spans="1:17" ht="12.75" customHeight="1" x14ac:dyDescent="0.25">
      <c r="A14" s="10"/>
      <c r="B14" s="11"/>
      <c r="C14" s="1521"/>
      <c r="D14" s="1521"/>
      <c r="E14" s="1521"/>
      <c r="F14" s="1521"/>
      <c r="G14" s="1521"/>
      <c r="H14" s="1521"/>
      <c r="I14" s="1521"/>
      <c r="J14" s="1521"/>
      <c r="K14" s="1521"/>
      <c r="L14" s="1521"/>
      <c r="M14" s="1521"/>
      <c r="N14" s="1521"/>
      <c r="O14" s="1521"/>
      <c r="P14" s="1522"/>
      <c r="Q14" s="853"/>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413008</v>
      </c>
      <c r="D20" s="32">
        <f>SUM(D21,D24,D25,D41,D43)</f>
        <v>375064</v>
      </c>
      <c r="E20" s="33">
        <f t="shared" ref="E20:F20" si="1">SUM(E21,E24,E25,E41,E43)</f>
        <v>0</v>
      </c>
      <c r="F20" s="34">
        <f t="shared" si="1"/>
        <v>375064</v>
      </c>
      <c r="G20" s="32">
        <f>SUM(G21,G24,G43)</f>
        <v>31394</v>
      </c>
      <c r="H20" s="33">
        <f t="shared" ref="H20:I20" si="2">SUM(H21,H24,H43)</f>
        <v>4454</v>
      </c>
      <c r="I20" s="34">
        <f t="shared" si="2"/>
        <v>35848</v>
      </c>
      <c r="J20" s="32">
        <f>SUM(J21,J26,J43)</f>
        <v>2096</v>
      </c>
      <c r="K20" s="33">
        <f t="shared" ref="K20:L20" si="3">SUM(K21,K26,K43)</f>
        <v>0</v>
      </c>
      <c r="L20" s="34">
        <f t="shared" si="3"/>
        <v>2096</v>
      </c>
      <c r="M20" s="32">
        <f>SUM(M21,M45)</f>
        <v>0</v>
      </c>
      <c r="N20" s="33">
        <f t="shared" ref="N20:O20" si="4">SUM(N21,N45)</f>
        <v>0</v>
      </c>
      <c r="O20" s="34">
        <f t="shared" si="4"/>
        <v>0</v>
      </c>
      <c r="P20" s="35"/>
    </row>
    <row r="21" spans="1:16" ht="15.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52.5" customHeight="1" thickTop="1" thickBot="1" x14ac:dyDescent="0.3">
      <c r="A24" s="58">
        <v>19300</v>
      </c>
      <c r="B24" s="58" t="s">
        <v>42</v>
      </c>
      <c r="C24" s="59">
        <f>F24+I24</f>
        <v>410912</v>
      </c>
      <c r="D24" s="60">
        <v>375064</v>
      </c>
      <c r="E24" s="63"/>
      <c r="F24" s="62">
        <f t="shared" si="9"/>
        <v>375064</v>
      </c>
      <c r="G24" s="60">
        <v>31394</v>
      </c>
      <c r="H24" s="63">
        <f>3292+942+220</f>
        <v>4454</v>
      </c>
      <c r="I24" s="62">
        <f t="shared" si="10"/>
        <v>35848</v>
      </c>
      <c r="J24" s="64" t="s">
        <v>43</v>
      </c>
      <c r="K24" s="65" t="s">
        <v>43</v>
      </c>
      <c r="L24" s="66" t="s">
        <v>43</v>
      </c>
      <c r="M24" s="64" t="s">
        <v>43</v>
      </c>
      <c r="N24" s="65" t="s">
        <v>43</v>
      </c>
      <c r="O24" s="66" t="s">
        <v>43</v>
      </c>
      <c r="P24" s="67" t="s">
        <v>2041</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2096</v>
      </c>
      <c r="D26" s="74" t="s">
        <v>43</v>
      </c>
      <c r="E26" s="75" t="s">
        <v>43</v>
      </c>
      <c r="F26" s="76" t="s">
        <v>43</v>
      </c>
      <c r="G26" s="74" t="s">
        <v>43</v>
      </c>
      <c r="H26" s="75" t="s">
        <v>43</v>
      </c>
      <c r="I26" s="76" t="s">
        <v>43</v>
      </c>
      <c r="J26" s="78">
        <f>SUM(J27,J31,J33,J36)</f>
        <v>2096</v>
      </c>
      <c r="K26" s="79">
        <f t="shared" ref="K26:L26" si="11">SUM(K27,K31,K33,K36)</f>
        <v>0</v>
      </c>
      <c r="L26" s="80">
        <f t="shared" si="11"/>
        <v>2096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customHeight="1" x14ac:dyDescent="0.25">
      <c r="A33" s="81">
        <v>21380</v>
      </c>
      <c r="B33" s="69" t="s">
        <v>52</v>
      </c>
      <c r="C33" s="70">
        <f t="shared" si="16"/>
        <v>263</v>
      </c>
      <c r="D33" s="74" t="s">
        <v>43</v>
      </c>
      <c r="E33" s="75" t="s">
        <v>43</v>
      </c>
      <c r="F33" s="76" t="s">
        <v>43</v>
      </c>
      <c r="G33" s="74" t="s">
        <v>43</v>
      </c>
      <c r="H33" s="75" t="s">
        <v>43</v>
      </c>
      <c r="I33" s="76" t="s">
        <v>43</v>
      </c>
      <c r="J33" s="78">
        <f>SUM(J34:J35)</f>
        <v>263</v>
      </c>
      <c r="K33" s="79">
        <f t="shared" ref="K33:L33" si="17">SUM(K34:K35)</f>
        <v>0</v>
      </c>
      <c r="L33" s="80">
        <f t="shared" si="17"/>
        <v>263</v>
      </c>
      <c r="M33" s="78" t="s">
        <v>43</v>
      </c>
      <c r="N33" s="79" t="s">
        <v>43</v>
      </c>
      <c r="O33" s="80" t="s">
        <v>43</v>
      </c>
      <c r="P33" s="77"/>
    </row>
    <row r="34" spans="1:16" ht="12" customHeight="1" x14ac:dyDescent="0.25">
      <c r="A34" s="44">
        <v>21381</v>
      </c>
      <c r="B34" s="82" t="s">
        <v>53</v>
      </c>
      <c r="C34" s="83">
        <f t="shared" si="16"/>
        <v>263</v>
      </c>
      <c r="D34" s="84" t="s">
        <v>43</v>
      </c>
      <c r="E34" s="85" t="s">
        <v>43</v>
      </c>
      <c r="F34" s="86" t="s">
        <v>43</v>
      </c>
      <c r="G34" s="84" t="s">
        <v>43</v>
      </c>
      <c r="H34" s="85" t="s">
        <v>43</v>
      </c>
      <c r="I34" s="86" t="s">
        <v>43</v>
      </c>
      <c r="J34" s="46">
        <v>263</v>
      </c>
      <c r="K34" s="47"/>
      <c r="L34" s="48">
        <f t="shared" ref="L34:L35" si="18">K34+J34</f>
        <v>263</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1833</v>
      </c>
      <c r="D36" s="74" t="s">
        <v>43</v>
      </c>
      <c r="E36" s="75" t="s">
        <v>43</v>
      </c>
      <c r="F36" s="76" t="s">
        <v>43</v>
      </c>
      <c r="G36" s="74" t="s">
        <v>43</v>
      </c>
      <c r="H36" s="75" t="s">
        <v>43</v>
      </c>
      <c r="I36" s="76" t="s">
        <v>43</v>
      </c>
      <c r="J36" s="78">
        <f>SUM(J37:J40)</f>
        <v>1833</v>
      </c>
      <c r="K36" s="79">
        <f t="shared" ref="K36:L36" si="19">SUM(K37:K40)</f>
        <v>0</v>
      </c>
      <c r="L36" s="80">
        <f t="shared" si="19"/>
        <v>1833</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1833</v>
      </c>
      <c r="D40" s="111" t="s">
        <v>43</v>
      </c>
      <c r="E40" s="112" t="s">
        <v>43</v>
      </c>
      <c r="F40" s="113" t="s">
        <v>43</v>
      </c>
      <c r="G40" s="111" t="s">
        <v>43</v>
      </c>
      <c r="H40" s="112" t="s">
        <v>43</v>
      </c>
      <c r="I40" s="113" t="s">
        <v>43</v>
      </c>
      <c r="J40" s="114">
        <v>1833</v>
      </c>
      <c r="K40" s="115"/>
      <c r="L40" s="116">
        <f t="shared" si="20"/>
        <v>1833</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413008</v>
      </c>
      <c r="D50" s="159">
        <f>SUM(D51,D286)</f>
        <v>375064</v>
      </c>
      <c r="E50" s="160">
        <f t="shared" ref="E50:F50" si="26">SUM(E51,E286)</f>
        <v>0</v>
      </c>
      <c r="F50" s="161">
        <f t="shared" si="26"/>
        <v>375064</v>
      </c>
      <c r="G50" s="159">
        <f>SUM(G51,G286)</f>
        <v>31394</v>
      </c>
      <c r="H50" s="160">
        <f>SUM(H51,H286)</f>
        <v>4454</v>
      </c>
      <c r="I50" s="161">
        <f t="shared" ref="I50" si="27">SUM(I51,I286)</f>
        <v>35848</v>
      </c>
      <c r="J50" s="32">
        <f>SUM(J51,J286)</f>
        <v>2096</v>
      </c>
      <c r="K50" s="33">
        <f t="shared" ref="K50:L50" si="28">SUM(K51,K286)</f>
        <v>0</v>
      </c>
      <c r="L50" s="34">
        <f t="shared" si="28"/>
        <v>2096</v>
      </c>
      <c r="M50" s="32">
        <f>SUM(M51,M286)</f>
        <v>0</v>
      </c>
      <c r="N50" s="33">
        <f t="shared" ref="N50:O50" si="29">SUM(N51,N286)</f>
        <v>0</v>
      </c>
      <c r="O50" s="34">
        <f t="shared" si="29"/>
        <v>0</v>
      </c>
      <c r="P50" s="35"/>
    </row>
    <row r="51" spans="1:16" s="28" customFormat="1" ht="36.75" thickTop="1" x14ac:dyDescent="0.25">
      <c r="A51" s="162"/>
      <c r="B51" s="163" t="s">
        <v>69</v>
      </c>
      <c r="C51" s="164">
        <f t="shared" si="0"/>
        <v>413008</v>
      </c>
      <c r="D51" s="165">
        <f>SUM(D52,D194)</f>
        <v>375064</v>
      </c>
      <c r="E51" s="166">
        <f t="shared" ref="E51:F51" si="30">SUM(E52,E194)</f>
        <v>0</v>
      </c>
      <c r="F51" s="167">
        <f t="shared" si="30"/>
        <v>375064</v>
      </c>
      <c r="G51" s="165">
        <f>SUM(G52,G194)</f>
        <v>31394</v>
      </c>
      <c r="H51" s="166">
        <f t="shared" ref="H51:I51" si="31">SUM(H52,H194)</f>
        <v>4454</v>
      </c>
      <c r="I51" s="167">
        <f t="shared" si="31"/>
        <v>35848</v>
      </c>
      <c r="J51" s="168">
        <f>SUM(J52,J194)</f>
        <v>2096</v>
      </c>
      <c r="K51" s="169">
        <f t="shared" ref="K51:L51" si="32">SUM(K52,K194)</f>
        <v>0</v>
      </c>
      <c r="L51" s="170">
        <f t="shared" si="32"/>
        <v>2096</v>
      </c>
      <c r="M51" s="168">
        <f>SUM(M52,M194)</f>
        <v>0</v>
      </c>
      <c r="N51" s="169">
        <f t="shared" ref="N51:O51" si="33">SUM(N52,N194)</f>
        <v>0</v>
      </c>
      <c r="O51" s="170">
        <f t="shared" si="33"/>
        <v>0</v>
      </c>
      <c r="P51" s="171"/>
    </row>
    <row r="52" spans="1:16" s="28" customFormat="1" ht="24" x14ac:dyDescent="0.25">
      <c r="A52" s="24"/>
      <c r="B52" s="22" t="s">
        <v>70</v>
      </c>
      <c r="C52" s="172">
        <f t="shared" si="0"/>
        <v>410808</v>
      </c>
      <c r="D52" s="173">
        <f>SUM(D53,D75,D173,D187)</f>
        <v>372434</v>
      </c>
      <c r="E52" s="174">
        <f t="shared" ref="E52:F52" si="34">SUM(E53,E75,E173,E187)</f>
        <v>430</v>
      </c>
      <c r="F52" s="175">
        <f t="shared" si="34"/>
        <v>372864</v>
      </c>
      <c r="G52" s="173">
        <f>SUM(G53,G75,G173,G187)</f>
        <v>31394</v>
      </c>
      <c r="H52" s="174">
        <f t="shared" ref="H52:I52" si="35">SUM(H53,H75,H173,H187)</f>
        <v>4454</v>
      </c>
      <c r="I52" s="175">
        <f t="shared" si="35"/>
        <v>35848</v>
      </c>
      <c r="J52" s="173">
        <f>SUM(J53,J75,J173,J187)</f>
        <v>2096</v>
      </c>
      <c r="K52" s="174">
        <f t="shared" ref="K52:L52" si="36">SUM(K53,K75,K173,K187)</f>
        <v>0</v>
      </c>
      <c r="L52" s="175">
        <f t="shared" si="36"/>
        <v>2096</v>
      </c>
      <c r="M52" s="173">
        <f>SUM(M53,M75,M173,M187)</f>
        <v>0</v>
      </c>
      <c r="N52" s="174">
        <f t="shared" ref="N52:O52" si="37">SUM(N53,N75,N173,N187)</f>
        <v>0</v>
      </c>
      <c r="O52" s="175">
        <f t="shared" si="37"/>
        <v>0</v>
      </c>
      <c r="P52" s="176"/>
    </row>
    <row r="53" spans="1:16" s="28" customFormat="1" ht="12" x14ac:dyDescent="0.25">
      <c r="A53" s="177">
        <v>1000</v>
      </c>
      <c r="B53" s="177" t="s">
        <v>71</v>
      </c>
      <c r="C53" s="178">
        <f t="shared" si="0"/>
        <v>380250</v>
      </c>
      <c r="D53" s="179">
        <f>SUM(D54,D67)</f>
        <v>345158</v>
      </c>
      <c r="E53" s="180">
        <f t="shared" ref="E53:F53" si="38">SUM(E54,E67)</f>
        <v>0</v>
      </c>
      <c r="F53" s="181">
        <f t="shared" si="38"/>
        <v>345158</v>
      </c>
      <c r="G53" s="179">
        <f>SUM(G54,G67)</f>
        <v>30638</v>
      </c>
      <c r="H53" s="180">
        <f t="shared" ref="H53:I53" si="39">SUM(H54,H67)</f>
        <v>4454</v>
      </c>
      <c r="I53" s="181">
        <f t="shared" si="39"/>
        <v>35092</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288150</v>
      </c>
      <c r="D54" s="184">
        <f>SUM(D55,D58,D66)</f>
        <v>259970</v>
      </c>
      <c r="E54" s="185">
        <f t="shared" ref="E54:F54" si="42">SUM(E55,E58,E66)</f>
        <v>0</v>
      </c>
      <c r="F54" s="73">
        <f t="shared" si="42"/>
        <v>259970</v>
      </c>
      <c r="G54" s="184">
        <f>SUM(G55,G58,G66)</f>
        <v>24668</v>
      </c>
      <c r="H54" s="185">
        <f t="shared" ref="H54:I54" si="43">SUM(H55,H58,H66)</f>
        <v>3512</v>
      </c>
      <c r="I54" s="73">
        <f t="shared" si="43"/>
        <v>28180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261608</v>
      </c>
      <c r="D55" s="187">
        <f>SUM(D56:D57)</f>
        <v>233654</v>
      </c>
      <c r="E55" s="188">
        <f t="shared" ref="E55:F55" si="46">SUM(E56:E57)</f>
        <v>0</v>
      </c>
      <c r="F55" s="141">
        <f t="shared" si="46"/>
        <v>233654</v>
      </c>
      <c r="G55" s="187">
        <f>SUM(G56:G57)</f>
        <v>24268</v>
      </c>
      <c r="H55" s="188">
        <f t="shared" ref="H55:I55" si="47">SUM(H56:H57)</f>
        <v>3686</v>
      </c>
      <c r="I55" s="141">
        <f t="shared" si="47"/>
        <v>27954</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s="1438" customFormat="1" ht="31.5" customHeight="1" x14ac:dyDescent="0.25">
      <c r="A57" s="51">
        <v>1119</v>
      </c>
      <c r="B57" s="89" t="s">
        <v>75</v>
      </c>
      <c r="C57" s="90">
        <f t="shared" si="0"/>
        <v>261608</v>
      </c>
      <c r="D57" s="53">
        <v>233654</v>
      </c>
      <c r="E57" s="54"/>
      <c r="F57" s="55">
        <f t="shared" si="50"/>
        <v>233654</v>
      </c>
      <c r="G57" s="53">
        <v>24268</v>
      </c>
      <c r="H57" s="54">
        <f>3292+220+174</f>
        <v>3686</v>
      </c>
      <c r="I57" s="55">
        <f t="shared" si="51"/>
        <v>27954</v>
      </c>
      <c r="J57" s="53"/>
      <c r="K57" s="54"/>
      <c r="L57" s="55">
        <f t="shared" si="52"/>
        <v>0</v>
      </c>
      <c r="M57" s="53"/>
      <c r="N57" s="54"/>
      <c r="O57" s="55">
        <f t="shared" si="53"/>
        <v>0</v>
      </c>
      <c r="P57" s="1487" t="s">
        <v>2042</v>
      </c>
    </row>
    <row r="58" spans="1:16" x14ac:dyDescent="0.25">
      <c r="A58" s="189">
        <v>1140</v>
      </c>
      <c r="B58" s="89" t="s">
        <v>76</v>
      </c>
      <c r="C58" s="90">
        <f t="shared" si="0"/>
        <v>23754</v>
      </c>
      <c r="D58" s="190">
        <f>SUM(D59:D65)</f>
        <v>23528</v>
      </c>
      <c r="E58" s="191">
        <f>SUM(E59:E65)</f>
        <v>0</v>
      </c>
      <c r="F58" s="55">
        <f t="shared" ref="F58" si="54">SUM(F59:F65)</f>
        <v>23528</v>
      </c>
      <c r="G58" s="190">
        <f>SUM(G59:G65)</f>
        <v>400</v>
      </c>
      <c r="H58" s="191">
        <f t="shared" ref="H58:I58" si="55">SUM(H59:H65)</f>
        <v>-174</v>
      </c>
      <c r="I58" s="55">
        <f t="shared" si="55"/>
        <v>226</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30" customHeight="1" x14ac:dyDescent="0.25">
      <c r="A60" s="345">
        <v>1142</v>
      </c>
      <c r="B60" s="346" t="s">
        <v>78</v>
      </c>
      <c r="C60" s="347">
        <f t="shared" si="0"/>
        <v>1104</v>
      </c>
      <c r="D60" s="348">
        <v>1104</v>
      </c>
      <c r="E60" s="349"/>
      <c r="F60" s="350">
        <f t="shared" si="58"/>
        <v>1104</v>
      </c>
      <c r="G60" s="348"/>
      <c r="H60" s="349"/>
      <c r="I60" s="350">
        <f t="shared" si="59"/>
        <v>0</v>
      </c>
      <c r="J60" s="348"/>
      <c r="K60" s="349"/>
      <c r="L60" s="350">
        <f t="shared" si="60"/>
        <v>0</v>
      </c>
      <c r="M60" s="348"/>
      <c r="N60" s="349"/>
      <c r="O60" s="350">
        <f t="shared" si="61"/>
        <v>0</v>
      </c>
      <c r="P60" s="354"/>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s="1438" customFormat="1" ht="22.5" customHeight="1" x14ac:dyDescent="0.25">
      <c r="A63" s="51">
        <v>1147</v>
      </c>
      <c r="B63" s="89" t="s">
        <v>81</v>
      </c>
      <c r="C63" s="90">
        <f t="shared" si="0"/>
        <v>3005</v>
      </c>
      <c r="D63" s="53">
        <v>2779</v>
      </c>
      <c r="E63" s="54"/>
      <c r="F63" s="55">
        <f t="shared" si="58"/>
        <v>2779</v>
      </c>
      <c r="G63" s="53">
        <v>400</v>
      </c>
      <c r="H63" s="54">
        <v>-174</v>
      </c>
      <c r="I63" s="55">
        <f t="shared" si="59"/>
        <v>226</v>
      </c>
      <c r="J63" s="53"/>
      <c r="K63" s="54"/>
      <c r="L63" s="55">
        <f t="shared" si="60"/>
        <v>0</v>
      </c>
      <c r="M63" s="53"/>
      <c r="N63" s="54"/>
      <c r="O63" s="55">
        <f t="shared" si="61"/>
        <v>0</v>
      </c>
      <c r="P63" s="57" t="s">
        <v>2043</v>
      </c>
    </row>
    <row r="64" spans="1:16" s="1438" customFormat="1" ht="12" customHeight="1" x14ac:dyDescent="0.25">
      <c r="A64" s="51">
        <v>1148</v>
      </c>
      <c r="B64" s="89" t="s">
        <v>82</v>
      </c>
      <c r="C64" s="90">
        <f t="shared" si="0"/>
        <v>15473</v>
      </c>
      <c r="D64" s="53">
        <v>15473</v>
      </c>
      <c r="E64" s="54"/>
      <c r="F64" s="55">
        <f t="shared" si="58"/>
        <v>15473</v>
      </c>
      <c r="G64" s="53"/>
      <c r="H64" s="54"/>
      <c r="I64" s="55">
        <f t="shared" si="59"/>
        <v>0</v>
      </c>
      <c r="J64" s="53"/>
      <c r="K64" s="54"/>
      <c r="L64" s="55">
        <f t="shared" si="60"/>
        <v>0</v>
      </c>
      <c r="M64" s="53"/>
      <c r="N64" s="54"/>
      <c r="O64" s="55">
        <f t="shared" si="61"/>
        <v>0</v>
      </c>
      <c r="P64" s="57"/>
    </row>
    <row r="65" spans="1:16" s="1438" customFormat="1"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s="1438" customFormat="1" ht="36" customHeight="1" x14ac:dyDescent="0.25">
      <c r="A66" s="186">
        <v>1150</v>
      </c>
      <c r="B66" s="138" t="s">
        <v>84</v>
      </c>
      <c r="C66" s="143">
        <f t="shared" si="0"/>
        <v>2788</v>
      </c>
      <c r="D66" s="144">
        <v>2788</v>
      </c>
      <c r="E66" s="145"/>
      <c r="F66" s="141">
        <f t="shared" si="58"/>
        <v>2788</v>
      </c>
      <c r="G66" s="144"/>
      <c r="H66" s="145"/>
      <c r="I66" s="141">
        <f t="shared" si="59"/>
        <v>0</v>
      </c>
      <c r="J66" s="144"/>
      <c r="K66" s="145"/>
      <c r="L66" s="141">
        <f t="shared" si="60"/>
        <v>0</v>
      </c>
      <c r="M66" s="144"/>
      <c r="N66" s="145"/>
      <c r="O66" s="141">
        <f t="shared" si="61"/>
        <v>0</v>
      </c>
      <c r="P66" s="129"/>
    </row>
    <row r="67" spans="1:16" s="1438" customFormat="1" ht="24" x14ac:dyDescent="0.25">
      <c r="A67" s="69">
        <v>1200</v>
      </c>
      <c r="B67" s="183" t="s">
        <v>85</v>
      </c>
      <c r="C67" s="70">
        <f t="shared" si="0"/>
        <v>92100</v>
      </c>
      <c r="D67" s="184">
        <f>SUM(D68:D69)</f>
        <v>85188</v>
      </c>
      <c r="E67" s="185">
        <f t="shared" ref="E67:F67" si="62">SUM(E68:E69)</f>
        <v>0</v>
      </c>
      <c r="F67" s="73">
        <f t="shared" si="62"/>
        <v>85188</v>
      </c>
      <c r="G67" s="184">
        <f>SUM(G68:G69)</f>
        <v>5970</v>
      </c>
      <c r="H67" s="185">
        <f t="shared" ref="H67:I67" si="63">SUM(H68:H69)</f>
        <v>942</v>
      </c>
      <c r="I67" s="73">
        <f t="shared" si="63"/>
        <v>6912</v>
      </c>
      <c r="J67" s="184">
        <f>SUM(J68:J69)</f>
        <v>0</v>
      </c>
      <c r="K67" s="185">
        <f t="shared" ref="K67:L67" si="64">SUM(K68:K69)</f>
        <v>0</v>
      </c>
      <c r="L67" s="73">
        <f t="shared" si="64"/>
        <v>0</v>
      </c>
      <c r="M67" s="184">
        <f>SUM(M68:M69)</f>
        <v>0</v>
      </c>
      <c r="N67" s="185">
        <f t="shared" ref="N67:O67" si="65">SUM(N68:N69)</f>
        <v>0</v>
      </c>
      <c r="O67" s="73">
        <f t="shared" si="65"/>
        <v>0</v>
      </c>
      <c r="P67" s="77"/>
    </row>
    <row r="68" spans="1:16" s="1438" customFormat="1" ht="30.75" customHeight="1" x14ac:dyDescent="0.25">
      <c r="A68" s="1449">
        <v>1210</v>
      </c>
      <c r="B68" s="82" t="s">
        <v>86</v>
      </c>
      <c r="C68" s="83">
        <f t="shared" si="0"/>
        <v>72271</v>
      </c>
      <c r="D68" s="46">
        <v>65459</v>
      </c>
      <c r="E68" s="47"/>
      <c r="F68" s="134">
        <f>D68+E68</f>
        <v>65459</v>
      </c>
      <c r="G68" s="46">
        <v>5870</v>
      </c>
      <c r="H68" s="47">
        <f>942</f>
        <v>942</v>
      </c>
      <c r="I68" s="134">
        <f>G68+H68</f>
        <v>6812</v>
      </c>
      <c r="J68" s="46"/>
      <c r="K68" s="47"/>
      <c r="L68" s="134">
        <f>K68+J68</f>
        <v>0</v>
      </c>
      <c r="M68" s="46"/>
      <c r="N68" s="47"/>
      <c r="O68" s="134">
        <f>N68+M68</f>
        <v>0</v>
      </c>
      <c r="P68" s="1487" t="s">
        <v>2044</v>
      </c>
    </row>
    <row r="69" spans="1:16" ht="24" x14ac:dyDescent="0.25">
      <c r="A69" s="189">
        <v>1220</v>
      </c>
      <c r="B69" s="89" t="s">
        <v>87</v>
      </c>
      <c r="C69" s="90">
        <f t="shared" si="0"/>
        <v>19829</v>
      </c>
      <c r="D69" s="190">
        <f>SUM(D70:D74)</f>
        <v>19729</v>
      </c>
      <c r="E69" s="191">
        <f t="shared" ref="E69:F69" si="66">SUM(E70:E74)</f>
        <v>0</v>
      </c>
      <c r="F69" s="55">
        <f t="shared" si="66"/>
        <v>19729</v>
      </c>
      <c r="G69" s="190">
        <f>SUM(G70:G74)</f>
        <v>100</v>
      </c>
      <c r="H69" s="191">
        <f t="shared" ref="H69:I69" si="67">SUM(H70:H74)</f>
        <v>0</v>
      </c>
      <c r="I69" s="55">
        <f t="shared" si="67"/>
        <v>100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88</v>
      </c>
      <c r="C70" s="90">
        <f t="shared" si="0"/>
        <v>11858</v>
      </c>
      <c r="D70" s="53">
        <v>11758</v>
      </c>
      <c r="E70" s="54"/>
      <c r="F70" s="55">
        <f t="shared" ref="F70:F74" si="70">D70+E70</f>
        <v>11758</v>
      </c>
      <c r="G70" s="53">
        <v>100</v>
      </c>
      <c r="H70" s="54"/>
      <c r="I70" s="55">
        <f t="shared" ref="I70:I74" si="71">G70+H70</f>
        <v>100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7471</v>
      </c>
      <c r="D73" s="53">
        <v>7471</v>
      </c>
      <c r="E73" s="54"/>
      <c r="F73" s="55">
        <f t="shared" si="70"/>
        <v>7471</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30558</v>
      </c>
      <c r="D75" s="179">
        <f>SUM(D76,D83,D130,D164,D165,D172)</f>
        <v>27276</v>
      </c>
      <c r="E75" s="180">
        <f t="shared" ref="E75:F75" si="74">SUM(E76,E83,E130,E164,E165,E172)</f>
        <v>430</v>
      </c>
      <c r="F75" s="181">
        <f t="shared" si="74"/>
        <v>27706</v>
      </c>
      <c r="G75" s="179">
        <f>SUM(G76,G83,G130,G164,G165,G172)</f>
        <v>756</v>
      </c>
      <c r="H75" s="180">
        <f t="shared" ref="H75:I75" si="75">SUM(H76,H83,H130,H164,H165,H172)</f>
        <v>0</v>
      </c>
      <c r="I75" s="181">
        <f t="shared" si="75"/>
        <v>756</v>
      </c>
      <c r="J75" s="179">
        <f>SUM(J76,J83,J130,J164,J165,J172)</f>
        <v>2096</v>
      </c>
      <c r="K75" s="180">
        <f t="shared" ref="K75:L75" si="76">SUM(K76,K83,K130,K164,K165,K172)</f>
        <v>0</v>
      </c>
      <c r="L75" s="181">
        <f t="shared" si="76"/>
        <v>2096</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23576</v>
      </c>
      <c r="D83" s="184">
        <f>SUM(D84,D89,D95,D103,D112,D116,D122,D128)</f>
        <v>21550</v>
      </c>
      <c r="E83" s="185">
        <f t="shared" ref="E83:F83" si="98">SUM(E84,E89,E95,E103,E112,E116,E122,E128)</f>
        <v>-70</v>
      </c>
      <c r="F83" s="73">
        <f t="shared" si="98"/>
        <v>21480</v>
      </c>
      <c r="G83" s="184">
        <f>SUM(G84,G89,G95,G103,G112,G116,G122,G128)</f>
        <v>0</v>
      </c>
      <c r="H83" s="185">
        <f t="shared" ref="H83:I83" si="99">SUM(H84,H89,H95,H103,H112,H116,H122,H128)</f>
        <v>0</v>
      </c>
      <c r="I83" s="73">
        <f t="shared" si="99"/>
        <v>0</v>
      </c>
      <c r="J83" s="184">
        <f>SUM(J84,J89,J95,J103,J112,J116,J122,J128)</f>
        <v>2096</v>
      </c>
      <c r="K83" s="185">
        <f t="shared" ref="K83:L83" si="100">SUM(K84,K89,K95,K103,K112,K116,K122,K128)</f>
        <v>0</v>
      </c>
      <c r="L83" s="73">
        <f t="shared" si="100"/>
        <v>2096</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505</v>
      </c>
      <c r="D84" s="187">
        <f>SUM(D85:D88)</f>
        <v>505</v>
      </c>
      <c r="E84" s="188">
        <f t="shared" ref="E84:F84" si="103">SUM(E85:E88)</f>
        <v>0</v>
      </c>
      <c r="F84" s="141">
        <f t="shared" si="103"/>
        <v>505</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404</v>
      </c>
      <c r="D86" s="196">
        <v>404</v>
      </c>
      <c r="E86" s="197"/>
      <c r="F86" s="55">
        <f t="shared" si="107"/>
        <v>404</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2" customHeight="1" x14ac:dyDescent="0.25">
      <c r="A88" s="51">
        <v>2219</v>
      </c>
      <c r="B88" s="89" t="s">
        <v>104</v>
      </c>
      <c r="C88" s="90">
        <f t="shared" si="102"/>
        <v>50</v>
      </c>
      <c r="D88" s="196">
        <v>50</v>
      </c>
      <c r="E88" s="197"/>
      <c r="F88" s="55">
        <f t="shared" si="107"/>
        <v>50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17761</v>
      </c>
      <c r="D89" s="190">
        <f>SUM(D90:D94)</f>
        <v>15665</v>
      </c>
      <c r="E89" s="191">
        <f t="shared" ref="E89:F89" si="111">SUM(E90:E94)</f>
        <v>0</v>
      </c>
      <c r="F89" s="55">
        <f t="shared" si="111"/>
        <v>15665</v>
      </c>
      <c r="G89" s="190">
        <f>SUM(G90:G94)</f>
        <v>0</v>
      </c>
      <c r="H89" s="191">
        <f t="shared" ref="H89:I89" si="112">SUM(H90:H94)</f>
        <v>0</v>
      </c>
      <c r="I89" s="55">
        <f t="shared" si="112"/>
        <v>0</v>
      </c>
      <c r="J89" s="190">
        <f>SUM(J90:J94)</f>
        <v>2096</v>
      </c>
      <c r="K89" s="191">
        <f t="shared" ref="K89:L89" si="113">SUM(K90:K94)</f>
        <v>0</v>
      </c>
      <c r="L89" s="55">
        <f t="shared" si="113"/>
        <v>2096</v>
      </c>
      <c r="M89" s="190">
        <f>SUM(M90:M94)</f>
        <v>0</v>
      </c>
      <c r="N89" s="191">
        <f t="shared" ref="N89:O89" si="114">SUM(N90:N94)</f>
        <v>0</v>
      </c>
      <c r="O89" s="55">
        <f t="shared" si="114"/>
        <v>0</v>
      </c>
      <c r="P89" s="57"/>
    </row>
    <row r="90" spans="1:16" s="1438" customFormat="1" ht="27" customHeight="1" x14ac:dyDescent="0.25">
      <c r="A90" s="51">
        <v>2221</v>
      </c>
      <c r="B90" s="89" t="s">
        <v>106</v>
      </c>
      <c r="C90" s="90">
        <f t="shared" si="102"/>
        <v>7538</v>
      </c>
      <c r="D90" s="196">
        <v>6252</v>
      </c>
      <c r="E90" s="197">
        <v>570</v>
      </c>
      <c r="F90" s="55">
        <f t="shared" ref="F90:F94" si="115">D90+E90</f>
        <v>6822</v>
      </c>
      <c r="G90" s="53"/>
      <c r="H90" s="54"/>
      <c r="I90" s="55">
        <f t="shared" ref="I90:I94" si="116">G90+H90</f>
        <v>0</v>
      </c>
      <c r="J90" s="53">
        <v>716</v>
      </c>
      <c r="K90" s="54"/>
      <c r="L90" s="55">
        <f t="shared" ref="L90:L94" si="117">K90+J90</f>
        <v>716</v>
      </c>
      <c r="M90" s="53"/>
      <c r="N90" s="54"/>
      <c r="O90" s="55">
        <f t="shared" ref="O90:O94" si="118">N90+M90</f>
        <v>0</v>
      </c>
      <c r="P90" s="1489" t="s">
        <v>2045</v>
      </c>
    </row>
    <row r="91" spans="1:16" s="1438" customFormat="1" ht="24.75" customHeight="1" x14ac:dyDescent="0.25">
      <c r="A91" s="51">
        <v>2222</v>
      </c>
      <c r="B91" s="89" t="s">
        <v>107</v>
      </c>
      <c r="C91" s="90">
        <f t="shared" si="102"/>
        <v>3142</v>
      </c>
      <c r="D91" s="196">
        <v>3115</v>
      </c>
      <c r="E91" s="197">
        <v>-370</v>
      </c>
      <c r="F91" s="55">
        <f t="shared" si="115"/>
        <v>2745</v>
      </c>
      <c r="G91" s="53"/>
      <c r="H91" s="54"/>
      <c r="I91" s="55">
        <f t="shared" si="116"/>
        <v>0</v>
      </c>
      <c r="J91" s="53">
        <v>397</v>
      </c>
      <c r="K91" s="54"/>
      <c r="L91" s="55">
        <f t="shared" si="117"/>
        <v>397</v>
      </c>
      <c r="M91" s="53"/>
      <c r="N91" s="54"/>
      <c r="O91" s="55">
        <f t="shared" si="118"/>
        <v>0</v>
      </c>
      <c r="P91" s="57" t="s">
        <v>2046</v>
      </c>
    </row>
    <row r="92" spans="1:16" s="1438" customFormat="1" ht="21.75" customHeight="1" x14ac:dyDescent="0.25">
      <c r="A92" s="51">
        <v>2223</v>
      </c>
      <c r="B92" s="89" t="s">
        <v>108</v>
      </c>
      <c r="C92" s="90">
        <f t="shared" si="102"/>
        <v>6456</v>
      </c>
      <c r="D92" s="196">
        <v>5738</v>
      </c>
      <c r="E92" s="197">
        <v>-200</v>
      </c>
      <c r="F92" s="55">
        <f t="shared" si="115"/>
        <v>5538</v>
      </c>
      <c r="G92" s="53"/>
      <c r="H92" s="54"/>
      <c r="I92" s="55">
        <f t="shared" si="116"/>
        <v>0</v>
      </c>
      <c r="J92" s="53">
        <v>918</v>
      </c>
      <c r="K92" s="54"/>
      <c r="L92" s="55">
        <f t="shared" si="117"/>
        <v>918</v>
      </c>
      <c r="M92" s="53"/>
      <c r="N92" s="54"/>
      <c r="O92" s="55">
        <f t="shared" si="118"/>
        <v>0</v>
      </c>
      <c r="P92" s="57" t="s">
        <v>2047</v>
      </c>
    </row>
    <row r="93" spans="1:16" ht="48" customHeight="1" x14ac:dyDescent="0.25">
      <c r="A93" s="51">
        <v>2224</v>
      </c>
      <c r="B93" s="89" t="s">
        <v>109</v>
      </c>
      <c r="C93" s="90">
        <f t="shared" si="102"/>
        <v>625</v>
      </c>
      <c r="D93" s="196">
        <v>560</v>
      </c>
      <c r="E93" s="197"/>
      <c r="F93" s="55">
        <f t="shared" si="115"/>
        <v>560</v>
      </c>
      <c r="G93" s="53"/>
      <c r="H93" s="54"/>
      <c r="I93" s="55">
        <f t="shared" si="116"/>
        <v>0</v>
      </c>
      <c r="J93" s="53">
        <v>65</v>
      </c>
      <c r="K93" s="54"/>
      <c r="L93" s="55">
        <f t="shared" si="117"/>
        <v>65</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710</v>
      </c>
      <c r="D95" s="190">
        <f>SUM(D96:D102)</f>
        <v>710</v>
      </c>
      <c r="E95" s="191">
        <f t="shared" ref="E95:F95" si="119">SUM(E96:E102)</f>
        <v>0</v>
      </c>
      <c r="F95" s="55">
        <f t="shared" si="119"/>
        <v>710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710</v>
      </c>
      <c r="D102" s="196">
        <v>710</v>
      </c>
      <c r="E102" s="197"/>
      <c r="F102" s="55">
        <f t="shared" si="123"/>
        <v>710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4161</v>
      </c>
      <c r="D103" s="190">
        <f>SUM(D104:D111)</f>
        <v>4161</v>
      </c>
      <c r="E103" s="191">
        <f t="shared" ref="E103:F103" si="127">SUM(E104:E111)</f>
        <v>0</v>
      </c>
      <c r="F103" s="55">
        <f t="shared" si="127"/>
        <v>4161</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480</v>
      </c>
      <c r="D106" s="196">
        <v>480</v>
      </c>
      <c r="E106" s="197"/>
      <c r="F106" s="55">
        <f t="shared" si="131"/>
        <v>480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2184</v>
      </c>
      <c r="D107" s="196">
        <v>2184</v>
      </c>
      <c r="E107" s="197"/>
      <c r="F107" s="55">
        <f t="shared" si="131"/>
        <v>2184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127</v>
      </c>
      <c r="C111" s="90">
        <f t="shared" si="102"/>
        <v>1497</v>
      </c>
      <c r="D111" s="196">
        <v>1497</v>
      </c>
      <c r="E111" s="197"/>
      <c r="F111" s="55">
        <f t="shared" si="131"/>
        <v>1497</v>
      </c>
      <c r="G111" s="53"/>
      <c r="H111" s="54"/>
      <c r="I111" s="55">
        <f t="shared" si="132"/>
        <v>0</v>
      </c>
      <c r="J111" s="53"/>
      <c r="K111" s="54"/>
      <c r="L111" s="55">
        <f t="shared" si="133"/>
        <v>0</v>
      </c>
      <c r="M111" s="53"/>
      <c r="N111" s="54"/>
      <c r="O111" s="55">
        <f t="shared" si="134"/>
        <v>0</v>
      </c>
      <c r="P111" s="57"/>
    </row>
    <row r="112" spans="1:16" x14ac:dyDescent="0.25">
      <c r="A112" s="189">
        <v>2250</v>
      </c>
      <c r="B112" s="89" t="s">
        <v>128</v>
      </c>
      <c r="C112" s="90">
        <f t="shared" si="102"/>
        <v>413</v>
      </c>
      <c r="D112" s="190">
        <f>SUM(D113:D115)</f>
        <v>413</v>
      </c>
      <c r="E112" s="191">
        <f t="shared" ref="E112:F112" si="135">SUM(E113:E115)</f>
        <v>0</v>
      </c>
      <c r="F112" s="55">
        <f t="shared" si="135"/>
        <v>413</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247</v>
      </c>
      <c r="D114" s="196">
        <v>247</v>
      </c>
      <c r="E114" s="197"/>
      <c r="F114" s="55">
        <f t="shared" si="139"/>
        <v>247</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137</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70</v>
      </c>
      <c r="E122" s="191">
        <f t="shared" ref="E122:F122" si="151">SUM(E123:E127)</f>
        <v>-70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s="1438" customFormat="1" ht="29.25" hidden="1" customHeight="1" x14ac:dyDescent="0.25">
      <c r="A127" s="51">
        <v>2279</v>
      </c>
      <c r="B127" s="89" t="s">
        <v>143</v>
      </c>
      <c r="C127" s="90">
        <f t="shared" si="102"/>
        <v>0</v>
      </c>
      <c r="D127" s="196">
        <v>70</v>
      </c>
      <c r="E127" s="197">
        <v>-70</v>
      </c>
      <c r="F127" s="55">
        <f t="shared" si="155"/>
        <v>0</v>
      </c>
      <c r="G127" s="53"/>
      <c r="H127" s="54"/>
      <c r="I127" s="55">
        <f t="shared" si="156"/>
        <v>0</v>
      </c>
      <c r="J127" s="53"/>
      <c r="K127" s="54"/>
      <c r="L127" s="55">
        <f t="shared" si="157"/>
        <v>0</v>
      </c>
      <c r="M127" s="53"/>
      <c r="N127" s="54"/>
      <c r="O127" s="55">
        <f t="shared" si="158"/>
        <v>0</v>
      </c>
      <c r="P127" s="57" t="s">
        <v>2048</v>
      </c>
    </row>
    <row r="128" spans="1:16" s="1438" customFormat="1"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s="1438" customFormat="1"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s="1438" customFormat="1" ht="38.25" customHeight="1" x14ac:dyDescent="0.25">
      <c r="A130" s="69">
        <v>2300</v>
      </c>
      <c r="B130" s="183" t="s">
        <v>146</v>
      </c>
      <c r="C130" s="70">
        <f t="shared" si="102"/>
        <v>6982</v>
      </c>
      <c r="D130" s="184">
        <f>SUM(D131,D136,D140,D141,D144,D151,D159,D160,D163)</f>
        <v>5726</v>
      </c>
      <c r="E130" s="185">
        <f t="shared" ref="E130:F130" si="160">SUM(E131,E136,E140,E141,E144,E151,E159,E160,E163)</f>
        <v>500</v>
      </c>
      <c r="F130" s="73">
        <f t="shared" si="160"/>
        <v>6226</v>
      </c>
      <c r="G130" s="184">
        <f>SUM(G131,G136,G140,G141,G144,G151,G159,G160,G163)</f>
        <v>756</v>
      </c>
      <c r="H130" s="185">
        <f t="shared" ref="H130:I130" si="161">SUM(H131,H136,H140,H141,H144,H151,H159,H160,H163)</f>
        <v>0</v>
      </c>
      <c r="I130" s="73">
        <f t="shared" si="161"/>
        <v>756</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s="1438" customFormat="1" ht="24" x14ac:dyDescent="0.25">
      <c r="A131" s="1449">
        <v>2310</v>
      </c>
      <c r="B131" s="82" t="s">
        <v>147</v>
      </c>
      <c r="C131" s="83">
        <f t="shared" si="102"/>
        <v>1870</v>
      </c>
      <c r="D131" s="194">
        <f t="shared" ref="D131:O131" si="164">SUM(D132:D135)</f>
        <v>1440</v>
      </c>
      <c r="E131" s="195">
        <f t="shared" si="164"/>
        <v>430</v>
      </c>
      <c r="F131" s="134">
        <f t="shared" si="164"/>
        <v>1870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s="1438" customFormat="1" ht="12" customHeight="1" x14ac:dyDescent="0.25">
      <c r="A132" s="51">
        <v>2311</v>
      </c>
      <c r="B132" s="89" t="s">
        <v>148</v>
      </c>
      <c r="C132" s="90">
        <f t="shared" si="102"/>
        <v>350</v>
      </c>
      <c r="D132" s="196">
        <v>350</v>
      </c>
      <c r="E132" s="197"/>
      <c r="F132" s="55">
        <f t="shared" ref="F132:F135" si="165">D132+E132</f>
        <v>350</v>
      </c>
      <c r="G132" s="53"/>
      <c r="H132" s="54"/>
      <c r="I132" s="55">
        <f t="shared" ref="I132:I135" si="166">G132+H132</f>
        <v>0</v>
      </c>
      <c r="J132" s="53"/>
      <c r="K132" s="54"/>
      <c r="L132" s="55">
        <f t="shared" ref="L132:L135" si="167">K132+J132</f>
        <v>0</v>
      </c>
      <c r="M132" s="53"/>
      <c r="N132" s="54"/>
      <c r="O132" s="55">
        <f t="shared" ref="O132:O135" si="168">N132+M132</f>
        <v>0</v>
      </c>
      <c r="P132" s="57"/>
    </row>
    <row r="133" spans="1:16" s="1438" customFormat="1" ht="21" customHeight="1" x14ac:dyDescent="0.25">
      <c r="A133" s="51">
        <v>2312</v>
      </c>
      <c r="B133" s="89" t="s">
        <v>149</v>
      </c>
      <c r="C133" s="90">
        <f t="shared" si="102"/>
        <v>1520</v>
      </c>
      <c r="D133" s="196">
        <v>1090</v>
      </c>
      <c r="E133" s="197">
        <v>430</v>
      </c>
      <c r="F133" s="55">
        <f t="shared" si="165"/>
        <v>1520</v>
      </c>
      <c r="G133" s="53"/>
      <c r="H133" s="54"/>
      <c r="I133" s="55">
        <f t="shared" si="166"/>
        <v>0</v>
      </c>
      <c r="J133" s="53"/>
      <c r="K133" s="54"/>
      <c r="L133" s="55">
        <f t="shared" si="167"/>
        <v>0</v>
      </c>
      <c r="M133" s="53"/>
      <c r="N133" s="54"/>
      <c r="O133" s="55">
        <f t="shared" si="168"/>
        <v>0</v>
      </c>
      <c r="P133" s="57" t="s">
        <v>2049</v>
      </c>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30</v>
      </c>
      <c r="D136" s="190">
        <f>SUM(D137:D139)</f>
        <v>30</v>
      </c>
      <c r="E136" s="191">
        <f t="shared" ref="E136:F136" si="169">SUM(E137:E139)</f>
        <v>0</v>
      </c>
      <c r="F136" s="55">
        <f t="shared" si="169"/>
        <v>30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30</v>
      </c>
      <c r="D138" s="196">
        <v>30</v>
      </c>
      <c r="E138" s="197"/>
      <c r="F138" s="55">
        <f t="shared" si="173"/>
        <v>30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157</v>
      </c>
      <c r="C141" s="90">
        <f t="shared" si="102"/>
        <v>50</v>
      </c>
      <c r="D141" s="190">
        <f>SUM(D142:D143)</f>
        <v>50</v>
      </c>
      <c r="E141" s="191">
        <f t="shared" ref="E141:F141" si="177">SUM(E142:E143)</f>
        <v>0</v>
      </c>
      <c r="F141" s="55">
        <f t="shared" si="177"/>
        <v>50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50</v>
      </c>
      <c r="D142" s="196">
        <v>50</v>
      </c>
      <c r="E142" s="197"/>
      <c r="F142" s="55">
        <f t="shared" ref="F142:F143" si="181">D142+E142</f>
        <v>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2499</v>
      </c>
      <c r="D144" s="187">
        <f>SUM(D145:D150)</f>
        <v>2429</v>
      </c>
      <c r="E144" s="188">
        <f t="shared" ref="E144:F144" si="185">SUM(E145:E150)</f>
        <v>70</v>
      </c>
      <c r="F144" s="141">
        <f t="shared" si="185"/>
        <v>2499</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625</v>
      </c>
      <c r="D145" s="199">
        <v>625</v>
      </c>
      <c r="E145" s="200"/>
      <c r="F145" s="134">
        <f t="shared" ref="F145:F150" si="189">D145+E145</f>
        <v>625</v>
      </c>
      <c r="G145" s="46"/>
      <c r="H145" s="47"/>
      <c r="I145" s="134">
        <f t="shared" ref="I145:I150" si="190">G145+H145</f>
        <v>0</v>
      </c>
      <c r="J145" s="46"/>
      <c r="K145" s="47"/>
      <c r="L145" s="134">
        <f t="shared" ref="L145:L150" si="191">K145+J145</f>
        <v>0</v>
      </c>
      <c r="M145" s="46"/>
      <c r="N145" s="47"/>
      <c r="O145" s="134">
        <f t="shared" ref="O145:O150" si="192">N145+M145</f>
        <v>0</v>
      </c>
      <c r="P145" s="49"/>
    </row>
    <row r="146" spans="1:16" s="1438" customFormat="1" ht="22.5" customHeight="1" x14ac:dyDescent="0.25">
      <c r="A146" s="51">
        <v>2352</v>
      </c>
      <c r="B146" s="89" t="s">
        <v>162</v>
      </c>
      <c r="C146" s="90">
        <f t="shared" si="102"/>
        <v>1874</v>
      </c>
      <c r="D146" s="196">
        <v>1804</v>
      </c>
      <c r="E146" s="197">
        <v>70</v>
      </c>
      <c r="F146" s="55">
        <f t="shared" si="189"/>
        <v>1874</v>
      </c>
      <c r="G146" s="53"/>
      <c r="H146" s="54"/>
      <c r="I146" s="55">
        <f t="shared" si="190"/>
        <v>0</v>
      </c>
      <c r="J146" s="53"/>
      <c r="K146" s="54"/>
      <c r="L146" s="55">
        <f t="shared" si="191"/>
        <v>0</v>
      </c>
      <c r="M146" s="53"/>
      <c r="N146" s="54"/>
      <c r="O146" s="55">
        <f t="shared" si="192"/>
        <v>0</v>
      </c>
      <c r="P146" s="57" t="s">
        <v>2050</v>
      </c>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945</v>
      </c>
      <c r="D151" s="190">
        <f>SUM(D152:D158)</f>
        <v>945</v>
      </c>
      <c r="E151" s="191">
        <f t="shared" ref="E151:F151" si="194">SUM(E152:E158)</f>
        <v>0</v>
      </c>
      <c r="F151" s="55">
        <f t="shared" si="194"/>
        <v>945</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528</v>
      </c>
      <c r="D152" s="196">
        <v>528</v>
      </c>
      <c r="E152" s="197"/>
      <c r="F152" s="55">
        <f t="shared" ref="F152:F159" si="198">D152+E152</f>
        <v>528</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417</v>
      </c>
      <c r="D153" s="196">
        <v>417</v>
      </c>
      <c r="E153" s="197"/>
      <c r="F153" s="55">
        <f t="shared" si="198"/>
        <v>417</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1588</v>
      </c>
      <c r="D159" s="203">
        <v>832</v>
      </c>
      <c r="E159" s="204"/>
      <c r="F159" s="141">
        <f t="shared" si="198"/>
        <v>832</v>
      </c>
      <c r="G159" s="144">
        <v>756</v>
      </c>
      <c r="H159" s="145"/>
      <c r="I159" s="141">
        <f t="shared" si="199"/>
        <v>756</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2200</v>
      </c>
      <c r="D194" s="173">
        <f t="shared" ref="D194:O194" si="259">SUM(D195,D230,D269,D283)</f>
        <v>2630</v>
      </c>
      <c r="E194" s="174">
        <f t="shared" si="259"/>
        <v>-430</v>
      </c>
      <c r="F194" s="175">
        <f t="shared" si="259"/>
        <v>2200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2200</v>
      </c>
      <c r="D195" s="179">
        <f>D196+D204</f>
        <v>2630</v>
      </c>
      <c r="E195" s="180">
        <f t="shared" ref="E195:F195" si="260">E196+E204</f>
        <v>-430</v>
      </c>
      <c r="F195" s="181">
        <f t="shared" si="260"/>
        <v>2200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2200</v>
      </c>
      <c r="D204" s="184">
        <f>D205+D215+D216+D225+D226+D227+D229</f>
        <v>2630</v>
      </c>
      <c r="E204" s="185">
        <f t="shared" ref="E204:F204" si="276">E205+E215+E216+E225+E226+E227+E229</f>
        <v>-430</v>
      </c>
      <c r="F204" s="73">
        <f t="shared" si="276"/>
        <v>2200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2200</v>
      </c>
      <c r="D216" s="190">
        <f>SUM(D217:D224)</f>
        <v>2630</v>
      </c>
      <c r="E216" s="191">
        <f t="shared" ref="E216:F216" si="289">SUM(E217:E224)</f>
        <v>-430</v>
      </c>
      <c r="F216" s="55">
        <f t="shared" si="289"/>
        <v>2200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s="1438" customFormat="1" ht="18.75" customHeight="1" x14ac:dyDescent="0.25">
      <c r="A218" s="51">
        <v>5232</v>
      </c>
      <c r="B218" s="89" t="s">
        <v>234</v>
      </c>
      <c r="C218" s="90">
        <f t="shared" si="288"/>
        <v>900</v>
      </c>
      <c r="D218" s="196">
        <v>1330</v>
      </c>
      <c r="E218" s="197">
        <v>-430</v>
      </c>
      <c r="F218" s="55">
        <f t="shared" si="293"/>
        <v>900</v>
      </c>
      <c r="G218" s="53"/>
      <c r="H218" s="54"/>
      <c r="I218" s="55">
        <f t="shared" si="294"/>
        <v>0</v>
      </c>
      <c r="J218" s="53"/>
      <c r="K218" s="54"/>
      <c r="L218" s="55">
        <f t="shared" si="295"/>
        <v>0</v>
      </c>
      <c r="M218" s="53"/>
      <c r="N218" s="54"/>
      <c r="O218" s="55">
        <f t="shared" si="296"/>
        <v>0</v>
      </c>
      <c r="P218" s="57" t="s">
        <v>2051</v>
      </c>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1300</v>
      </c>
      <c r="D223" s="196">
        <v>1300</v>
      </c>
      <c r="E223" s="197"/>
      <c r="F223" s="55">
        <f t="shared" si="293"/>
        <v>1300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50"/>
      <c r="B289" s="250" t="s">
        <v>307</v>
      </c>
      <c r="C289" s="251">
        <f t="shared" si="371"/>
        <v>413008</v>
      </c>
      <c r="D289" s="252">
        <f t="shared" ref="D289:O289" si="389">SUM(D286,D269,D230,D195,D187,D173,D75,D53,D283)</f>
        <v>375064</v>
      </c>
      <c r="E289" s="253">
        <f t="shared" si="389"/>
        <v>0</v>
      </c>
      <c r="F289" s="254">
        <f t="shared" si="389"/>
        <v>375064</v>
      </c>
      <c r="G289" s="252">
        <f t="shared" si="389"/>
        <v>31394</v>
      </c>
      <c r="H289" s="253">
        <f t="shared" si="389"/>
        <v>4454</v>
      </c>
      <c r="I289" s="254">
        <f t="shared" si="389"/>
        <v>35848</v>
      </c>
      <c r="J289" s="252">
        <f t="shared" si="389"/>
        <v>2096</v>
      </c>
      <c r="K289" s="253">
        <f t="shared" si="389"/>
        <v>0</v>
      </c>
      <c r="L289" s="254">
        <f t="shared" si="389"/>
        <v>2096</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Fpku6lxniLnE3wkGus1+Rg65ptgdGaTjYoMuuHKfrUygTKJkrF0s8pLshWJZ8SQMEgFdEsk4yVY7qoSyYzDkgA==" saltValue="OTRAh7rbINHKqA53IFFJhA==" spinCount="100000" sheet="1" objects="1" scenarios="1" formatCells="0" formatColumns="0" formatRows="0" deleteColumns="0"/>
  <autoFilter ref="A18:P301">
    <filterColumn colId="2">
      <filters>
        <filter val="1 104"/>
        <filter val="1 300"/>
        <filter val="1 497"/>
        <filter val="1 520"/>
        <filter val="1 588"/>
        <filter val="1 833"/>
        <filter val="1 870"/>
        <filter val="1 874"/>
        <filter val="11 858"/>
        <filter val="15 473"/>
        <filter val="166"/>
        <filter val="17 761"/>
        <filter val="19 829"/>
        <filter val="2 096"/>
        <filter val="2 184"/>
        <filter val="2 200"/>
        <filter val="2 499"/>
        <filter val="2 788"/>
        <filter val="23 576"/>
        <filter val="23 754"/>
        <filter val="247"/>
        <filter val="26"/>
        <filter val="261 608"/>
        <filter val="263"/>
        <filter val="288 150"/>
        <filter val="3 005"/>
        <filter val="3 142"/>
        <filter val="30"/>
        <filter val="30 558"/>
        <filter val="350"/>
        <filter val="380 250"/>
        <filter val="4 161"/>
        <filter val="4 172"/>
        <filter val="404"/>
        <filter val="410 808"/>
        <filter val="410 912"/>
        <filter val="413"/>
        <filter val="413 008"/>
        <filter val="417"/>
        <filter val="480"/>
        <filter val="50"/>
        <filter val="500"/>
        <filter val="505"/>
        <filter val="51"/>
        <filter val="528"/>
        <filter val="6 456"/>
        <filter val="6 982"/>
        <filter val="625"/>
        <filter val="7 471"/>
        <filter val="7 538"/>
        <filter val="710"/>
        <filter val="72 271"/>
        <filter val="900"/>
        <filter val="92 100"/>
        <filter val="94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85.pielikums Jūrmalas pilsētas domes
2019.gada 31.oktobra saistošajiem noteikumiem Nr.46
(protokols Nr.14, 28.punkts)
 </firstHeader>
    <firstFooter>&amp;L&amp;9&amp;D; &amp;T&amp;R&amp;9&amp;P (&amp;N)</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8" sqref="T8"/>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1953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1954</v>
      </c>
      <c r="D3" s="1517"/>
      <c r="E3" s="1517"/>
      <c r="F3" s="1517"/>
      <c r="G3" s="1517"/>
      <c r="H3" s="1517"/>
      <c r="I3" s="1517"/>
      <c r="J3" s="1517"/>
      <c r="K3" s="1517"/>
      <c r="L3" s="1517"/>
      <c r="M3" s="1517"/>
      <c r="N3" s="1517"/>
      <c r="O3" s="1517"/>
      <c r="P3" s="1518"/>
      <c r="Q3" s="277"/>
    </row>
    <row r="4" spans="1:17" ht="12.75" customHeight="1" x14ac:dyDescent="0.25">
      <c r="A4" s="5" t="s">
        <v>4</v>
      </c>
      <c r="B4" s="6"/>
      <c r="C4" s="1517" t="s">
        <v>1955</v>
      </c>
      <c r="D4" s="1517"/>
      <c r="E4" s="1517"/>
      <c r="F4" s="1517"/>
      <c r="G4" s="1517"/>
      <c r="H4" s="1517"/>
      <c r="I4" s="1517"/>
      <c r="J4" s="1517"/>
      <c r="K4" s="1517"/>
      <c r="L4" s="1517"/>
      <c r="M4" s="1517"/>
      <c r="N4" s="1517"/>
      <c r="O4" s="1517"/>
      <c r="P4" s="1518"/>
      <c r="Q4" s="277"/>
    </row>
    <row r="5" spans="1:17" ht="12.75" customHeight="1" x14ac:dyDescent="0.25">
      <c r="A5" s="7" t="s">
        <v>6</v>
      </c>
      <c r="B5" s="8"/>
      <c r="C5" s="1512" t="s">
        <v>1956</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2090</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1957</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4451</v>
      </c>
      <c r="D20" s="32">
        <f>SUM(D21,D24,D25,D41,D43)</f>
        <v>6307</v>
      </c>
      <c r="E20" s="33">
        <f t="shared" ref="E20:F20" si="1">SUM(E21,E24,E25,E41,E43)</f>
        <v>-1856</v>
      </c>
      <c r="F20" s="34">
        <f t="shared" si="1"/>
        <v>4451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4451</v>
      </c>
      <c r="D24" s="60">
        <f>4731+1576</f>
        <v>6307</v>
      </c>
      <c r="E24" s="1334">
        <v>-1856</v>
      </c>
      <c r="F24" s="62">
        <f t="shared" si="9"/>
        <v>4451</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8"/>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4451</v>
      </c>
      <c r="D50" s="159">
        <f>SUM(D51,D286)</f>
        <v>6307</v>
      </c>
      <c r="E50" s="160">
        <f t="shared" ref="E50:F50" si="26">SUM(E51,E286)</f>
        <v>-1856</v>
      </c>
      <c r="F50" s="161">
        <f t="shared" si="26"/>
        <v>4451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4451</v>
      </c>
      <c r="D51" s="165">
        <f>SUM(D52,D194)</f>
        <v>6307</v>
      </c>
      <c r="E51" s="166">
        <f t="shared" ref="E51:F51" si="30">SUM(E52,E194)</f>
        <v>-1856</v>
      </c>
      <c r="F51" s="167">
        <f t="shared" si="30"/>
        <v>4451</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4451</v>
      </c>
      <c r="D52" s="173">
        <f>SUM(D53,D75,D173,D187)</f>
        <v>6307</v>
      </c>
      <c r="E52" s="174">
        <f t="shared" ref="E52:F52" si="34">SUM(E53,E75,E173,E187)</f>
        <v>-1856</v>
      </c>
      <c r="F52" s="175">
        <f t="shared" si="34"/>
        <v>4451</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78">
        <f t="shared" si="0"/>
        <v>4451</v>
      </c>
      <c r="D53" s="179">
        <f>SUM(D54,D67)</f>
        <v>6307</v>
      </c>
      <c r="E53" s="180">
        <f t="shared" ref="E53:F53" si="38">SUM(E54,E67)</f>
        <v>-1856</v>
      </c>
      <c r="F53" s="181">
        <f t="shared" si="38"/>
        <v>4451</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3492</v>
      </c>
      <c r="D54" s="184">
        <f>SUM(D55,D58,D66)</f>
        <v>4896</v>
      </c>
      <c r="E54" s="185">
        <f t="shared" ref="E54:F54" si="42">SUM(E55,E58,E66)</f>
        <v>-1404</v>
      </c>
      <c r="F54" s="73">
        <f t="shared" si="42"/>
        <v>3492</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3492</v>
      </c>
      <c r="D55" s="187">
        <f>SUM(D56:D57)</f>
        <v>4896</v>
      </c>
      <c r="E55" s="188">
        <f t="shared" ref="E55:F55" si="46">SUM(E56:E57)</f>
        <v>-1404</v>
      </c>
      <c r="F55" s="141">
        <f t="shared" si="46"/>
        <v>3492</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6" customHeight="1" x14ac:dyDescent="0.2">
      <c r="A57" s="51">
        <v>1119</v>
      </c>
      <c r="B57" s="89" t="s">
        <v>75</v>
      </c>
      <c r="C57" s="90">
        <f t="shared" si="0"/>
        <v>3492</v>
      </c>
      <c r="D57" s="53">
        <f>3749+1249-102</f>
        <v>4896</v>
      </c>
      <c r="E57" s="361">
        <v>-1404</v>
      </c>
      <c r="F57" s="55">
        <f t="shared" si="50"/>
        <v>3492</v>
      </c>
      <c r="G57" s="53"/>
      <c r="H57" s="54"/>
      <c r="I57" s="55">
        <f t="shared" si="51"/>
        <v>0</v>
      </c>
      <c r="J57" s="53"/>
      <c r="K57" s="54"/>
      <c r="L57" s="55">
        <f t="shared" si="52"/>
        <v>0</v>
      </c>
      <c r="M57" s="53"/>
      <c r="N57" s="54"/>
      <c r="O57" s="55">
        <f t="shared" si="53"/>
        <v>0</v>
      </c>
      <c r="P57" s="1483" t="s">
        <v>1958</v>
      </c>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1434"/>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1434"/>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1434"/>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1434"/>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1434"/>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1434"/>
    </row>
    <row r="64" spans="1:16"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1434"/>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1434"/>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481"/>
    </row>
    <row r="67" spans="1:16" ht="24" x14ac:dyDescent="0.25">
      <c r="A67" s="69">
        <v>1200</v>
      </c>
      <c r="B67" s="183" t="s">
        <v>85</v>
      </c>
      <c r="C67" s="70">
        <f t="shared" si="0"/>
        <v>959</v>
      </c>
      <c r="D67" s="184">
        <f>SUM(D68:D69)</f>
        <v>1411</v>
      </c>
      <c r="E67" s="185">
        <f t="shared" ref="E67:F67" si="62">SUM(E68:E69)</f>
        <v>-452</v>
      </c>
      <c r="F67" s="73">
        <f t="shared" si="62"/>
        <v>959</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1362"/>
    </row>
    <row r="68" spans="1:16" ht="35.25" customHeight="1" x14ac:dyDescent="0.2">
      <c r="A68" s="1449">
        <v>1210</v>
      </c>
      <c r="B68" s="82" t="s">
        <v>86</v>
      </c>
      <c r="C68" s="83">
        <f t="shared" si="0"/>
        <v>768</v>
      </c>
      <c r="D68" s="46">
        <f>904+301-11</f>
        <v>1194</v>
      </c>
      <c r="E68" s="1479">
        <v>-426</v>
      </c>
      <c r="F68" s="134">
        <f>D68+E68</f>
        <v>768</v>
      </c>
      <c r="G68" s="46"/>
      <c r="H68" s="47"/>
      <c r="I68" s="134">
        <f>G68+H68</f>
        <v>0</v>
      </c>
      <c r="J68" s="46"/>
      <c r="K68" s="47"/>
      <c r="L68" s="134">
        <f>K68+J68</f>
        <v>0</v>
      </c>
      <c r="M68" s="46"/>
      <c r="N68" s="47"/>
      <c r="O68" s="134">
        <f>N68+M68</f>
        <v>0</v>
      </c>
      <c r="P68" s="1483" t="s">
        <v>1958</v>
      </c>
    </row>
    <row r="69" spans="1:16" ht="24" x14ac:dyDescent="0.25">
      <c r="A69" s="189">
        <v>1220</v>
      </c>
      <c r="B69" s="89" t="s">
        <v>87</v>
      </c>
      <c r="C69" s="90">
        <f t="shared" si="0"/>
        <v>191</v>
      </c>
      <c r="D69" s="190">
        <f>SUM(D70:D74)</f>
        <v>217</v>
      </c>
      <c r="E69" s="191">
        <f t="shared" ref="E69:F69" si="66">SUM(E70:E74)</f>
        <v>-26</v>
      </c>
      <c r="F69" s="55">
        <f t="shared" si="66"/>
        <v>191</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1434"/>
    </row>
    <row r="70" spans="1:16" ht="48" customHeight="1" x14ac:dyDescent="0.25">
      <c r="A70" s="51">
        <v>1221</v>
      </c>
      <c r="B70" s="89" t="s">
        <v>88</v>
      </c>
      <c r="C70" s="90">
        <f t="shared" si="0"/>
        <v>113</v>
      </c>
      <c r="D70" s="53">
        <v>113</v>
      </c>
      <c r="E70" s="54"/>
      <c r="F70" s="55">
        <f t="shared" ref="F70:F74" si="70">D70+E70</f>
        <v>113</v>
      </c>
      <c r="G70" s="53"/>
      <c r="H70" s="54"/>
      <c r="I70" s="55">
        <f t="shared" ref="I70:I74" si="71">G70+H70</f>
        <v>0</v>
      </c>
      <c r="J70" s="53"/>
      <c r="K70" s="54"/>
      <c r="L70" s="55">
        <f t="shared" ref="L70:L74" si="72">K70+J70</f>
        <v>0</v>
      </c>
      <c r="M70" s="53"/>
      <c r="N70" s="54"/>
      <c r="O70" s="55">
        <f t="shared" ref="O70:O74" si="73">N70+M70</f>
        <v>0</v>
      </c>
      <c r="P70" s="1434"/>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1434"/>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1434"/>
    </row>
    <row r="73" spans="1:16" ht="36" customHeight="1" x14ac:dyDescent="0.25">
      <c r="A73" s="51">
        <v>1227</v>
      </c>
      <c r="B73" s="89" t="s">
        <v>91</v>
      </c>
      <c r="C73" s="90">
        <f t="shared" si="0"/>
        <v>78</v>
      </c>
      <c r="D73" s="53">
        <f>78+26</f>
        <v>104</v>
      </c>
      <c r="E73" s="361">
        <v>-26</v>
      </c>
      <c r="F73" s="55">
        <f t="shared" si="70"/>
        <v>78</v>
      </c>
      <c r="G73" s="53"/>
      <c r="H73" s="54"/>
      <c r="I73" s="55">
        <f t="shared" si="71"/>
        <v>0</v>
      </c>
      <c r="J73" s="53"/>
      <c r="K73" s="54"/>
      <c r="L73" s="55">
        <f t="shared" si="72"/>
        <v>0</v>
      </c>
      <c r="M73" s="53"/>
      <c r="N73" s="54"/>
      <c r="O73" s="55">
        <f t="shared" si="73"/>
        <v>0</v>
      </c>
      <c r="P73" s="1484" t="s">
        <v>1959</v>
      </c>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1484"/>
    </row>
    <row r="75" spans="1:16" hidden="1" x14ac:dyDescent="0.25">
      <c r="A75" s="177">
        <v>2000</v>
      </c>
      <c r="B75" s="177" t="s">
        <v>93</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99</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0.25"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2.5"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138</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143</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449">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9.75"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12.75"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4451</v>
      </c>
      <c r="D289" s="252">
        <f t="shared" ref="D289:O289" si="389">SUM(D286,D269,D230,D195,D187,D173,D75,D53,D283)</f>
        <v>6307</v>
      </c>
      <c r="E289" s="253">
        <f t="shared" si="389"/>
        <v>-1856</v>
      </c>
      <c r="F289" s="254">
        <f t="shared" si="389"/>
        <v>4451</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MlLMboKsJHy8u0KnxC+kM2vLQUmmeatxmpAWRO88TQi/EHvx2ghlBlhrFd0UfJ7gcWN2xuHKrPa3c0vSJfrSHw==" saltValue="flCaaqBlMN9fQQix22wxjg==" spinCount="100000" sheet="1" objects="1" scenarios="1" formatCells="0" formatColumns="0" formatRows="0" deleteColumns="0"/>
  <autoFilter ref="A18:P301">
    <filterColumn colId="2">
      <filters>
        <filter val="113"/>
        <filter val="191"/>
        <filter val="3 492"/>
        <filter val="4 451"/>
        <filter val="768"/>
        <filter val="78"/>
        <filter val="95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86.pielikums Jūrmalas pilsētas domes
2019.gada 31.oktobra saistošajiem noteikumiem Nr.46
(protokols Nr.14, 28.punkts)
 </firstHeader>
    <firstFooter>&amp;L&amp;9&amp;D; &amp;T&amp;R&amp;9&amp;P (&amp;N)</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view="pageLayout" zoomScaleNormal="100" workbookViewId="0">
      <selection activeCell="T6" sqref="T6"/>
    </sheetView>
  </sheetViews>
  <sheetFormatPr defaultRowHeight="12" outlineLevelCol="1" x14ac:dyDescent="0.25"/>
  <cols>
    <col min="1" max="1" width="10.85546875" style="276" customWidth="1"/>
    <col min="2" max="2" width="27.140625"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1960</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1961</v>
      </c>
      <c r="D3" s="1517"/>
      <c r="E3" s="1517"/>
      <c r="F3" s="1517"/>
      <c r="G3" s="1517"/>
      <c r="H3" s="1517"/>
      <c r="I3" s="1517"/>
      <c r="J3" s="1517"/>
      <c r="K3" s="1517"/>
      <c r="L3" s="1517"/>
      <c r="M3" s="1517"/>
      <c r="N3" s="1517"/>
      <c r="O3" s="1517"/>
      <c r="P3" s="1518"/>
      <c r="Q3" s="277"/>
    </row>
    <row r="4" spans="1:17" ht="12.75" customHeight="1" x14ac:dyDescent="0.25">
      <c r="A4" s="5" t="s">
        <v>4</v>
      </c>
      <c r="B4" s="6"/>
      <c r="C4" s="1517" t="s">
        <v>1962</v>
      </c>
      <c r="D4" s="1517"/>
      <c r="E4" s="1517"/>
      <c r="F4" s="1517"/>
      <c r="G4" s="1517"/>
      <c r="H4" s="1517"/>
      <c r="I4" s="1517"/>
      <c r="J4" s="1517"/>
      <c r="K4" s="1517"/>
      <c r="L4" s="1517"/>
      <c r="M4" s="1517"/>
      <c r="N4" s="1517"/>
      <c r="O4" s="1517"/>
      <c r="P4" s="1518"/>
      <c r="Q4" s="277"/>
    </row>
    <row r="5" spans="1:17" ht="12.75" customHeight="1" x14ac:dyDescent="0.25">
      <c r="A5" s="7" t="s">
        <v>6</v>
      </c>
      <c r="B5" s="8"/>
      <c r="C5" s="1512" t="s">
        <v>1963</v>
      </c>
      <c r="D5" s="1512"/>
      <c r="E5" s="1512"/>
      <c r="F5" s="1512"/>
      <c r="G5" s="1512"/>
      <c r="H5" s="1512"/>
      <c r="I5" s="1512"/>
      <c r="J5" s="1512"/>
      <c r="K5" s="1512"/>
      <c r="L5" s="1512"/>
      <c r="M5" s="1512"/>
      <c r="N5" s="1512"/>
      <c r="O5" s="1512"/>
      <c r="P5" s="1513"/>
      <c r="Q5" s="277"/>
    </row>
    <row r="6" spans="1:17" ht="12.75" customHeight="1" x14ac:dyDescent="0.25">
      <c r="A6" s="7" t="s">
        <v>8</v>
      </c>
      <c r="B6" s="8"/>
      <c r="C6" s="1512" t="s">
        <v>785</v>
      </c>
      <c r="D6" s="1512"/>
      <c r="E6" s="1512"/>
      <c r="F6" s="1512"/>
      <c r="G6" s="1512"/>
      <c r="H6" s="1512"/>
      <c r="I6" s="1512"/>
      <c r="J6" s="1512"/>
      <c r="K6" s="1512"/>
      <c r="L6" s="1512"/>
      <c r="M6" s="1512"/>
      <c r="N6" s="1512"/>
      <c r="O6" s="1512"/>
      <c r="P6" s="1513"/>
      <c r="Q6" s="277"/>
    </row>
    <row r="7" spans="1:17" ht="24.75" customHeight="1" x14ac:dyDescent="0.25">
      <c r="A7" s="7" t="s">
        <v>10</v>
      </c>
      <c r="B7" s="8"/>
      <c r="C7" s="1517" t="s">
        <v>1964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1965</v>
      </c>
      <c r="D9" s="1512"/>
      <c r="E9" s="1512"/>
      <c r="F9" s="1512"/>
      <c r="G9" s="1512"/>
      <c r="H9" s="1512"/>
      <c r="I9" s="1512"/>
      <c r="J9" s="1512"/>
      <c r="K9" s="1512"/>
      <c r="L9" s="1512"/>
      <c r="M9" s="1512"/>
      <c r="N9" s="1512"/>
      <c r="O9" s="1512"/>
      <c r="P9" s="1513"/>
      <c r="Q9" s="277"/>
    </row>
    <row r="10" spans="1:17" ht="12.75" customHeight="1" x14ac:dyDescent="0.25">
      <c r="A10" s="7"/>
      <c r="B10" s="8" t="s">
        <v>15</v>
      </c>
      <c r="C10" s="1512" t="s">
        <v>1966</v>
      </c>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t="s">
        <v>1967</v>
      </c>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727092</v>
      </c>
      <c r="D20" s="32">
        <f>SUM(D21,D24,D25,D41,D43)</f>
        <v>529234</v>
      </c>
      <c r="E20" s="33">
        <f t="shared" ref="E20:F20" si="1">SUM(E21,E24,E25,E41,E43)</f>
        <v>0</v>
      </c>
      <c r="F20" s="34">
        <f t="shared" si="1"/>
        <v>529234</v>
      </c>
      <c r="G20" s="32">
        <f>SUM(G21,G24,G43)</f>
        <v>173731</v>
      </c>
      <c r="H20" s="33">
        <f t="shared" ref="H20:I20" si="2">SUM(H21,H24,H43)</f>
        <v>1988</v>
      </c>
      <c r="I20" s="34">
        <f t="shared" si="2"/>
        <v>175719</v>
      </c>
      <c r="J20" s="32">
        <f>SUM(J21,J26,J43)</f>
        <v>22139</v>
      </c>
      <c r="K20" s="33">
        <f t="shared" ref="K20:L20" si="3">SUM(K21,K26,K43)</f>
        <v>0</v>
      </c>
      <c r="L20" s="34">
        <f t="shared" si="3"/>
        <v>22139</v>
      </c>
      <c r="M20" s="32">
        <f>SUM(M21,M45)</f>
        <v>0</v>
      </c>
      <c r="N20" s="33">
        <f t="shared" ref="N20:O20" si="4">SUM(N21,N45)</f>
        <v>0</v>
      </c>
      <c r="O20" s="34">
        <f t="shared" si="4"/>
        <v>0</v>
      </c>
      <c r="P20" s="35"/>
    </row>
    <row r="21" spans="1:16" ht="12.75" thickTop="1" x14ac:dyDescent="0.25">
      <c r="A21" s="36"/>
      <c r="B21" s="37" t="s">
        <v>39</v>
      </c>
      <c r="C21" s="38">
        <f t="shared" si="0"/>
        <v>2778</v>
      </c>
      <c r="D21" s="39">
        <f>SUM(D22:D23)</f>
        <v>0</v>
      </c>
      <c r="E21" s="40">
        <f t="shared" ref="E21:F21" si="5">SUM(E22:E23)</f>
        <v>0</v>
      </c>
      <c r="F21" s="41">
        <f t="shared" si="5"/>
        <v>0</v>
      </c>
      <c r="G21" s="39">
        <f>SUM(G22:G23)</f>
        <v>0</v>
      </c>
      <c r="H21" s="40">
        <f t="shared" ref="H21:I21" si="6">SUM(H22:H23)</f>
        <v>0</v>
      </c>
      <c r="I21" s="41">
        <f t="shared" si="6"/>
        <v>0</v>
      </c>
      <c r="J21" s="39">
        <f>SUM(J22:J23)</f>
        <v>2778</v>
      </c>
      <c r="K21" s="40">
        <f t="shared" ref="K21:L21" si="7">SUM(K22:K23)</f>
        <v>0</v>
      </c>
      <c r="L21" s="41">
        <f t="shared" si="7"/>
        <v>2778</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32.25" customHeight="1" x14ac:dyDescent="0.25">
      <c r="A23" s="464"/>
      <c r="B23" s="345" t="s">
        <v>41</v>
      </c>
      <c r="C23" s="465">
        <f t="shared" si="0"/>
        <v>2778</v>
      </c>
      <c r="D23" s="348"/>
      <c r="E23" s="349"/>
      <c r="F23" s="350">
        <f t="shared" ref="F23:F25" si="9">D23+E23</f>
        <v>0</v>
      </c>
      <c r="G23" s="348"/>
      <c r="H23" s="349"/>
      <c r="I23" s="350">
        <f t="shared" ref="I23:I24" si="10">G23+H23</f>
        <v>0</v>
      </c>
      <c r="J23" s="348">
        <v>2778</v>
      </c>
      <c r="K23" s="349"/>
      <c r="L23" s="466">
        <f>K23+J23</f>
        <v>2778</v>
      </c>
      <c r="M23" s="348"/>
      <c r="N23" s="349"/>
      <c r="O23" s="350">
        <f>N23+M23</f>
        <v>0</v>
      </c>
      <c r="P23" s="354"/>
    </row>
    <row r="24" spans="1:16" s="28" customFormat="1" ht="47.25" customHeight="1" thickBot="1" x14ac:dyDescent="0.3">
      <c r="A24" s="58">
        <v>19300</v>
      </c>
      <c r="B24" s="58" t="s">
        <v>42</v>
      </c>
      <c r="C24" s="59">
        <f>F24+I24</f>
        <v>704953</v>
      </c>
      <c r="D24" s="60">
        <v>529234</v>
      </c>
      <c r="E24" s="63"/>
      <c r="F24" s="62">
        <f t="shared" si="9"/>
        <v>529234</v>
      </c>
      <c r="G24" s="60">
        <v>173731</v>
      </c>
      <c r="H24" s="63">
        <f>679+1309</f>
        <v>1988</v>
      </c>
      <c r="I24" s="62">
        <f t="shared" si="10"/>
        <v>175719</v>
      </c>
      <c r="J24" s="64" t="s">
        <v>43</v>
      </c>
      <c r="K24" s="65" t="s">
        <v>43</v>
      </c>
      <c r="L24" s="66" t="s">
        <v>43</v>
      </c>
      <c r="M24" s="64" t="s">
        <v>43</v>
      </c>
      <c r="N24" s="65" t="s">
        <v>43</v>
      </c>
      <c r="O24" s="66" t="s">
        <v>43</v>
      </c>
      <c r="P24" s="67" t="s">
        <v>1968</v>
      </c>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customHeight="1" thickTop="1" x14ac:dyDescent="0.25">
      <c r="A26" s="69">
        <v>21300</v>
      </c>
      <c r="B26" s="69" t="s">
        <v>45</v>
      </c>
      <c r="C26" s="70">
        <f>L26</f>
        <v>19286</v>
      </c>
      <c r="D26" s="74" t="s">
        <v>43</v>
      </c>
      <c r="E26" s="75" t="s">
        <v>43</v>
      </c>
      <c r="F26" s="76" t="s">
        <v>43</v>
      </c>
      <c r="G26" s="74" t="s">
        <v>43</v>
      </c>
      <c r="H26" s="75" t="s">
        <v>43</v>
      </c>
      <c r="I26" s="76" t="s">
        <v>43</v>
      </c>
      <c r="J26" s="78">
        <f>SUM(J27,J31,J33,J36)</f>
        <v>19286</v>
      </c>
      <c r="K26" s="79">
        <f t="shared" ref="K26:L26" si="11">SUM(K27,K31,K33,K36)</f>
        <v>0</v>
      </c>
      <c r="L26" s="80">
        <f t="shared" si="11"/>
        <v>19286</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customHeight="1" x14ac:dyDescent="0.25">
      <c r="A36" s="81">
        <v>21390</v>
      </c>
      <c r="B36" s="69" t="s">
        <v>55</v>
      </c>
      <c r="C36" s="70">
        <f t="shared" si="16"/>
        <v>19286</v>
      </c>
      <c r="D36" s="74" t="s">
        <v>43</v>
      </c>
      <c r="E36" s="75" t="s">
        <v>43</v>
      </c>
      <c r="F36" s="76" t="s">
        <v>43</v>
      </c>
      <c r="G36" s="74" t="s">
        <v>43</v>
      </c>
      <c r="H36" s="75" t="s">
        <v>43</v>
      </c>
      <c r="I36" s="76" t="s">
        <v>43</v>
      </c>
      <c r="J36" s="78">
        <f>SUM(J37:J40)</f>
        <v>19286</v>
      </c>
      <c r="K36" s="79">
        <f t="shared" ref="K36:L36" si="19">SUM(K37:K40)</f>
        <v>0</v>
      </c>
      <c r="L36" s="80">
        <f t="shared" si="19"/>
        <v>19286</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customHeight="1" x14ac:dyDescent="0.25">
      <c r="A40" s="108">
        <v>21399</v>
      </c>
      <c r="B40" s="109" t="s">
        <v>59</v>
      </c>
      <c r="C40" s="110">
        <f t="shared" si="16"/>
        <v>19286</v>
      </c>
      <c r="D40" s="111" t="s">
        <v>43</v>
      </c>
      <c r="E40" s="112" t="s">
        <v>43</v>
      </c>
      <c r="F40" s="113" t="s">
        <v>43</v>
      </c>
      <c r="G40" s="111" t="s">
        <v>43</v>
      </c>
      <c r="H40" s="112" t="s">
        <v>43</v>
      </c>
      <c r="I40" s="113" t="s">
        <v>43</v>
      </c>
      <c r="J40" s="114">
        <v>19286</v>
      </c>
      <c r="K40" s="115"/>
      <c r="L40" s="116">
        <f t="shared" si="20"/>
        <v>19286</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x14ac:dyDescent="0.25">
      <c r="A43" s="81">
        <v>21490</v>
      </c>
      <c r="B43" s="69" t="s">
        <v>62</v>
      </c>
      <c r="C43" s="132">
        <f>F43+I43+L43</f>
        <v>75</v>
      </c>
      <c r="D43" s="78">
        <f>D44</f>
        <v>0</v>
      </c>
      <c r="E43" s="79">
        <f t="shared" ref="E43:L43" si="22">E44</f>
        <v>0</v>
      </c>
      <c r="F43" s="80">
        <f t="shared" si="22"/>
        <v>0</v>
      </c>
      <c r="G43" s="78">
        <f t="shared" si="22"/>
        <v>0</v>
      </c>
      <c r="H43" s="79">
        <f t="shared" si="22"/>
        <v>0</v>
      </c>
      <c r="I43" s="80">
        <f t="shared" si="22"/>
        <v>0</v>
      </c>
      <c r="J43" s="78">
        <f t="shared" si="22"/>
        <v>75</v>
      </c>
      <c r="K43" s="79">
        <f t="shared" si="22"/>
        <v>0</v>
      </c>
      <c r="L43" s="80">
        <f t="shared" si="22"/>
        <v>75</v>
      </c>
      <c r="M43" s="78" t="s">
        <v>43</v>
      </c>
      <c r="N43" s="79" t="s">
        <v>43</v>
      </c>
      <c r="O43" s="80" t="s">
        <v>43</v>
      </c>
      <c r="P43" s="77"/>
    </row>
    <row r="44" spans="1:16" s="28" customFormat="1" ht="24" customHeight="1" x14ac:dyDescent="0.25">
      <c r="A44" s="51">
        <v>21499</v>
      </c>
      <c r="B44" s="89" t="s">
        <v>63</v>
      </c>
      <c r="C44" s="133">
        <f>F44+I44+L44</f>
        <v>75</v>
      </c>
      <c r="D44" s="46"/>
      <c r="E44" s="47"/>
      <c r="F44" s="134">
        <f>D44+E44</f>
        <v>0</v>
      </c>
      <c r="G44" s="46"/>
      <c r="H44" s="47"/>
      <c r="I44" s="134">
        <f>G44+H44</f>
        <v>0</v>
      </c>
      <c r="J44" s="46">
        <v>75</v>
      </c>
      <c r="K44" s="47"/>
      <c r="L44" s="48">
        <f>K44+J44</f>
        <v>75</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58">
        <f t="shared" si="0"/>
        <v>727092</v>
      </c>
      <c r="D50" s="159">
        <f>SUM(D51,D286)</f>
        <v>529234</v>
      </c>
      <c r="E50" s="160">
        <f t="shared" ref="E50:F50" si="26">SUM(E51,E286)</f>
        <v>0</v>
      </c>
      <c r="F50" s="161">
        <f t="shared" si="26"/>
        <v>529234</v>
      </c>
      <c r="G50" s="159">
        <f>SUM(G51,G286)</f>
        <v>173731</v>
      </c>
      <c r="H50" s="160">
        <f>SUM(H51,H286)</f>
        <v>1988</v>
      </c>
      <c r="I50" s="161">
        <f t="shared" ref="I50" si="27">SUM(I51,I286)</f>
        <v>175719</v>
      </c>
      <c r="J50" s="32">
        <f>SUM(J51,J286)</f>
        <v>22139</v>
      </c>
      <c r="K50" s="33">
        <f t="shared" ref="K50:L50" si="28">SUM(K51,K286)</f>
        <v>0</v>
      </c>
      <c r="L50" s="34">
        <f t="shared" si="28"/>
        <v>22139</v>
      </c>
      <c r="M50" s="32">
        <f>SUM(M51,M286)</f>
        <v>0</v>
      </c>
      <c r="N50" s="33">
        <f t="shared" ref="N50:O50" si="29">SUM(N51,N286)</f>
        <v>0</v>
      </c>
      <c r="O50" s="34">
        <f t="shared" si="29"/>
        <v>0</v>
      </c>
      <c r="P50" s="35"/>
    </row>
    <row r="51" spans="1:16" s="28" customFormat="1" ht="36.75" thickTop="1" x14ac:dyDescent="0.25">
      <c r="A51" s="162"/>
      <c r="B51" s="163" t="s">
        <v>69</v>
      </c>
      <c r="C51" s="164">
        <f t="shared" si="0"/>
        <v>727047</v>
      </c>
      <c r="D51" s="165">
        <f>SUM(D52,D194)</f>
        <v>529234</v>
      </c>
      <c r="E51" s="166">
        <f t="shared" ref="E51:F51" si="30">SUM(E52,E194)</f>
        <v>0</v>
      </c>
      <c r="F51" s="167">
        <f t="shared" si="30"/>
        <v>529234</v>
      </c>
      <c r="G51" s="165">
        <f>SUM(G52,G194)</f>
        <v>173686</v>
      </c>
      <c r="H51" s="166">
        <f t="shared" ref="H51:I51" si="31">SUM(H52,H194)</f>
        <v>1988</v>
      </c>
      <c r="I51" s="167">
        <f t="shared" si="31"/>
        <v>175674</v>
      </c>
      <c r="J51" s="168">
        <f>SUM(J52,J194)</f>
        <v>22139</v>
      </c>
      <c r="K51" s="169">
        <f t="shared" ref="K51:L51" si="32">SUM(K52,K194)</f>
        <v>0</v>
      </c>
      <c r="L51" s="170">
        <f t="shared" si="32"/>
        <v>22139</v>
      </c>
      <c r="M51" s="168">
        <f>SUM(M52,M194)</f>
        <v>0</v>
      </c>
      <c r="N51" s="169">
        <f t="shared" ref="N51:O51" si="33">SUM(N52,N194)</f>
        <v>0</v>
      </c>
      <c r="O51" s="170">
        <f t="shared" si="33"/>
        <v>0</v>
      </c>
      <c r="P51" s="171"/>
    </row>
    <row r="52" spans="1:16" s="28" customFormat="1" ht="24" x14ac:dyDescent="0.25">
      <c r="A52" s="24"/>
      <c r="B52" s="22" t="s">
        <v>70</v>
      </c>
      <c r="C52" s="172">
        <f t="shared" si="0"/>
        <v>714953</v>
      </c>
      <c r="D52" s="173">
        <f>SUM(D53,D75,D173,D187)</f>
        <v>518904</v>
      </c>
      <c r="E52" s="174">
        <f t="shared" ref="E52:F52" si="34">SUM(E53,E75,E173,E187)</f>
        <v>5</v>
      </c>
      <c r="F52" s="175">
        <f t="shared" si="34"/>
        <v>518909</v>
      </c>
      <c r="G52" s="173">
        <f>SUM(G53,G75,G173,G187)</f>
        <v>171917</v>
      </c>
      <c r="H52" s="174">
        <f t="shared" ref="H52:I52" si="35">SUM(H53,H75,H173,H187)</f>
        <v>1988</v>
      </c>
      <c r="I52" s="175">
        <f t="shared" si="35"/>
        <v>173905</v>
      </c>
      <c r="J52" s="173">
        <f>SUM(J53,J75,J173,J187)</f>
        <v>22139</v>
      </c>
      <c r="K52" s="174">
        <f t="shared" ref="K52:L52" si="36">SUM(K53,K75,K173,K187)</f>
        <v>0</v>
      </c>
      <c r="L52" s="175">
        <f t="shared" si="36"/>
        <v>22139</v>
      </c>
      <c r="M52" s="173">
        <f>SUM(M53,M75,M173,M187)</f>
        <v>0</v>
      </c>
      <c r="N52" s="174">
        <f t="shared" ref="N52:O52" si="37">SUM(N53,N75,N173,N187)</f>
        <v>0</v>
      </c>
      <c r="O52" s="175">
        <f t="shared" si="37"/>
        <v>0</v>
      </c>
      <c r="P52" s="176"/>
    </row>
    <row r="53" spans="1:16" s="28" customFormat="1" x14ac:dyDescent="0.25">
      <c r="A53" s="177">
        <v>1000</v>
      </c>
      <c r="B53" s="177" t="s">
        <v>71</v>
      </c>
      <c r="C53" s="178">
        <f t="shared" si="0"/>
        <v>631529</v>
      </c>
      <c r="D53" s="179">
        <f>SUM(D54,D67)</f>
        <v>460137</v>
      </c>
      <c r="E53" s="180">
        <f t="shared" ref="E53:F53" si="38">SUM(E54,E67)</f>
        <v>0</v>
      </c>
      <c r="F53" s="181">
        <f t="shared" si="38"/>
        <v>460137</v>
      </c>
      <c r="G53" s="179">
        <f>SUM(G54,G67)</f>
        <v>170083</v>
      </c>
      <c r="H53" s="180">
        <f t="shared" ref="H53:I53" si="39">SUM(H54,H67)</f>
        <v>1309</v>
      </c>
      <c r="I53" s="181">
        <f t="shared" si="39"/>
        <v>171392</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70">
        <f t="shared" si="0"/>
        <v>474671</v>
      </c>
      <c r="D54" s="184">
        <f>SUM(D55,D58,D66)</f>
        <v>337855</v>
      </c>
      <c r="E54" s="185">
        <f t="shared" ref="E54:F54" si="42">SUM(E55,E58,E66)</f>
        <v>0</v>
      </c>
      <c r="F54" s="73">
        <f t="shared" si="42"/>
        <v>337855</v>
      </c>
      <c r="G54" s="184">
        <f>SUM(G55,G58,G66)</f>
        <v>135574</v>
      </c>
      <c r="H54" s="185">
        <f t="shared" ref="H54:I54" si="43">SUM(H55,H58,H66)</f>
        <v>1242</v>
      </c>
      <c r="I54" s="73">
        <f t="shared" si="43"/>
        <v>136816</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73</v>
      </c>
      <c r="C55" s="143">
        <f t="shared" si="0"/>
        <v>435622</v>
      </c>
      <c r="D55" s="187">
        <f>SUM(D56:D57)</f>
        <v>299873</v>
      </c>
      <c r="E55" s="188">
        <f t="shared" ref="E55:F55" si="46">SUM(E56:E57)</f>
        <v>-520</v>
      </c>
      <c r="F55" s="141">
        <f t="shared" si="46"/>
        <v>299353</v>
      </c>
      <c r="G55" s="187">
        <f>SUM(G56:G57)</f>
        <v>134844</v>
      </c>
      <c r="H55" s="188">
        <f t="shared" ref="H55:I55" si="47">SUM(H56:H57)</f>
        <v>1425</v>
      </c>
      <c r="I55" s="141">
        <f t="shared" si="47"/>
        <v>136269</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8.5" customHeight="1" x14ac:dyDescent="0.25">
      <c r="A57" s="51">
        <v>1119</v>
      </c>
      <c r="B57" s="89" t="s">
        <v>75</v>
      </c>
      <c r="C57" s="90">
        <f t="shared" si="0"/>
        <v>435622</v>
      </c>
      <c r="D57" s="53">
        <v>299873</v>
      </c>
      <c r="E57" s="54">
        <v>-520</v>
      </c>
      <c r="F57" s="55">
        <f t="shared" si="50"/>
        <v>299353</v>
      </c>
      <c r="G57" s="53">
        <v>134844</v>
      </c>
      <c r="H57" s="54">
        <v>1425</v>
      </c>
      <c r="I57" s="55">
        <f t="shared" si="51"/>
        <v>136269</v>
      </c>
      <c r="J57" s="53"/>
      <c r="K57" s="54"/>
      <c r="L57" s="55">
        <f t="shared" si="52"/>
        <v>0</v>
      </c>
      <c r="M57" s="53"/>
      <c r="N57" s="54"/>
      <c r="O57" s="55">
        <f t="shared" si="53"/>
        <v>0</v>
      </c>
      <c r="P57" s="1487" t="s">
        <v>1969</v>
      </c>
    </row>
    <row r="58" spans="1:16" ht="24" x14ac:dyDescent="0.25">
      <c r="A58" s="189">
        <v>1140</v>
      </c>
      <c r="B58" s="89" t="s">
        <v>76</v>
      </c>
      <c r="C58" s="90">
        <f t="shared" si="0"/>
        <v>35741</v>
      </c>
      <c r="D58" s="190">
        <f>SUM(D59:D65)</f>
        <v>35194</v>
      </c>
      <c r="E58" s="191">
        <f>SUM(E59:E65)</f>
        <v>0</v>
      </c>
      <c r="F58" s="55">
        <f t="shared" ref="F58" si="54">SUM(F59:F65)</f>
        <v>35194</v>
      </c>
      <c r="G58" s="190">
        <f>SUM(G59:G65)</f>
        <v>730</v>
      </c>
      <c r="H58" s="191">
        <f t="shared" ref="H58:I58" si="55">SUM(H59:H65)</f>
        <v>-183</v>
      </c>
      <c r="I58" s="55">
        <f t="shared" si="55"/>
        <v>547</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77</v>
      </c>
      <c r="C59" s="90">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78</v>
      </c>
      <c r="C60" s="90">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36.75" customHeight="1" x14ac:dyDescent="0.25">
      <c r="A61" s="51">
        <v>1145</v>
      </c>
      <c r="B61" s="89" t="s">
        <v>79</v>
      </c>
      <c r="C61" s="90">
        <f t="shared" si="0"/>
        <v>2354</v>
      </c>
      <c r="D61" s="53">
        <v>1807</v>
      </c>
      <c r="E61" s="54"/>
      <c r="F61" s="55">
        <f t="shared" si="58"/>
        <v>1807</v>
      </c>
      <c r="G61" s="53">
        <v>730</v>
      </c>
      <c r="H61" s="54">
        <v>-183</v>
      </c>
      <c r="I61" s="55">
        <f t="shared" si="59"/>
        <v>547</v>
      </c>
      <c r="J61" s="53"/>
      <c r="K61" s="54"/>
      <c r="L61" s="55">
        <f t="shared" si="60"/>
        <v>0</v>
      </c>
      <c r="M61" s="53"/>
      <c r="N61" s="54"/>
      <c r="O61" s="55">
        <f t="shared" si="61"/>
        <v>0</v>
      </c>
      <c r="P61" s="1487" t="s">
        <v>1970</v>
      </c>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81</v>
      </c>
      <c r="C63" s="90">
        <f t="shared" si="0"/>
        <v>3995</v>
      </c>
      <c r="D63" s="53">
        <v>3995</v>
      </c>
      <c r="E63" s="54"/>
      <c r="F63" s="55">
        <f t="shared" si="58"/>
        <v>3995</v>
      </c>
      <c r="G63" s="53"/>
      <c r="H63" s="54"/>
      <c r="I63" s="55">
        <f t="shared" si="59"/>
        <v>0</v>
      </c>
      <c r="J63" s="53"/>
      <c r="K63" s="54"/>
      <c r="L63" s="55">
        <f t="shared" si="60"/>
        <v>0</v>
      </c>
      <c r="M63" s="53"/>
      <c r="N63" s="54"/>
      <c r="O63" s="55">
        <f t="shared" si="61"/>
        <v>0</v>
      </c>
      <c r="P63" s="57"/>
    </row>
    <row r="64" spans="1:16" ht="12" customHeight="1" x14ac:dyDescent="0.25">
      <c r="A64" s="51">
        <v>1148</v>
      </c>
      <c r="B64" s="89" t="s">
        <v>82</v>
      </c>
      <c r="C64" s="90">
        <f t="shared" si="0"/>
        <v>23705</v>
      </c>
      <c r="D64" s="53">
        <v>23705</v>
      </c>
      <c r="E64" s="54"/>
      <c r="F64" s="55">
        <f t="shared" si="58"/>
        <v>23705</v>
      </c>
      <c r="G64" s="53"/>
      <c r="H64" s="54"/>
      <c r="I64" s="55">
        <f t="shared" si="59"/>
        <v>0</v>
      </c>
      <c r="J64" s="53"/>
      <c r="K64" s="54"/>
      <c r="L64" s="55">
        <f t="shared" si="60"/>
        <v>0</v>
      </c>
      <c r="M64" s="53"/>
      <c r="N64" s="54"/>
      <c r="O64" s="55">
        <f t="shared" si="61"/>
        <v>0</v>
      </c>
      <c r="P64" s="57"/>
    </row>
    <row r="65" spans="1:16" ht="24" customHeight="1" x14ac:dyDescent="0.25">
      <c r="A65" s="51">
        <v>1149</v>
      </c>
      <c r="B65" s="89" t="s">
        <v>83</v>
      </c>
      <c r="C65" s="90">
        <f t="shared" si="0"/>
        <v>486</v>
      </c>
      <c r="D65" s="53">
        <v>486</v>
      </c>
      <c r="E65" s="54"/>
      <c r="F65" s="55">
        <f t="shared" si="58"/>
        <v>486</v>
      </c>
      <c r="G65" s="53"/>
      <c r="H65" s="54"/>
      <c r="I65" s="55">
        <f t="shared" si="59"/>
        <v>0</v>
      </c>
      <c r="J65" s="53"/>
      <c r="K65" s="54"/>
      <c r="L65" s="55">
        <f t="shared" si="60"/>
        <v>0</v>
      </c>
      <c r="M65" s="53"/>
      <c r="N65" s="54"/>
      <c r="O65" s="55">
        <f t="shared" si="61"/>
        <v>0</v>
      </c>
      <c r="P65" s="57"/>
    </row>
    <row r="66" spans="1:16" ht="36" customHeight="1" x14ac:dyDescent="0.25">
      <c r="A66" s="186">
        <v>1150</v>
      </c>
      <c r="B66" s="138" t="s">
        <v>84</v>
      </c>
      <c r="C66" s="143">
        <f t="shared" si="0"/>
        <v>3308</v>
      </c>
      <c r="D66" s="144">
        <v>2788</v>
      </c>
      <c r="E66" s="145">
        <v>520</v>
      </c>
      <c r="F66" s="141">
        <f t="shared" si="58"/>
        <v>3308</v>
      </c>
      <c r="G66" s="144"/>
      <c r="H66" s="145"/>
      <c r="I66" s="141">
        <f t="shared" si="59"/>
        <v>0</v>
      </c>
      <c r="J66" s="144"/>
      <c r="K66" s="145"/>
      <c r="L66" s="141">
        <f t="shared" si="60"/>
        <v>0</v>
      </c>
      <c r="M66" s="144"/>
      <c r="N66" s="145"/>
      <c r="O66" s="141">
        <f t="shared" si="61"/>
        <v>0</v>
      </c>
      <c r="P66" s="129" t="s">
        <v>1971</v>
      </c>
    </row>
    <row r="67" spans="1:16" ht="24" x14ac:dyDescent="0.25">
      <c r="A67" s="69">
        <v>1200</v>
      </c>
      <c r="B67" s="183" t="s">
        <v>85</v>
      </c>
      <c r="C67" s="70">
        <f t="shared" si="0"/>
        <v>156858</v>
      </c>
      <c r="D67" s="184">
        <f>SUM(D68:D69)</f>
        <v>122282</v>
      </c>
      <c r="E67" s="185">
        <f t="shared" ref="E67:F67" si="62">SUM(E68:E69)</f>
        <v>0</v>
      </c>
      <c r="F67" s="73">
        <f t="shared" si="62"/>
        <v>122282</v>
      </c>
      <c r="G67" s="184">
        <f>SUM(G68:G69)</f>
        <v>34509</v>
      </c>
      <c r="H67" s="185">
        <f t="shared" ref="H67:I67" si="63">SUM(H68:H69)</f>
        <v>67</v>
      </c>
      <c r="I67" s="73">
        <f t="shared" si="63"/>
        <v>34576</v>
      </c>
      <c r="J67" s="184">
        <f>SUM(J68:J69)</f>
        <v>0</v>
      </c>
      <c r="K67" s="185">
        <f t="shared" ref="K67:L67" si="64">SUM(K68:K69)</f>
        <v>0</v>
      </c>
      <c r="L67" s="73">
        <f t="shared" si="64"/>
        <v>0</v>
      </c>
      <c r="M67" s="184">
        <f>SUM(M68:M69)</f>
        <v>0</v>
      </c>
      <c r="N67" s="185">
        <f t="shared" ref="N67:O67" si="65">SUM(N68:N69)</f>
        <v>0</v>
      </c>
      <c r="O67" s="73">
        <f t="shared" si="65"/>
        <v>0</v>
      </c>
      <c r="P67" s="77"/>
    </row>
    <row r="68" spans="1:16" ht="33" customHeight="1" x14ac:dyDescent="0.25">
      <c r="A68" s="1449">
        <v>1210</v>
      </c>
      <c r="B68" s="82" t="s">
        <v>86</v>
      </c>
      <c r="C68" s="83">
        <f t="shared" si="0"/>
        <v>119992</v>
      </c>
      <c r="D68" s="46">
        <v>86786</v>
      </c>
      <c r="E68" s="47"/>
      <c r="F68" s="134">
        <f>D68+E68</f>
        <v>86786</v>
      </c>
      <c r="G68" s="46">
        <v>33019</v>
      </c>
      <c r="H68" s="47">
        <v>187</v>
      </c>
      <c r="I68" s="134">
        <f>G68+H68</f>
        <v>33206</v>
      </c>
      <c r="J68" s="46"/>
      <c r="K68" s="47"/>
      <c r="L68" s="134">
        <f>K68+J68</f>
        <v>0</v>
      </c>
      <c r="M68" s="46"/>
      <c r="N68" s="47"/>
      <c r="O68" s="134">
        <f>N68+M68</f>
        <v>0</v>
      </c>
      <c r="P68" s="49" t="s">
        <v>1972</v>
      </c>
    </row>
    <row r="69" spans="1:16" ht="24" x14ac:dyDescent="0.25">
      <c r="A69" s="189">
        <v>1220</v>
      </c>
      <c r="B69" s="89" t="s">
        <v>87</v>
      </c>
      <c r="C69" s="90">
        <f t="shared" si="0"/>
        <v>36866</v>
      </c>
      <c r="D69" s="190">
        <f>SUM(D70:D74)</f>
        <v>35496</v>
      </c>
      <c r="E69" s="191">
        <f t="shared" ref="E69:F69" si="66">SUM(E70:E74)</f>
        <v>0</v>
      </c>
      <c r="F69" s="55">
        <f t="shared" si="66"/>
        <v>35496</v>
      </c>
      <c r="G69" s="190">
        <f>SUM(G70:G74)</f>
        <v>1490</v>
      </c>
      <c r="H69" s="191">
        <f t="shared" ref="H69:I69" si="67">SUM(H70:H74)</f>
        <v>-120</v>
      </c>
      <c r="I69" s="55">
        <f t="shared" si="67"/>
        <v>1370</v>
      </c>
      <c r="J69" s="190">
        <f>SUM(J70:J74)</f>
        <v>0</v>
      </c>
      <c r="K69" s="191">
        <f t="shared" ref="K69:L69" si="68">SUM(K70:K74)</f>
        <v>0</v>
      </c>
      <c r="L69" s="55">
        <f t="shared" si="68"/>
        <v>0</v>
      </c>
      <c r="M69" s="190">
        <f>SUM(M70:M74)</f>
        <v>0</v>
      </c>
      <c r="N69" s="191">
        <f t="shared" ref="N69:O69" si="69">SUM(N70:N74)</f>
        <v>0</v>
      </c>
      <c r="O69" s="55">
        <f t="shared" si="69"/>
        <v>0</v>
      </c>
      <c r="P69" s="57"/>
    </row>
    <row r="70" spans="1:16" ht="54.75" customHeight="1" x14ac:dyDescent="0.25">
      <c r="A70" s="51">
        <v>1221</v>
      </c>
      <c r="B70" s="89" t="s">
        <v>88</v>
      </c>
      <c r="C70" s="90">
        <f t="shared" si="0"/>
        <v>23773</v>
      </c>
      <c r="D70" s="53">
        <v>22403</v>
      </c>
      <c r="E70" s="54"/>
      <c r="F70" s="55">
        <f t="shared" ref="F70:F74" si="70">D70+E70</f>
        <v>22403</v>
      </c>
      <c r="G70" s="53">
        <v>1490</v>
      </c>
      <c r="H70" s="54">
        <v>-120</v>
      </c>
      <c r="I70" s="55">
        <f t="shared" ref="I70:I74" si="71">G70+H70</f>
        <v>1370</v>
      </c>
      <c r="J70" s="53"/>
      <c r="K70" s="54"/>
      <c r="L70" s="55">
        <f t="shared" ref="L70:L74" si="72">K70+J70</f>
        <v>0</v>
      </c>
      <c r="M70" s="53"/>
      <c r="N70" s="54"/>
      <c r="O70" s="55">
        <f t="shared" ref="O70:O74" si="73">N70+M70</f>
        <v>0</v>
      </c>
      <c r="P70" s="57" t="s">
        <v>1973</v>
      </c>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91</v>
      </c>
      <c r="C73" s="90">
        <f t="shared" si="0"/>
        <v>12593</v>
      </c>
      <c r="D73" s="53">
        <v>12593</v>
      </c>
      <c r="E73" s="54"/>
      <c r="F73" s="55">
        <f t="shared" si="70"/>
        <v>12593</v>
      </c>
      <c r="G73" s="53"/>
      <c r="H73" s="54"/>
      <c r="I73" s="55">
        <f t="shared" si="71"/>
        <v>0</v>
      </c>
      <c r="J73" s="53"/>
      <c r="K73" s="54"/>
      <c r="L73" s="55">
        <f t="shared" si="72"/>
        <v>0</v>
      </c>
      <c r="M73" s="53"/>
      <c r="N73" s="54"/>
      <c r="O73" s="55">
        <f t="shared" si="73"/>
        <v>0</v>
      </c>
      <c r="P73" s="57"/>
    </row>
    <row r="74" spans="1:16" ht="48" customHeight="1" x14ac:dyDescent="0.25">
      <c r="A74" s="51">
        <v>1228</v>
      </c>
      <c r="B74" s="89" t="s">
        <v>92</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83424</v>
      </c>
      <c r="D75" s="179">
        <f>SUM(D76,D83,D130,D164,D165,D172)</f>
        <v>58767</v>
      </c>
      <c r="E75" s="180">
        <f t="shared" ref="E75:F75" si="74">SUM(E76,E83,E130,E164,E165,E172)</f>
        <v>5</v>
      </c>
      <c r="F75" s="181">
        <f t="shared" si="74"/>
        <v>58772</v>
      </c>
      <c r="G75" s="179">
        <f>SUM(G76,G83,G130,G164,G165,G172)</f>
        <v>1834</v>
      </c>
      <c r="H75" s="180">
        <f t="shared" ref="H75:I75" si="75">SUM(H76,H83,H130,H164,H165,H172)</f>
        <v>679</v>
      </c>
      <c r="I75" s="181">
        <f t="shared" si="75"/>
        <v>2513</v>
      </c>
      <c r="J75" s="179">
        <f>SUM(J76,J83,J130,J164,J165,J172)</f>
        <v>22139</v>
      </c>
      <c r="K75" s="180">
        <f t="shared" ref="K75:L75" si="76">SUM(K76,K83,K130,K164,K165,K172)</f>
        <v>0</v>
      </c>
      <c r="L75" s="181">
        <f t="shared" si="76"/>
        <v>22139</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9">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46954</v>
      </c>
      <c r="D83" s="184">
        <f>SUM(D84,D89,D95,D103,D112,D116,D122,D128)</f>
        <v>45498</v>
      </c>
      <c r="E83" s="185">
        <f t="shared" ref="E83:F83" si="98">SUM(E84,E89,E95,E103,E112,E116,E122,E128)</f>
        <v>-202</v>
      </c>
      <c r="F83" s="73">
        <f t="shared" si="98"/>
        <v>45296</v>
      </c>
      <c r="G83" s="184">
        <f>SUM(G84,G89,G95,G103,G112,G116,G122,G128)</f>
        <v>634</v>
      </c>
      <c r="H83" s="185">
        <f t="shared" ref="H83:I83" si="99">SUM(H84,H89,H95,H103,H112,H116,H122,H128)</f>
        <v>679</v>
      </c>
      <c r="I83" s="73">
        <f t="shared" si="99"/>
        <v>1313</v>
      </c>
      <c r="J83" s="184">
        <f>SUM(J84,J89,J95,J103,J112,J116,J122,J128)</f>
        <v>345</v>
      </c>
      <c r="K83" s="185">
        <f t="shared" ref="K83:L83" si="100">SUM(K84,K89,K95,K103,K112,K116,K122,K128)</f>
        <v>0</v>
      </c>
      <c r="L83" s="73">
        <f t="shared" si="100"/>
        <v>345</v>
      </c>
      <c r="M83" s="184">
        <f>SUM(M84,M89,M95,M103,M112,M116,M122,M128)</f>
        <v>0</v>
      </c>
      <c r="N83" s="185">
        <f t="shared" ref="N83:O83" si="101">SUM(N84,N89,N95,N103,N112,N116,N122,N128)</f>
        <v>0</v>
      </c>
      <c r="O83" s="73">
        <f t="shared" si="101"/>
        <v>0</v>
      </c>
      <c r="P83" s="77"/>
    </row>
    <row r="84" spans="1:16" x14ac:dyDescent="0.25">
      <c r="A84" s="186">
        <v>2210</v>
      </c>
      <c r="B84" s="138" t="s">
        <v>100</v>
      </c>
      <c r="C84" s="143">
        <f t="shared" ref="C84:C147" si="102">F84+I84+L84+O84</f>
        <v>1089</v>
      </c>
      <c r="D84" s="187">
        <f>SUM(D85:D88)</f>
        <v>1014</v>
      </c>
      <c r="E84" s="188">
        <f t="shared" ref="E84:F84" si="103">SUM(E85:E88)</f>
        <v>0</v>
      </c>
      <c r="F84" s="141">
        <f t="shared" si="103"/>
        <v>1014</v>
      </c>
      <c r="G84" s="187">
        <f>SUM(G85:G88)</f>
        <v>0</v>
      </c>
      <c r="H84" s="188">
        <f t="shared" ref="H84:I84" si="104">SUM(H85:H88)</f>
        <v>0</v>
      </c>
      <c r="I84" s="141">
        <f t="shared" si="104"/>
        <v>0</v>
      </c>
      <c r="J84" s="187">
        <f>SUM(J85:J88)</f>
        <v>75</v>
      </c>
      <c r="K84" s="188">
        <f t="shared" ref="K84:L84" si="105">SUM(K85:K88)</f>
        <v>0</v>
      </c>
      <c r="L84" s="141">
        <f t="shared" si="105"/>
        <v>75</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102</v>
      </c>
      <c r="C86" s="90">
        <f t="shared" si="102"/>
        <v>823</v>
      </c>
      <c r="D86" s="196">
        <v>823</v>
      </c>
      <c r="E86" s="197"/>
      <c r="F86" s="55">
        <f t="shared" si="107"/>
        <v>823</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90">
        <f t="shared" si="102"/>
        <v>126</v>
      </c>
      <c r="D87" s="196">
        <v>51</v>
      </c>
      <c r="E87" s="197"/>
      <c r="F87" s="55">
        <f t="shared" si="107"/>
        <v>51</v>
      </c>
      <c r="G87" s="53"/>
      <c r="H87" s="54"/>
      <c r="I87" s="55">
        <f t="shared" si="108"/>
        <v>0</v>
      </c>
      <c r="J87" s="53">
        <v>75</v>
      </c>
      <c r="K87" s="54"/>
      <c r="L87" s="55">
        <f t="shared" si="109"/>
        <v>75</v>
      </c>
      <c r="M87" s="53"/>
      <c r="N87" s="54"/>
      <c r="O87" s="55">
        <f t="shared" si="110"/>
        <v>0</v>
      </c>
      <c r="P87" s="57"/>
    </row>
    <row r="88" spans="1:16" ht="12" customHeight="1" x14ac:dyDescent="0.25">
      <c r="A88" s="51">
        <v>2219</v>
      </c>
      <c r="B88" s="89" t="s">
        <v>104</v>
      </c>
      <c r="C88" s="90">
        <f t="shared" si="102"/>
        <v>140</v>
      </c>
      <c r="D88" s="196">
        <v>140</v>
      </c>
      <c r="E88" s="197"/>
      <c r="F88" s="55">
        <f t="shared" si="107"/>
        <v>140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35409</v>
      </c>
      <c r="D89" s="190">
        <f>SUM(D90:D94)</f>
        <v>35409</v>
      </c>
      <c r="E89" s="191">
        <f t="shared" ref="E89:F89" si="111">SUM(E90:E94)</f>
        <v>0</v>
      </c>
      <c r="F89" s="55">
        <f t="shared" si="111"/>
        <v>35409</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90">
        <f t="shared" si="102"/>
        <v>21052</v>
      </c>
      <c r="D90" s="196">
        <v>21052</v>
      </c>
      <c r="E90" s="197"/>
      <c r="F90" s="55">
        <f t="shared" ref="F90:F94" si="115">D90+E90</f>
        <v>21052</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90">
        <f t="shared" si="102"/>
        <v>4841</v>
      </c>
      <c r="D91" s="196">
        <v>4841</v>
      </c>
      <c r="E91" s="197"/>
      <c r="F91" s="55">
        <f t="shared" si="115"/>
        <v>4841</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90">
        <f t="shared" si="102"/>
        <v>8167</v>
      </c>
      <c r="D92" s="196">
        <v>8167</v>
      </c>
      <c r="E92" s="197"/>
      <c r="F92" s="55">
        <f t="shared" si="115"/>
        <v>8167</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90">
        <f t="shared" si="102"/>
        <v>1349</v>
      </c>
      <c r="D93" s="196">
        <v>1349</v>
      </c>
      <c r="E93" s="197"/>
      <c r="F93" s="55">
        <f t="shared" si="115"/>
        <v>1349</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111</v>
      </c>
      <c r="C95" s="90">
        <f t="shared" si="102"/>
        <v>1877</v>
      </c>
      <c r="D95" s="190">
        <f>SUM(D96:D102)</f>
        <v>1877</v>
      </c>
      <c r="E95" s="191">
        <f t="shared" ref="E95:F95" si="119">SUM(E96:E102)</f>
        <v>0</v>
      </c>
      <c r="F95" s="55">
        <f t="shared" si="119"/>
        <v>1877</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118</v>
      </c>
      <c r="C102" s="90">
        <f t="shared" si="102"/>
        <v>1877</v>
      </c>
      <c r="D102" s="196">
        <v>1877</v>
      </c>
      <c r="E102" s="197"/>
      <c r="F102" s="55">
        <f t="shared" si="123"/>
        <v>1877</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90">
        <f t="shared" si="102"/>
        <v>6035</v>
      </c>
      <c r="D103" s="190">
        <f>SUM(D104:D111)</f>
        <v>6035</v>
      </c>
      <c r="E103" s="191">
        <f t="shared" ref="E103:F103" si="127">SUM(E104:E111)</f>
        <v>0</v>
      </c>
      <c r="F103" s="55">
        <f t="shared" si="127"/>
        <v>6035</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122</v>
      </c>
      <c r="C106" s="90">
        <f t="shared" si="102"/>
        <v>2241</v>
      </c>
      <c r="D106" s="196">
        <v>2241</v>
      </c>
      <c r="E106" s="197"/>
      <c r="F106" s="55">
        <f t="shared" si="131"/>
        <v>2241</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90">
        <f t="shared" si="102"/>
        <v>3794</v>
      </c>
      <c r="D107" s="196">
        <v>3794</v>
      </c>
      <c r="E107" s="197"/>
      <c r="F107" s="55">
        <f t="shared" si="131"/>
        <v>3794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t="24" x14ac:dyDescent="0.25">
      <c r="A112" s="189">
        <v>2250</v>
      </c>
      <c r="B112" s="89" t="s">
        <v>128</v>
      </c>
      <c r="C112" s="90">
        <f t="shared" si="102"/>
        <v>909</v>
      </c>
      <c r="D112" s="190">
        <f>SUM(D113:D115)</f>
        <v>1071</v>
      </c>
      <c r="E112" s="191">
        <f t="shared" ref="E112:F112" si="135">SUM(E113:E115)</f>
        <v>-162</v>
      </c>
      <c r="F112" s="55">
        <f t="shared" si="135"/>
        <v>909</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129</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130</v>
      </c>
      <c r="C114" s="90">
        <f t="shared" si="102"/>
        <v>329</v>
      </c>
      <c r="D114" s="196">
        <v>329</v>
      </c>
      <c r="E114" s="197"/>
      <c r="F114" s="55">
        <f t="shared" si="139"/>
        <v>329</v>
      </c>
      <c r="G114" s="53"/>
      <c r="H114" s="54"/>
      <c r="I114" s="55">
        <f t="shared" si="140"/>
        <v>0</v>
      </c>
      <c r="J114" s="53"/>
      <c r="K114" s="54"/>
      <c r="L114" s="55">
        <f t="shared" si="141"/>
        <v>0</v>
      </c>
      <c r="M114" s="53"/>
      <c r="N114" s="54"/>
      <c r="O114" s="55">
        <f t="shared" si="142"/>
        <v>0</v>
      </c>
      <c r="P114" s="57"/>
    </row>
    <row r="115" spans="1:16" ht="30.75" customHeight="1" x14ac:dyDescent="0.25">
      <c r="A115" s="51">
        <v>2259</v>
      </c>
      <c r="B115" s="89" t="s">
        <v>131</v>
      </c>
      <c r="C115" s="90">
        <f t="shared" si="102"/>
        <v>414</v>
      </c>
      <c r="D115" s="196">
        <v>576</v>
      </c>
      <c r="E115" s="197">
        <v>-162</v>
      </c>
      <c r="F115" s="55">
        <f t="shared" si="139"/>
        <v>414</v>
      </c>
      <c r="G115" s="53"/>
      <c r="H115" s="54"/>
      <c r="I115" s="55">
        <f t="shared" si="140"/>
        <v>0</v>
      </c>
      <c r="J115" s="53"/>
      <c r="K115" s="54"/>
      <c r="L115" s="55">
        <f t="shared" si="141"/>
        <v>0</v>
      </c>
      <c r="M115" s="53"/>
      <c r="N115" s="54"/>
      <c r="O115" s="55">
        <f t="shared" si="142"/>
        <v>0</v>
      </c>
      <c r="P115" s="57" t="s">
        <v>1974</v>
      </c>
    </row>
    <row r="116" spans="1:16" x14ac:dyDescent="0.25">
      <c r="A116" s="189">
        <v>2260</v>
      </c>
      <c r="B116" s="89" t="s">
        <v>132</v>
      </c>
      <c r="C116" s="90">
        <f t="shared" si="102"/>
        <v>977</v>
      </c>
      <c r="D116" s="190">
        <f>SUM(D117:D121)</f>
        <v>52</v>
      </c>
      <c r="E116" s="191">
        <f t="shared" ref="E116:F116" si="143">SUM(E117:E121)</f>
        <v>0</v>
      </c>
      <c r="F116" s="55">
        <f t="shared" si="143"/>
        <v>52</v>
      </c>
      <c r="G116" s="190">
        <f>SUM(G117:G121)</f>
        <v>440</v>
      </c>
      <c r="H116" s="191">
        <f t="shared" ref="H116:I116" si="144">SUM(H117:H121)</f>
        <v>485</v>
      </c>
      <c r="I116" s="55">
        <f t="shared" si="144"/>
        <v>925</v>
      </c>
      <c r="J116" s="190">
        <f>SUM(J117:J121)</f>
        <v>0</v>
      </c>
      <c r="K116" s="191">
        <f t="shared" ref="K116:L116" si="145">SUM(K117:K121)</f>
        <v>0</v>
      </c>
      <c r="L116" s="55">
        <f t="shared" si="145"/>
        <v>0</v>
      </c>
      <c r="M116" s="190">
        <f>SUM(M117:M121)</f>
        <v>0</v>
      </c>
      <c r="N116" s="191">
        <f t="shared" ref="N116:O116" si="146">SUM(N117:N121)</f>
        <v>0</v>
      </c>
      <c r="O116" s="55">
        <f t="shared" si="146"/>
        <v>0</v>
      </c>
      <c r="P116" s="442"/>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7" customHeight="1" x14ac:dyDescent="0.25">
      <c r="A118" s="51">
        <v>2262</v>
      </c>
      <c r="B118" s="89" t="s">
        <v>134</v>
      </c>
      <c r="C118" s="90">
        <f t="shared" si="102"/>
        <v>925</v>
      </c>
      <c r="D118" s="196"/>
      <c r="E118" s="197"/>
      <c r="F118" s="55">
        <f t="shared" si="147"/>
        <v>0</v>
      </c>
      <c r="G118" s="53">
        <v>440</v>
      </c>
      <c r="H118" s="54">
        <v>485</v>
      </c>
      <c r="I118" s="55">
        <f t="shared" si="148"/>
        <v>925</v>
      </c>
      <c r="J118" s="53"/>
      <c r="K118" s="54"/>
      <c r="L118" s="55">
        <f t="shared" si="149"/>
        <v>0</v>
      </c>
      <c r="M118" s="53"/>
      <c r="N118" s="54"/>
      <c r="O118" s="55">
        <f t="shared" si="150"/>
        <v>0</v>
      </c>
      <c r="P118" s="57" t="s">
        <v>1975</v>
      </c>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3.25" customHeight="1" x14ac:dyDescent="0.25">
      <c r="A121" s="345">
        <v>2269</v>
      </c>
      <c r="B121" s="346" t="s">
        <v>137</v>
      </c>
      <c r="C121" s="347">
        <f t="shared" si="102"/>
        <v>52</v>
      </c>
      <c r="D121" s="352">
        <v>52</v>
      </c>
      <c r="E121" s="353"/>
      <c r="F121" s="350">
        <f t="shared" si="147"/>
        <v>52</v>
      </c>
      <c r="G121" s="348"/>
      <c r="H121" s="349"/>
      <c r="I121" s="350">
        <f t="shared" si="148"/>
        <v>0</v>
      </c>
      <c r="J121" s="348"/>
      <c r="K121" s="349"/>
      <c r="L121" s="350">
        <f t="shared" si="149"/>
        <v>0</v>
      </c>
      <c r="M121" s="348"/>
      <c r="N121" s="349"/>
      <c r="O121" s="350">
        <f t="shared" si="150"/>
        <v>0</v>
      </c>
      <c r="P121" s="354"/>
    </row>
    <row r="122" spans="1:16" x14ac:dyDescent="0.25">
      <c r="A122" s="189">
        <v>2270</v>
      </c>
      <c r="B122" s="89" t="s">
        <v>138</v>
      </c>
      <c r="C122" s="90">
        <f t="shared" si="102"/>
        <v>658</v>
      </c>
      <c r="D122" s="190">
        <f>SUM(D123:D127)</f>
        <v>40</v>
      </c>
      <c r="E122" s="191">
        <f t="shared" ref="E122:F122" si="151">SUM(E123:E127)</f>
        <v>-40</v>
      </c>
      <c r="F122" s="55">
        <f t="shared" si="151"/>
        <v>0</v>
      </c>
      <c r="G122" s="190">
        <f>SUM(G123:G127)</f>
        <v>194</v>
      </c>
      <c r="H122" s="191">
        <f t="shared" ref="H122:I122" si="152">SUM(H123:H127)</f>
        <v>194</v>
      </c>
      <c r="I122" s="55">
        <f t="shared" si="152"/>
        <v>388</v>
      </c>
      <c r="J122" s="190">
        <f>SUM(J123:J127)</f>
        <v>270</v>
      </c>
      <c r="K122" s="191">
        <f t="shared" ref="K122:L122" si="153">SUM(K123:K127)</f>
        <v>0</v>
      </c>
      <c r="L122" s="55">
        <f t="shared" si="153"/>
        <v>270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345">
        <v>2275</v>
      </c>
      <c r="B125" s="346" t="s">
        <v>141</v>
      </c>
      <c r="C125" s="347">
        <f t="shared" si="102"/>
        <v>0</v>
      </c>
      <c r="D125" s="352"/>
      <c r="E125" s="353"/>
      <c r="F125" s="350">
        <f t="shared" si="155"/>
        <v>0</v>
      </c>
      <c r="G125" s="348"/>
      <c r="H125" s="349"/>
      <c r="I125" s="350">
        <f t="shared" si="156"/>
        <v>0</v>
      </c>
      <c r="J125" s="348"/>
      <c r="K125" s="349"/>
      <c r="L125" s="350">
        <f t="shared" si="157"/>
        <v>0</v>
      </c>
      <c r="M125" s="348"/>
      <c r="N125" s="349"/>
      <c r="O125" s="350">
        <f t="shared" si="158"/>
        <v>0</v>
      </c>
      <c r="P125" s="354"/>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4.5" customHeight="1" x14ac:dyDescent="0.25">
      <c r="A127" s="51">
        <v>2279</v>
      </c>
      <c r="B127" s="89" t="s">
        <v>143</v>
      </c>
      <c r="C127" s="90">
        <f t="shared" si="102"/>
        <v>658</v>
      </c>
      <c r="D127" s="196">
        <v>40</v>
      </c>
      <c r="E127" s="197">
        <v>-40</v>
      </c>
      <c r="F127" s="55">
        <f t="shared" si="155"/>
        <v>0</v>
      </c>
      <c r="G127" s="53">
        <v>194</v>
      </c>
      <c r="H127" s="54">
        <v>194</v>
      </c>
      <c r="I127" s="55">
        <f t="shared" si="156"/>
        <v>388</v>
      </c>
      <c r="J127" s="53">
        <v>270</v>
      </c>
      <c r="K127" s="54"/>
      <c r="L127" s="55">
        <f t="shared" si="157"/>
        <v>270</v>
      </c>
      <c r="M127" s="53"/>
      <c r="N127" s="54"/>
      <c r="O127" s="55">
        <f t="shared" si="158"/>
        <v>0</v>
      </c>
      <c r="P127" s="57" t="s">
        <v>1976</v>
      </c>
    </row>
    <row r="128" spans="1:16" ht="48" hidden="1" x14ac:dyDescent="0.25">
      <c r="A128" s="1449">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36470</v>
      </c>
      <c r="D130" s="184">
        <f>SUM(D131,D136,D140,D141,D144,D151,D159,D160,D163)</f>
        <v>13269</v>
      </c>
      <c r="E130" s="185">
        <f t="shared" ref="E130:F130" si="160">SUM(E131,E136,E140,E141,E144,E151,E159,E160,E163)</f>
        <v>207</v>
      </c>
      <c r="F130" s="73">
        <f t="shared" si="160"/>
        <v>13476</v>
      </c>
      <c r="G130" s="184">
        <f>SUM(G131,G136,G140,G141,G144,G151,G159,G160,G163)</f>
        <v>1200</v>
      </c>
      <c r="H130" s="185">
        <f t="shared" ref="H130:I130" si="161">SUM(H131,H136,H140,H141,H144,H151,H159,H160,H163)</f>
        <v>0</v>
      </c>
      <c r="I130" s="73">
        <f t="shared" si="161"/>
        <v>1200</v>
      </c>
      <c r="J130" s="184">
        <f>SUM(J131,J136,J140,J141,J144,J151,J159,J160,J163)</f>
        <v>21794</v>
      </c>
      <c r="K130" s="185">
        <f t="shared" ref="K130:L130" si="162">SUM(K131,K136,K140,K141,K144,K151,K159,K160,K163)</f>
        <v>0</v>
      </c>
      <c r="L130" s="73">
        <f t="shared" si="162"/>
        <v>21794</v>
      </c>
      <c r="M130" s="184">
        <f>SUM(M131,M136,M140,M141,M144,M151,M159,M160,M163)</f>
        <v>0</v>
      </c>
      <c r="N130" s="185">
        <f t="shared" ref="N130:O130" si="163">SUM(N131,N136,N140,N141,N144,N151,N159,N160,N163)</f>
        <v>0</v>
      </c>
      <c r="O130" s="73">
        <f t="shared" si="163"/>
        <v>0</v>
      </c>
      <c r="P130" s="77"/>
    </row>
    <row r="131" spans="1:16" ht="24" x14ac:dyDescent="0.25">
      <c r="A131" s="1449">
        <v>2310</v>
      </c>
      <c r="B131" s="82" t="s">
        <v>147</v>
      </c>
      <c r="C131" s="83">
        <f t="shared" si="102"/>
        <v>3758</v>
      </c>
      <c r="D131" s="194">
        <f t="shared" ref="D131:O131" si="164">SUM(D132:D135)</f>
        <v>3771</v>
      </c>
      <c r="E131" s="195">
        <f t="shared" si="164"/>
        <v>-13</v>
      </c>
      <c r="F131" s="134">
        <f t="shared" si="164"/>
        <v>3758</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90">
        <f t="shared" si="102"/>
        <v>580</v>
      </c>
      <c r="D132" s="196">
        <v>580</v>
      </c>
      <c r="E132" s="197"/>
      <c r="F132" s="55">
        <f t="shared" ref="F132:F135" si="165">D132+E132</f>
        <v>580</v>
      </c>
      <c r="G132" s="53"/>
      <c r="H132" s="54"/>
      <c r="I132" s="55">
        <f t="shared" ref="I132:I135" si="166">G132+H132</f>
        <v>0</v>
      </c>
      <c r="J132" s="53"/>
      <c r="K132" s="54"/>
      <c r="L132" s="55">
        <f t="shared" ref="L132:L135" si="167">K132+J132</f>
        <v>0</v>
      </c>
      <c r="M132" s="53"/>
      <c r="N132" s="54"/>
      <c r="O132" s="55">
        <f t="shared" ref="O132:O135" si="168">N132+M132</f>
        <v>0</v>
      </c>
      <c r="P132" s="57"/>
    </row>
    <row r="133" spans="1:16" ht="20.25" customHeight="1" x14ac:dyDescent="0.25">
      <c r="A133" s="51">
        <v>2312</v>
      </c>
      <c r="B133" s="89" t="s">
        <v>149</v>
      </c>
      <c r="C133" s="90">
        <f t="shared" si="102"/>
        <v>3114</v>
      </c>
      <c r="D133" s="196">
        <v>3121</v>
      </c>
      <c r="E133" s="197">
        <v>-7</v>
      </c>
      <c r="F133" s="55">
        <f t="shared" si="165"/>
        <v>3114</v>
      </c>
      <c r="G133" s="53"/>
      <c r="H133" s="54"/>
      <c r="I133" s="55">
        <f t="shared" si="166"/>
        <v>0</v>
      </c>
      <c r="J133" s="53"/>
      <c r="K133" s="54"/>
      <c r="L133" s="55">
        <f t="shared" si="167"/>
        <v>0</v>
      </c>
      <c r="M133" s="53"/>
      <c r="N133" s="54"/>
      <c r="O133" s="55">
        <f t="shared" si="168"/>
        <v>0</v>
      </c>
      <c r="P133" s="57" t="s">
        <v>1977</v>
      </c>
    </row>
    <row r="134" spans="1:16" ht="22.5" customHeight="1" x14ac:dyDescent="0.25">
      <c r="A134" s="51">
        <v>2313</v>
      </c>
      <c r="B134" s="89" t="s">
        <v>150</v>
      </c>
      <c r="C134" s="90">
        <f t="shared" si="102"/>
        <v>64</v>
      </c>
      <c r="D134" s="196">
        <v>70</v>
      </c>
      <c r="E134" s="197">
        <v>-6</v>
      </c>
      <c r="F134" s="55">
        <f t="shared" si="165"/>
        <v>64</v>
      </c>
      <c r="G134" s="53"/>
      <c r="H134" s="54"/>
      <c r="I134" s="55">
        <f t="shared" si="166"/>
        <v>0</v>
      </c>
      <c r="J134" s="53"/>
      <c r="K134" s="54"/>
      <c r="L134" s="55">
        <f t="shared" si="167"/>
        <v>0</v>
      </c>
      <c r="M134" s="53"/>
      <c r="N134" s="54"/>
      <c r="O134" s="55">
        <f t="shared" si="168"/>
        <v>0</v>
      </c>
      <c r="P134" s="57" t="s">
        <v>1978</v>
      </c>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152</v>
      </c>
      <c r="C136" s="90">
        <f t="shared" si="102"/>
        <v>275</v>
      </c>
      <c r="D136" s="190">
        <f>SUM(D137:D139)</f>
        <v>275</v>
      </c>
      <c r="E136" s="191">
        <f t="shared" ref="E136:F136" si="169">SUM(E137:E139)</f>
        <v>0</v>
      </c>
      <c r="F136" s="55">
        <f t="shared" si="169"/>
        <v>275</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154</v>
      </c>
      <c r="C138" s="90">
        <f t="shared" si="102"/>
        <v>275</v>
      </c>
      <c r="D138" s="196">
        <v>275</v>
      </c>
      <c r="E138" s="197"/>
      <c r="F138" s="55">
        <f t="shared" si="173"/>
        <v>275</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60" x14ac:dyDescent="0.25">
      <c r="A141" s="189">
        <v>2340</v>
      </c>
      <c r="B141" s="89" t="s">
        <v>157</v>
      </c>
      <c r="C141" s="90">
        <f t="shared" si="102"/>
        <v>143</v>
      </c>
      <c r="D141" s="190">
        <f>SUM(D142:D143)</f>
        <v>143</v>
      </c>
      <c r="E141" s="191">
        <f t="shared" ref="E141:F141" si="177">SUM(E142:E143)</f>
        <v>0</v>
      </c>
      <c r="F141" s="55">
        <f t="shared" si="177"/>
        <v>143</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158</v>
      </c>
      <c r="C142" s="90">
        <f t="shared" si="102"/>
        <v>143</v>
      </c>
      <c r="D142" s="196">
        <v>143</v>
      </c>
      <c r="E142" s="197"/>
      <c r="F142" s="55">
        <f t="shared" ref="F142:F143" si="181">D142+E142</f>
        <v>143</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160</v>
      </c>
      <c r="C144" s="143">
        <f t="shared" si="102"/>
        <v>4627</v>
      </c>
      <c r="D144" s="187">
        <f>SUM(D145:D150)</f>
        <v>4407</v>
      </c>
      <c r="E144" s="188">
        <f t="shared" ref="E144:F144" si="185">SUM(E145:E150)</f>
        <v>220</v>
      </c>
      <c r="F144" s="141">
        <f t="shared" si="185"/>
        <v>4627</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161</v>
      </c>
      <c r="C145" s="83">
        <f t="shared" si="102"/>
        <v>1030</v>
      </c>
      <c r="D145" s="199">
        <v>1030</v>
      </c>
      <c r="E145" s="200"/>
      <c r="F145" s="134">
        <f t="shared" ref="F145:F150" si="189">D145+E145</f>
        <v>1030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8" customHeight="1" x14ac:dyDescent="0.25">
      <c r="A146" s="51">
        <v>2352</v>
      </c>
      <c r="B146" s="89" t="s">
        <v>162</v>
      </c>
      <c r="C146" s="90">
        <f t="shared" si="102"/>
        <v>3370</v>
      </c>
      <c r="D146" s="196">
        <v>3150</v>
      </c>
      <c r="E146" s="197">
        <v>220</v>
      </c>
      <c r="F146" s="55">
        <f t="shared" si="189"/>
        <v>3370</v>
      </c>
      <c r="G146" s="53"/>
      <c r="H146" s="54"/>
      <c r="I146" s="55">
        <f t="shared" si="190"/>
        <v>0</v>
      </c>
      <c r="J146" s="53"/>
      <c r="K146" s="54"/>
      <c r="L146" s="55">
        <f t="shared" si="191"/>
        <v>0</v>
      </c>
      <c r="M146" s="53"/>
      <c r="N146" s="54"/>
      <c r="O146" s="55">
        <f t="shared" si="192"/>
        <v>0</v>
      </c>
      <c r="P146" s="57" t="s">
        <v>1979</v>
      </c>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165</v>
      </c>
      <c r="C149" s="90">
        <f t="shared" si="193"/>
        <v>227</v>
      </c>
      <c r="D149" s="196">
        <v>227</v>
      </c>
      <c r="E149" s="197"/>
      <c r="F149" s="55">
        <f t="shared" si="189"/>
        <v>227</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23585</v>
      </c>
      <c r="D151" s="190">
        <f>SUM(D152:D158)</f>
        <v>1791</v>
      </c>
      <c r="E151" s="191">
        <f t="shared" ref="E151:F151" si="194">SUM(E152:E158)</f>
        <v>0</v>
      </c>
      <c r="F151" s="55">
        <f t="shared" si="194"/>
        <v>1791</v>
      </c>
      <c r="G151" s="190">
        <f>SUM(G152:G158)</f>
        <v>0</v>
      </c>
      <c r="H151" s="191">
        <f t="shared" ref="H151:I151" si="195">SUM(H152:H158)</f>
        <v>0</v>
      </c>
      <c r="I151" s="55">
        <f t="shared" si="195"/>
        <v>0</v>
      </c>
      <c r="J151" s="190">
        <f>SUM(J152:J158)</f>
        <v>21794</v>
      </c>
      <c r="K151" s="191">
        <f t="shared" ref="K151:L151" si="196">SUM(K152:K158)</f>
        <v>0</v>
      </c>
      <c r="L151" s="55">
        <f t="shared" si="196"/>
        <v>21794</v>
      </c>
      <c r="M151" s="190">
        <f>SUM(M152:M158)</f>
        <v>0</v>
      </c>
      <c r="N151" s="191">
        <f t="shared" ref="N151:O151" si="197">SUM(N152:N158)</f>
        <v>0</v>
      </c>
      <c r="O151" s="55">
        <f t="shared" si="197"/>
        <v>0</v>
      </c>
      <c r="P151" s="57"/>
    </row>
    <row r="152" spans="1:16" ht="12" customHeight="1" x14ac:dyDescent="0.25">
      <c r="A152" s="50">
        <v>2361</v>
      </c>
      <c r="B152" s="89" t="s">
        <v>168</v>
      </c>
      <c r="C152" s="90">
        <f t="shared" si="193"/>
        <v>1227</v>
      </c>
      <c r="D152" s="196">
        <v>1227</v>
      </c>
      <c r="E152" s="197"/>
      <c r="F152" s="55">
        <f t="shared" ref="F152:F159" si="198">D152+E152</f>
        <v>1227</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169</v>
      </c>
      <c r="C153" s="90">
        <f t="shared" si="193"/>
        <v>564</v>
      </c>
      <c r="D153" s="196">
        <v>564</v>
      </c>
      <c r="E153" s="197"/>
      <c r="F153" s="55">
        <f t="shared" si="198"/>
        <v>564</v>
      </c>
      <c r="G153" s="53"/>
      <c r="H153" s="54"/>
      <c r="I153" s="55">
        <f t="shared" si="199"/>
        <v>0</v>
      </c>
      <c r="J153" s="53"/>
      <c r="K153" s="54"/>
      <c r="L153" s="55">
        <f t="shared" si="200"/>
        <v>0</v>
      </c>
      <c r="M153" s="53"/>
      <c r="N153" s="54"/>
      <c r="O153" s="55">
        <f t="shared" si="201"/>
        <v>0</v>
      </c>
      <c r="P153" s="57"/>
    </row>
    <row r="154" spans="1:16" ht="15" customHeight="1" x14ac:dyDescent="0.25">
      <c r="A154" s="464">
        <v>2363</v>
      </c>
      <c r="B154" s="346" t="s">
        <v>170</v>
      </c>
      <c r="C154" s="347">
        <f t="shared" si="193"/>
        <v>21794</v>
      </c>
      <c r="D154" s="352"/>
      <c r="E154" s="353"/>
      <c r="F154" s="350">
        <f t="shared" si="198"/>
        <v>0</v>
      </c>
      <c r="G154" s="348"/>
      <c r="H154" s="349"/>
      <c r="I154" s="350">
        <f t="shared" si="199"/>
        <v>0</v>
      </c>
      <c r="J154" s="348">
        <v>21794</v>
      </c>
      <c r="K154" s="349"/>
      <c r="L154" s="350">
        <f t="shared" si="200"/>
        <v>21794</v>
      </c>
      <c r="M154" s="348"/>
      <c r="N154" s="349"/>
      <c r="O154" s="350">
        <f t="shared" si="201"/>
        <v>0</v>
      </c>
      <c r="P154" s="354"/>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175</v>
      </c>
      <c r="C159" s="143">
        <f t="shared" si="193"/>
        <v>4082</v>
      </c>
      <c r="D159" s="203">
        <v>2882</v>
      </c>
      <c r="E159" s="204"/>
      <c r="F159" s="141">
        <f t="shared" si="198"/>
        <v>2882</v>
      </c>
      <c r="G159" s="144">
        <v>1200</v>
      </c>
      <c r="H159" s="145"/>
      <c r="I159" s="141">
        <f t="shared" si="199"/>
        <v>1200</v>
      </c>
      <c r="J159" s="144"/>
      <c r="K159" s="145"/>
      <c r="L159" s="141">
        <f t="shared" si="200"/>
        <v>0</v>
      </c>
      <c r="M159" s="144"/>
      <c r="N159" s="145"/>
      <c r="O159" s="141">
        <f t="shared" si="201"/>
        <v>0</v>
      </c>
      <c r="P159" s="129"/>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9">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36"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48" hidden="1" x14ac:dyDescent="0.25">
      <c r="A175" s="1449">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96" hidden="1" x14ac:dyDescent="0.25">
      <c r="A179" s="1449">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9">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9">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12094</v>
      </c>
      <c r="D194" s="173">
        <f t="shared" ref="D194:O194" si="259">SUM(D195,D230,D269,D283)</f>
        <v>10330</v>
      </c>
      <c r="E194" s="174">
        <f t="shared" si="259"/>
        <v>-5</v>
      </c>
      <c r="F194" s="175">
        <f t="shared" si="259"/>
        <v>10325</v>
      </c>
      <c r="G194" s="173">
        <f t="shared" si="259"/>
        <v>1769</v>
      </c>
      <c r="H194" s="174">
        <f t="shared" si="259"/>
        <v>0</v>
      </c>
      <c r="I194" s="175">
        <f t="shared" si="259"/>
        <v>1769</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211</v>
      </c>
      <c r="C195" s="178">
        <f t="shared" si="193"/>
        <v>12094</v>
      </c>
      <c r="D195" s="179">
        <f>D196+D204</f>
        <v>10330</v>
      </c>
      <c r="E195" s="180">
        <f t="shared" ref="E195:F195" si="260">E196+E204</f>
        <v>-5</v>
      </c>
      <c r="F195" s="181">
        <f t="shared" si="260"/>
        <v>10325</v>
      </c>
      <c r="G195" s="179">
        <f>G196+G204</f>
        <v>1769</v>
      </c>
      <c r="H195" s="180">
        <f t="shared" ref="H195:I195" si="261">H196+H204</f>
        <v>0</v>
      </c>
      <c r="I195" s="181">
        <f t="shared" si="261"/>
        <v>1769</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9">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220</v>
      </c>
      <c r="C204" s="70">
        <f t="shared" si="193"/>
        <v>12094</v>
      </c>
      <c r="D204" s="184">
        <f>D205+D215+D216+D225+D226+D227+D229</f>
        <v>10330</v>
      </c>
      <c r="E204" s="185">
        <f t="shared" ref="E204:F204" si="276">E205+E215+E216+E225+E226+E227+E229</f>
        <v>-5</v>
      </c>
      <c r="F204" s="73">
        <f t="shared" si="276"/>
        <v>10325</v>
      </c>
      <c r="G204" s="184">
        <f>G205+G215+G216+G225+G226+G227+G229</f>
        <v>1769</v>
      </c>
      <c r="H204" s="185">
        <f t="shared" ref="H204:I204" si="277">H205+H215+H216+H225+H226+H227+H229</f>
        <v>0</v>
      </c>
      <c r="I204" s="73">
        <f t="shared" si="277"/>
        <v>1769</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232</v>
      </c>
      <c r="C216" s="90">
        <f t="shared" si="288"/>
        <v>12094</v>
      </c>
      <c r="D216" s="190">
        <f>SUM(D217:D224)</f>
        <v>10330</v>
      </c>
      <c r="E216" s="191">
        <f t="shared" ref="E216:F216" si="289">SUM(E217:E224)</f>
        <v>-5</v>
      </c>
      <c r="F216" s="55">
        <f t="shared" si="289"/>
        <v>10325</v>
      </c>
      <c r="G216" s="190">
        <f>SUM(G217:G224)</f>
        <v>1769</v>
      </c>
      <c r="H216" s="191">
        <f t="shared" ref="H216:I216" si="290">SUM(H217:H224)</f>
        <v>0</v>
      </c>
      <c r="I216" s="55">
        <f t="shared" si="290"/>
        <v>1769</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8" customHeight="1" x14ac:dyDescent="0.25">
      <c r="A218" s="51">
        <v>5232</v>
      </c>
      <c r="B218" s="89" t="s">
        <v>234</v>
      </c>
      <c r="C218" s="90">
        <f t="shared" si="288"/>
        <v>1665</v>
      </c>
      <c r="D218" s="196">
        <v>1670</v>
      </c>
      <c r="E218" s="197">
        <v>-5</v>
      </c>
      <c r="F218" s="55">
        <f t="shared" si="293"/>
        <v>1665</v>
      </c>
      <c r="G218" s="53"/>
      <c r="H218" s="54"/>
      <c r="I218" s="55">
        <f t="shared" si="294"/>
        <v>0</v>
      </c>
      <c r="J218" s="53"/>
      <c r="K218" s="54"/>
      <c r="L218" s="55">
        <f t="shared" si="295"/>
        <v>0</v>
      </c>
      <c r="M218" s="53"/>
      <c r="N218" s="54"/>
      <c r="O218" s="55">
        <f t="shared" si="296"/>
        <v>0</v>
      </c>
      <c r="P218" s="57" t="s">
        <v>1980</v>
      </c>
    </row>
    <row r="219" spans="1:16" ht="12" customHeight="1" x14ac:dyDescent="0.25">
      <c r="A219" s="51">
        <v>5233</v>
      </c>
      <c r="B219" s="89" t="s">
        <v>235</v>
      </c>
      <c r="C219" s="90">
        <f t="shared" si="288"/>
        <v>3529</v>
      </c>
      <c r="D219" s="196">
        <v>1760</v>
      </c>
      <c r="E219" s="197"/>
      <c r="F219" s="55">
        <f t="shared" si="293"/>
        <v>1760</v>
      </c>
      <c r="G219" s="53">
        <v>1769</v>
      </c>
      <c r="H219" s="54"/>
      <c r="I219" s="55">
        <f t="shared" si="294"/>
        <v>1769</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239</v>
      </c>
      <c r="C223" s="90">
        <f t="shared" si="288"/>
        <v>6900</v>
      </c>
      <c r="D223" s="196">
        <v>6900</v>
      </c>
      <c r="E223" s="197"/>
      <c r="F223" s="55">
        <f t="shared" si="293"/>
        <v>6900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9">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49">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9">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449">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9">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36"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9">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90">
        <f t="shared" si="371"/>
        <v>45</v>
      </c>
      <c r="D286" s="190">
        <f>SUM(D287:D288)</f>
        <v>0</v>
      </c>
      <c r="E286" s="191">
        <f t="shared" ref="E286:F286" si="381">SUM(E287:E288)</f>
        <v>0</v>
      </c>
      <c r="F286" s="55">
        <f t="shared" si="381"/>
        <v>0</v>
      </c>
      <c r="G286" s="190">
        <f>SUM(G287:G288)</f>
        <v>45</v>
      </c>
      <c r="H286" s="191">
        <f t="shared" ref="H286:I286" si="382">SUM(H287:H288)</f>
        <v>0</v>
      </c>
      <c r="I286" s="55">
        <f t="shared" si="382"/>
        <v>45</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485" t="s">
        <v>305</v>
      </c>
      <c r="B288" s="1486" t="s">
        <v>306</v>
      </c>
      <c r="C288" s="469">
        <f t="shared" si="371"/>
        <v>45</v>
      </c>
      <c r="D288" s="489"/>
      <c r="E288" s="490"/>
      <c r="F288" s="491">
        <f t="shared" si="385"/>
        <v>0</v>
      </c>
      <c r="G288" s="460">
        <v>45</v>
      </c>
      <c r="H288" s="461"/>
      <c r="I288" s="491">
        <f t="shared" si="386"/>
        <v>45</v>
      </c>
      <c r="J288" s="460"/>
      <c r="K288" s="461"/>
      <c r="L288" s="491">
        <f t="shared" si="387"/>
        <v>0</v>
      </c>
      <c r="M288" s="460"/>
      <c r="N288" s="461"/>
      <c r="O288" s="491">
        <f t="shared" si="388"/>
        <v>0</v>
      </c>
      <c r="P288" s="463"/>
    </row>
    <row r="289" spans="1:16" ht="12.75" thickBot="1" x14ac:dyDescent="0.3">
      <c r="A289" s="250"/>
      <c r="B289" s="250" t="s">
        <v>307</v>
      </c>
      <c r="C289" s="251">
        <f t="shared" si="371"/>
        <v>727092</v>
      </c>
      <c r="D289" s="252">
        <f t="shared" ref="D289:O289" si="389">SUM(D286,D269,D230,D195,D187,D173,D75,D53,D283)</f>
        <v>529234</v>
      </c>
      <c r="E289" s="253">
        <f t="shared" si="389"/>
        <v>0</v>
      </c>
      <c r="F289" s="254">
        <f t="shared" si="389"/>
        <v>529234</v>
      </c>
      <c r="G289" s="252">
        <f t="shared" si="389"/>
        <v>173731</v>
      </c>
      <c r="H289" s="253">
        <f t="shared" si="389"/>
        <v>1988</v>
      </c>
      <c r="I289" s="254">
        <f t="shared" si="389"/>
        <v>175719</v>
      </c>
      <c r="J289" s="252">
        <f t="shared" si="389"/>
        <v>22139</v>
      </c>
      <c r="K289" s="253">
        <f t="shared" si="389"/>
        <v>0</v>
      </c>
      <c r="L289" s="254">
        <f t="shared" si="389"/>
        <v>22139</v>
      </c>
      <c r="M289" s="252">
        <f t="shared" si="389"/>
        <v>0</v>
      </c>
      <c r="N289" s="253">
        <f t="shared" si="389"/>
        <v>0</v>
      </c>
      <c r="O289" s="254">
        <f t="shared" si="389"/>
        <v>0</v>
      </c>
      <c r="P289" s="255"/>
    </row>
    <row r="290" spans="1:16" s="28" customFormat="1" ht="13.5" thickTop="1" thickBot="1" x14ac:dyDescent="0.3">
      <c r="A290" s="1544" t="s">
        <v>308</v>
      </c>
      <c r="B290" s="1545"/>
      <c r="C290" s="256">
        <f t="shared" si="371"/>
        <v>-2733</v>
      </c>
      <c r="D290" s="257">
        <f>SUM(D24,D25,D41)-D51</f>
        <v>0</v>
      </c>
      <c r="E290" s="258">
        <f t="shared" ref="E290:F290" si="390">SUM(E24,E25,E41)-E51</f>
        <v>0</v>
      </c>
      <c r="F290" s="259">
        <f t="shared" si="390"/>
        <v>0</v>
      </c>
      <c r="G290" s="257">
        <f>SUM(G24,G25,G41)-G51</f>
        <v>45</v>
      </c>
      <c r="H290" s="258">
        <f t="shared" ref="H290:I290" si="391">SUM(H24,H25,H41)-H51</f>
        <v>0</v>
      </c>
      <c r="I290" s="259">
        <f t="shared" si="391"/>
        <v>45</v>
      </c>
      <c r="J290" s="257">
        <f>(J26+J43)-J51</f>
        <v>-2778</v>
      </c>
      <c r="K290" s="258">
        <f t="shared" ref="K290:L290" si="392">(K26+K43)-K51</f>
        <v>0</v>
      </c>
      <c r="L290" s="259">
        <f t="shared" si="392"/>
        <v>-2778</v>
      </c>
      <c r="M290" s="257">
        <f>M45-M51</f>
        <v>0</v>
      </c>
      <c r="N290" s="258">
        <f t="shared" ref="N290:O290" si="393">N45-N51</f>
        <v>0</v>
      </c>
      <c r="O290" s="259">
        <f t="shared" si="393"/>
        <v>0</v>
      </c>
      <c r="P290" s="260"/>
    </row>
    <row r="291" spans="1:16" s="28" customFormat="1" ht="12.75" thickTop="1" x14ac:dyDescent="0.25">
      <c r="A291" s="1546" t="s">
        <v>309</v>
      </c>
      <c r="B291" s="1547"/>
      <c r="C291" s="261">
        <f t="shared" si="371"/>
        <v>2733</v>
      </c>
      <c r="D291" s="262">
        <f t="shared" ref="D291:O291" si="394">SUM(D292,D293)-D300+D301</f>
        <v>0</v>
      </c>
      <c r="E291" s="263">
        <f t="shared" si="394"/>
        <v>0</v>
      </c>
      <c r="F291" s="264">
        <f t="shared" si="394"/>
        <v>0</v>
      </c>
      <c r="G291" s="262">
        <f t="shared" si="394"/>
        <v>-45</v>
      </c>
      <c r="H291" s="263">
        <f t="shared" si="394"/>
        <v>0</v>
      </c>
      <c r="I291" s="264">
        <f t="shared" si="394"/>
        <v>-45</v>
      </c>
      <c r="J291" s="262">
        <f t="shared" si="394"/>
        <v>2778</v>
      </c>
      <c r="K291" s="263">
        <f t="shared" si="394"/>
        <v>0</v>
      </c>
      <c r="L291" s="264">
        <f t="shared" si="394"/>
        <v>2778</v>
      </c>
      <c r="M291" s="262">
        <f t="shared" si="394"/>
        <v>0</v>
      </c>
      <c r="N291" s="263">
        <f t="shared" si="394"/>
        <v>0</v>
      </c>
      <c r="O291" s="264">
        <f t="shared" si="394"/>
        <v>0</v>
      </c>
      <c r="P291" s="265"/>
    </row>
    <row r="292" spans="1:16" s="28" customFormat="1" ht="12.75" thickBot="1" x14ac:dyDescent="0.3">
      <c r="A292" s="157" t="s">
        <v>310</v>
      </c>
      <c r="B292" s="157" t="s">
        <v>311</v>
      </c>
      <c r="C292" s="158">
        <f t="shared" si="371"/>
        <v>2733</v>
      </c>
      <c r="D292" s="159">
        <f t="shared" ref="D292:O292" si="395">D21-D286</f>
        <v>0</v>
      </c>
      <c r="E292" s="160">
        <f t="shared" si="395"/>
        <v>0</v>
      </c>
      <c r="F292" s="161">
        <f t="shared" si="395"/>
        <v>0</v>
      </c>
      <c r="G292" s="159">
        <f t="shared" si="395"/>
        <v>-45</v>
      </c>
      <c r="H292" s="160">
        <f t="shared" si="395"/>
        <v>0</v>
      </c>
      <c r="I292" s="161">
        <f t="shared" si="395"/>
        <v>-45</v>
      </c>
      <c r="J292" s="159">
        <f t="shared" si="395"/>
        <v>2778</v>
      </c>
      <c r="K292" s="160">
        <f t="shared" si="395"/>
        <v>0</v>
      </c>
      <c r="L292" s="161">
        <f t="shared" si="395"/>
        <v>2778</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knIr66xPagDkkmKhgKOnXKJnnYrKeDO+KhP0Lg/pmrqOtdQUa/0t3wdE7pYkoSbaG1YMjgOKfavUfNWI8tZI0g==" saltValue="7rP9hhJsqmoCT7P4qeeSow==" spinCount="100000" sheet="1" objects="1" scenarios="1"/>
  <autoFilter ref="A18:P301">
    <filterColumn colId="2">
      <filters>
        <filter val="1 029"/>
        <filter val="1 030"/>
        <filter val="1 089"/>
        <filter val="1 227"/>
        <filter val="1 349"/>
        <filter val="1 665"/>
        <filter val="1 877"/>
        <filter val="119 992"/>
        <filter val="12 094"/>
        <filter val="12 593"/>
        <filter val="126"/>
        <filter val="140"/>
        <filter val="143"/>
        <filter val="156 858"/>
        <filter val="166"/>
        <filter val="19 286"/>
        <filter val="2 241"/>
        <filter val="2 354"/>
        <filter val="2 733"/>
        <filter val="-2 733"/>
        <filter val="2 778"/>
        <filter val="21 052"/>
        <filter val="21 794"/>
        <filter val="227"/>
        <filter val="23 585"/>
        <filter val="23 705"/>
        <filter val="23 773"/>
        <filter val="275"/>
        <filter val="3 114"/>
        <filter val="3 308"/>
        <filter val="3 370"/>
        <filter val="3 529"/>
        <filter val="3 758"/>
        <filter val="3 794"/>
        <filter val="3 995"/>
        <filter val="329"/>
        <filter val="35 409"/>
        <filter val="35 741"/>
        <filter val="36 470"/>
        <filter val="36 866"/>
        <filter val="4 082"/>
        <filter val="4 172"/>
        <filter val="4 627"/>
        <filter val="4 841"/>
        <filter val="414"/>
        <filter val="435 622"/>
        <filter val="45"/>
        <filter val="46 954"/>
        <filter val="474 671"/>
        <filter val="486"/>
        <filter val="500"/>
        <filter val="52"/>
        <filter val="564"/>
        <filter val="580"/>
        <filter val="6 035"/>
        <filter val="6 900"/>
        <filter val="631 529"/>
        <filter val="64"/>
        <filter val="658"/>
        <filter val="704 953"/>
        <filter val="714 953"/>
        <filter val="727 047"/>
        <filter val="727 092"/>
        <filter val="75"/>
        <filter val="8 167"/>
        <filter val="823"/>
        <filter val="83 424"/>
        <filter val="909"/>
        <filter val="925"/>
        <filter val="97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87.pielikums Jūrmalas pilsētas domes
2019.gada 31.oktobra saistošajiem noteikumiem Nr.46
(protokols Nr.14, 28.punkts)
 </firstHeader>
    <firstFooter>&amp;L&amp;9&amp;D; &amp;T&amp;R&amp;9&amp;P (&amp;N)</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showGridLines="0" view="pageLayout" zoomScaleNormal="100" workbookViewId="0">
      <selection activeCell="U6" sqref="U6"/>
    </sheetView>
  </sheetViews>
  <sheetFormatPr defaultRowHeight="12" outlineLevelCol="1" x14ac:dyDescent="0.25"/>
  <cols>
    <col min="1" max="1" width="10.85546875" style="276" customWidth="1"/>
    <col min="2" max="2" width="28" style="276" customWidth="1"/>
    <col min="3" max="3" width="7" style="276" customWidth="1"/>
    <col min="4" max="4" width="8" style="276" hidden="1" customWidth="1" outlineLevel="1"/>
    <col min="5" max="5" width="7.140625" style="276" hidden="1" customWidth="1" outlineLevel="1"/>
    <col min="6" max="6" width="7" style="276" customWidth="1" collapsed="1"/>
    <col min="7" max="7" width="7.85546875" style="276" hidden="1" customWidth="1" outlineLevel="1"/>
    <col min="8" max="8" width="6.85546875" style="276" hidden="1" customWidth="1" outlineLevel="1"/>
    <col min="9" max="9" width="7.140625" style="276" customWidth="1" collapsed="1"/>
    <col min="10" max="10" width="6.5703125" style="276" hidden="1" customWidth="1" outlineLevel="1"/>
    <col min="11" max="11" width="7"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38"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1943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546</v>
      </c>
      <c r="D3" s="1517"/>
      <c r="E3" s="1517"/>
      <c r="F3" s="1517"/>
      <c r="G3" s="1517"/>
      <c r="H3" s="1517"/>
      <c r="I3" s="1517"/>
      <c r="J3" s="1517"/>
      <c r="K3" s="1517"/>
      <c r="L3" s="1517"/>
      <c r="M3" s="1517"/>
      <c r="N3" s="1517"/>
      <c r="O3" s="1517"/>
      <c r="P3" s="1518"/>
      <c r="Q3" s="277"/>
    </row>
    <row r="4" spans="1:17" ht="12.75" customHeight="1" x14ac:dyDescent="0.25">
      <c r="A4" s="5" t="s">
        <v>4</v>
      </c>
      <c r="B4" s="6"/>
      <c r="C4" s="1517" t="s">
        <v>547</v>
      </c>
      <c r="D4" s="1517"/>
      <c r="E4" s="1517"/>
      <c r="F4" s="1517"/>
      <c r="G4" s="1517"/>
      <c r="H4" s="1517"/>
      <c r="I4" s="1517"/>
      <c r="J4" s="1517"/>
      <c r="K4" s="1517"/>
      <c r="L4" s="1517"/>
      <c r="M4" s="1517"/>
      <c r="N4" s="1517"/>
      <c r="O4" s="1517"/>
      <c r="P4" s="1518"/>
      <c r="Q4" s="277"/>
    </row>
    <row r="5" spans="1:17" ht="12.75" customHeight="1" x14ac:dyDescent="0.25">
      <c r="A5" s="7" t="s">
        <v>6</v>
      </c>
      <c r="B5" s="8"/>
      <c r="C5" s="1512" t="s">
        <v>548</v>
      </c>
      <c r="D5" s="1512"/>
      <c r="E5" s="1512"/>
      <c r="F5" s="1512"/>
      <c r="G5" s="1512"/>
      <c r="H5" s="1512"/>
      <c r="I5" s="1512"/>
      <c r="J5" s="1512"/>
      <c r="K5" s="1512"/>
      <c r="L5" s="1512"/>
      <c r="M5" s="1512"/>
      <c r="N5" s="1512"/>
      <c r="O5" s="1512"/>
      <c r="P5" s="1513"/>
      <c r="Q5" s="277"/>
    </row>
    <row r="6" spans="1:17" ht="12.75" customHeight="1" x14ac:dyDescent="0.25">
      <c r="A6" s="7" t="s">
        <v>8</v>
      </c>
      <c r="B6" s="8"/>
      <c r="C6" s="1512" t="s">
        <v>1936</v>
      </c>
      <c r="D6" s="1512"/>
      <c r="E6" s="1512"/>
      <c r="F6" s="1512"/>
      <c r="G6" s="1512"/>
      <c r="H6" s="1512"/>
      <c r="I6" s="1512"/>
      <c r="J6" s="1512"/>
      <c r="K6" s="1512"/>
      <c r="L6" s="1512"/>
      <c r="M6" s="1512"/>
      <c r="N6" s="1512"/>
      <c r="O6" s="1512"/>
      <c r="P6" s="1513"/>
      <c r="Q6" s="277"/>
    </row>
    <row r="7" spans="1:17" ht="38.25" customHeight="1" x14ac:dyDescent="0.25">
      <c r="A7" s="7" t="s">
        <v>10</v>
      </c>
      <c r="B7" s="8"/>
      <c r="C7" s="1517" t="s">
        <v>1937</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t="s">
        <v>1938</v>
      </c>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1450">
        <f t="shared" ref="C20:C83" si="0">F20+I20+L20+O20</f>
        <v>143804</v>
      </c>
      <c r="D20" s="740">
        <f>SUM(D21,D24,D25,D41,D43)</f>
        <v>143804</v>
      </c>
      <c r="E20" s="741">
        <f t="shared" ref="E20:F20" si="1">SUM(E21,E24,E25,E41,E43)</f>
        <v>0</v>
      </c>
      <c r="F20" s="742">
        <f t="shared" si="1"/>
        <v>143804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39</v>
      </c>
      <c r="C21" s="1451">
        <f t="shared" si="0"/>
        <v>24366</v>
      </c>
      <c r="D21" s="743">
        <f>SUM(D22:D23)</f>
        <v>24366</v>
      </c>
      <c r="E21" s="744">
        <f t="shared" ref="E21:F21" si="5">SUM(E22:E23)</f>
        <v>0</v>
      </c>
      <c r="F21" s="745">
        <f t="shared" si="5"/>
        <v>24366</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9">
        <f t="shared" si="0"/>
        <v>0</v>
      </c>
      <c r="D22" s="460"/>
      <c r="E22" s="461"/>
      <c r="F22" s="462">
        <f>D22+E22</f>
        <v>0</v>
      </c>
      <c r="G22" s="46"/>
      <c r="H22" s="47"/>
      <c r="I22" s="48">
        <f>G22+H22</f>
        <v>0</v>
      </c>
      <c r="J22" s="46"/>
      <c r="K22" s="47"/>
      <c r="L22" s="48">
        <f>K22+J22</f>
        <v>0</v>
      </c>
      <c r="M22" s="46"/>
      <c r="N22" s="47"/>
      <c r="O22" s="48">
        <f>N22+M22</f>
        <v>0</v>
      </c>
      <c r="P22" s="49"/>
    </row>
    <row r="23" spans="1:16" x14ac:dyDescent="0.25">
      <c r="A23" s="50"/>
      <c r="B23" s="51" t="s">
        <v>41</v>
      </c>
      <c r="C23" s="465">
        <f t="shared" si="0"/>
        <v>24366</v>
      </c>
      <c r="D23" s="348">
        <v>24366</v>
      </c>
      <c r="E23" s="349"/>
      <c r="F23" s="350">
        <f t="shared" ref="F23:F25" si="9">D23+E23</f>
        <v>24366</v>
      </c>
      <c r="G23" s="53"/>
      <c r="H23" s="54"/>
      <c r="I23" s="55">
        <f t="shared" ref="I23:I24" si="10">G23+H23</f>
        <v>0</v>
      </c>
      <c r="J23" s="53"/>
      <c r="K23" s="54"/>
      <c r="L23" s="56">
        <f>K23+J23</f>
        <v>0</v>
      </c>
      <c r="M23" s="53"/>
      <c r="N23" s="54"/>
      <c r="O23" s="55">
        <f>N23+M23</f>
        <v>0</v>
      </c>
      <c r="P23" s="57"/>
    </row>
    <row r="24" spans="1:16" s="28" customFormat="1" ht="24.75" customHeight="1" thickBot="1" x14ac:dyDescent="0.3">
      <c r="A24" s="58">
        <v>19300</v>
      </c>
      <c r="B24" s="58" t="s">
        <v>42</v>
      </c>
      <c r="C24" s="1452">
        <f>F24+I24</f>
        <v>18969</v>
      </c>
      <c r="D24" s="748">
        <v>18969</v>
      </c>
      <c r="E24" s="749"/>
      <c r="F24" s="750">
        <f t="shared" si="9"/>
        <v>18969</v>
      </c>
      <c r="G24" s="60"/>
      <c r="H24" s="63"/>
      <c r="I24" s="62">
        <f t="shared" si="10"/>
        <v>0</v>
      </c>
      <c r="J24" s="64" t="s">
        <v>43</v>
      </c>
      <c r="K24" s="65" t="s">
        <v>43</v>
      </c>
      <c r="L24" s="66" t="s">
        <v>43</v>
      </c>
      <c r="M24" s="64" t="s">
        <v>43</v>
      </c>
      <c r="N24" s="65" t="s">
        <v>43</v>
      </c>
      <c r="O24" s="66" t="s">
        <v>43</v>
      </c>
      <c r="P24" s="67"/>
    </row>
    <row r="25" spans="1:16" s="28" customFormat="1" ht="24.75" customHeight="1" thickTop="1" x14ac:dyDescent="0.25">
      <c r="A25" s="68">
        <v>17200</v>
      </c>
      <c r="B25" s="69" t="s">
        <v>44</v>
      </c>
      <c r="C25" s="1453">
        <f>F25</f>
        <v>100469</v>
      </c>
      <c r="D25" s="754">
        <v>100469</v>
      </c>
      <c r="E25" s="755"/>
      <c r="F25" s="756">
        <f t="shared" si="9"/>
        <v>100469</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 hidden="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2.75" thickBot="1" x14ac:dyDescent="0.3">
      <c r="A50" s="157"/>
      <c r="B50" s="29" t="s">
        <v>68</v>
      </c>
      <c r="C50" s="1454">
        <f t="shared" si="0"/>
        <v>143804</v>
      </c>
      <c r="D50" s="785">
        <f>SUM(D51,D286)</f>
        <v>143804</v>
      </c>
      <c r="E50" s="786">
        <f t="shared" ref="E50:F50" si="26">SUM(E51,E286)</f>
        <v>0</v>
      </c>
      <c r="F50" s="787">
        <f t="shared" si="26"/>
        <v>143804</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455">
        <f t="shared" si="0"/>
        <v>114770</v>
      </c>
      <c r="D51" s="788">
        <f>SUM(D52,D194)</f>
        <v>114770</v>
      </c>
      <c r="E51" s="789">
        <f t="shared" ref="E51:F51" si="30">SUM(E52,E194)</f>
        <v>0</v>
      </c>
      <c r="F51" s="790">
        <f t="shared" si="30"/>
        <v>114770</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456">
        <f t="shared" si="0"/>
        <v>92999</v>
      </c>
      <c r="D52" s="794">
        <f>SUM(D53,D75,D173,D187)</f>
        <v>92999</v>
      </c>
      <c r="E52" s="795">
        <f t="shared" ref="E52:F52" si="34">SUM(E53,E75,E173,E187)</f>
        <v>0</v>
      </c>
      <c r="F52" s="784">
        <f t="shared" si="34"/>
        <v>92999</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71</v>
      </c>
      <c r="C53" s="1457">
        <f t="shared" si="0"/>
        <v>26645</v>
      </c>
      <c r="D53" s="1458">
        <f>SUM(D54,D67)</f>
        <v>24345</v>
      </c>
      <c r="E53" s="1459">
        <f t="shared" ref="E53:F53" si="38">SUM(E54,E67)</f>
        <v>2300</v>
      </c>
      <c r="F53" s="1460">
        <f t="shared" si="38"/>
        <v>26645</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72</v>
      </c>
      <c r="C54" s="1453">
        <f t="shared" si="0"/>
        <v>21394</v>
      </c>
      <c r="D54" s="802">
        <f>SUM(D55,D58,D66)</f>
        <v>18865</v>
      </c>
      <c r="E54" s="803">
        <f t="shared" ref="E54:F54" si="42">SUM(E55,E58,E66)</f>
        <v>2529</v>
      </c>
      <c r="F54" s="756">
        <f t="shared" si="42"/>
        <v>21394</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61">
        <f t="shared" si="0"/>
        <v>0</v>
      </c>
      <c r="D55" s="804">
        <f>SUM(D56:D57)</f>
        <v>0</v>
      </c>
      <c r="E55" s="805">
        <f t="shared" ref="E55:F55" si="46">SUM(E56:E57)</f>
        <v>0</v>
      </c>
      <c r="F55" s="78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469">
        <f t="shared" si="0"/>
        <v>0</v>
      </c>
      <c r="D56" s="460"/>
      <c r="E56" s="461"/>
      <c r="F56" s="491">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75</v>
      </c>
      <c r="C57" s="347">
        <f t="shared" si="0"/>
        <v>0</v>
      </c>
      <c r="D57" s="348"/>
      <c r="E57" s="349"/>
      <c r="F57" s="350">
        <f t="shared" si="50"/>
        <v>0</v>
      </c>
      <c r="G57" s="53"/>
      <c r="H57" s="54"/>
      <c r="I57" s="55">
        <f t="shared" si="51"/>
        <v>0</v>
      </c>
      <c r="J57" s="53"/>
      <c r="K57" s="54"/>
      <c r="L57" s="55">
        <f t="shared" si="52"/>
        <v>0</v>
      </c>
      <c r="M57" s="53"/>
      <c r="N57" s="54"/>
      <c r="O57" s="55">
        <f t="shared" si="53"/>
        <v>0</v>
      </c>
      <c r="P57" s="57"/>
    </row>
    <row r="58" spans="1:16" hidden="1" x14ac:dyDescent="0.25">
      <c r="A58" s="189">
        <v>1140</v>
      </c>
      <c r="B58" s="89" t="s">
        <v>76</v>
      </c>
      <c r="C58" s="347">
        <f t="shared" si="0"/>
        <v>0</v>
      </c>
      <c r="D58" s="806">
        <f>SUM(D59:D65)</f>
        <v>0</v>
      </c>
      <c r="E58" s="365">
        <f>SUM(E59:E65)</f>
        <v>0</v>
      </c>
      <c r="F58" s="350">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347">
        <f t="shared" si="0"/>
        <v>0</v>
      </c>
      <c r="D59" s="348"/>
      <c r="E59" s="349"/>
      <c r="F59" s="350">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347">
        <f t="shared" si="0"/>
        <v>0</v>
      </c>
      <c r="D60" s="348"/>
      <c r="E60" s="349"/>
      <c r="F60" s="350">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347">
        <f t="shared" si="0"/>
        <v>0</v>
      </c>
      <c r="D61" s="348"/>
      <c r="E61" s="349"/>
      <c r="F61" s="350">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347">
        <f t="shared" si="0"/>
        <v>0</v>
      </c>
      <c r="D62" s="348"/>
      <c r="E62" s="349"/>
      <c r="F62" s="350">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347">
        <f t="shared" si="0"/>
        <v>0</v>
      </c>
      <c r="D63" s="348"/>
      <c r="E63" s="349"/>
      <c r="F63" s="350">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82</v>
      </c>
      <c r="C64" s="347">
        <f t="shared" si="0"/>
        <v>0</v>
      </c>
      <c r="D64" s="348"/>
      <c r="E64" s="349"/>
      <c r="F64" s="350">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347">
        <f t="shared" si="0"/>
        <v>0</v>
      </c>
      <c r="D65" s="348"/>
      <c r="E65" s="349"/>
      <c r="F65" s="350">
        <f t="shared" si="58"/>
        <v>0</v>
      </c>
      <c r="G65" s="53"/>
      <c r="H65" s="54"/>
      <c r="I65" s="55">
        <f t="shared" si="59"/>
        <v>0</v>
      </c>
      <c r="J65" s="53"/>
      <c r="K65" s="54"/>
      <c r="L65" s="55">
        <f t="shared" si="60"/>
        <v>0</v>
      </c>
      <c r="M65" s="53"/>
      <c r="N65" s="54"/>
      <c r="O65" s="55">
        <f t="shared" si="61"/>
        <v>0</v>
      </c>
      <c r="P65" s="57"/>
    </row>
    <row r="66" spans="1:16" ht="51" customHeight="1" x14ac:dyDescent="0.25">
      <c r="A66" s="186">
        <v>1150</v>
      </c>
      <c r="B66" s="138" t="s">
        <v>84</v>
      </c>
      <c r="C66" s="1461">
        <f t="shared" si="0"/>
        <v>21394</v>
      </c>
      <c r="D66" s="780">
        <v>18865</v>
      </c>
      <c r="E66" s="727">
        <v>2529</v>
      </c>
      <c r="F66" s="781">
        <f t="shared" si="58"/>
        <v>21394</v>
      </c>
      <c r="G66" s="144"/>
      <c r="H66" s="145"/>
      <c r="I66" s="141">
        <f t="shared" si="59"/>
        <v>0</v>
      </c>
      <c r="J66" s="144"/>
      <c r="K66" s="145"/>
      <c r="L66" s="141">
        <f t="shared" si="60"/>
        <v>0</v>
      </c>
      <c r="M66" s="144"/>
      <c r="N66" s="145"/>
      <c r="O66" s="141">
        <f t="shared" si="61"/>
        <v>0</v>
      </c>
      <c r="P66" s="129" t="s">
        <v>1939</v>
      </c>
    </row>
    <row r="67" spans="1:16" ht="24" x14ac:dyDescent="0.25">
      <c r="A67" s="69">
        <v>1200</v>
      </c>
      <c r="B67" s="183" t="s">
        <v>85</v>
      </c>
      <c r="C67" s="1453">
        <f t="shared" si="0"/>
        <v>5251</v>
      </c>
      <c r="D67" s="802">
        <f>SUM(D68:D69)</f>
        <v>5480</v>
      </c>
      <c r="E67" s="803">
        <f t="shared" ref="E67:F67" si="62">SUM(E68:E69)</f>
        <v>-229</v>
      </c>
      <c r="F67" s="756">
        <f t="shared" si="62"/>
        <v>5251</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39" customHeight="1" x14ac:dyDescent="0.25">
      <c r="A68" s="1448">
        <v>1210</v>
      </c>
      <c r="B68" s="82" t="s">
        <v>86</v>
      </c>
      <c r="C68" s="469">
        <f t="shared" si="0"/>
        <v>5028</v>
      </c>
      <c r="D68" s="460">
        <v>4728</v>
      </c>
      <c r="E68" s="461">
        <v>300</v>
      </c>
      <c r="F68" s="491">
        <f>D68+E68</f>
        <v>5028</v>
      </c>
      <c r="G68" s="46"/>
      <c r="H68" s="47"/>
      <c r="I68" s="134">
        <f>G68+H68</f>
        <v>0</v>
      </c>
      <c r="J68" s="46"/>
      <c r="K68" s="47"/>
      <c r="L68" s="134">
        <f>K68+J68</f>
        <v>0</v>
      </c>
      <c r="M68" s="46"/>
      <c r="N68" s="47"/>
      <c r="O68" s="134">
        <f>N68+M68</f>
        <v>0</v>
      </c>
      <c r="P68" s="49" t="s">
        <v>1940</v>
      </c>
    </row>
    <row r="69" spans="1:16" ht="24" x14ac:dyDescent="0.25">
      <c r="A69" s="189">
        <v>1220</v>
      </c>
      <c r="B69" s="89" t="s">
        <v>87</v>
      </c>
      <c r="C69" s="347">
        <f t="shared" si="0"/>
        <v>223</v>
      </c>
      <c r="D69" s="806">
        <f>SUM(D70:D74)</f>
        <v>752</v>
      </c>
      <c r="E69" s="365">
        <f t="shared" ref="E69:F69" si="66">SUM(E70:E74)</f>
        <v>-529</v>
      </c>
      <c r="F69" s="350">
        <f t="shared" si="66"/>
        <v>223</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9.5" customHeight="1" x14ac:dyDescent="0.25">
      <c r="A70" s="51">
        <v>1221</v>
      </c>
      <c r="B70" s="89" t="s">
        <v>88</v>
      </c>
      <c r="C70" s="347">
        <f t="shared" si="0"/>
        <v>223</v>
      </c>
      <c r="D70" s="348">
        <v>752</v>
      </c>
      <c r="E70" s="349">
        <v>-529</v>
      </c>
      <c r="F70" s="350">
        <f t="shared" ref="F70:F74" si="70">D70+E70</f>
        <v>223</v>
      </c>
      <c r="G70" s="53"/>
      <c r="H70" s="54"/>
      <c r="I70" s="55">
        <f t="shared" ref="I70:I74" si="71">G70+H70</f>
        <v>0</v>
      </c>
      <c r="J70" s="53"/>
      <c r="K70" s="54"/>
      <c r="L70" s="55">
        <f t="shared" ref="L70:L74" si="72">K70+J70</f>
        <v>0</v>
      </c>
      <c r="M70" s="53"/>
      <c r="N70" s="54"/>
      <c r="O70" s="55">
        <f t="shared" ref="O70:O74" si="73">N70+M70</f>
        <v>0</v>
      </c>
      <c r="P70" s="57" t="s">
        <v>1941</v>
      </c>
    </row>
    <row r="71" spans="1:16" ht="20.25" hidden="1" customHeight="1" x14ac:dyDescent="0.25">
      <c r="A71" s="51">
        <v>1223</v>
      </c>
      <c r="B71" s="89" t="s">
        <v>89</v>
      </c>
      <c r="C71" s="347">
        <f t="shared" si="0"/>
        <v>0</v>
      </c>
      <c r="D71" s="348"/>
      <c r="E71" s="349"/>
      <c r="F71" s="350">
        <f t="shared" si="70"/>
        <v>0</v>
      </c>
      <c r="G71" s="53"/>
      <c r="H71" s="54"/>
      <c r="I71" s="55">
        <f t="shared" si="71"/>
        <v>0</v>
      </c>
      <c r="J71" s="53"/>
      <c r="K71" s="54"/>
      <c r="L71" s="55">
        <f t="shared" si="72"/>
        <v>0</v>
      </c>
      <c r="M71" s="53"/>
      <c r="N71" s="54"/>
      <c r="O71" s="55">
        <f t="shared" si="73"/>
        <v>0</v>
      </c>
      <c r="P71" s="57"/>
    </row>
    <row r="72" spans="1:16" ht="18" hidden="1" customHeight="1" x14ac:dyDescent="0.25">
      <c r="A72" s="51">
        <v>1225</v>
      </c>
      <c r="B72" s="89" t="s">
        <v>90</v>
      </c>
      <c r="C72" s="347">
        <f t="shared" si="0"/>
        <v>0</v>
      </c>
      <c r="D72" s="348"/>
      <c r="E72" s="349"/>
      <c r="F72" s="350">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347">
        <f t="shared" si="0"/>
        <v>0</v>
      </c>
      <c r="D73" s="348"/>
      <c r="E73" s="349"/>
      <c r="F73" s="350">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347">
        <f t="shared" si="0"/>
        <v>0</v>
      </c>
      <c r="D74" s="348"/>
      <c r="E74" s="349"/>
      <c r="F74" s="350">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457">
        <f t="shared" si="0"/>
        <v>66354</v>
      </c>
      <c r="D75" s="1458">
        <f>SUM(D76,D83,D130,D164,D165,D172)</f>
        <v>68654</v>
      </c>
      <c r="E75" s="1459">
        <f t="shared" ref="E75:F75" si="74">SUM(E76,E83,E130,E164,E165,E172)</f>
        <v>-2300</v>
      </c>
      <c r="F75" s="1460">
        <f t="shared" si="74"/>
        <v>66354</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1453">
        <f t="shared" si="0"/>
        <v>0</v>
      </c>
      <c r="D76" s="802">
        <f>SUM(D77,D80)</f>
        <v>0</v>
      </c>
      <c r="E76" s="803">
        <f t="shared" ref="E76:F76" si="78">SUM(E77,E80)</f>
        <v>0</v>
      </c>
      <c r="F76" s="756">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48">
        <v>2110</v>
      </c>
      <c r="B77" s="82" t="s">
        <v>95</v>
      </c>
      <c r="C77" s="469">
        <f t="shared" si="0"/>
        <v>0</v>
      </c>
      <c r="D77" s="807">
        <f>SUM(D78:D79)</f>
        <v>0</v>
      </c>
      <c r="E77" s="808">
        <f t="shared" ref="E77:F77" si="82">SUM(E78:E79)</f>
        <v>0</v>
      </c>
      <c r="F77" s="491">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22.5" hidden="1" customHeight="1" x14ac:dyDescent="0.25">
      <c r="A78" s="51">
        <v>2111</v>
      </c>
      <c r="B78" s="89" t="s">
        <v>96</v>
      </c>
      <c r="C78" s="347">
        <f t="shared" si="0"/>
        <v>0</v>
      </c>
      <c r="D78" s="352">
        <v>0</v>
      </c>
      <c r="E78" s="353"/>
      <c r="F78" s="350">
        <f t="shared" ref="F78:F79" si="86">D78+E78</f>
        <v>0</v>
      </c>
      <c r="G78" s="53"/>
      <c r="H78" s="54"/>
      <c r="I78" s="55">
        <f t="shared" ref="I78:I79" si="87">G78+H78</f>
        <v>0</v>
      </c>
      <c r="J78" s="53"/>
      <c r="K78" s="54"/>
      <c r="L78" s="55">
        <f t="shared" ref="L78:L79" si="88">K78+J78</f>
        <v>0</v>
      </c>
      <c r="M78" s="53"/>
      <c r="N78" s="54"/>
      <c r="O78" s="55">
        <f t="shared" ref="O78:O79" si="89">N78+M78</f>
        <v>0</v>
      </c>
      <c r="P78" s="129"/>
    </row>
    <row r="79" spans="1:16" ht="24" hidden="1" customHeight="1" x14ac:dyDescent="0.25">
      <c r="A79" s="51">
        <v>2112</v>
      </c>
      <c r="B79" s="89" t="s">
        <v>97</v>
      </c>
      <c r="C79" s="347">
        <f t="shared" si="0"/>
        <v>0</v>
      </c>
      <c r="D79" s="352">
        <v>0</v>
      </c>
      <c r="E79" s="353"/>
      <c r="F79" s="350">
        <f t="shared" si="86"/>
        <v>0</v>
      </c>
      <c r="G79" s="53"/>
      <c r="H79" s="54"/>
      <c r="I79" s="55">
        <f t="shared" si="87"/>
        <v>0</v>
      </c>
      <c r="J79" s="53"/>
      <c r="K79" s="54"/>
      <c r="L79" s="55">
        <f t="shared" si="88"/>
        <v>0</v>
      </c>
      <c r="M79" s="53"/>
      <c r="N79" s="54"/>
      <c r="O79" s="55">
        <f t="shared" si="89"/>
        <v>0</v>
      </c>
      <c r="P79" s="129"/>
    </row>
    <row r="80" spans="1:16" ht="24" hidden="1" x14ac:dyDescent="0.25">
      <c r="A80" s="189">
        <v>2120</v>
      </c>
      <c r="B80" s="89" t="s">
        <v>98</v>
      </c>
      <c r="C80" s="347">
        <f t="shared" si="0"/>
        <v>0</v>
      </c>
      <c r="D80" s="806">
        <f>SUM(D81:D82)</f>
        <v>0</v>
      </c>
      <c r="E80" s="365">
        <f t="shared" ref="E80:F80" si="90">SUM(E81:E82)</f>
        <v>0</v>
      </c>
      <c r="F80" s="350">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347">
        <f t="shared" si="0"/>
        <v>0</v>
      </c>
      <c r="D81" s="352"/>
      <c r="E81" s="353"/>
      <c r="F81" s="350">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347">
        <f t="shared" si="0"/>
        <v>0</v>
      </c>
      <c r="D82" s="352"/>
      <c r="E82" s="353"/>
      <c r="F82" s="350">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1453">
        <f t="shared" si="0"/>
        <v>66322</v>
      </c>
      <c r="D83" s="802">
        <f>SUM(D84,D89,D95,D103,D112,D116,D122,D128)</f>
        <v>68622</v>
      </c>
      <c r="E83" s="803">
        <f t="shared" ref="E83:F83" si="98">SUM(E84,E89,E95,E103,E112,E116,E122,E128)</f>
        <v>-2300</v>
      </c>
      <c r="F83" s="756">
        <f t="shared" si="98"/>
        <v>66322</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100</v>
      </c>
      <c r="C84" s="1461">
        <f t="shared" ref="C84:C147" si="102">F84+I84+L84+O84</f>
        <v>204</v>
      </c>
      <c r="D84" s="804">
        <f>SUM(D85:D88)</f>
        <v>204</v>
      </c>
      <c r="E84" s="805">
        <f t="shared" ref="E84:F84" si="103">SUM(E85:E88)</f>
        <v>0</v>
      </c>
      <c r="F84" s="781">
        <f t="shared" si="103"/>
        <v>204</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469">
        <f t="shared" si="102"/>
        <v>0</v>
      </c>
      <c r="D85" s="489"/>
      <c r="E85" s="490"/>
      <c r="F85" s="491">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5.25" customHeight="1" x14ac:dyDescent="0.25">
      <c r="A86" s="51">
        <v>2212</v>
      </c>
      <c r="B86" s="89" t="s">
        <v>102</v>
      </c>
      <c r="C86" s="347">
        <f t="shared" si="102"/>
        <v>156</v>
      </c>
      <c r="D86" s="352">
        <v>156</v>
      </c>
      <c r="E86" s="353"/>
      <c r="F86" s="350">
        <f t="shared" si="107"/>
        <v>156</v>
      </c>
      <c r="G86" s="53"/>
      <c r="H86" s="54"/>
      <c r="I86" s="55">
        <f t="shared" si="108"/>
        <v>0</v>
      </c>
      <c r="J86" s="53"/>
      <c r="K86" s="54"/>
      <c r="L86" s="55">
        <f t="shared" si="109"/>
        <v>0</v>
      </c>
      <c r="M86" s="53"/>
      <c r="N86" s="54"/>
      <c r="O86" s="55">
        <f t="shared" si="110"/>
        <v>0</v>
      </c>
      <c r="P86" s="57"/>
    </row>
    <row r="87" spans="1:16" ht="24" customHeight="1" x14ac:dyDescent="0.25">
      <c r="A87" s="51">
        <v>2214</v>
      </c>
      <c r="B87" s="89" t="s">
        <v>103</v>
      </c>
      <c r="C87" s="347">
        <f t="shared" si="102"/>
        <v>48</v>
      </c>
      <c r="D87" s="352">
        <v>48</v>
      </c>
      <c r="E87" s="353"/>
      <c r="F87" s="350">
        <f t="shared" si="107"/>
        <v>48</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347">
        <f t="shared" si="102"/>
        <v>0</v>
      </c>
      <c r="D88" s="352"/>
      <c r="E88" s="353"/>
      <c r="F88" s="350">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347">
        <f t="shared" si="102"/>
        <v>432</v>
      </c>
      <c r="D89" s="806">
        <f>SUM(D90:D94)</f>
        <v>432</v>
      </c>
      <c r="E89" s="365">
        <f t="shared" ref="E89:F89" si="111">SUM(E90:E94)</f>
        <v>0</v>
      </c>
      <c r="F89" s="350">
        <f t="shared" si="111"/>
        <v>432</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106</v>
      </c>
      <c r="C90" s="347">
        <f t="shared" si="102"/>
        <v>180</v>
      </c>
      <c r="D90" s="352">
        <v>180</v>
      </c>
      <c r="E90" s="353"/>
      <c r="F90" s="350">
        <f t="shared" ref="F90:F94" si="115">D90+E90</f>
        <v>180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107</v>
      </c>
      <c r="C91" s="347">
        <f t="shared" si="102"/>
        <v>18</v>
      </c>
      <c r="D91" s="352">
        <v>18</v>
      </c>
      <c r="E91" s="353"/>
      <c r="F91" s="350">
        <f t="shared" si="115"/>
        <v>18</v>
      </c>
      <c r="G91" s="53"/>
      <c r="H91" s="54"/>
      <c r="I91" s="55">
        <f t="shared" si="116"/>
        <v>0</v>
      </c>
      <c r="J91" s="53"/>
      <c r="K91" s="54"/>
      <c r="L91" s="55">
        <f t="shared" si="117"/>
        <v>0</v>
      </c>
      <c r="M91" s="53"/>
      <c r="N91" s="54"/>
      <c r="O91" s="55">
        <f t="shared" si="118"/>
        <v>0</v>
      </c>
      <c r="P91" s="57"/>
    </row>
    <row r="92" spans="1:16" ht="12" customHeight="1" x14ac:dyDescent="0.25">
      <c r="A92" s="51">
        <v>2223</v>
      </c>
      <c r="B92" s="89" t="s">
        <v>108</v>
      </c>
      <c r="C92" s="347">
        <f t="shared" si="102"/>
        <v>216</v>
      </c>
      <c r="D92" s="352">
        <v>216</v>
      </c>
      <c r="E92" s="353"/>
      <c r="F92" s="350">
        <f t="shared" si="115"/>
        <v>216</v>
      </c>
      <c r="G92" s="53"/>
      <c r="H92" s="54"/>
      <c r="I92" s="55">
        <f t="shared" si="116"/>
        <v>0</v>
      </c>
      <c r="J92" s="53"/>
      <c r="K92" s="54"/>
      <c r="L92" s="55">
        <f t="shared" si="117"/>
        <v>0</v>
      </c>
      <c r="M92" s="53"/>
      <c r="N92" s="54"/>
      <c r="O92" s="55">
        <f t="shared" si="118"/>
        <v>0</v>
      </c>
      <c r="P92" s="57"/>
    </row>
    <row r="93" spans="1:16" ht="48" customHeight="1" x14ac:dyDescent="0.25">
      <c r="A93" s="51">
        <v>2224</v>
      </c>
      <c r="B93" s="89" t="s">
        <v>109</v>
      </c>
      <c r="C93" s="347">
        <f t="shared" si="102"/>
        <v>18</v>
      </c>
      <c r="D93" s="352">
        <v>18</v>
      </c>
      <c r="E93" s="353"/>
      <c r="F93" s="350">
        <f t="shared" si="115"/>
        <v>18</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347">
        <f t="shared" si="102"/>
        <v>0</v>
      </c>
      <c r="D94" s="352"/>
      <c r="E94" s="353"/>
      <c r="F94" s="350">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347">
        <f t="shared" si="102"/>
        <v>0</v>
      </c>
      <c r="D95" s="806">
        <f>SUM(D96:D102)</f>
        <v>0</v>
      </c>
      <c r="E95" s="365">
        <f t="shared" ref="E95:F95" si="119">SUM(E96:E102)</f>
        <v>0</v>
      </c>
      <c r="F95" s="350">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347">
        <f t="shared" si="102"/>
        <v>0</v>
      </c>
      <c r="D96" s="352"/>
      <c r="E96" s="353"/>
      <c r="F96" s="350">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347">
        <f t="shared" si="102"/>
        <v>0</v>
      </c>
      <c r="D97" s="352"/>
      <c r="E97" s="353"/>
      <c r="F97" s="350">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469">
        <f t="shared" si="102"/>
        <v>0</v>
      </c>
      <c r="D98" s="489"/>
      <c r="E98" s="490"/>
      <c r="F98" s="491">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347">
        <f t="shared" si="102"/>
        <v>0</v>
      </c>
      <c r="D99" s="352"/>
      <c r="E99" s="353"/>
      <c r="F99" s="350">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347">
        <f t="shared" si="102"/>
        <v>0</v>
      </c>
      <c r="D100" s="352"/>
      <c r="E100" s="353"/>
      <c r="F100" s="350">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347">
        <f t="shared" si="102"/>
        <v>0</v>
      </c>
      <c r="D101" s="352"/>
      <c r="E101" s="353"/>
      <c r="F101" s="350">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347">
        <f t="shared" si="102"/>
        <v>0</v>
      </c>
      <c r="D102" s="352"/>
      <c r="E102" s="353"/>
      <c r="F102" s="350">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119</v>
      </c>
      <c r="C103" s="347">
        <f t="shared" si="102"/>
        <v>160</v>
      </c>
      <c r="D103" s="806">
        <f>SUM(D104:D111)</f>
        <v>160</v>
      </c>
      <c r="E103" s="365">
        <f t="shared" ref="E103:F103" si="127">SUM(E104:E111)</f>
        <v>0</v>
      </c>
      <c r="F103" s="350">
        <f t="shared" si="127"/>
        <v>160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347">
        <f t="shared" si="102"/>
        <v>0</v>
      </c>
      <c r="D104" s="352"/>
      <c r="E104" s="353"/>
      <c r="F104" s="350">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347">
        <f t="shared" si="102"/>
        <v>0</v>
      </c>
      <c r="D105" s="352"/>
      <c r="E105" s="353"/>
      <c r="F105" s="350">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347">
        <f t="shared" si="102"/>
        <v>0</v>
      </c>
      <c r="D106" s="352"/>
      <c r="E106" s="353"/>
      <c r="F106" s="350">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123</v>
      </c>
      <c r="C107" s="347">
        <f t="shared" si="102"/>
        <v>160</v>
      </c>
      <c r="D107" s="352">
        <v>160</v>
      </c>
      <c r="E107" s="353"/>
      <c r="F107" s="350">
        <f t="shared" si="131"/>
        <v>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347">
        <f t="shared" si="102"/>
        <v>0</v>
      </c>
      <c r="D108" s="352"/>
      <c r="E108" s="353"/>
      <c r="F108" s="350">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347">
        <f t="shared" si="102"/>
        <v>0</v>
      </c>
      <c r="D109" s="352"/>
      <c r="E109" s="353"/>
      <c r="F109" s="350">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347">
        <f t="shared" si="102"/>
        <v>0</v>
      </c>
      <c r="D110" s="352"/>
      <c r="E110" s="353"/>
      <c r="F110" s="350">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347">
        <f t="shared" si="102"/>
        <v>0</v>
      </c>
      <c r="D111" s="352"/>
      <c r="E111" s="353"/>
      <c r="F111" s="350">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347">
        <f t="shared" si="102"/>
        <v>0</v>
      </c>
      <c r="D112" s="806">
        <f>SUM(D113:D115)</f>
        <v>0</v>
      </c>
      <c r="E112" s="365">
        <f t="shared" ref="E112:F112" si="135">SUM(E113:E115)</f>
        <v>0</v>
      </c>
      <c r="F112" s="350">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347">
        <f t="shared" si="102"/>
        <v>0</v>
      </c>
      <c r="D113" s="352"/>
      <c r="E113" s="353"/>
      <c r="F113" s="350">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347">
        <f t="shared" si="102"/>
        <v>0</v>
      </c>
      <c r="D114" s="352"/>
      <c r="E114" s="353"/>
      <c r="F114" s="350">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347">
        <f t="shared" si="102"/>
        <v>0</v>
      </c>
      <c r="D115" s="352"/>
      <c r="E115" s="353"/>
      <c r="F115" s="350">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347">
        <f t="shared" si="102"/>
        <v>0</v>
      </c>
      <c r="D116" s="806">
        <f>SUM(D117:D121)</f>
        <v>0</v>
      </c>
      <c r="E116" s="365">
        <f t="shared" ref="E116:F116" si="143">SUM(E117:E121)</f>
        <v>0</v>
      </c>
      <c r="F116" s="350">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347">
        <f t="shared" si="102"/>
        <v>0</v>
      </c>
      <c r="D117" s="352"/>
      <c r="E117" s="353"/>
      <c r="F117" s="350">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347">
        <f t="shared" si="102"/>
        <v>0</v>
      </c>
      <c r="D118" s="352"/>
      <c r="E118" s="353"/>
      <c r="F118" s="350">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347">
        <f t="shared" si="102"/>
        <v>0</v>
      </c>
      <c r="D119" s="352"/>
      <c r="E119" s="353"/>
      <c r="F119" s="350">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347">
        <f t="shared" si="102"/>
        <v>0</v>
      </c>
      <c r="D120" s="352"/>
      <c r="E120" s="353"/>
      <c r="F120" s="350">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347">
        <f t="shared" si="102"/>
        <v>0</v>
      </c>
      <c r="D121" s="352"/>
      <c r="E121" s="353"/>
      <c r="F121" s="350">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347">
        <f t="shared" si="102"/>
        <v>65526</v>
      </c>
      <c r="D122" s="806">
        <f>SUM(D123:D127)</f>
        <v>67826</v>
      </c>
      <c r="E122" s="365">
        <f t="shared" ref="E122:F122" si="151">SUM(E123:E127)</f>
        <v>-2300</v>
      </c>
      <c r="F122" s="350">
        <f t="shared" si="151"/>
        <v>65526</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347">
        <f t="shared" si="102"/>
        <v>0</v>
      </c>
      <c r="D123" s="352"/>
      <c r="E123" s="353"/>
      <c r="F123" s="350">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347">
        <f t="shared" si="102"/>
        <v>0</v>
      </c>
      <c r="D124" s="352"/>
      <c r="E124" s="353"/>
      <c r="F124" s="350">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347">
        <f t="shared" si="102"/>
        <v>0</v>
      </c>
      <c r="D125" s="352"/>
      <c r="E125" s="353"/>
      <c r="F125" s="350">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347">
        <f t="shared" si="102"/>
        <v>0</v>
      </c>
      <c r="D126" s="352"/>
      <c r="E126" s="353"/>
      <c r="F126" s="350">
        <f t="shared" si="155"/>
        <v>0</v>
      </c>
      <c r="G126" s="53"/>
      <c r="H126" s="54"/>
      <c r="I126" s="55">
        <f t="shared" si="156"/>
        <v>0</v>
      </c>
      <c r="J126" s="53"/>
      <c r="K126" s="54"/>
      <c r="L126" s="55">
        <f t="shared" si="157"/>
        <v>0</v>
      </c>
      <c r="M126" s="53"/>
      <c r="N126" s="54"/>
      <c r="O126" s="55">
        <f t="shared" si="158"/>
        <v>0</v>
      </c>
      <c r="P126" s="57"/>
    </row>
    <row r="127" spans="1:16" ht="26.25" customHeight="1" x14ac:dyDescent="0.25">
      <c r="A127" s="51">
        <v>2279</v>
      </c>
      <c r="B127" s="89" t="s">
        <v>143</v>
      </c>
      <c r="C127" s="347">
        <f t="shared" si="102"/>
        <v>65526</v>
      </c>
      <c r="D127" s="352">
        <v>67826</v>
      </c>
      <c r="E127" s="353">
        <v>-2300</v>
      </c>
      <c r="F127" s="350">
        <f t="shared" si="155"/>
        <v>65526</v>
      </c>
      <c r="G127" s="53"/>
      <c r="H127" s="54"/>
      <c r="I127" s="55">
        <f t="shared" si="156"/>
        <v>0</v>
      </c>
      <c r="J127" s="53"/>
      <c r="K127" s="54"/>
      <c r="L127" s="55">
        <f t="shared" si="157"/>
        <v>0</v>
      </c>
      <c r="M127" s="53"/>
      <c r="N127" s="54"/>
      <c r="O127" s="55">
        <f t="shared" si="158"/>
        <v>0</v>
      </c>
      <c r="P127" s="57" t="s">
        <v>1942</v>
      </c>
    </row>
    <row r="128" spans="1:16" ht="40.5" hidden="1" customHeight="1" x14ac:dyDescent="0.25">
      <c r="A128" s="1448">
        <v>2280</v>
      </c>
      <c r="B128" s="82" t="s">
        <v>144</v>
      </c>
      <c r="C128" s="469">
        <f t="shared" si="102"/>
        <v>0</v>
      </c>
      <c r="D128" s="807">
        <f t="shared" ref="D128:O128" si="159">SUM(D129)</f>
        <v>0</v>
      </c>
      <c r="E128" s="808">
        <f t="shared" si="159"/>
        <v>0</v>
      </c>
      <c r="F128" s="491">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347">
        <f t="shared" si="102"/>
        <v>0</v>
      </c>
      <c r="D129" s="352"/>
      <c r="E129" s="353"/>
      <c r="F129" s="350">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1453">
        <f t="shared" si="102"/>
        <v>32</v>
      </c>
      <c r="D130" s="802">
        <f>SUM(D131,D136,D140,D141,D144,D151,D159,D160,D163)</f>
        <v>32</v>
      </c>
      <c r="E130" s="803">
        <f t="shared" ref="E130:F130" si="160">SUM(E131,E136,E140,E141,E144,E151,E159,E160,E163)</f>
        <v>0</v>
      </c>
      <c r="F130" s="756">
        <f t="shared" si="160"/>
        <v>32</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448">
        <v>2310</v>
      </c>
      <c r="B131" s="82" t="s">
        <v>147</v>
      </c>
      <c r="C131" s="469">
        <f t="shared" si="102"/>
        <v>32</v>
      </c>
      <c r="D131" s="807">
        <f t="shared" ref="D131:O131" si="164">SUM(D132:D135)</f>
        <v>32</v>
      </c>
      <c r="E131" s="808">
        <f t="shared" si="164"/>
        <v>0</v>
      </c>
      <c r="F131" s="491">
        <f t="shared" si="164"/>
        <v>32</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148</v>
      </c>
      <c r="C132" s="347">
        <f t="shared" si="102"/>
        <v>32</v>
      </c>
      <c r="D132" s="352">
        <v>32</v>
      </c>
      <c r="E132" s="353"/>
      <c r="F132" s="350">
        <f t="shared" ref="F132:F135" si="165">D132+E132</f>
        <v>32</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347">
        <f t="shared" si="102"/>
        <v>0</v>
      </c>
      <c r="D133" s="352"/>
      <c r="E133" s="353"/>
      <c r="F133" s="350">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150</v>
      </c>
      <c r="C134" s="347">
        <f t="shared" si="102"/>
        <v>0</v>
      </c>
      <c r="D134" s="352"/>
      <c r="E134" s="353"/>
      <c r="F134" s="350">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347">
        <f t="shared" si="102"/>
        <v>0</v>
      </c>
      <c r="D135" s="352"/>
      <c r="E135" s="353"/>
      <c r="F135" s="350">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347">
        <f t="shared" si="102"/>
        <v>0</v>
      </c>
      <c r="D136" s="806">
        <f>SUM(D137:D139)</f>
        <v>0</v>
      </c>
      <c r="E136" s="365">
        <f t="shared" ref="E136:F136" si="169">SUM(E137:E139)</f>
        <v>0</v>
      </c>
      <c r="F136" s="350">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347">
        <f t="shared" si="102"/>
        <v>0</v>
      </c>
      <c r="D137" s="352"/>
      <c r="E137" s="353"/>
      <c r="F137" s="350">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347">
        <f t="shared" si="102"/>
        <v>0</v>
      </c>
      <c r="D138" s="352"/>
      <c r="E138" s="353"/>
      <c r="F138" s="350">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347">
        <f t="shared" si="102"/>
        <v>0</v>
      </c>
      <c r="D139" s="352"/>
      <c r="E139" s="353"/>
      <c r="F139" s="350">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347">
        <f t="shared" si="102"/>
        <v>0</v>
      </c>
      <c r="D140" s="352"/>
      <c r="E140" s="353"/>
      <c r="F140" s="350">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347">
        <f t="shared" si="102"/>
        <v>0</v>
      </c>
      <c r="D141" s="806">
        <f>SUM(D142:D143)</f>
        <v>0</v>
      </c>
      <c r="E141" s="365">
        <f t="shared" ref="E141:F141" si="177">SUM(E142:E143)</f>
        <v>0</v>
      </c>
      <c r="F141" s="350">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347">
        <f t="shared" si="102"/>
        <v>0</v>
      </c>
      <c r="D142" s="352"/>
      <c r="E142" s="353"/>
      <c r="F142" s="350">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347">
        <f t="shared" si="102"/>
        <v>0</v>
      </c>
      <c r="D143" s="352"/>
      <c r="E143" s="353"/>
      <c r="F143" s="350">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61">
        <f t="shared" si="102"/>
        <v>0</v>
      </c>
      <c r="D144" s="804">
        <f>SUM(D145:D150)</f>
        <v>0</v>
      </c>
      <c r="E144" s="805">
        <f t="shared" ref="E144:F144" si="185">SUM(E145:E150)</f>
        <v>0</v>
      </c>
      <c r="F144" s="78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469">
        <f t="shared" si="102"/>
        <v>0</v>
      </c>
      <c r="D145" s="489"/>
      <c r="E145" s="490"/>
      <c r="F145" s="491">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347">
        <f t="shared" si="102"/>
        <v>0</v>
      </c>
      <c r="D146" s="352"/>
      <c r="E146" s="353"/>
      <c r="F146" s="350">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347">
        <f t="shared" si="102"/>
        <v>0</v>
      </c>
      <c r="D147" s="352"/>
      <c r="E147" s="353"/>
      <c r="F147" s="350">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347">
        <f t="shared" ref="C148:C211" si="193">F148+I148+L148+O148</f>
        <v>0</v>
      </c>
      <c r="D148" s="352"/>
      <c r="E148" s="353"/>
      <c r="F148" s="350">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347">
        <f t="shared" si="193"/>
        <v>0</v>
      </c>
      <c r="D149" s="352"/>
      <c r="E149" s="353"/>
      <c r="F149" s="350">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347">
        <f t="shared" si="193"/>
        <v>0</v>
      </c>
      <c r="D150" s="352"/>
      <c r="E150" s="353"/>
      <c r="F150" s="350">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347">
        <f t="shared" si="193"/>
        <v>0</v>
      </c>
      <c r="D151" s="806">
        <f>SUM(D152:D158)</f>
        <v>0</v>
      </c>
      <c r="E151" s="365">
        <f t="shared" ref="E151:F151" si="194">SUM(E152:E158)</f>
        <v>0</v>
      </c>
      <c r="F151" s="350">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347">
        <f t="shared" si="193"/>
        <v>0</v>
      </c>
      <c r="D152" s="352"/>
      <c r="E152" s="353"/>
      <c r="F152" s="350">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347">
        <f t="shared" si="193"/>
        <v>0</v>
      </c>
      <c r="D153" s="352"/>
      <c r="E153" s="353"/>
      <c r="F153" s="350">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170</v>
      </c>
      <c r="C154" s="347">
        <f t="shared" si="193"/>
        <v>0</v>
      </c>
      <c r="D154" s="352"/>
      <c r="E154" s="353"/>
      <c r="F154" s="350">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347">
        <f t="shared" si="193"/>
        <v>0</v>
      </c>
      <c r="D155" s="352"/>
      <c r="E155" s="353"/>
      <c r="F155" s="350">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347">
        <f t="shared" si="193"/>
        <v>0</v>
      </c>
      <c r="D156" s="352"/>
      <c r="E156" s="353"/>
      <c r="F156" s="350">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347">
        <f t="shared" si="193"/>
        <v>0</v>
      </c>
      <c r="D157" s="352"/>
      <c r="E157" s="353"/>
      <c r="F157" s="350">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347">
        <f t="shared" si="193"/>
        <v>0</v>
      </c>
      <c r="D158" s="352"/>
      <c r="E158" s="353"/>
      <c r="F158" s="350">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175</v>
      </c>
      <c r="C159" s="1461">
        <f t="shared" si="193"/>
        <v>0</v>
      </c>
      <c r="D159" s="810"/>
      <c r="E159" s="811"/>
      <c r="F159" s="78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176</v>
      </c>
      <c r="C160" s="1461">
        <f t="shared" si="193"/>
        <v>0</v>
      </c>
      <c r="D160" s="804">
        <f>SUM(D161:D162)</f>
        <v>0</v>
      </c>
      <c r="E160" s="805">
        <f t="shared" ref="E160:F160" si="202">SUM(E161:E162)</f>
        <v>0</v>
      </c>
      <c r="F160" s="78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469">
        <f t="shared" si="193"/>
        <v>0</v>
      </c>
      <c r="D161" s="489"/>
      <c r="E161" s="490"/>
      <c r="F161" s="491">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347">
        <f t="shared" si="193"/>
        <v>0</v>
      </c>
      <c r="D162" s="352"/>
      <c r="E162" s="353"/>
      <c r="F162" s="350">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61">
        <f t="shared" si="193"/>
        <v>0</v>
      </c>
      <c r="D163" s="810"/>
      <c r="E163" s="811"/>
      <c r="F163" s="78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1453">
        <f t="shared" si="193"/>
        <v>0</v>
      </c>
      <c r="D164" s="812"/>
      <c r="E164" s="813"/>
      <c r="F164" s="756">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1453">
        <f t="shared" si="193"/>
        <v>0</v>
      </c>
      <c r="D165" s="802">
        <f>SUM(D166,D171)</f>
        <v>0</v>
      </c>
      <c r="E165" s="803">
        <f t="shared" ref="E165:O165" si="210">SUM(E166,E171)</f>
        <v>0</v>
      </c>
      <c r="F165" s="756">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448">
        <v>2510</v>
      </c>
      <c r="B166" s="82" t="s">
        <v>182</v>
      </c>
      <c r="C166" s="469">
        <f t="shared" si="193"/>
        <v>0</v>
      </c>
      <c r="D166" s="807">
        <f>SUM(D167:D170)</f>
        <v>0</v>
      </c>
      <c r="E166" s="808">
        <f t="shared" ref="E166:O166" si="211">SUM(E167:E170)</f>
        <v>0</v>
      </c>
      <c r="F166" s="491">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347">
        <f t="shared" si="193"/>
        <v>0</v>
      </c>
      <c r="D167" s="352"/>
      <c r="E167" s="353"/>
      <c r="F167" s="350">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347">
        <f t="shared" si="193"/>
        <v>0</v>
      </c>
      <c r="D168" s="352"/>
      <c r="E168" s="353"/>
      <c r="F168" s="350">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347">
        <f t="shared" si="193"/>
        <v>0</v>
      </c>
      <c r="D169" s="352"/>
      <c r="E169" s="353"/>
      <c r="F169" s="350">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347">
        <f t="shared" si="193"/>
        <v>0</v>
      </c>
      <c r="D170" s="352"/>
      <c r="E170" s="353"/>
      <c r="F170" s="350">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347">
        <f t="shared" si="193"/>
        <v>0</v>
      </c>
      <c r="D171" s="352"/>
      <c r="E171" s="353"/>
      <c r="F171" s="350">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469">
        <f t="shared" si="193"/>
        <v>0</v>
      </c>
      <c r="D172" s="460"/>
      <c r="E172" s="461"/>
      <c r="F172" s="491">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189</v>
      </c>
      <c r="C173" s="1457">
        <f t="shared" si="193"/>
        <v>0</v>
      </c>
      <c r="D173" s="1458">
        <f>SUM(D174,D184)</f>
        <v>0</v>
      </c>
      <c r="E173" s="1459">
        <f t="shared" ref="E173:F173" si="216">SUM(E174,E184)</f>
        <v>0</v>
      </c>
      <c r="F173" s="1460">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8" t="s">
        <v>190</v>
      </c>
      <c r="C174" s="1453">
        <f t="shared" si="193"/>
        <v>0</v>
      </c>
      <c r="D174" s="802">
        <f>SUM(D175,D179)</f>
        <v>0</v>
      </c>
      <c r="E174" s="803">
        <f t="shared" ref="E174:O174" si="220">SUM(E175,E179)</f>
        <v>0</v>
      </c>
      <c r="F174" s="756">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448">
        <v>3260</v>
      </c>
      <c r="B175" s="82" t="s">
        <v>191</v>
      </c>
      <c r="C175" s="469">
        <f t="shared" si="193"/>
        <v>0</v>
      </c>
      <c r="D175" s="807">
        <f>SUM(D176:D178)</f>
        <v>0</v>
      </c>
      <c r="E175" s="808">
        <f t="shared" ref="E175:F175" si="221">SUM(E176:E178)</f>
        <v>0</v>
      </c>
      <c r="F175" s="491">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347">
        <f t="shared" si="193"/>
        <v>0</v>
      </c>
      <c r="D176" s="352"/>
      <c r="E176" s="353"/>
      <c r="F176" s="350">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347">
        <f t="shared" si="193"/>
        <v>0</v>
      </c>
      <c r="D177" s="352"/>
      <c r="E177" s="353"/>
      <c r="F177" s="350">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347">
        <f t="shared" si="193"/>
        <v>0</v>
      </c>
      <c r="D178" s="352"/>
      <c r="E178" s="353"/>
      <c r="F178" s="350">
        <f t="shared" si="225"/>
        <v>0</v>
      </c>
      <c r="G178" s="53"/>
      <c r="H178" s="54"/>
      <c r="I178" s="55">
        <f t="shared" si="226"/>
        <v>0</v>
      </c>
      <c r="J178" s="53"/>
      <c r="K178" s="54"/>
      <c r="L178" s="55">
        <f t="shared" si="227"/>
        <v>0</v>
      </c>
      <c r="M178" s="53"/>
      <c r="N178" s="54"/>
      <c r="O178" s="55">
        <f t="shared" si="228"/>
        <v>0</v>
      </c>
      <c r="P178" s="57"/>
    </row>
    <row r="179" spans="1:16" ht="84" hidden="1" x14ac:dyDescent="0.25">
      <c r="A179" s="1448">
        <v>3290</v>
      </c>
      <c r="B179" s="82" t="s">
        <v>195</v>
      </c>
      <c r="C179" s="1462">
        <f t="shared" si="193"/>
        <v>0</v>
      </c>
      <c r="D179" s="807">
        <f>SUM(D180:D183)</f>
        <v>0</v>
      </c>
      <c r="E179" s="808">
        <f t="shared" ref="E179:O179" si="229">SUM(E180:E183)</f>
        <v>0</v>
      </c>
      <c r="F179" s="491">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347">
        <f t="shared" si="193"/>
        <v>0</v>
      </c>
      <c r="D180" s="352"/>
      <c r="E180" s="353"/>
      <c r="F180" s="350">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347">
        <f t="shared" si="193"/>
        <v>0</v>
      </c>
      <c r="D181" s="352"/>
      <c r="E181" s="353"/>
      <c r="F181" s="350">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347">
        <f t="shared" si="193"/>
        <v>0</v>
      </c>
      <c r="D182" s="352"/>
      <c r="E182" s="353"/>
      <c r="F182" s="350">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1462">
        <f t="shared" si="193"/>
        <v>0</v>
      </c>
      <c r="D183" s="814"/>
      <c r="E183" s="815"/>
      <c r="F183" s="816">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1463">
        <f t="shared" si="193"/>
        <v>0</v>
      </c>
      <c r="D184" s="819">
        <f>SUM(D185:D186)</f>
        <v>0</v>
      </c>
      <c r="E184" s="820">
        <f t="shared" ref="E184:O184" si="234">SUM(E185:E186)</f>
        <v>0</v>
      </c>
      <c r="F184" s="8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61">
        <f t="shared" si="193"/>
        <v>0</v>
      </c>
      <c r="D185" s="810"/>
      <c r="E185" s="811"/>
      <c r="F185" s="78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469">
        <f t="shared" si="193"/>
        <v>0</v>
      </c>
      <c r="D186" s="489"/>
      <c r="E186" s="490"/>
      <c r="F186" s="491">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457">
        <f t="shared" si="193"/>
        <v>0</v>
      </c>
      <c r="D187" s="1458">
        <f>SUM(D188,D191)</f>
        <v>0</v>
      </c>
      <c r="E187" s="1459">
        <f t="shared" ref="E187:F187" si="239">SUM(E188,E191)</f>
        <v>0</v>
      </c>
      <c r="F187" s="1460">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1453">
        <f t="shared" si="193"/>
        <v>0</v>
      </c>
      <c r="D188" s="802">
        <f>SUM(D189,D190)</f>
        <v>0</v>
      </c>
      <c r="E188" s="803">
        <f t="shared" ref="E188:F188" si="243">SUM(E189,E190)</f>
        <v>0</v>
      </c>
      <c r="F188" s="756">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48">
        <v>4240</v>
      </c>
      <c r="B189" s="82" t="s">
        <v>205</v>
      </c>
      <c r="C189" s="469">
        <f t="shared" si="193"/>
        <v>0</v>
      </c>
      <c r="D189" s="489"/>
      <c r="E189" s="490"/>
      <c r="F189" s="491">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347">
        <f t="shared" si="193"/>
        <v>0</v>
      </c>
      <c r="D190" s="352"/>
      <c r="E190" s="353"/>
      <c r="F190" s="350">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1453">
        <f t="shared" si="193"/>
        <v>0</v>
      </c>
      <c r="D191" s="802">
        <f>SUM(D192)</f>
        <v>0</v>
      </c>
      <c r="E191" s="803">
        <f t="shared" ref="E191:F191" si="251">SUM(E192)</f>
        <v>0</v>
      </c>
      <c r="F191" s="756">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48">
        <v>4310</v>
      </c>
      <c r="B192" s="82" t="s">
        <v>208</v>
      </c>
      <c r="C192" s="469">
        <f t="shared" si="193"/>
        <v>0</v>
      </c>
      <c r="D192" s="807">
        <f>SUM(D193:D193)</f>
        <v>0</v>
      </c>
      <c r="E192" s="808">
        <f t="shared" ref="E192:F192" si="255">SUM(E193:E193)</f>
        <v>0</v>
      </c>
      <c r="F192" s="491">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347">
        <f t="shared" si="193"/>
        <v>0</v>
      </c>
      <c r="D193" s="352"/>
      <c r="E193" s="353"/>
      <c r="F193" s="350">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456">
        <f t="shared" si="193"/>
        <v>21771</v>
      </c>
      <c r="D194" s="794">
        <f t="shared" ref="D194:O194" si="259">SUM(D195,D230,D269,D283)</f>
        <v>21771</v>
      </c>
      <c r="E194" s="795">
        <f t="shared" si="259"/>
        <v>0</v>
      </c>
      <c r="F194" s="784">
        <f t="shared" si="259"/>
        <v>21771</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457">
        <f t="shared" si="193"/>
        <v>0</v>
      </c>
      <c r="D195" s="1458">
        <f>D196+D204</f>
        <v>0</v>
      </c>
      <c r="E195" s="1459">
        <f t="shared" ref="E195:F195" si="260">E196+E204</f>
        <v>0</v>
      </c>
      <c r="F195" s="1460">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1453">
        <f t="shared" si="193"/>
        <v>0</v>
      </c>
      <c r="D196" s="802">
        <f>D197+D198+D201+D202+D203</f>
        <v>0</v>
      </c>
      <c r="E196" s="803">
        <f t="shared" ref="E196:F196" si="264">E197+E198+E201+E202+E203</f>
        <v>0</v>
      </c>
      <c r="F196" s="756">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448">
        <v>5110</v>
      </c>
      <c r="B197" s="82" t="s">
        <v>213</v>
      </c>
      <c r="C197" s="469">
        <f t="shared" si="193"/>
        <v>0</v>
      </c>
      <c r="D197" s="489"/>
      <c r="E197" s="490"/>
      <c r="F197" s="491">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347">
        <f t="shared" si="193"/>
        <v>0</v>
      </c>
      <c r="D198" s="806">
        <f>D199+D200</f>
        <v>0</v>
      </c>
      <c r="E198" s="365">
        <f t="shared" ref="E198:F198" si="268">E199+E200</f>
        <v>0</v>
      </c>
      <c r="F198" s="350">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347">
        <f t="shared" si="193"/>
        <v>0</v>
      </c>
      <c r="D199" s="352"/>
      <c r="E199" s="353"/>
      <c r="F199" s="350">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347">
        <f t="shared" si="193"/>
        <v>0</v>
      </c>
      <c r="D200" s="352"/>
      <c r="E200" s="353"/>
      <c r="F200" s="350">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347">
        <f t="shared" si="193"/>
        <v>0</v>
      </c>
      <c r="D201" s="352"/>
      <c r="E201" s="353"/>
      <c r="F201" s="350">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347">
        <f t="shared" si="193"/>
        <v>0</v>
      </c>
      <c r="D202" s="352"/>
      <c r="E202" s="353"/>
      <c r="F202" s="350">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347">
        <f t="shared" si="193"/>
        <v>0</v>
      </c>
      <c r="D203" s="352"/>
      <c r="E203" s="353"/>
      <c r="F203" s="350">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1453">
        <f t="shared" si="193"/>
        <v>0</v>
      </c>
      <c r="D204" s="802">
        <f>D205+D215+D216+D225+D226+D227+D229</f>
        <v>0</v>
      </c>
      <c r="E204" s="803">
        <f t="shared" ref="E204:F204" si="276">E205+E215+E216+E225+E226+E227+E229</f>
        <v>0</v>
      </c>
      <c r="F204" s="756">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61">
        <f t="shared" si="193"/>
        <v>0</v>
      </c>
      <c r="D205" s="804">
        <f>SUM(D206:D214)</f>
        <v>0</v>
      </c>
      <c r="E205" s="805">
        <f t="shared" ref="E205:F205" si="280">SUM(E206:E214)</f>
        <v>0</v>
      </c>
      <c r="F205" s="78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469">
        <f t="shared" si="193"/>
        <v>0</v>
      </c>
      <c r="D206" s="489"/>
      <c r="E206" s="490"/>
      <c r="F206" s="491">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347">
        <f t="shared" si="193"/>
        <v>0</v>
      </c>
      <c r="D207" s="352"/>
      <c r="E207" s="353"/>
      <c r="F207" s="350">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347">
        <f t="shared" si="193"/>
        <v>0</v>
      </c>
      <c r="D208" s="352"/>
      <c r="E208" s="353"/>
      <c r="F208" s="350">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347">
        <f t="shared" si="193"/>
        <v>0</v>
      </c>
      <c r="D209" s="352"/>
      <c r="E209" s="353"/>
      <c r="F209" s="350">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347">
        <f t="shared" si="193"/>
        <v>0</v>
      </c>
      <c r="D210" s="352"/>
      <c r="E210" s="353"/>
      <c r="F210" s="350">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347">
        <f t="shared" si="193"/>
        <v>0</v>
      </c>
      <c r="D211" s="352"/>
      <c r="E211" s="353"/>
      <c r="F211" s="350">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347">
        <f t="shared" ref="C212:C275" si="288">F212+I212+L212+O212</f>
        <v>0</v>
      </c>
      <c r="D212" s="352"/>
      <c r="E212" s="353"/>
      <c r="F212" s="350">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347">
        <f t="shared" si="288"/>
        <v>0</v>
      </c>
      <c r="D213" s="352"/>
      <c r="E213" s="353"/>
      <c r="F213" s="350">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347">
        <f t="shared" si="288"/>
        <v>0</v>
      </c>
      <c r="D214" s="352"/>
      <c r="E214" s="353"/>
      <c r="F214" s="350">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347">
        <f t="shared" si="288"/>
        <v>0</v>
      </c>
      <c r="D215" s="352"/>
      <c r="E215" s="353"/>
      <c r="F215" s="350">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347">
        <f t="shared" si="288"/>
        <v>0</v>
      </c>
      <c r="D216" s="806">
        <f>SUM(D217:D224)</f>
        <v>0</v>
      </c>
      <c r="E216" s="365">
        <f t="shared" ref="E216:F216" si="289">SUM(E217:E224)</f>
        <v>0</v>
      </c>
      <c r="F216" s="350">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347">
        <f t="shared" si="288"/>
        <v>0</v>
      </c>
      <c r="D217" s="352"/>
      <c r="E217" s="353"/>
      <c r="F217" s="350">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347">
        <f t="shared" si="288"/>
        <v>0</v>
      </c>
      <c r="D218" s="352"/>
      <c r="E218" s="353"/>
      <c r="F218" s="350">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347">
        <f t="shared" si="288"/>
        <v>0</v>
      </c>
      <c r="D219" s="352"/>
      <c r="E219" s="353"/>
      <c r="F219" s="350">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347">
        <f t="shared" si="288"/>
        <v>0</v>
      </c>
      <c r="D220" s="352"/>
      <c r="E220" s="353"/>
      <c r="F220" s="350">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347">
        <f t="shared" si="288"/>
        <v>0</v>
      </c>
      <c r="D221" s="352"/>
      <c r="E221" s="353"/>
      <c r="F221" s="350">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347">
        <f t="shared" si="288"/>
        <v>0</v>
      </c>
      <c r="D222" s="352"/>
      <c r="E222" s="353"/>
      <c r="F222" s="350">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347">
        <f t="shared" si="288"/>
        <v>0</v>
      </c>
      <c r="D223" s="352"/>
      <c r="E223" s="353"/>
      <c r="F223" s="350">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347">
        <f t="shared" si="288"/>
        <v>0</v>
      </c>
      <c r="D224" s="352"/>
      <c r="E224" s="353"/>
      <c r="F224" s="350">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347">
        <f t="shared" si="288"/>
        <v>0</v>
      </c>
      <c r="D225" s="352"/>
      <c r="E225" s="353"/>
      <c r="F225" s="350">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347">
        <f t="shared" si="288"/>
        <v>0</v>
      </c>
      <c r="D226" s="352"/>
      <c r="E226" s="353"/>
      <c r="F226" s="350">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347">
        <f t="shared" si="288"/>
        <v>0</v>
      </c>
      <c r="D227" s="806">
        <f>SUM(D228)</f>
        <v>0</v>
      </c>
      <c r="E227" s="365">
        <f t="shared" ref="E227:F227" si="297">SUM(E228)</f>
        <v>0</v>
      </c>
      <c r="F227" s="350">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347">
        <f t="shared" si="288"/>
        <v>0</v>
      </c>
      <c r="D228" s="352"/>
      <c r="E228" s="353"/>
      <c r="F228" s="350">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61">
        <f t="shared" si="288"/>
        <v>0</v>
      </c>
      <c r="D229" s="810"/>
      <c r="E229" s="811"/>
      <c r="F229" s="78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246</v>
      </c>
      <c r="C230" s="1457">
        <f t="shared" si="288"/>
        <v>21771</v>
      </c>
      <c r="D230" s="1458">
        <f>D231+D251+D259</f>
        <v>21771</v>
      </c>
      <c r="E230" s="1459">
        <f t="shared" ref="E230:F230" si="305">E231+E251+E259</f>
        <v>0</v>
      </c>
      <c r="F230" s="1460">
        <f t="shared" si="305"/>
        <v>21771</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1463">
        <f t="shared" si="288"/>
        <v>0</v>
      </c>
      <c r="D231" s="819">
        <f>SUM(D232,D233,D235,D238,D244,D245,D246)</f>
        <v>0</v>
      </c>
      <c r="E231" s="820">
        <f t="shared" ref="E231:F231" si="309">SUM(E232,E233,E235,E238,E244,E245,E246)</f>
        <v>0</v>
      </c>
      <c r="F231" s="8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48">
        <v>6220</v>
      </c>
      <c r="B232" s="82" t="s">
        <v>248</v>
      </c>
      <c r="C232" s="469">
        <f t="shared" si="288"/>
        <v>0</v>
      </c>
      <c r="D232" s="489"/>
      <c r="E232" s="490"/>
      <c r="F232" s="491">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347">
        <f t="shared" si="288"/>
        <v>0</v>
      </c>
      <c r="D233" s="806">
        <f t="shared" ref="D233:O233" si="313">SUM(D234)</f>
        <v>0</v>
      </c>
      <c r="E233" s="365">
        <f t="shared" si="313"/>
        <v>0</v>
      </c>
      <c r="F233" s="350">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347">
        <f t="shared" si="288"/>
        <v>0</v>
      </c>
      <c r="D234" s="489"/>
      <c r="E234" s="490"/>
      <c r="F234" s="491">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347">
        <f t="shared" si="288"/>
        <v>0</v>
      </c>
      <c r="D235" s="806">
        <f>SUM(D236:D237)</f>
        <v>0</v>
      </c>
      <c r="E235" s="365">
        <f t="shared" ref="E235:F235" si="314">SUM(E236:E237)</f>
        <v>0</v>
      </c>
      <c r="F235" s="350">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347">
        <f t="shared" si="288"/>
        <v>0</v>
      </c>
      <c r="D236" s="352"/>
      <c r="E236" s="353"/>
      <c r="F236" s="350">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347">
        <f t="shared" si="288"/>
        <v>0</v>
      </c>
      <c r="D237" s="352"/>
      <c r="E237" s="353"/>
      <c r="F237" s="350">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347">
        <f t="shared" si="288"/>
        <v>0</v>
      </c>
      <c r="D238" s="806">
        <f>SUM(D239:D243)</f>
        <v>0</v>
      </c>
      <c r="E238" s="365">
        <f t="shared" ref="E238:F238" si="322">SUM(E239:E243)</f>
        <v>0</v>
      </c>
      <c r="F238" s="350">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347">
        <f t="shared" si="288"/>
        <v>0</v>
      </c>
      <c r="D239" s="352"/>
      <c r="E239" s="353"/>
      <c r="F239" s="350">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347">
        <f t="shared" si="288"/>
        <v>0</v>
      </c>
      <c r="D240" s="352"/>
      <c r="E240" s="353"/>
      <c r="F240" s="350">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347">
        <f t="shared" si="288"/>
        <v>0</v>
      </c>
      <c r="D241" s="352"/>
      <c r="E241" s="353"/>
      <c r="F241" s="350">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347">
        <f t="shared" si="288"/>
        <v>0</v>
      </c>
      <c r="D242" s="352"/>
      <c r="E242" s="353"/>
      <c r="F242" s="350">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347">
        <f t="shared" si="288"/>
        <v>0</v>
      </c>
      <c r="D243" s="352"/>
      <c r="E243" s="353"/>
      <c r="F243" s="350">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347">
        <f t="shared" si="288"/>
        <v>0</v>
      </c>
      <c r="D244" s="352"/>
      <c r="E244" s="353"/>
      <c r="F244" s="350">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347">
        <f t="shared" si="288"/>
        <v>0</v>
      </c>
      <c r="D245" s="352"/>
      <c r="E245" s="353"/>
      <c r="F245" s="350">
        <f t="shared" si="326"/>
        <v>0</v>
      </c>
      <c r="G245" s="53"/>
      <c r="H245" s="54"/>
      <c r="I245" s="55">
        <f t="shared" si="327"/>
        <v>0</v>
      </c>
      <c r="J245" s="53"/>
      <c r="K245" s="54"/>
      <c r="L245" s="55">
        <f t="shared" si="328"/>
        <v>0</v>
      </c>
      <c r="M245" s="53"/>
      <c r="N245" s="54"/>
      <c r="O245" s="55">
        <f t="shared" si="329"/>
        <v>0</v>
      </c>
      <c r="P245" s="57"/>
    </row>
    <row r="246" spans="1:16" ht="24" hidden="1" x14ac:dyDescent="0.25">
      <c r="A246" s="1448">
        <v>6290</v>
      </c>
      <c r="B246" s="82" t="s">
        <v>262</v>
      </c>
      <c r="C246" s="1462">
        <f t="shared" si="288"/>
        <v>0</v>
      </c>
      <c r="D246" s="807">
        <f>SUM(D247:D250)</f>
        <v>0</v>
      </c>
      <c r="E246" s="808">
        <f t="shared" ref="E246:O246" si="330">SUM(E247:E250)</f>
        <v>0</v>
      </c>
      <c r="F246" s="491">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347">
        <f t="shared" si="288"/>
        <v>0</v>
      </c>
      <c r="D247" s="352"/>
      <c r="E247" s="353"/>
      <c r="F247" s="350">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347">
        <f t="shared" si="288"/>
        <v>0</v>
      </c>
      <c r="D248" s="352"/>
      <c r="E248" s="353"/>
      <c r="F248" s="350">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347">
        <f t="shared" si="288"/>
        <v>0</v>
      </c>
      <c r="D249" s="352"/>
      <c r="E249" s="353"/>
      <c r="F249" s="350">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347">
        <f t="shared" si="288"/>
        <v>0</v>
      </c>
      <c r="D250" s="352"/>
      <c r="E250" s="353"/>
      <c r="F250" s="350">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1453">
        <f t="shared" si="288"/>
        <v>0</v>
      </c>
      <c r="D251" s="802">
        <f>SUM(D252,D257,D258)</f>
        <v>0</v>
      </c>
      <c r="E251" s="803">
        <f t="shared" ref="E251:O251" si="335">SUM(E252,E257,E258)</f>
        <v>0</v>
      </c>
      <c r="F251" s="756">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48">
        <v>6320</v>
      </c>
      <c r="B252" s="82" t="s">
        <v>268</v>
      </c>
      <c r="C252" s="1462">
        <f t="shared" si="288"/>
        <v>0</v>
      </c>
      <c r="D252" s="807">
        <f>SUM(D253:D256)</f>
        <v>0</v>
      </c>
      <c r="E252" s="808">
        <f t="shared" ref="E252:O252" si="336">SUM(E253:E256)</f>
        <v>0</v>
      </c>
      <c r="F252" s="491">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347">
        <f t="shared" si="288"/>
        <v>0</v>
      </c>
      <c r="D253" s="352"/>
      <c r="E253" s="353"/>
      <c r="F253" s="350">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347">
        <f t="shared" si="288"/>
        <v>0</v>
      </c>
      <c r="D254" s="352"/>
      <c r="E254" s="353"/>
      <c r="F254" s="350">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347">
        <f t="shared" si="288"/>
        <v>0</v>
      </c>
      <c r="D255" s="352"/>
      <c r="E255" s="353"/>
      <c r="F255" s="350">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469">
        <f t="shared" si="288"/>
        <v>0</v>
      </c>
      <c r="D256" s="489"/>
      <c r="E256" s="490"/>
      <c r="F256" s="491">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1462">
        <f t="shared" si="288"/>
        <v>0</v>
      </c>
      <c r="D257" s="814"/>
      <c r="E257" s="815"/>
      <c r="F257" s="816">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347">
        <f t="shared" si="288"/>
        <v>0</v>
      </c>
      <c r="D258" s="352"/>
      <c r="E258" s="353"/>
      <c r="F258" s="350">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275</v>
      </c>
      <c r="C259" s="1453">
        <f t="shared" si="288"/>
        <v>21771</v>
      </c>
      <c r="D259" s="802">
        <f>SUM(D260,D264)</f>
        <v>21771</v>
      </c>
      <c r="E259" s="803">
        <f t="shared" ref="E259:O259" si="341">SUM(E260,E264)</f>
        <v>0</v>
      </c>
      <c r="F259" s="756">
        <f t="shared" si="341"/>
        <v>21771</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x14ac:dyDescent="0.25">
      <c r="A260" s="1448">
        <v>6410</v>
      </c>
      <c r="B260" s="82" t="s">
        <v>276</v>
      </c>
      <c r="C260" s="469">
        <f t="shared" si="288"/>
        <v>21771</v>
      </c>
      <c r="D260" s="807">
        <f>SUM(D261:D263)</f>
        <v>21771</v>
      </c>
      <c r="E260" s="808">
        <f t="shared" ref="E260:O260" si="342">SUM(E261:E263)</f>
        <v>0</v>
      </c>
      <c r="F260" s="491">
        <f t="shared" si="342"/>
        <v>21771</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347">
        <f t="shared" si="288"/>
        <v>0</v>
      </c>
      <c r="D261" s="352"/>
      <c r="E261" s="353"/>
      <c r="F261" s="350">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347">
        <f t="shared" si="288"/>
        <v>0</v>
      </c>
      <c r="D262" s="352"/>
      <c r="E262" s="353"/>
      <c r="F262" s="350">
        <f t="shared" si="343"/>
        <v>0</v>
      </c>
      <c r="G262" s="53"/>
      <c r="H262" s="54"/>
      <c r="I262" s="55">
        <f t="shared" si="344"/>
        <v>0</v>
      </c>
      <c r="J262" s="53"/>
      <c r="K262" s="54"/>
      <c r="L262" s="55">
        <f t="shared" si="345"/>
        <v>0</v>
      </c>
      <c r="M262" s="53"/>
      <c r="N262" s="54"/>
      <c r="O262" s="55">
        <f t="shared" si="346"/>
        <v>0</v>
      </c>
      <c r="P262" s="57"/>
    </row>
    <row r="263" spans="1:16" ht="45" customHeight="1" x14ac:dyDescent="0.25">
      <c r="A263" s="51">
        <v>6419</v>
      </c>
      <c r="B263" s="89" t="s">
        <v>279</v>
      </c>
      <c r="C263" s="347">
        <f t="shared" si="288"/>
        <v>21771</v>
      </c>
      <c r="D263" s="352">
        <v>21771</v>
      </c>
      <c r="E263" s="353"/>
      <c r="F263" s="350">
        <f t="shared" si="343"/>
        <v>21771</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280</v>
      </c>
      <c r="C264" s="347">
        <f t="shared" si="288"/>
        <v>0</v>
      </c>
      <c r="D264" s="806">
        <f>SUM(D265:D268)</f>
        <v>0</v>
      </c>
      <c r="E264" s="365">
        <f t="shared" ref="E264:F264" si="347">SUM(E265:E268)</f>
        <v>0</v>
      </c>
      <c r="F264" s="350">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347">
        <f t="shared" si="288"/>
        <v>0</v>
      </c>
      <c r="D265" s="352"/>
      <c r="E265" s="353"/>
      <c r="F265" s="350">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282</v>
      </c>
      <c r="C266" s="347">
        <f t="shared" si="288"/>
        <v>0</v>
      </c>
      <c r="D266" s="352"/>
      <c r="E266" s="353"/>
      <c r="F266" s="350">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347">
        <f t="shared" si="288"/>
        <v>0</v>
      </c>
      <c r="D267" s="352"/>
      <c r="E267" s="353"/>
      <c r="F267" s="350">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284</v>
      </c>
      <c r="C268" s="347">
        <f t="shared" si="288"/>
        <v>0</v>
      </c>
      <c r="D268" s="352"/>
      <c r="E268" s="353"/>
      <c r="F268" s="350">
        <f t="shared" si="351"/>
        <v>0</v>
      </c>
      <c r="G268" s="53"/>
      <c r="H268" s="54"/>
      <c r="I268" s="55">
        <f t="shared" si="352"/>
        <v>0</v>
      </c>
      <c r="J268" s="53"/>
      <c r="K268" s="54"/>
      <c r="L268" s="55">
        <f t="shared" si="353"/>
        <v>0</v>
      </c>
      <c r="M268" s="53"/>
      <c r="N268" s="54"/>
      <c r="O268" s="55">
        <f t="shared" si="354"/>
        <v>0</v>
      </c>
      <c r="P268" s="57"/>
    </row>
    <row r="269" spans="1:16" ht="48" hidden="1" x14ac:dyDescent="0.25">
      <c r="A269" s="228">
        <v>7000</v>
      </c>
      <c r="B269" s="228" t="s">
        <v>285</v>
      </c>
      <c r="C269" s="1464">
        <f t="shared" si="288"/>
        <v>0</v>
      </c>
      <c r="D269" s="1465">
        <f>SUM(D270,D281)</f>
        <v>0</v>
      </c>
      <c r="E269" s="1466">
        <f t="shared" ref="E269:F269" si="355">SUM(E270,E281)</f>
        <v>0</v>
      </c>
      <c r="F269" s="1467">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1453">
        <f t="shared" si="288"/>
        <v>0</v>
      </c>
      <c r="D270" s="802">
        <f>SUM(D271,D272,D275,D276,D280)</f>
        <v>0</v>
      </c>
      <c r="E270" s="803">
        <f t="shared" ref="E270:F270" si="359">SUM(E271,E272,E275,E276,E280)</f>
        <v>0</v>
      </c>
      <c r="F270" s="756">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448">
        <v>7210</v>
      </c>
      <c r="B271" s="82" t="s">
        <v>287</v>
      </c>
      <c r="C271" s="469">
        <f t="shared" si="288"/>
        <v>0</v>
      </c>
      <c r="D271" s="489"/>
      <c r="E271" s="490"/>
      <c r="F271" s="491">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347">
        <f t="shared" si="288"/>
        <v>0</v>
      </c>
      <c r="D272" s="806">
        <f>SUM(D273:D274)</f>
        <v>0</v>
      </c>
      <c r="E272" s="365">
        <f t="shared" ref="E272:F272" si="363">SUM(E273:E274)</f>
        <v>0</v>
      </c>
      <c r="F272" s="350">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347">
        <f t="shared" si="288"/>
        <v>0</v>
      </c>
      <c r="D273" s="352"/>
      <c r="E273" s="353"/>
      <c r="F273" s="350">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347">
        <f t="shared" si="288"/>
        <v>0</v>
      </c>
      <c r="D274" s="352"/>
      <c r="E274" s="353"/>
      <c r="F274" s="350">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347">
        <f t="shared" si="288"/>
        <v>0</v>
      </c>
      <c r="D275" s="352"/>
      <c r="E275" s="353"/>
      <c r="F275" s="350">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347">
        <f t="shared" ref="C276:C301" si="371">F276+I276+L276+O276</f>
        <v>0</v>
      </c>
      <c r="D276" s="806">
        <f t="shared" ref="D276:O276" si="372">SUM(D277:D279)</f>
        <v>0</v>
      </c>
      <c r="E276" s="365">
        <f t="shared" si="372"/>
        <v>0</v>
      </c>
      <c r="F276" s="350">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347">
        <f t="shared" si="371"/>
        <v>0</v>
      </c>
      <c r="D277" s="352"/>
      <c r="E277" s="353"/>
      <c r="F277" s="350">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347">
        <f t="shared" si="371"/>
        <v>0</v>
      </c>
      <c r="D278" s="352"/>
      <c r="E278" s="353"/>
      <c r="F278" s="350">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347">
        <f t="shared" si="371"/>
        <v>0</v>
      </c>
      <c r="D279" s="352"/>
      <c r="E279" s="353"/>
      <c r="F279" s="350">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48">
        <v>7260</v>
      </c>
      <c r="B280" s="82" t="s">
        <v>296</v>
      </c>
      <c r="C280" s="469">
        <f t="shared" si="371"/>
        <v>0</v>
      </c>
      <c r="D280" s="489"/>
      <c r="E280" s="490"/>
      <c r="F280" s="491">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478">
        <f t="shared" si="371"/>
        <v>0</v>
      </c>
      <c r="D281" s="829">
        <f t="shared" ref="D281:O281" si="378">D282</f>
        <v>0</v>
      </c>
      <c r="E281" s="830">
        <f t="shared" si="378"/>
        <v>0</v>
      </c>
      <c r="F281" s="779">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1468">
        <f t="shared" si="371"/>
        <v>0</v>
      </c>
      <c r="D282" s="831"/>
      <c r="E282" s="832"/>
      <c r="F282" s="833">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1469">
        <f t="shared" si="371"/>
        <v>0</v>
      </c>
      <c r="D283" s="1470">
        <f t="shared" ref="D283:O284" si="379">D284</f>
        <v>0</v>
      </c>
      <c r="E283" s="1471">
        <f t="shared" si="379"/>
        <v>0</v>
      </c>
      <c r="F283" s="1472">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61">
        <f t="shared" si="371"/>
        <v>0</v>
      </c>
      <c r="D284" s="804">
        <f t="shared" si="379"/>
        <v>0</v>
      </c>
      <c r="E284" s="805">
        <f t="shared" si="379"/>
        <v>0</v>
      </c>
      <c r="F284" s="78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61">
        <f t="shared" si="371"/>
        <v>0</v>
      </c>
      <c r="D285" s="810"/>
      <c r="E285" s="811"/>
      <c r="F285" s="781">
        <f>D285+E285</f>
        <v>0</v>
      </c>
      <c r="G285" s="144"/>
      <c r="H285" s="145"/>
      <c r="I285" s="141">
        <f>G285+H285</f>
        <v>0</v>
      </c>
      <c r="J285" s="144"/>
      <c r="K285" s="145"/>
      <c r="L285" s="141">
        <f>K285+J285</f>
        <v>0</v>
      </c>
      <c r="M285" s="144"/>
      <c r="N285" s="145"/>
      <c r="O285" s="141">
        <f>N285+M285</f>
        <v>0</v>
      </c>
      <c r="P285" s="129"/>
    </row>
    <row r="286" spans="1:16" x14ac:dyDescent="0.25">
      <c r="A286" s="201"/>
      <c r="B286" s="89" t="s">
        <v>302</v>
      </c>
      <c r="C286" s="347">
        <f t="shared" si="371"/>
        <v>29034</v>
      </c>
      <c r="D286" s="806">
        <f>SUM(D287:D288)</f>
        <v>29034</v>
      </c>
      <c r="E286" s="365">
        <f t="shared" ref="E286:F286" si="381">SUM(E287:E288)</f>
        <v>0</v>
      </c>
      <c r="F286" s="350">
        <f t="shared" si="381"/>
        <v>29034</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1" t="s">
        <v>303</v>
      </c>
      <c r="B287" s="51" t="s">
        <v>304</v>
      </c>
      <c r="C287" s="347">
        <f t="shared" si="371"/>
        <v>29034</v>
      </c>
      <c r="D287" s="352">
        <v>29034</v>
      </c>
      <c r="E287" s="353"/>
      <c r="F287" s="350">
        <f t="shared" ref="F287:F288" si="385">D287+E287</f>
        <v>29034</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469">
        <f t="shared" si="371"/>
        <v>0</v>
      </c>
      <c r="D288" s="489"/>
      <c r="E288" s="490"/>
      <c r="F288" s="491">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1473">
        <f t="shared" si="371"/>
        <v>143804</v>
      </c>
      <c r="D289" s="841">
        <f t="shared" ref="D289:O289" si="389">SUM(D286,D269,D230,D195,D187,D173,D75,D53,D283)</f>
        <v>143804</v>
      </c>
      <c r="E289" s="842">
        <f t="shared" si="389"/>
        <v>0</v>
      </c>
      <c r="F289" s="843">
        <f t="shared" si="389"/>
        <v>143804</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thickTop="1" thickBot="1" x14ac:dyDescent="0.3">
      <c r="A290" s="1544" t="s">
        <v>308</v>
      </c>
      <c r="B290" s="1545"/>
      <c r="C290" s="1474">
        <f t="shared" si="371"/>
        <v>4668</v>
      </c>
      <c r="D290" s="844">
        <f>SUM(D24,D25,D41)-D51</f>
        <v>4668</v>
      </c>
      <c r="E290" s="845">
        <f t="shared" ref="E290:F290" si="390">SUM(E24,E25,E41)-E51</f>
        <v>0</v>
      </c>
      <c r="F290" s="846">
        <f t="shared" si="390"/>
        <v>4668</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thickTop="1" x14ac:dyDescent="0.25">
      <c r="A291" s="1546" t="s">
        <v>309</v>
      </c>
      <c r="B291" s="1547"/>
      <c r="C291" s="1475">
        <f t="shared" si="371"/>
        <v>-4668</v>
      </c>
      <c r="D291" s="847">
        <f t="shared" ref="D291:O291" si="394">SUM(D292,D293)-D300+D301</f>
        <v>-4668</v>
      </c>
      <c r="E291" s="848">
        <f t="shared" si="394"/>
        <v>0</v>
      </c>
      <c r="F291" s="849">
        <f t="shared" si="394"/>
        <v>-4668</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2.75" thickBot="1" x14ac:dyDescent="0.3">
      <c r="A292" s="157" t="s">
        <v>310</v>
      </c>
      <c r="B292" s="157" t="s">
        <v>311</v>
      </c>
      <c r="C292" s="1454">
        <f t="shared" si="371"/>
        <v>-4668</v>
      </c>
      <c r="D292" s="785">
        <f t="shared" ref="D292:O292" si="395">D21-D286</f>
        <v>-4668</v>
      </c>
      <c r="E292" s="786">
        <f t="shared" si="395"/>
        <v>0</v>
      </c>
      <c r="F292" s="787">
        <f t="shared" si="395"/>
        <v>-4668</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sheetData>
  <sheetProtection algorithmName="SHA-512" hashValue="DmR3Y6V1efKuF+xy3bTfOTFYuZ30vkX63lgv0Z76vCks24p7Zayj8VLSB4u5nwyCwYg6IIMy7pchmBCNJ3Ma2w==" saltValue="5yqDUhuIPEHG/nKbCFXDLg==" spinCount="100000" sheet="1" objects="1" scenarios="1" formatCells="0" formatColumns="0" formatRows="0" deleteColumns="0"/>
  <autoFilter ref="A18:P301">
    <filterColumn colId="2">
      <filters>
        <filter val="100 469"/>
        <filter val="114 770"/>
        <filter val="143 804"/>
        <filter val="156"/>
        <filter val="160"/>
        <filter val="18"/>
        <filter val="18 969"/>
        <filter val="180"/>
        <filter val="204"/>
        <filter val="21 394"/>
        <filter val="21 771"/>
        <filter val="216"/>
        <filter val="223"/>
        <filter val="24 366"/>
        <filter val="26 645"/>
        <filter val="29 034"/>
        <filter val="32"/>
        <filter val="4 668"/>
        <filter val="-4 668"/>
        <filter val="432"/>
        <filter val="48"/>
        <filter val="5 028"/>
        <filter val="5 251"/>
        <filter val="65 526"/>
        <filter val="66 322"/>
        <filter val="66 354"/>
        <filter val="92 99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88.pielikums Jūrmalas pilsētas domes
2019.gada 31.oktobra saistošajiem noteikumiem Nr.46
(protokols Nr.14, 28.punkts)
 </firstHeader>
    <firstFooter>&amp;L&amp;9&amp;D; &amp;T&amp;R&amp;9&amp;P (&amp;N)</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R302"/>
  <sheetViews>
    <sheetView showGridLines="0" view="pageLayout" zoomScaleNormal="100" workbookViewId="0">
      <selection activeCell="T7" sqref="T7"/>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44" x14ac:dyDescent="0.25">
      <c r="A1" s="1"/>
      <c r="B1" s="1"/>
      <c r="C1" s="1"/>
      <c r="D1" s="1"/>
      <c r="E1" s="1"/>
      <c r="F1" s="1"/>
      <c r="G1" s="1"/>
      <c r="H1" s="1"/>
      <c r="I1" s="1"/>
      <c r="J1" s="1"/>
      <c r="K1" s="1"/>
      <c r="L1" s="1"/>
      <c r="M1" s="1"/>
      <c r="N1" s="2"/>
      <c r="O1" s="3" t="s">
        <v>2089</v>
      </c>
      <c r="P1" s="1"/>
    </row>
    <row r="2" spans="1:44" ht="35.25" customHeight="1" x14ac:dyDescent="0.25">
      <c r="A2" s="1514" t="s">
        <v>1</v>
      </c>
      <c r="B2" s="1515"/>
      <c r="C2" s="1515"/>
      <c r="D2" s="1515"/>
      <c r="E2" s="1515"/>
      <c r="F2" s="1515"/>
      <c r="G2" s="1515"/>
      <c r="H2" s="1515"/>
      <c r="I2" s="1515"/>
      <c r="J2" s="1515"/>
      <c r="K2" s="1515"/>
      <c r="L2" s="1515"/>
      <c r="M2" s="1515"/>
      <c r="N2" s="1515"/>
      <c r="O2" s="1515"/>
      <c r="P2" s="1516"/>
      <c r="Q2" s="277"/>
    </row>
    <row r="3" spans="1:44" ht="12.75" customHeight="1" x14ac:dyDescent="0.25">
      <c r="A3" s="5" t="s">
        <v>2</v>
      </c>
      <c r="B3" s="6"/>
      <c r="C3" s="1517" t="s">
        <v>436</v>
      </c>
      <c r="D3" s="1517"/>
      <c r="E3" s="1517"/>
      <c r="F3" s="1517"/>
      <c r="G3" s="1517"/>
      <c r="H3" s="1517"/>
      <c r="I3" s="1517"/>
      <c r="J3" s="1517"/>
      <c r="K3" s="1517"/>
      <c r="L3" s="1517"/>
      <c r="M3" s="1517"/>
      <c r="N3" s="1517"/>
      <c r="O3" s="1517"/>
      <c r="P3" s="1518"/>
      <c r="Q3" s="277"/>
    </row>
    <row r="4" spans="1:44" ht="12.75" customHeight="1" x14ac:dyDescent="0.25">
      <c r="A4" s="5" t="s">
        <v>4</v>
      </c>
      <c r="B4" s="6"/>
      <c r="C4" s="1517" t="s">
        <v>1656</v>
      </c>
      <c r="D4" s="1517"/>
      <c r="E4" s="1517"/>
      <c r="F4" s="1517"/>
      <c r="G4" s="1517"/>
      <c r="H4" s="1517"/>
      <c r="I4" s="1517"/>
      <c r="J4" s="1517"/>
      <c r="K4" s="1517"/>
      <c r="L4" s="1517"/>
      <c r="M4" s="1517"/>
      <c r="N4" s="1517"/>
      <c r="O4" s="1517"/>
      <c r="P4" s="1518"/>
      <c r="Q4" s="277"/>
    </row>
    <row r="5" spans="1:44" ht="12.75" customHeight="1" x14ac:dyDescent="0.25">
      <c r="A5" s="7" t="s">
        <v>6</v>
      </c>
      <c r="B5" s="8"/>
      <c r="C5" s="1512" t="s">
        <v>1657</v>
      </c>
      <c r="D5" s="1512"/>
      <c r="E5" s="1512"/>
      <c r="F5" s="1512"/>
      <c r="G5" s="1512"/>
      <c r="H5" s="1512"/>
      <c r="I5" s="1512"/>
      <c r="J5" s="1512"/>
      <c r="K5" s="1512"/>
      <c r="L5" s="1512"/>
      <c r="M5" s="1512"/>
      <c r="N5" s="1512"/>
      <c r="O5" s="1512"/>
      <c r="P5" s="1513"/>
      <c r="Q5" s="277"/>
    </row>
    <row r="6" spans="1:44" ht="12.75" customHeight="1" x14ac:dyDescent="0.25">
      <c r="A6" s="7" t="s">
        <v>8</v>
      </c>
      <c r="B6" s="8"/>
      <c r="C6" s="1512" t="s">
        <v>430</v>
      </c>
      <c r="D6" s="1512"/>
      <c r="E6" s="1512"/>
      <c r="F6" s="1512"/>
      <c r="G6" s="1512"/>
      <c r="H6" s="1512"/>
      <c r="I6" s="1512"/>
      <c r="J6" s="1512"/>
      <c r="K6" s="1512"/>
      <c r="L6" s="1512"/>
      <c r="M6" s="1512"/>
      <c r="N6" s="1512"/>
      <c r="O6" s="1512"/>
      <c r="P6" s="1513"/>
      <c r="Q6" s="277"/>
    </row>
    <row r="7" spans="1:44" ht="24.75" customHeight="1" x14ac:dyDescent="0.25">
      <c r="A7" s="7" t="s">
        <v>10</v>
      </c>
      <c r="B7" s="8"/>
      <c r="C7" s="1517" t="s">
        <v>2086</v>
      </c>
      <c r="D7" s="1517"/>
      <c r="E7" s="1517"/>
      <c r="F7" s="1517"/>
      <c r="G7" s="1517"/>
      <c r="H7" s="1517"/>
      <c r="I7" s="1517"/>
      <c r="J7" s="1517"/>
      <c r="K7" s="1517"/>
      <c r="L7" s="1517"/>
      <c r="M7" s="1517"/>
      <c r="N7" s="1517"/>
      <c r="O7" s="1517"/>
      <c r="P7" s="1518"/>
      <c r="Q7" s="277"/>
    </row>
    <row r="8" spans="1:44" ht="12.75" customHeight="1" x14ac:dyDescent="0.25">
      <c r="A8" s="9" t="s">
        <v>12</v>
      </c>
      <c r="B8" s="8"/>
      <c r="C8" s="1519"/>
      <c r="D8" s="1519"/>
      <c r="E8" s="1519"/>
      <c r="F8" s="1519"/>
      <c r="G8" s="1519"/>
      <c r="H8" s="1519"/>
      <c r="I8" s="1519"/>
      <c r="J8" s="1519"/>
      <c r="K8" s="1519"/>
      <c r="L8" s="1519"/>
      <c r="M8" s="1519"/>
      <c r="N8" s="1519"/>
      <c r="O8" s="1519"/>
      <c r="P8" s="1520"/>
      <c r="Q8" s="277"/>
    </row>
    <row r="9" spans="1:44" ht="12.75" customHeight="1" x14ac:dyDescent="0.25">
      <c r="A9" s="7"/>
      <c r="B9" s="8" t="s">
        <v>13</v>
      </c>
      <c r="C9" s="1512" t="s">
        <v>1658</v>
      </c>
      <c r="D9" s="1512"/>
      <c r="E9" s="1512"/>
      <c r="F9" s="1512"/>
      <c r="G9" s="1512"/>
      <c r="H9" s="1512"/>
      <c r="I9" s="1512"/>
      <c r="J9" s="1512"/>
      <c r="K9" s="1512"/>
      <c r="L9" s="1512"/>
      <c r="M9" s="1512"/>
      <c r="N9" s="1512"/>
      <c r="O9" s="1512"/>
      <c r="P9" s="1513"/>
      <c r="Q9" s="277"/>
    </row>
    <row r="10" spans="1:44"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44"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44"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44"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44" ht="12.75" customHeight="1" x14ac:dyDescent="0.25">
      <c r="A14" s="10"/>
      <c r="B14" s="11"/>
      <c r="C14" s="1521"/>
      <c r="D14" s="1521"/>
      <c r="E14" s="1521"/>
      <c r="F14" s="1521"/>
      <c r="G14" s="1521"/>
      <c r="H14" s="1521"/>
      <c r="I14" s="1521"/>
      <c r="J14" s="1521"/>
      <c r="K14" s="1521"/>
      <c r="L14" s="1521"/>
      <c r="M14" s="1521"/>
      <c r="N14" s="1521"/>
      <c r="O14" s="1521"/>
      <c r="P14" s="1522"/>
      <c r="Q14" s="277"/>
    </row>
    <row r="15" spans="1:44"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c r="AA15" s="4"/>
      <c r="AB15" s="4"/>
      <c r="AC15" s="4"/>
      <c r="AD15" s="4"/>
      <c r="AE15" s="4"/>
      <c r="AF15" s="4"/>
      <c r="AG15" s="4"/>
      <c r="AH15" s="4"/>
      <c r="AI15" s="4"/>
      <c r="AJ15" s="4"/>
      <c r="AK15" s="4"/>
      <c r="AL15" s="4"/>
      <c r="AM15" s="4"/>
      <c r="AN15" s="4"/>
      <c r="AO15" s="4"/>
      <c r="AP15" s="4"/>
      <c r="AQ15" s="4"/>
      <c r="AR15" s="4"/>
    </row>
    <row r="16" spans="1:44"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c r="AA16" s="4"/>
      <c r="AB16" s="4"/>
      <c r="AC16" s="4"/>
      <c r="AD16" s="4"/>
      <c r="AE16" s="4"/>
      <c r="AF16" s="4"/>
      <c r="AG16" s="4"/>
      <c r="AH16" s="4"/>
      <c r="AI16" s="4"/>
      <c r="AJ16" s="4"/>
      <c r="AK16" s="4"/>
      <c r="AL16" s="4"/>
      <c r="AM16" s="4"/>
      <c r="AN16" s="4"/>
      <c r="AO16" s="4"/>
      <c r="AP16" s="4"/>
      <c r="AQ16" s="4"/>
      <c r="AR16" s="4"/>
    </row>
    <row r="17" spans="1:44" s="13" customFormat="1" ht="70.5" customHeight="1" thickBot="1" x14ac:dyDescent="0.3">
      <c r="A17" s="1525"/>
      <c r="B17" s="1527"/>
      <c r="C17" s="1532"/>
      <c r="D17" s="1534"/>
      <c r="E17" s="1536"/>
      <c r="F17" s="1538"/>
      <c r="G17" s="1539"/>
      <c r="H17" s="1540"/>
      <c r="I17" s="1541"/>
      <c r="J17" s="1539"/>
      <c r="K17" s="1540"/>
      <c r="L17" s="1541"/>
      <c r="M17" s="1539"/>
      <c r="N17" s="1540"/>
      <c r="O17" s="1541"/>
      <c r="P17" s="1543"/>
      <c r="AA17" s="4"/>
      <c r="AB17" s="4"/>
      <c r="AC17" s="4"/>
      <c r="AD17" s="4"/>
      <c r="AE17" s="4"/>
      <c r="AF17" s="4"/>
      <c r="AG17" s="4"/>
      <c r="AH17" s="4"/>
      <c r="AI17" s="4"/>
      <c r="AJ17" s="4"/>
      <c r="AK17" s="4"/>
      <c r="AL17" s="4"/>
      <c r="AM17" s="4"/>
      <c r="AN17" s="4"/>
      <c r="AO17" s="4"/>
      <c r="AP17" s="4"/>
      <c r="AQ17" s="4"/>
      <c r="AR17" s="4"/>
    </row>
    <row r="18" spans="1:44"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c r="AA18" s="4"/>
      <c r="AB18" s="4"/>
      <c r="AC18" s="4"/>
      <c r="AD18" s="4"/>
      <c r="AE18" s="4"/>
      <c r="AF18" s="4"/>
      <c r="AG18" s="4"/>
      <c r="AH18" s="4"/>
      <c r="AI18" s="4"/>
      <c r="AJ18" s="4"/>
      <c r="AK18" s="4"/>
      <c r="AL18" s="4"/>
      <c r="AM18" s="4"/>
      <c r="AN18" s="4"/>
      <c r="AO18" s="4"/>
      <c r="AP18" s="4"/>
      <c r="AQ18" s="4"/>
      <c r="AR18" s="4"/>
    </row>
    <row r="19" spans="1:44" s="28" customFormat="1" ht="12" hidden="1" customHeight="1" x14ac:dyDescent="0.25">
      <c r="A19" s="22"/>
      <c r="B19" s="23" t="s">
        <v>37</v>
      </c>
      <c r="C19" s="24"/>
      <c r="D19" s="25"/>
      <c r="E19" s="26"/>
      <c r="F19" s="27"/>
      <c r="G19" s="25"/>
      <c r="H19" s="26"/>
      <c r="I19" s="27"/>
      <c r="J19" s="25"/>
      <c r="K19" s="26"/>
      <c r="L19" s="27"/>
      <c r="M19" s="25"/>
      <c r="N19" s="26"/>
      <c r="O19" s="27"/>
      <c r="P19" s="27"/>
      <c r="AA19" s="4"/>
      <c r="AB19" s="4"/>
      <c r="AC19" s="4"/>
      <c r="AD19" s="4"/>
      <c r="AE19" s="4"/>
      <c r="AF19" s="4"/>
      <c r="AG19" s="4"/>
      <c r="AH19" s="4"/>
      <c r="AI19" s="4"/>
      <c r="AJ19" s="4"/>
      <c r="AK19" s="4"/>
      <c r="AL19" s="4"/>
      <c r="AM19" s="4"/>
      <c r="AN19" s="4"/>
      <c r="AO19" s="4"/>
      <c r="AP19" s="4"/>
      <c r="AQ19" s="4"/>
      <c r="AR19" s="4"/>
    </row>
    <row r="20" spans="1:44" s="28" customFormat="1" ht="12.75" thickBot="1" x14ac:dyDescent="0.3">
      <c r="A20" s="29"/>
      <c r="B20" s="30" t="s">
        <v>38</v>
      </c>
      <c r="C20" s="31">
        <f t="shared" ref="C20:C83" si="0">F20+I20+L20+O20</f>
        <v>83700</v>
      </c>
      <c r="D20" s="32">
        <f>SUM(D21,D24,D25,D41,D43)</f>
        <v>0</v>
      </c>
      <c r="E20" s="33">
        <f t="shared" ref="E20:F20" si="1">SUM(E21,E24,E25,E41,E43)</f>
        <v>83700</v>
      </c>
      <c r="F20" s="34">
        <f t="shared" si="1"/>
        <v>83700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AA20" s="4"/>
      <c r="AB20" s="4"/>
      <c r="AC20" s="4"/>
      <c r="AD20" s="4"/>
      <c r="AE20" s="4"/>
      <c r="AF20" s="4"/>
      <c r="AG20" s="4"/>
      <c r="AH20" s="4"/>
      <c r="AI20" s="4"/>
      <c r="AJ20" s="4"/>
      <c r="AK20" s="4"/>
      <c r="AL20" s="4"/>
      <c r="AM20" s="4"/>
      <c r="AN20" s="4"/>
      <c r="AO20" s="4"/>
      <c r="AP20" s="4"/>
      <c r="AQ20" s="4"/>
      <c r="AR20" s="4"/>
    </row>
    <row r="21" spans="1:44"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44"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44"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44" s="28" customFormat="1" ht="46.5" customHeight="1" thickTop="1" thickBot="1" x14ac:dyDescent="0.3">
      <c r="A24" s="58">
        <v>19300</v>
      </c>
      <c r="B24" s="58" t="s">
        <v>42</v>
      </c>
      <c r="C24" s="59">
        <f>F24+I24</f>
        <v>83700</v>
      </c>
      <c r="D24" s="60"/>
      <c r="E24" s="63">
        <v>83700</v>
      </c>
      <c r="F24" s="62">
        <f t="shared" si="9"/>
        <v>83700</v>
      </c>
      <c r="G24" s="60"/>
      <c r="H24" s="63"/>
      <c r="I24" s="62">
        <f t="shared" si="10"/>
        <v>0</v>
      </c>
      <c r="J24" s="64" t="s">
        <v>43</v>
      </c>
      <c r="K24" s="65" t="s">
        <v>43</v>
      </c>
      <c r="L24" s="66" t="s">
        <v>43</v>
      </c>
      <c r="M24" s="64" t="s">
        <v>43</v>
      </c>
      <c r="N24" s="65" t="s">
        <v>43</v>
      </c>
      <c r="O24" s="66" t="s">
        <v>43</v>
      </c>
      <c r="P24" s="67" t="s">
        <v>2087</v>
      </c>
      <c r="AA24" s="4"/>
      <c r="AB24" s="4"/>
      <c r="AC24" s="4"/>
      <c r="AD24" s="4"/>
      <c r="AE24" s="4"/>
      <c r="AF24" s="4"/>
      <c r="AG24" s="4"/>
      <c r="AH24" s="4"/>
      <c r="AI24" s="4"/>
      <c r="AJ24" s="4"/>
      <c r="AK24" s="4"/>
      <c r="AL24" s="4"/>
      <c r="AM24" s="4"/>
      <c r="AN24" s="4"/>
      <c r="AO24" s="4"/>
      <c r="AP24" s="4"/>
      <c r="AQ24" s="4"/>
      <c r="AR24" s="4"/>
    </row>
    <row r="25" spans="1:44"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c r="AA25" s="4"/>
      <c r="AB25" s="4"/>
      <c r="AC25" s="4"/>
      <c r="AD25" s="4"/>
      <c r="AE25" s="4"/>
      <c r="AF25" s="4"/>
      <c r="AG25" s="4"/>
      <c r="AH25" s="4"/>
      <c r="AI25" s="4"/>
      <c r="AJ25" s="4"/>
      <c r="AK25" s="4"/>
      <c r="AL25" s="4"/>
      <c r="AM25" s="4"/>
      <c r="AN25" s="4"/>
      <c r="AO25" s="4"/>
      <c r="AP25" s="4"/>
      <c r="AQ25" s="4"/>
      <c r="AR25" s="4"/>
    </row>
    <row r="26" spans="1:44"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c r="AA26" s="4"/>
      <c r="AB26" s="4"/>
      <c r="AC26" s="4"/>
      <c r="AD26" s="4"/>
      <c r="AE26" s="4"/>
      <c r="AF26" s="4"/>
      <c r="AG26" s="4"/>
      <c r="AH26" s="4"/>
      <c r="AI26" s="4"/>
      <c r="AJ26" s="4"/>
      <c r="AK26" s="4"/>
      <c r="AL26" s="4"/>
      <c r="AM26" s="4"/>
      <c r="AN26" s="4"/>
      <c r="AO26" s="4"/>
      <c r="AP26" s="4"/>
      <c r="AQ26" s="4"/>
      <c r="AR26" s="4"/>
    </row>
    <row r="27" spans="1:44"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c r="AA27" s="4"/>
      <c r="AB27" s="4"/>
      <c r="AC27" s="4"/>
      <c r="AD27" s="4"/>
      <c r="AE27" s="4"/>
      <c r="AF27" s="4"/>
      <c r="AG27" s="4"/>
      <c r="AH27" s="4"/>
      <c r="AI27" s="4"/>
      <c r="AJ27" s="4"/>
      <c r="AK27" s="4"/>
      <c r="AL27" s="4"/>
      <c r="AM27" s="4"/>
      <c r="AN27" s="4"/>
      <c r="AO27" s="4"/>
      <c r="AP27" s="4"/>
      <c r="AQ27" s="4"/>
      <c r="AR27" s="4"/>
    </row>
    <row r="28" spans="1:44"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44"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44"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44"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c r="AA31" s="4"/>
      <c r="AB31" s="4"/>
      <c r="AC31" s="4"/>
      <c r="AD31" s="4"/>
      <c r="AE31" s="4"/>
      <c r="AF31" s="4"/>
      <c r="AG31" s="4"/>
      <c r="AH31" s="4"/>
      <c r="AI31" s="4"/>
      <c r="AJ31" s="4"/>
      <c r="AK31" s="4"/>
      <c r="AL31" s="4"/>
      <c r="AM31" s="4"/>
      <c r="AN31" s="4"/>
      <c r="AO31" s="4"/>
      <c r="AP31" s="4"/>
      <c r="AQ31" s="4"/>
      <c r="AR31" s="4"/>
    </row>
    <row r="32" spans="1:44"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44"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c r="AA33" s="4"/>
      <c r="AB33" s="4"/>
      <c r="AC33" s="4"/>
      <c r="AD33" s="4"/>
      <c r="AE33" s="4"/>
      <c r="AF33" s="4"/>
      <c r="AG33" s="4"/>
      <c r="AH33" s="4"/>
      <c r="AI33" s="4"/>
      <c r="AJ33" s="4"/>
      <c r="AK33" s="4"/>
      <c r="AL33" s="4"/>
      <c r="AM33" s="4"/>
      <c r="AN33" s="4"/>
      <c r="AO33" s="4"/>
      <c r="AP33" s="4"/>
      <c r="AQ33" s="4"/>
      <c r="AR33" s="4"/>
    </row>
    <row r="34" spans="1:44"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44"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44"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c r="AA36" s="4"/>
      <c r="AB36" s="4"/>
      <c r="AC36" s="4"/>
      <c r="AD36" s="4"/>
      <c r="AE36" s="4"/>
      <c r="AF36" s="4"/>
      <c r="AG36" s="4"/>
      <c r="AH36" s="4"/>
      <c r="AI36" s="4"/>
      <c r="AJ36" s="4"/>
      <c r="AK36" s="4"/>
      <c r="AL36" s="4"/>
      <c r="AM36" s="4"/>
      <c r="AN36" s="4"/>
      <c r="AO36" s="4"/>
      <c r="AP36" s="4"/>
      <c r="AQ36" s="4"/>
      <c r="AR36" s="4"/>
    </row>
    <row r="37" spans="1:44"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44"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44"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44"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44"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c r="AA41" s="4"/>
      <c r="AB41" s="4"/>
      <c r="AC41" s="4"/>
      <c r="AD41" s="4"/>
      <c r="AE41" s="4"/>
      <c r="AF41" s="4"/>
      <c r="AG41" s="4"/>
      <c r="AH41" s="4"/>
      <c r="AI41" s="4"/>
      <c r="AJ41" s="4"/>
      <c r="AK41" s="4"/>
      <c r="AL41" s="4"/>
      <c r="AM41" s="4"/>
      <c r="AN41" s="4"/>
      <c r="AO41" s="4"/>
      <c r="AP41" s="4"/>
      <c r="AQ41" s="4"/>
      <c r="AR41" s="4"/>
    </row>
    <row r="42" spans="1:44"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c r="AA42" s="4"/>
      <c r="AB42" s="4"/>
      <c r="AC42" s="4"/>
      <c r="AD42" s="4"/>
      <c r="AE42" s="4"/>
      <c r="AF42" s="4"/>
      <c r="AG42" s="4"/>
      <c r="AH42" s="4"/>
      <c r="AI42" s="4"/>
      <c r="AJ42" s="4"/>
      <c r="AK42" s="4"/>
      <c r="AL42" s="4"/>
      <c r="AM42" s="4"/>
      <c r="AN42" s="4"/>
      <c r="AO42" s="4"/>
      <c r="AP42" s="4"/>
      <c r="AQ42" s="4"/>
      <c r="AR42" s="4"/>
    </row>
    <row r="43" spans="1:44"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c r="AA43" s="4"/>
      <c r="AB43" s="4"/>
      <c r="AC43" s="4"/>
      <c r="AD43" s="4"/>
      <c r="AE43" s="4"/>
      <c r="AF43" s="4"/>
      <c r="AG43" s="4"/>
      <c r="AH43" s="4"/>
      <c r="AI43" s="4"/>
      <c r="AJ43" s="4"/>
      <c r="AK43" s="4"/>
      <c r="AL43" s="4"/>
      <c r="AM43" s="4"/>
      <c r="AN43" s="4"/>
      <c r="AO43" s="4"/>
      <c r="AP43" s="4"/>
      <c r="AQ43" s="4"/>
      <c r="AR43" s="4"/>
    </row>
    <row r="44" spans="1:44"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c r="AA44" s="4"/>
      <c r="AB44" s="4"/>
      <c r="AC44" s="4"/>
      <c r="AD44" s="4"/>
      <c r="AE44" s="4"/>
      <c r="AF44" s="4"/>
      <c r="AG44" s="4"/>
      <c r="AH44" s="4"/>
      <c r="AI44" s="4"/>
      <c r="AJ44" s="4"/>
      <c r="AK44" s="4"/>
      <c r="AL44" s="4"/>
      <c r="AM44" s="4"/>
      <c r="AN44" s="4"/>
      <c r="AO44" s="4"/>
      <c r="AP44" s="4"/>
      <c r="AQ44" s="4"/>
      <c r="AR44" s="4"/>
    </row>
    <row r="45" spans="1:44"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44"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44"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44" ht="12" hidden="1" customHeight="1" x14ac:dyDescent="0.25">
      <c r="A48" s="142"/>
      <c r="B48" s="138"/>
      <c r="C48" s="143"/>
      <c r="D48" s="144"/>
      <c r="E48" s="145"/>
      <c r="F48" s="141"/>
      <c r="G48" s="144"/>
      <c r="H48" s="145"/>
      <c r="I48" s="141"/>
      <c r="J48" s="144"/>
      <c r="K48" s="145"/>
      <c r="L48" s="125"/>
      <c r="M48" s="144"/>
      <c r="N48" s="145"/>
      <c r="O48" s="141"/>
      <c r="P48" s="129"/>
    </row>
    <row r="49" spans="1:44" s="28" customFormat="1" ht="12" hidden="1" customHeight="1" x14ac:dyDescent="0.25">
      <c r="A49" s="146"/>
      <c r="B49" s="147" t="s">
        <v>67</v>
      </c>
      <c r="C49" s="148"/>
      <c r="D49" s="149"/>
      <c r="E49" s="150"/>
      <c r="F49" s="151"/>
      <c r="G49" s="152"/>
      <c r="H49" s="153"/>
      <c r="I49" s="154"/>
      <c r="J49" s="152"/>
      <c r="K49" s="153"/>
      <c r="L49" s="155"/>
      <c r="M49" s="152"/>
      <c r="N49" s="153"/>
      <c r="O49" s="154"/>
      <c r="P49" s="156"/>
      <c r="AA49" s="4"/>
      <c r="AB49" s="4"/>
      <c r="AC49" s="4"/>
      <c r="AD49" s="4"/>
      <c r="AE49" s="4"/>
      <c r="AF49" s="4"/>
      <c r="AG49" s="4"/>
      <c r="AH49" s="4"/>
      <c r="AI49" s="4"/>
      <c r="AJ49" s="4"/>
      <c r="AK49" s="4"/>
      <c r="AL49" s="4"/>
      <c r="AM49" s="4"/>
      <c r="AN49" s="4"/>
      <c r="AO49" s="4"/>
      <c r="AP49" s="4"/>
      <c r="AQ49" s="4"/>
      <c r="AR49" s="4"/>
    </row>
    <row r="50" spans="1:44" s="28" customFormat="1" ht="13.5" thickTop="1" thickBot="1" x14ac:dyDescent="0.3">
      <c r="A50" s="157"/>
      <c r="B50" s="29" t="s">
        <v>68</v>
      </c>
      <c r="C50" s="158">
        <f t="shared" si="0"/>
        <v>83700</v>
      </c>
      <c r="D50" s="159">
        <f>SUM(D51,D286)</f>
        <v>0</v>
      </c>
      <c r="E50" s="160">
        <f t="shared" ref="E50:F50" si="26">SUM(E51,E286)</f>
        <v>83700</v>
      </c>
      <c r="F50" s="161">
        <f t="shared" si="26"/>
        <v>83700</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AA50" s="4"/>
      <c r="AB50" s="4"/>
      <c r="AC50" s="4"/>
      <c r="AD50" s="4"/>
      <c r="AE50" s="4"/>
      <c r="AF50" s="4"/>
      <c r="AG50" s="4"/>
      <c r="AH50" s="4"/>
      <c r="AI50" s="4"/>
      <c r="AJ50" s="4"/>
      <c r="AK50" s="4"/>
      <c r="AL50" s="4"/>
      <c r="AM50" s="4"/>
      <c r="AN50" s="4"/>
      <c r="AO50" s="4"/>
      <c r="AP50" s="4"/>
      <c r="AQ50" s="4"/>
      <c r="AR50" s="4"/>
    </row>
    <row r="51" spans="1:44" s="28" customFormat="1" ht="36.75" thickTop="1" x14ac:dyDescent="0.25">
      <c r="A51" s="162"/>
      <c r="B51" s="163" t="s">
        <v>69</v>
      </c>
      <c r="C51" s="164">
        <f t="shared" si="0"/>
        <v>83700</v>
      </c>
      <c r="D51" s="165">
        <f>SUM(D52,D194)</f>
        <v>0</v>
      </c>
      <c r="E51" s="166">
        <f t="shared" ref="E51:F51" si="30">SUM(E52,E194)</f>
        <v>83700</v>
      </c>
      <c r="F51" s="167">
        <f t="shared" si="30"/>
        <v>83700</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c r="AA51" s="4"/>
      <c r="AB51" s="4"/>
      <c r="AC51" s="4"/>
      <c r="AD51" s="4"/>
      <c r="AE51" s="4"/>
      <c r="AF51" s="4"/>
      <c r="AG51" s="4"/>
      <c r="AH51" s="4"/>
      <c r="AI51" s="4"/>
      <c r="AJ51" s="4"/>
      <c r="AK51" s="4"/>
      <c r="AL51" s="4"/>
      <c r="AM51" s="4"/>
      <c r="AN51" s="4"/>
      <c r="AO51" s="4"/>
      <c r="AP51" s="4"/>
      <c r="AQ51" s="4"/>
      <c r="AR51" s="4"/>
    </row>
    <row r="52" spans="1:44" s="28" customFormat="1" ht="24" x14ac:dyDescent="0.25">
      <c r="A52" s="24"/>
      <c r="B52" s="22" t="s">
        <v>70</v>
      </c>
      <c r="C52" s="172">
        <f t="shared" si="0"/>
        <v>83700</v>
      </c>
      <c r="D52" s="173">
        <f>SUM(D53,D75,D173,D187)</f>
        <v>0</v>
      </c>
      <c r="E52" s="174">
        <f t="shared" ref="E52:F52" si="34">SUM(E53,E75,E173,E187)</f>
        <v>83700</v>
      </c>
      <c r="F52" s="175">
        <f t="shared" si="34"/>
        <v>83700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c r="AA52" s="4"/>
      <c r="AB52" s="4"/>
      <c r="AC52" s="4"/>
      <c r="AD52" s="4"/>
      <c r="AE52" s="4"/>
      <c r="AF52" s="4"/>
      <c r="AG52" s="4"/>
      <c r="AH52" s="4"/>
      <c r="AI52" s="4"/>
      <c r="AJ52" s="4"/>
      <c r="AK52" s="4"/>
      <c r="AL52" s="4"/>
      <c r="AM52" s="4"/>
      <c r="AN52" s="4"/>
      <c r="AO52" s="4"/>
      <c r="AP52" s="4"/>
      <c r="AQ52" s="4"/>
      <c r="AR52" s="4"/>
    </row>
    <row r="53" spans="1:44"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c r="AA53" s="4"/>
      <c r="AB53" s="4"/>
      <c r="AC53" s="4"/>
      <c r="AD53" s="4"/>
      <c r="AE53" s="4"/>
      <c r="AF53" s="4"/>
      <c r="AG53" s="4"/>
      <c r="AH53" s="4"/>
      <c r="AI53" s="4"/>
      <c r="AJ53" s="4"/>
      <c r="AK53" s="4"/>
      <c r="AL53" s="4"/>
      <c r="AM53" s="4"/>
      <c r="AN53" s="4"/>
      <c r="AO53" s="4"/>
      <c r="AP53" s="4"/>
      <c r="AQ53" s="4"/>
      <c r="AR53" s="4"/>
    </row>
    <row r="54" spans="1:44"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44"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44"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44" ht="24" hidden="1" customHeight="1" x14ac:dyDescent="0.25">
      <c r="A57" s="51">
        <v>1119</v>
      </c>
      <c r="B57" s="89" t="s">
        <v>75</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44"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44"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44"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44"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44"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44"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44" ht="12" hidden="1" customHeight="1" x14ac:dyDescent="0.25">
      <c r="A64" s="51">
        <v>1148</v>
      </c>
      <c r="B64" s="89" t="s">
        <v>82</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492">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83700</v>
      </c>
      <c r="D75" s="179">
        <f>SUM(D76,D83,D130,D164,D165,D172)</f>
        <v>0</v>
      </c>
      <c r="E75" s="180">
        <f t="shared" ref="E75:F75" si="74">SUM(E76,E83,E130,E164,E165,E172)</f>
        <v>83700</v>
      </c>
      <c r="F75" s="181">
        <f t="shared" si="74"/>
        <v>83700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492">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83700</v>
      </c>
      <c r="D83" s="184">
        <f>SUM(D84,D89,D95,D103,D112,D116,D122,D128)</f>
        <v>0</v>
      </c>
      <c r="E83" s="185">
        <f t="shared" ref="E83:F83" si="98">SUM(E84,E89,E95,E103,E112,E116,E122,E128)</f>
        <v>83700</v>
      </c>
      <c r="F83" s="73">
        <f t="shared" si="98"/>
        <v>83700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105</v>
      </c>
      <c r="C89" s="90">
        <f t="shared" si="102"/>
        <v>3700</v>
      </c>
      <c r="D89" s="190">
        <f>SUM(D90:D94)</f>
        <v>0</v>
      </c>
      <c r="E89" s="191">
        <f t="shared" ref="E89:F89" si="111">SUM(E90:E94)</f>
        <v>3700</v>
      </c>
      <c r="F89" s="55">
        <f t="shared" si="111"/>
        <v>3700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24" customHeight="1" x14ac:dyDescent="0.25">
      <c r="A91" s="51">
        <v>2222</v>
      </c>
      <c r="B91" s="89" t="s">
        <v>107</v>
      </c>
      <c r="C91" s="90">
        <f t="shared" si="102"/>
        <v>200</v>
      </c>
      <c r="D91" s="196"/>
      <c r="E91" s="197">
        <v>200</v>
      </c>
      <c r="F91" s="55">
        <f t="shared" si="115"/>
        <v>200</v>
      </c>
      <c r="G91" s="53"/>
      <c r="H91" s="54"/>
      <c r="I91" s="55">
        <f t="shared" si="116"/>
        <v>0</v>
      </c>
      <c r="J91" s="53"/>
      <c r="K91" s="54"/>
      <c r="L91" s="55">
        <f t="shared" si="117"/>
        <v>0</v>
      </c>
      <c r="M91" s="53"/>
      <c r="N91" s="54"/>
      <c r="O91" s="55">
        <f t="shared" si="118"/>
        <v>0</v>
      </c>
      <c r="P91" s="57"/>
    </row>
    <row r="92" spans="1:16" ht="26.25" customHeight="1" x14ac:dyDescent="0.25">
      <c r="A92" s="51">
        <v>2223</v>
      </c>
      <c r="B92" s="89" t="s">
        <v>108</v>
      </c>
      <c r="C92" s="90">
        <f t="shared" si="102"/>
        <v>3500</v>
      </c>
      <c r="D92" s="196"/>
      <c r="E92" s="197">
        <v>3500</v>
      </c>
      <c r="F92" s="55">
        <f t="shared" si="115"/>
        <v>3500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132</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133</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134</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80000</v>
      </c>
      <c r="D122" s="190">
        <f>SUM(D123:D127)</f>
        <v>0</v>
      </c>
      <c r="E122" s="191">
        <f t="shared" ref="E122:F122" si="151">SUM(E123:E127)</f>
        <v>80000</v>
      </c>
      <c r="F122" s="55">
        <f t="shared" si="151"/>
        <v>80000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1.75" customHeight="1" x14ac:dyDescent="0.2">
      <c r="A127" s="51">
        <v>2279</v>
      </c>
      <c r="B127" s="89" t="s">
        <v>143</v>
      </c>
      <c r="C127" s="90">
        <f t="shared" si="102"/>
        <v>80000</v>
      </c>
      <c r="D127" s="196"/>
      <c r="E127" s="197">
        <v>80000</v>
      </c>
      <c r="F127" s="55">
        <f t="shared" si="155"/>
        <v>80000</v>
      </c>
      <c r="G127" s="53"/>
      <c r="H127" s="54"/>
      <c r="I127" s="55">
        <f t="shared" si="156"/>
        <v>0</v>
      </c>
      <c r="J127" s="53"/>
      <c r="K127" s="54"/>
      <c r="L127" s="55">
        <f t="shared" si="157"/>
        <v>0</v>
      </c>
      <c r="M127" s="53"/>
      <c r="N127" s="54"/>
      <c r="O127" s="55">
        <f t="shared" si="158"/>
        <v>0</v>
      </c>
      <c r="P127" s="494" t="s">
        <v>2088</v>
      </c>
    </row>
    <row r="128" spans="1:16" ht="48" hidden="1" x14ac:dyDescent="0.25">
      <c r="A128" s="1492">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146</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492">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6.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hidden="1" customHeight="1" x14ac:dyDescent="0.25">
      <c r="A133" s="345">
        <v>2312</v>
      </c>
      <c r="B133" s="346" t="s">
        <v>149</v>
      </c>
      <c r="C133" s="347">
        <f t="shared" si="102"/>
        <v>0</v>
      </c>
      <c r="D133" s="352"/>
      <c r="E133" s="353"/>
      <c r="F133" s="350">
        <f t="shared" si="165"/>
        <v>0</v>
      </c>
      <c r="G133" s="348"/>
      <c r="H133" s="349"/>
      <c r="I133" s="350">
        <f t="shared" si="166"/>
        <v>0</v>
      </c>
      <c r="J133" s="348"/>
      <c r="K133" s="349"/>
      <c r="L133" s="350">
        <f t="shared" si="167"/>
        <v>0</v>
      </c>
      <c r="M133" s="348"/>
      <c r="N133" s="349"/>
      <c r="O133" s="350">
        <f t="shared" si="168"/>
        <v>0</v>
      </c>
      <c r="P133" s="354"/>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167</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168</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169</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170</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44"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44"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44"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44"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44"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44" ht="16.5" hidden="1" customHeight="1" x14ac:dyDescent="0.25">
      <c r="A166" s="1492">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44"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44"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44"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44" ht="21"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44"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44"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c r="AA172" s="4"/>
      <c r="AB172" s="4"/>
      <c r="AC172" s="4"/>
      <c r="AD172" s="4"/>
      <c r="AE172" s="4"/>
      <c r="AF172" s="4"/>
      <c r="AG172" s="4"/>
      <c r="AH172" s="4"/>
      <c r="AI172" s="4"/>
      <c r="AJ172" s="4"/>
      <c r="AK172" s="4"/>
      <c r="AL172" s="4"/>
      <c r="AM172" s="4"/>
      <c r="AN172" s="4"/>
      <c r="AO172" s="4"/>
      <c r="AP172" s="4"/>
      <c r="AQ172" s="4"/>
      <c r="AR172" s="4"/>
    </row>
    <row r="173" spans="1:44" hidden="1" x14ac:dyDescent="0.25">
      <c r="A173" s="177">
        <v>3000</v>
      </c>
      <c r="B173" s="177" t="s">
        <v>189</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44" ht="24" hidden="1" x14ac:dyDescent="0.25">
      <c r="A174" s="69">
        <v>3200</v>
      </c>
      <c r="B174" s="208" t="s">
        <v>190</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44" ht="36" hidden="1" x14ac:dyDescent="0.25">
      <c r="A175" s="1492">
        <v>3260</v>
      </c>
      <c r="B175" s="82" t="s">
        <v>191</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44"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194</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92">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492">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492">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44"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44" s="28" customFormat="1" ht="24" hidden="1" x14ac:dyDescent="0.25">
      <c r="A194" s="225"/>
      <c r="B194" s="23" t="s">
        <v>210</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c r="AA194" s="4"/>
      <c r="AB194" s="4"/>
      <c r="AC194" s="4"/>
      <c r="AD194" s="4"/>
      <c r="AE194" s="4"/>
      <c r="AF194" s="4"/>
      <c r="AG194" s="4"/>
      <c r="AH194" s="4"/>
      <c r="AI194" s="4"/>
      <c r="AJ194" s="4"/>
      <c r="AK194" s="4"/>
      <c r="AL194" s="4"/>
      <c r="AM194" s="4"/>
      <c r="AN194" s="4"/>
      <c r="AO194" s="4"/>
      <c r="AP194" s="4"/>
      <c r="AQ194" s="4"/>
      <c r="AR194" s="4"/>
    </row>
    <row r="195" spans="1:44"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44"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44" ht="12" hidden="1" customHeight="1" x14ac:dyDescent="0.25">
      <c r="A197" s="1492">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44"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44"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44"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44"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44"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44"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44"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44"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44"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44"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44"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246</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1492">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92">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492">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44"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44"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44" ht="36" hidden="1" x14ac:dyDescent="0.25">
      <c r="A259" s="69">
        <v>6400</v>
      </c>
      <c r="B259" s="183" t="s">
        <v>275</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44" ht="24" hidden="1" x14ac:dyDescent="0.25">
      <c r="A260" s="1492">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44"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44"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44"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44" ht="48" hidden="1" x14ac:dyDescent="0.25">
      <c r="A264" s="189">
        <v>6420</v>
      </c>
      <c r="B264" s="89" t="s">
        <v>280</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44"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44" ht="12" hidden="1" customHeight="1" x14ac:dyDescent="0.25">
      <c r="A266" s="51">
        <v>6422</v>
      </c>
      <c r="B266" s="89" t="s">
        <v>282</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44"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44" ht="36" hidden="1" customHeight="1" x14ac:dyDescent="0.25">
      <c r="A268" s="51">
        <v>6424</v>
      </c>
      <c r="B268" s="89" t="s">
        <v>284</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44"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44"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44" ht="24" hidden="1" customHeight="1" x14ac:dyDescent="0.25">
      <c r="A271" s="1492">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44"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c r="AA272" s="4"/>
      <c r="AB272" s="4"/>
      <c r="AC272" s="4"/>
      <c r="AD272" s="4"/>
      <c r="AE272" s="4"/>
      <c r="AF272" s="4"/>
      <c r="AG272" s="4"/>
      <c r="AH272" s="4"/>
      <c r="AI272" s="4"/>
      <c r="AJ272" s="4"/>
      <c r="AK272" s="4"/>
      <c r="AL272" s="4"/>
      <c r="AM272" s="4"/>
      <c r="AN272" s="4"/>
      <c r="AO272" s="4"/>
      <c r="AP272" s="4"/>
      <c r="AQ272" s="4"/>
      <c r="AR272" s="4"/>
    </row>
    <row r="273" spans="1:44"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AA273" s="4"/>
      <c r="AB273" s="4"/>
      <c r="AC273" s="4"/>
      <c r="AD273" s="4"/>
      <c r="AE273" s="4"/>
      <c r="AF273" s="4"/>
      <c r="AG273" s="4"/>
      <c r="AH273" s="4"/>
      <c r="AI273" s="4"/>
      <c r="AJ273" s="4"/>
      <c r="AK273" s="4"/>
      <c r="AL273" s="4"/>
      <c r="AM273" s="4"/>
      <c r="AN273" s="4"/>
      <c r="AO273" s="4"/>
      <c r="AP273" s="4"/>
      <c r="AQ273" s="4"/>
      <c r="AR273" s="4"/>
    </row>
    <row r="274" spans="1:44"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c r="AA274" s="4"/>
      <c r="AB274" s="4"/>
      <c r="AC274" s="4"/>
      <c r="AD274" s="4"/>
      <c r="AE274" s="4"/>
      <c r="AF274" s="4"/>
      <c r="AG274" s="4"/>
      <c r="AH274" s="4"/>
      <c r="AI274" s="4"/>
      <c r="AJ274" s="4"/>
      <c r="AK274" s="4"/>
      <c r="AL274" s="4"/>
      <c r="AM274" s="4"/>
      <c r="AN274" s="4"/>
      <c r="AO274" s="4"/>
      <c r="AP274" s="4"/>
      <c r="AQ274" s="4"/>
      <c r="AR274" s="4"/>
    </row>
    <row r="275" spans="1:44"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44"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44"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44"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44"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44" ht="24" hidden="1" customHeight="1" x14ac:dyDescent="0.25">
      <c r="A280" s="1492">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44"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44"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44"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44"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44"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44"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44"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44"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44" ht="12.75" thickBot="1" x14ac:dyDescent="0.3">
      <c r="A289" s="250"/>
      <c r="B289" s="250" t="s">
        <v>307</v>
      </c>
      <c r="C289" s="251">
        <f t="shared" si="371"/>
        <v>83700</v>
      </c>
      <c r="D289" s="252">
        <f t="shared" ref="D289:O289" si="389">SUM(D286,D269,D230,D195,D187,D173,D75,D53,D283)</f>
        <v>0</v>
      </c>
      <c r="E289" s="253">
        <f t="shared" si="389"/>
        <v>83700</v>
      </c>
      <c r="F289" s="254">
        <f t="shared" si="389"/>
        <v>83700</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44"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c r="AA290" s="4"/>
      <c r="AB290" s="4"/>
      <c r="AC290" s="4"/>
      <c r="AD290" s="4"/>
      <c r="AE290" s="4"/>
      <c r="AF290" s="4"/>
      <c r="AG290" s="4"/>
      <c r="AH290" s="4"/>
      <c r="AI290" s="4"/>
      <c r="AJ290" s="4"/>
      <c r="AK290" s="4"/>
      <c r="AL290" s="4"/>
      <c r="AM290" s="4"/>
      <c r="AN290" s="4"/>
      <c r="AO290" s="4"/>
      <c r="AP290" s="4"/>
      <c r="AQ290" s="4"/>
      <c r="AR290" s="4"/>
    </row>
    <row r="291" spans="1:44"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c r="AA291" s="4"/>
      <c r="AB291" s="4"/>
      <c r="AC291" s="4"/>
      <c r="AD291" s="4"/>
      <c r="AE291" s="4"/>
      <c r="AF291" s="4"/>
      <c r="AG291" s="4"/>
      <c r="AH291" s="4"/>
      <c r="AI291" s="4"/>
      <c r="AJ291" s="4"/>
      <c r="AK291" s="4"/>
      <c r="AL291" s="4"/>
      <c r="AM291" s="4"/>
      <c r="AN291" s="4"/>
      <c r="AO291" s="4"/>
      <c r="AP291" s="4"/>
      <c r="AQ291" s="4"/>
      <c r="AR291" s="4"/>
    </row>
    <row r="292" spans="1:44"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c r="AA292" s="4"/>
      <c r="AB292" s="4"/>
      <c r="AC292" s="4"/>
      <c r="AD292" s="4"/>
      <c r="AE292" s="4"/>
      <c r="AF292" s="4"/>
      <c r="AG292" s="4"/>
      <c r="AH292" s="4"/>
      <c r="AI292" s="4"/>
      <c r="AJ292" s="4"/>
      <c r="AK292" s="4"/>
      <c r="AL292" s="4"/>
      <c r="AM292" s="4"/>
      <c r="AN292" s="4"/>
      <c r="AO292" s="4"/>
      <c r="AP292" s="4"/>
      <c r="AQ292" s="4"/>
      <c r="AR292" s="4"/>
    </row>
    <row r="293" spans="1:44"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c r="AA293" s="4"/>
      <c r="AB293" s="4"/>
      <c r="AC293" s="4"/>
      <c r="AD293" s="4"/>
      <c r="AE293" s="4"/>
      <c r="AF293" s="4"/>
      <c r="AG293" s="4"/>
      <c r="AH293" s="4"/>
      <c r="AI293" s="4"/>
      <c r="AJ293" s="4"/>
      <c r="AK293" s="4"/>
      <c r="AL293" s="4"/>
      <c r="AM293" s="4"/>
      <c r="AN293" s="4"/>
      <c r="AO293" s="4"/>
      <c r="AP293" s="4"/>
      <c r="AQ293" s="4"/>
      <c r="AR293" s="4"/>
    </row>
    <row r="294" spans="1:44"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44"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44"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44"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44"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44"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44"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c r="AA300" s="4"/>
      <c r="AB300" s="4"/>
      <c r="AC300" s="4"/>
      <c r="AD300" s="4"/>
      <c r="AE300" s="4"/>
      <c r="AF300" s="4"/>
      <c r="AG300" s="4"/>
      <c r="AH300" s="4"/>
      <c r="AI300" s="4"/>
      <c r="AJ300" s="4"/>
      <c r="AK300" s="4"/>
      <c r="AL300" s="4"/>
      <c r="AM300" s="4"/>
      <c r="AN300" s="4"/>
      <c r="AO300" s="4"/>
      <c r="AP300" s="4"/>
      <c r="AQ300" s="4"/>
      <c r="AR300" s="4"/>
    </row>
    <row r="301" spans="1:44"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c r="AA301" s="4"/>
      <c r="AB301" s="4"/>
      <c r="AC301" s="4"/>
      <c r="AD301" s="4"/>
      <c r="AE301" s="4"/>
      <c r="AF301" s="4"/>
      <c r="AG301" s="4"/>
      <c r="AH301" s="4"/>
      <c r="AI301" s="4"/>
      <c r="AJ301" s="4"/>
      <c r="AK301" s="4"/>
      <c r="AL301" s="4"/>
      <c r="AM301" s="4"/>
      <c r="AN301" s="4"/>
      <c r="AO301" s="4"/>
      <c r="AP301" s="4"/>
      <c r="AQ301" s="4"/>
      <c r="AR301" s="4"/>
    </row>
    <row r="302" spans="1:44" ht="12.75" thickTop="1" x14ac:dyDescent="0.25"/>
  </sheetData>
  <sheetProtection algorithmName="SHA-512" hashValue="9UdRlE6pUu3k6vJ00ltChkvDeSpfX9/MM9gwwtvusMXFmIrv7MbROJLGcPB7JwbbFXYhCgGmKAEFGlDZyVafeQ==" saltValue="4cCsE8ur7LpRhoxDTHyBIA==" spinCount="100000" sheet="1" objects="1" scenarios="1" formatCells="0" formatColumns="0" formatRows="0" deleteColumns="0"/>
  <autoFilter ref="A18:P301">
    <filterColumn colId="2">
      <filters>
        <filter val="200"/>
        <filter val="3 500"/>
        <filter val="3 700"/>
        <filter val="80 000"/>
        <filter val="83 7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89.pielikums Jūrmalas pilsētas domes
2019.gada 31.oktobra saistošajiem noteikumiem Nr.46
(protokols Nr.14, 28.punkts)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0"/>
  <sheetViews>
    <sheetView showGridLines="0" view="pageLayout" zoomScaleNormal="100" workbookViewId="0">
      <selection activeCell="S5" sqref="S5"/>
    </sheetView>
  </sheetViews>
  <sheetFormatPr defaultRowHeight="12" outlineLevelCol="1" x14ac:dyDescent="0.25"/>
  <cols>
    <col min="1" max="1" width="10.85546875" style="276" customWidth="1"/>
    <col min="2" max="2" width="28" style="276" customWidth="1"/>
    <col min="3" max="3" width="8" style="276" customWidth="1"/>
    <col min="4" max="5" width="8.7109375" style="276" hidden="1" customWidth="1" outlineLevel="1"/>
    <col min="6" max="6" width="8.7109375" style="276" customWidth="1" collapsed="1"/>
    <col min="7" max="8" width="8.7109375" style="276" hidden="1" customWidth="1" outlineLevel="1"/>
    <col min="9" max="9" width="8.7109375" style="276" customWidth="1" collapsed="1"/>
    <col min="10" max="11" width="8.28515625" style="276" hidden="1" customWidth="1" outlineLevel="1"/>
    <col min="12" max="12" width="8.28515625" style="276" customWidth="1" collapsed="1"/>
    <col min="13" max="13" width="7.42578125" style="276"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433</v>
      </c>
      <c r="P1" s="1"/>
    </row>
    <row r="2" spans="1:17" ht="35.25" customHeight="1" x14ac:dyDescent="0.25">
      <c r="A2" s="1514" t="s">
        <v>1</v>
      </c>
      <c r="B2" s="1515"/>
      <c r="C2" s="1515"/>
      <c r="D2" s="1515"/>
      <c r="E2" s="1515"/>
      <c r="F2" s="1515"/>
      <c r="G2" s="1515"/>
      <c r="H2" s="1515"/>
      <c r="I2" s="1515"/>
      <c r="J2" s="1515"/>
      <c r="K2" s="1515"/>
      <c r="L2" s="1515"/>
      <c r="M2" s="1515"/>
      <c r="N2" s="1515"/>
      <c r="O2" s="1515"/>
      <c r="P2" s="1516"/>
      <c r="Q2" s="277"/>
    </row>
    <row r="3" spans="1:17" ht="12.75" customHeight="1" x14ac:dyDescent="0.25">
      <c r="A3" s="5" t="s">
        <v>2</v>
      </c>
      <c r="B3" s="6"/>
      <c r="C3" s="1517" t="s">
        <v>3</v>
      </c>
      <c r="D3" s="1517"/>
      <c r="E3" s="1517"/>
      <c r="F3" s="1517"/>
      <c r="G3" s="1517"/>
      <c r="H3" s="1517"/>
      <c r="I3" s="1517"/>
      <c r="J3" s="1517"/>
      <c r="K3" s="1517"/>
      <c r="L3" s="1517"/>
      <c r="M3" s="1517"/>
      <c r="N3" s="1517"/>
      <c r="O3" s="1517"/>
      <c r="P3" s="1518"/>
      <c r="Q3" s="277"/>
    </row>
    <row r="4" spans="1:17" ht="12.75" customHeight="1" x14ac:dyDescent="0.25">
      <c r="A4" s="5" t="s">
        <v>4</v>
      </c>
      <c r="B4" s="6"/>
      <c r="C4" s="1517" t="s">
        <v>5</v>
      </c>
      <c r="D4" s="1517"/>
      <c r="E4" s="1517"/>
      <c r="F4" s="1517"/>
      <c r="G4" s="1517"/>
      <c r="H4" s="1517"/>
      <c r="I4" s="1517"/>
      <c r="J4" s="1517"/>
      <c r="K4" s="1517"/>
      <c r="L4" s="1517"/>
      <c r="M4" s="1517"/>
      <c r="N4" s="1517"/>
      <c r="O4" s="1517"/>
      <c r="P4" s="1518"/>
      <c r="Q4" s="277"/>
    </row>
    <row r="5" spans="1:17" ht="12.75" customHeight="1" x14ac:dyDescent="0.25">
      <c r="A5" s="7" t="s">
        <v>6</v>
      </c>
      <c r="B5" s="8"/>
      <c r="C5" s="1512" t="s">
        <v>429</v>
      </c>
      <c r="D5" s="1512"/>
      <c r="E5" s="1512"/>
      <c r="F5" s="1512"/>
      <c r="G5" s="1512"/>
      <c r="H5" s="1512"/>
      <c r="I5" s="1512"/>
      <c r="J5" s="1512"/>
      <c r="K5" s="1512"/>
      <c r="L5" s="1512"/>
      <c r="M5" s="1512"/>
      <c r="N5" s="1512"/>
      <c r="O5" s="1512"/>
      <c r="P5" s="1513"/>
      <c r="Q5" s="277"/>
    </row>
    <row r="6" spans="1:17" ht="12.75" customHeight="1" x14ac:dyDescent="0.25">
      <c r="A6" s="7" t="s">
        <v>8</v>
      </c>
      <c r="B6" s="8"/>
      <c r="C6" s="1512" t="s">
        <v>430</v>
      </c>
      <c r="D6" s="1512"/>
      <c r="E6" s="1512"/>
      <c r="F6" s="1512"/>
      <c r="G6" s="1512"/>
      <c r="H6" s="1512"/>
      <c r="I6" s="1512"/>
      <c r="J6" s="1512"/>
      <c r="K6" s="1512"/>
      <c r="L6" s="1512"/>
      <c r="M6" s="1512"/>
      <c r="N6" s="1512"/>
      <c r="O6" s="1512"/>
      <c r="P6" s="1513"/>
      <c r="Q6" s="277"/>
    </row>
    <row r="7" spans="1:17" x14ac:dyDescent="0.25">
      <c r="A7" s="7" t="s">
        <v>10</v>
      </c>
      <c r="B7" s="8"/>
      <c r="C7" s="1517" t="s">
        <v>474</v>
      </c>
      <c r="D7" s="1517"/>
      <c r="E7" s="1517"/>
      <c r="F7" s="1517"/>
      <c r="G7" s="1517"/>
      <c r="H7" s="1517"/>
      <c r="I7" s="1517"/>
      <c r="J7" s="1517"/>
      <c r="K7" s="1517"/>
      <c r="L7" s="1517"/>
      <c r="M7" s="1517"/>
      <c r="N7" s="1517"/>
      <c r="O7" s="1517"/>
      <c r="P7" s="1518"/>
      <c r="Q7" s="277"/>
    </row>
    <row r="8" spans="1:17" ht="12.75" customHeight="1" x14ac:dyDescent="0.25">
      <c r="A8" s="9" t="s">
        <v>12</v>
      </c>
      <c r="B8" s="8"/>
      <c r="C8" s="1519"/>
      <c r="D8" s="1519"/>
      <c r="E8" s="1519"/>
      <c r="F8" s="1519"/>
      <c r="G8" s="1519"/>
      <c r="H8" s="1519"/>
      <c r="I8" s="1519"/>
      <c r="J8" s="1519"/>
      <c r="K8" s="1519"/>
      <c r="L8" s="1519"/>
      <c r="M8" s="1519"/>
      <c r="N8" s="1519"/>
      <c r="O8" s="1519"/>
      <c r="P8" s="1520"/>
      <c r="Q8" s="277"/>
    </row>
    <row r="9" spans="1:17" ht="12.75" customHeight="1" x14ac:dyDescent="0.25">
      <c r="A9" s="7"/>
      <c r="B9" s="8" t="s">
        <v>13</v>
      </c>
      <c r="C9" s="1512" t="s">
        <v>432</v>
      </c>
      <c r="D9" s="1512"/>
      <c r="E9" s="1512"/>
      <c r="F9" s="1512"/>
      <c r="G9" s="1512"/>
      <c r="H9" s="1512"/>
      <c r="I9" s="1512"/>
      <c r="J9" s="1512"/>
      <c r="K9" s="1512"/>
      <c r="L9" s="1512"/>
      <c r="M9" s="1512"/>
      <c r="N9" s="1512"/>
      <c r="O9" s="1512"/>
      <c r="P9" s="1513"/>
      <c r="Q9" s="277"/>
    </row>
    <row r="10" spans="1:17" ht="12.75" customHeight="1" x14ac:dyDescent="0.25">
      <c r="A10" s="7"/>
      <c r="B10" s="8" t="s">
        <v>15</v>
      </c>
      <c r="C10" s="1512"/>
      <c r="D10" s="1512"/>
      <c r="E10" s="1512"/>
      <c r="F10" s="1512"/>
      <c r="G10" s="1512"/>
      <c r="H10" s="1512"/>
      <c r="I10" s="1512"/>
      <c r="J10" s="1512"/>
      <c r="K10" s="1512"/>
      <c r="L10" s="1512"/>
      <c r="M10" s="1512"/>
      <c r="N10" s="1512"/>
      <c r="O10" s="1512"/>
      <c r="P10" s="1513"/>
      <c r="Q10" s="277"/>
    </row>
    <row r="11" spans="1:17" ht="12.75" customHeight="1" x14ac:dyDescent="0.25">
      <c r="A11" s="7"/>
      <c r="B11" s="8" t="s">
        <v>16</v>
      </c>
      <c r="C11" s="1519"/>
      <c r="D11" s="1519"/>
      <c r="E11" s="1519"/>
      <c r="F11" s="1519"/>
      <c r="G11" s="1519"/>
      <c r="H11" s="1519"/>
      <c r="I11" s="1519"/>
      <c r="J11" s="1519"/>
      <c r="K11" s="1519"/>
      <c r="L11" s="1519"/>
      <c r="M11" s="1519"/>
      <c r="N11" s="1519"/>
      <c r="O11" s="1519"/>
      <c r="P11" s="1520"/>
      <c r="Q11" s="277"/>
    </row>
    <row r="12" spans="1:17" ht="12.75" customHeight="1" x14ac:dyDescent="0.25">
      <c r="A12" s="7"/>
      <c r="B12" s="8" t="s">
        <v>17</v>
      </c>
      <c r="C12" s="1512"/>
      <c r="D12" s="1512"/>
      <c r="E12" s="1512"/>
      <c r="F12" s="1512"/>
      <c r="G12" s="1512"/>
      <c r="H12" s="1512"/>
      <c r="I12" s="1512"/>
      <c r="J12" s="1512"/>
      <c r="K12" s="1512"/>
      <c r="L12" s="1512"/>
      <c r="M12" s="1512"/>
      <c r="N12" s="1512"/>
      <c r="O12" s="1512"/>
      <c r="P12" s="1513"/>
      <c r="Q12" s="277"/>
    </row>
    <row r="13" spans="1:17" ht="12.75" customHeight="1" x14ac:dyDescent="0.25">
      <c r="A13" s="7"/>
      <c r="B13" s="8" t="s">
        <v>18</v>
      </c>
      <c r="C13" s="1512"/>
      <c r="D13" s="1512"/>
      <c r="E13" s="1512"/>
      <c r="F13" s="1512"/>
      <c r="G13" s="1512"/>
      <c r="H13" s="1512"/>
      <c r="I13" s="1512"/>
      <c r="J13" s="1512"/>
      <c r="K13" s="1512"/>
      <c r="L13" s="1512"/>
      <c r="M13" s="1512"/>
      <c r="N13" s="1512"/>
      <c r="O13" s="1512"/>
      <c r="P13" s="1513"/>
      <c r="Q13" s="277"/>
    </row>
    <row r="14" spans="1:17" ht="12.75" customHeight="1" x14ac:dyDescent="0.25">
      <c r="A14" s="10"/>
      <c r="B14" s="11"/>
      <c r="C14" s="1521"/>
      <c r="D14" s="1521"/>
      <c r="E14" s="1521"/>
      <c r="F14" s="1521"/>
      <c r="G14" s="1521"/>
      <c r="H14" s="1521"/>
      <c r="I14" s="1521"/>
      <c r="J14" s="1521"/>
      <c r="K14" s="1521"/>
      <c r="L14" s="1521"/>
      <c r="M14" s="1521"/>
      <c r="N14" s="1521"/>
      <c r="O14" s="1521"/>
      <c r="P14" s="1522"/>
      <c r="Q14" s="277"/>
    </row>
    <row r="15" spans="1:17" s="12" customFormat="1" ht="12.75" customHeight="1" x14ac:dyDescent="0.25">
      <c r="A15" s="1523" t="s">
        <v>19</v>
      </c>
      <c r="B15" s="1526" t="s">
        <v>20</v>
      </c>
      <c r="C15" s="1528" t="s">
        <v>21</v>
      </c>
      <c r="D15" s="1529"/>
      <c r="E15" s="1529"/>
      <c r="F15" s="1529"/>
      <c r="G15" s="1529"/>
      <c r="H15" s="1529"/>
      <c r="I15" s="1529"/>
      <c r="J15" s="1529"/>
      <c r="K15" s="1529"/>
      <c r="L15" s="1529"/>
      <c r="M15" s="1529"/>
      <c r="N15" s="1529"/>
      <c r="O15" s="1529"/>
      <c r="P15" s="1530"/>
      <c r="Q15" s="278"/>
    </row>
    <row r="16" spans="1:17" s="12" customFormat="1" ht="12.75" customHeight="1" x14ac:dyDescent="0.25">
      <c r="A16" s="1524"/>
      <c r="B16" s="1527"/>
      <c r="C16" s="1531" t="s">
        <v>22</v>
      </c>
      <c r="D16" s="1533" t="s">
        <v>23</v>
      </c>
      <c r="E16" s="1535" t="s">
        <v>24</v>
      </c>
      <c r="F16" s="1537" t="s">
        <v>25</v>
      </c>
      <c r="G16" s="1539" t="s">
        <v>26</v>
      </c>
      <c r="H16" s="1540" t="s">
        <v>27</v>
      </c>
      <c r="I16" s="1541" t="s">
        <v>28</v>
      </c>
      <c r="J16" s="1539" t="s">
        <v>29</v>
      </c>
      <c r="K16" s="1540" t="s">
        <v>30</v>
      </c>
      <c r="L16" s="1541" t="s">
        <v>31</v>
      </c>
      <c r="M16" s="1539" t="s">
        <v>32</v>
      </c>
      <c r="N16" s="1540" t="s">
        <v>33</v>
      </c>
      <c r="O16" s="1541" t="s">
        <v>34</v>
      </c>
      <c r="P16" s="1542" t="s">
        <v>35</v>
      </c>
    </row>
    <row r="17" spans="1:16" s="13" customFormat="1" ht="70.5" customHeight="1" thickBot="1" x14ac:dyDescent="0.3">
      <c r="A17" s="1525"/>
      <c r="B17" s="1527"/>
      <c r="C17" s="1532"/>
      <c r="D17" s="1534"/>
      <c r="E17" s="1536"/>
      <c r="F17" s="1538"/>
      <c r="G17" s="1539"/>
      <c r="H17" s="1540"/>
      <c r="I17" s="1541"/>
      <c r="J17" s="1539"/>
      <c r="K17" s="1540"/>
      <c r="L17" s="1541"/>
      <c r="M17" s="1539"/>
      <c r="N17" s="1540"/>
      <c r="O17" s="1541"/>
      <c r="P17" s="1543"/>
    </row>
    <row r="18" spans="1:16" s="13" customFormat="1" ht="9.75" customHeight="1" thickTop="1" x14ac:dyDescent="0.25">
      <c r="A18" s="14" t="s">
        <v>36</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37</v>
      </c>
      <c r="C19" s="24"/>
      <c r="D19" s="25"/>
      <c r="E19" s="26"/>
      <c r="F19" s="27"/>
      <c r="G19" s="25"/>
      <c r="H19" s="26"/>
      <c r="I19" s="27"/>
      <c r="J19" s="25"/>
      <c r="K19" s="26"/>
      <c r="L19" s="27"/>
      <c r="M19" s="25"/>
      <c r="N19" s="26"/>
      <c r="O19" s="27"/>
      <c r="P19" s="27"/>
    </row>
    <row r="20" spans="1:16" s="28" customFormat="1" ht="12.75" thickBot="1" x14ac:dyDescent="0.3">
      <c r="A20" s="29"/>
      <c r="B20" s="30" t="s">
        <v>38</v>
      </c>
      <c r="C20" s="31">
        <f t="shared" ref="C20:C83" si="0">F20+I20+L20+O20</f>
        <v>388209</v>
      </c>
      <c r="D20" s="32">
        <f>SUM(D21,D24,D25,D41,D43)</f>
        <v>384218</v>
      </c>
      <c r="E20" s="33">
        <f t="shared" ref="E20:F20" si="1">SUM(E21,E24,E25,E41,E43)</f>
        <v>3991</v>
      </c>
      <c r="F20" s="34">
        <f t="shared" si="1"/>
        <v>388209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39</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40</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41</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42</v>
      </c>
      <c r="C24" s="59">
        <f>F24+I24</f>
        <v>388209</v>
      </c>
      <c r="D24" s="60">
        <v>384218</v>
      </c>
      <c r="E24" s="63">
        <v>3991</v>
      </c>
      <c r="F24" s="62">
        <f t="shared" si="9"/>
        <v>388209</v>
      </c>
      <c r="G24" s="60"/>
      <c r="H24" s="63"/>
      <c r="I24" s="62">
        <f t="shared" si="10"/>
        <v>0</v>
      </c>
      <c r="J24" s="64" t="s">
        <v>43</v>
      </c>
      <c r="K24" s="65" t="s">
        <v>43</v>
      </c>
      <c r="L24" s="66" t="s">
        <v>43</v>
      </c>
      <c r="M24" s="64" t="s">
        <v>43</v>
      </c>
      <c r="N24" s="65" t="s">
        <v>43</v>
      </c>
      <c r="O24" s="66" t="s">
        <v>43</v>
      </c>
      <c r="P24" s="67"/>
    </row>
    <row r="25" spans="1:16" s="28" customFormat="1" ht="24.75" hidden="1" customHeight="1" thickTop="1" x14ac:dyDescent="0.25">
      <c r="A25" s="69"/>
      <c r="B25" s="69" t="s">
        <v>44</v>
      </c>
      <c r="C25" s="70">
        <f>F25</f>
        <v>0</v>
      </c>
      <c r="D25" s="71"/>
      <c r="E25" s="72"/>
      <c r="F25" s="73">
        <f t="shared" si="9"/>
        <v>0</v>
      </c>
      <c r="G25" s="74" t="s">
        <v>43</v>
      </c>
      <c r="H25" s="75" t="s">
        <v>43</v>
      </c>
      <c r="I25" s="76" t="s">
        <v>43</v>
      </c>
      <c r="J25" s="74" t="s">
        <v>43</v>
      </c>
      <c r="K25" s="75" t="s">
        <v>43</v>
      </c>
      <c r="L25" s="76" t="s">
        <v>43</v>
      </c>
      <c r="M25" s="74" t="s">
        <v>43</v>
      </c>
      <c r="N25" s="75" t="s">
        <v>43</v>
      </c>
      <c r="O25" s="76" t="s">
        <v>43</v>
      </c>
      <c r="P25" s="77"/>
    </row>
    <row r="26" spans="1:16" s="28" customFormat="1" ht="36" hidden="1" customHeight="1" x14ac:dyDescent="0.25">
      <c r="A26" s="69">
        <v>21300</v>
      </c>
      <c r="B26" s="69" t="s">
        <v>45</v>
      </c>
      <c r="C26" s="70">
        <f>L26</f>
        <v>0</v>
      </c>
      <c r="D26" s="74" t="s">
        <v>43</v>
      </c>
      <c r="E26" s="75" t="s">
        <v>43</v>
      </c>
      <c r="F26" s="76" t="s">
        <v>43</v>
      </c>
      <c r="G26" s="74" t="s">
        <v>43</v>
      </c>
      <c r="H26" s="75" t="s">
        <v>43</v>
      </c>
      <c r="I26" s="76" t="s">
        <v>43</v>
      </c>
      <c r="J26" s="78">
        <f>SUM(J27,J31,J33,J36)</f>
        <v>0</v>
      </c>
      <c r="K26" s="79">
        <f t="shared" ref="K26:L26" si="11">SUM(K27,K31,K33,K36)</f>
        <v>0</v>
      </c>
      <c r="L26" s="80">
        <f t="shared" si="11"/>
        <v>0</v>
      </c>
      <c r="M26" s="78" t="s">
        <v>43</v>
      </c>
      <c r="N26" s="79" t="s">
        <v>43</v>
      </c>
      <c r="O26" s="80" t="s">
        <v>43</v>
      </c>
      <c r="P26" s="77"/>
    </row>
    <row r="27" spans="1:16" s="28" customFormat="1" ht="24" hidden="1" customHeight="1" x14ac:dyDescent="0.25">
      <c r="A27" s="81">
        <v>21350</v>
      </c>
      <c r="B27" s="69" t="s">
        <v>46</v>
      </c>
      <c r="C27" s="70">
        <f t="shared" ref="C27:C30" si="12">L27</f>
        <v>0</v>
      </c>
      <c r="D27" s="74" t="s">
        <v>43</v>
      </c>
      <c r="E27" s="75" t="s">
        <v>43</v>
      </c>
      <c r="F27" s="76" t="s">
        <v>43</v>
      </c>
      <c r="G27" s="74" t="s">
        <v>43</v>
      </c>
      <c r="H27" s="75" t="s">
        <v>43</v>
      </c>
      <c r="I27" s="76" t="s">
        <v>43</v>
      </c>
      <c r="J27" s="78">
        <f>SUM(J28:J30)</f>
        <v>0</v>
      </c>
      <c r="K27" s="79">
        <f t="shared" ref="K27:L27" si="13">SUM(K28:K30)</f>
        <v>0</v>
      </c>
      <c r="L27" s="80">
        <f t="shared" si="13"/>
        <v>0</v>
      </c>
      <c r="M27" s="78" t="s">
        <v>43</v>
      </c>
      <c r="N27" s="79" t="s">
        <v>43</v>
      </c>
      <c r="O27" s="80" t="s">
        <v>43</v>
      </c>
      <c r="P27" s="77"/>
    </row>
    <row r="28" spans="1:16" ht="12" hidden="1" customHeight="1" x14ac:dyDescent="0.25">
      <c r="A28" s="43">
        <v>21351</v>
      </c>
      <c r="B28" s="82" t="s">
        <v>47</v>
      </c>
      <c r="C28" s="83">
        <f t="shared" si="12"/>
        <v>0</v>
      </c>
      <c r="D28" s="84" t="s">
        <v>43</v>
      </c>
      <c r="E28" s="85" t="s">
        <v>43</v>
      </c>
      <c r="F28" s="86" t="s">
        <v>43</v>
      </c>
      <c r="G28" s="84" t="s">
        <v>43</v>
      </c>
      <c r="H28" s="85" t="s">
        <v>43</v>
      </c>
      <c r="I28" s="86" t="s">
        <v>43</v>
      </c>
      <c r="J28" s="46"/>
      <c r="K28" s="47"/>
      <c r="L28" s="48">
        <f t="shared" ref="L28:L30" si="14">K28+J28</f>
        <v>0</v>
      </c>
      <c r="M28" s="87" t="s">
        <v>43</v>
      </c>
      <c r="N28" s="88" t="s">
        <v>43</v>
      </c>
      <c r="O28" s="48" t="s">
        <v>43</v>
      </c>
      <c r="P28" s="49"/>
    </row>
    <row r="29" spans="1:16" ht="12" hidden="1" customHeight="1" x14ac:dyDescent="0.25">
      <c r="A29" s="50">
        <v>21352</v>
      </c>
      <c r="B29" s="89" t="s">
        <v>48</v>
      </c>
      <c r="C29" s="90">
        <f t="shared" si="12"/>
        <v>0</v>
      </c>
      <c r="D29" s="91" t="s">
        <v>43</v>
      </c>
      <c r="E29" s="92" t="s">
        <v>43</v>
      </c>
      <c r="F29" s="93" t="s">
        <v>43</v>
      </c>
      <c r="G29" s="91" t="s">
        <v>43</v>
      </c>
      <c r="H29" s="92" t="s">
        <v>43</v>
      </c>
      <c r="I29" s="93" t="s">
        <v>43</v>
      </c>
      <c r="J29" s="53"/>
      <c r="K29" s="54"/>
      <c r="L29" s="56">
        <f t="shared" si="14"/>
        <v>0</v>
      </c>
      <c r="M29" s="94" t="s">
        <v>43</v>
      </c>
      <c r="N29" s="95" t="s">
        <v>43</v>
      </c>
      <c r="O29" s="56" t="s">
        <v>43</v>
      </c>
      <c r="P29" s="57"/>
    </row>
    <row r="30" spans="1:16" ht="24" hidden="1" customHeight="1" x14ac:dyDescent="0.25">
      <c r="A30" s="50">
        <v>21359</v>
      </c>
      <c r="B30" s="89" t="s">
        <v>49</v>
      </c>
      <c r="C30" s="90">
        <f t="shared" si="12"/>
        <v>0</v>
      </c>
      <c r="D30" s="91" t="s">
        <v>43</v>
      </c>
      <c r="E30" s="92" t="s">
        <v>43</v>
      </c>
      <c r="F30" s="93" t="s">
        <v>43</v>
      </c>
      <c r="G30" s="91" t="s">
        <v>43</v>
      </c>
      <c r="H30" s="92" t="s">
        <v>43</v>
      </c>
      <c r="I30" s="93" t="s">
        <v>43</v>
      </c>
      <c r="J30" s="53"/>
      <c r="K30" s="54"/>
      <c r="L30" s="56">
        <f t="shared" si="14"/>
        <v>0</v>
      </c>
      <c r="M30" s="94" t="s">
        <v>43</v>
      </c>
      <c r="N30" s="95" t="s">
        <v>43</v>
      </c>
      <c r="O30" s="56" t="s">
        <v>43</v>
      </c>
      <c r="P30" s="57"/>
    </row>
    <row r="31" spans="1:16" s="28" customFormat="1" ht="36" hidden="1" customHeight="1" x14ac:dyDescent="0.25">
      <c r="A31" s="81">
        <v>21370</v>
      </c>
      <c r="B31" s="69" t="s">
        <v>50</v>
      </c>
      <c r="C31" s="70">
        <f>L31</f>
        <v>0</v>
      </c>
      <c r="D31" s="74" t="s">
        <v>43</v>
      </c>
      <c r="E31" s="75" t="s">
        <v>43</v>
      </c>
      <c r="F31" s="76" t="s">
        <v>43</v>
      </c>
      <c r="G31" s="74" t="s">
        <v>43</v>
      </c>
      <c r="H31" s="75" t="s">
        <v>43</v>
      </c>
      <c r="I31" s="76" t="s">
        <v>43</v>
      </c>
      <c r="J31" s="78">
        <f>SUM(J32)</f>
        <v>0</v>
      </c>
      <c r="K31" s="79">
        <f t="shared" ref="K31:L31" si="15">SUM(K32)</f>
        <v>0</v>
      </c>
      <c r="L31" s="80">
        <f t="shared" si="15"/>
        <v>0</v>
      </c>
      <c r="M31" s="78" t="s">
        <v>43</v>
      </c>
      <c r="N31" s="79" t="s">
        <v>43</v>
      </c>
      <c r="O31" s="80" t="s">
        <v>43</v>
      </c>
      <c r="P31" s="77"/>
    </row>
    <row r="32" spans="1:16" ht="36" hidden="1" customHeight="1" x14ac:dyDescent="0.25">
      <c r="A32" s="96">
        <v>21379</v>
      </c>
      <c r="B32" s="97" t="s">
        <v>51</v>
      </c>
      <c r="C32" s="98">
        <f t="shared" ref="C32:C40" si="16">L32</f>
        <v>0</v>
      </c>
      <c r="D32" s="99" t="s">
        <v>43</v>
      </c>
      <c r="E32" s="100" t="s">
        <v>43</v>
      </c>
      <c r="F32" s="101" t="s">
        <v>43</v>
      </c>
      <c r="G32" s="99" t="s">
        <v>43</v>
      </c>
      <c r="H32" s="100" t="s">
        <v>43</v>
      </c>
      <c r="I32" s="101" t="s">
        <v>43</v>
      </c>
      <c r="J32" s="102"/>
      <c r="K32" s="103"/>
      <c r="L32" s="104">
        <f>K32+J32</f>
        <v>0</v>
      </c>
      <c r="M32" s="105" t="s">
        <v>43</v>
      </c>
      <c r="N32" s="106" t="s">
        <v>43</v>
      </c>
      <c r="O32" s="104" t="s">
        <v>43</v>
      </c>
      <c r="P32" s="107"/>
    </row>
    <row r="33" spans="1:16" s="28" customFormat="1" ht="12" hidden="1" customHeight="1" x14ac:dyDescent="0.25">
      <c r="A33" s="81">
        <v>21380</v>
      </c>
      <c r="B33" s="69" t="s">
        <v>52</v>
      </c>
      <c r="C33" s="70">
        <f t="shared" si="16"/>
        <v>0</v>
      </c>
      <c r="D33" s="74" t="s">
        <v>43</v>
      </c>
      <c r="E33" s="75" t="s">
        <v>43</v>
      </c>
      <c r="F33" s="76" t="s">
        <v>43</v>
      </c>
      <c r="G33" s="74" t="s">
        <v>43</v>
      </c>
      <c r="H33" s="75" t="s">
        <v>43</v>
      </c>
      <c r="I33" s="76" t="s">
        <v>43</v>
      </c>
      <c r="J33" s="78">
        <f>SUM(J34:J35)</f>
        <v>0</v>
      </c>
      <c r="K33" s="79">
        <f t="shared" ref="K33:L33" si="17">SUM(K34:K35)</f>
        <v>0</v>
      </c>
      <c r="L33" s="80">
        <f t="shared" si="17"/>
        <v>0</v>
      </c>
      <c r="M33" s="78" t="s">
        <v>43</v>
      </c>
      <c r="N33" s="79" t="s">
        <v>43</v>
      </c>
      <c r="O33" s="80" t="s">
        <v>43</v>
      </c>
      <c r="P33" s="77"/>
    </row>
    <row r="34" spans="1:16" ht="12" hidden="1" customHeight="1" x14ac:dyDescent="0.25">
      <c r="A34" s="44">
        <v>21381</v>
      </c>
      <c r="B34" s="82" t="s">
        <v>53</v>
      </c>
      <c r="C34" s="83">
        <f t="shared" si="16"/>
        <v>0</v>
      </c>
      <c r="D34" s="84" t="s">
        <v>43</v>
      </c>
      <c r="E34" s="85" t="s">
        <v>43</v>
      </c>
      <c r="F34" s="86" t="s">
        <v>43</v>
      </c>
      <c r="G34" s="84" t="s">
        <v>43</v>
      </c>
      <c r="H34" s="85" t="s">
        <v>43</v>
      </c>
      <c r="I34" s="86" t="s">
        <v>43</v>
      </c>
      <c r="J34" s="46"/>
      <c r="K34" s="47"/>
      <c r="L34" s="48">
        <f t="shared" ref="L34:L35" si="18">K34+J34</f>
        <v>0</v>
      </c>
      <c r="M34" s="87" t="s">
        <v>43</v>
      </c>
      <c r="N34" s="88" t="s">
        <v>43</v>
      </c>
      <c r="O34" s="48" t="s">
        <v>43</v>
      </c>
      <c r="P34" s="49"/>
    </row>
    <row r="35" spans="1:16" ht="24" hidden="1" customHeight="1" x14ac:dyDescent="0.25">
      <c r="A35" s="51">
        <v>21383</v>
      </c>
      <c r="B35" s="89" t="s">
        <v>54</v>
      </c>
      <c r="C35" s="90">
        <f t="shared" si="16"/>
        <v>0</v>
      </c>
      <c r="D35" s="91" t="s">
        <v>43</v>
      </c>
      <c r="E35" s="92" t="s">
        <v>43</v>
      </c>
      <c r="F35" s="93" t="s">
        <v>43</v>
      </c>
      <c r="G35" s="91" t="s">
        <v>43</v>
      </c>
      <c r="H35" s="92" t="s">
        <v>43</v>
      </c>
      <c r="I35" s="93" t="s">
        <v>43</v>
      </c>
      <c r="J35" s="53"/>
      <c r="K35" s="54"/>
      <c r="L35" s="56">
        <f t="shared" si="18"/>
        <v>0</v>
      </c>
      <c r="M35" s="94" t="s">
        <v>43</v>
      </c>
      <c r="N35" s="95" t="s">
        <v>43</v>
      </c>
      <c r="O35" s="56" t="s">
        <v>43</v>
      </c>
      <c r="P35" s="57"/>
    </row>
    <row r="36" spans="1:16" s="28" customFormat="1" ht="25.5" hidden="1" customHeight="1" x14ac:dyDescent="0.25">
      <c r="A36" s="81">
        <v>21390</v>
      </c>
      <c r="B36" s="69" t="s">
        <v>55</v>
      </c>
      <c r="C36" s="70">
        <f t="shared" si="16"/>
        <v>0</v>
      </c>
      <c r="D36" s="74" t="s">
        <v>43</v>
      </c>
      <c r="E36" s="75" t="s">
        <v>43</v>
      </c>
      <c r="F36" s="76" t="s">
        <v>43</v>
      </c>
      <c r="G36" s="74" t="s">
        <v>43</v>
      </c>
      <c r="H36" s="75" t="s">
        <v>43</v>
      </c>
      <c r="I36" s="76" t="s">
        <v>43</v>
      </c>
      <c r="J36" s="78">
        <f>SUM(J37:J40)</f>
        <v>0</v>
      </c>
      <c r="K36" s="79">
        <f t="shared" ref="K36:L36" si="19">SUM(K37:K40)</f>
        <v>0</v>
      </c>
      <c r="L36" s="80">
        <f t="shared" si="19"/>
        <v>0</v>
      </c>
      <c r="M36" s="78" t="s">
        <v>43</v>
      </c>
      <c r="N36" s="79" t="s">
        <v>43</v>
      </c>
      <c r="O36" s="80" t="s">
        <v>43</v>
      </c>
      <c r="P36" s="77"/>
    </row>
    <row r="37" spans="1:16" ht="24" hidden="1" customHeight="1" x14ac:dyDescent="0.25">
      <c r="A37" s="44">
        <v>21391</v>
      </c>
      <c r="B37" s="82" t="s">
        <v>56</v>
      </c>
      <c r="C37" s="83">
        <f t="shared" si="16"/>
        <v>0</v>
      </c>
      <c r="D37" s="84" t="s">
        <v>43</v>
      </c>
      <c r="E37" s="85" t="s">
        <v>43</v>
      </c>
      <c r="F37" s="86" t="s">
        <v>43</v>
      </c>
      <c r="G37" s="84" t="s">
        <v>43</v>
      </c>
      <c r="H37" s="85" t="s">
        <v>43</v>
      </c>
      <c r="I37" s="86" t="s">
        <v>43</v>
      </c>
      <c r="J37" s="46"/>
      <c r="K37" s="47"/>
      <c r="L37" s="48">
        <f t="shared" ref="L37:L40" si="20">K37+J37</f>
        <v>0</v>
      </c>
      <c r="M37" s="87" t="s">
        <v>43</v>
      </c>
      <c r="N37" s="88" t="s">
        <v>43</v>
      </c>
      <c r="O37" s="48" t="s">
        <v>43</v>
      </c>
      <c r="P37" s="49"/>
    </row>
    <row r="38" spans="1:16" ht="12" hidden="1" customHeight="1" x14ac:dyDescent="0.25">
      <c r="A38" s="51">
        <v>21393</v>
      </c>
      <c r="B38" s="89" t="s">
        <v>57</v>
      </c>
      <c r="C38" s="90">
        <f t="shared" si="16"/>
        <v>0</v>
      </c>
      <c r="D38" s="91" t="s">
        <v>43</v>
      </c>
      <c r="E38" s="92" t="s">
        <v>43</v>
      </c>
      <c r="F38" s="93" t="s">
        <v>43</v>
      </c>
      <c r="G38" s="91" t="s">
        <v>43</v>
      </c>
      <c r="H38" s="92" t="s">
        <v>43</v>
      </c>
      <c r="I38" s="93" t="s">
        <v>43</v>
      </c>
      <c r="J38" s="53"/>
      <c r="K38" s="54"/>
      <c r="L38" s="56">
        <f t="shared" si="20"/>
        <v>0</v>
      </c>
      <c r="M38" s="94" t="s">
        <v>43</v>
      </c>
      <c r="N38" s="95" t="s">
        <v>43</v>
      </c>
      <c r="O38" s="56" t="s">
        <v>43</v>
      </c>
      <c r="P38" s="57"/>
    </row>
    <row r="39" spans="1:16" ht="12" hidden="1" customHeight="1" x14ac:dyDescent="0.25">
      <c r="A39" s="51">
        <v>21395</v>
      </c>
      <c r="B39" s="89" t="s">
        <v>58</v>
      </c>
      <c r="C39" s="90">
        <f t="shared" si="16"/>
        <v>0</v>
      </c>
      <c r="D39" s="91" t="s">
        <v>43</v>
      </c>
      <c r="E39" s="92" t="s">
        <v>43</v>
      </c>
      <c r="F39" s="93" t="s">
        <v>43</v>
      </c>
      <c r="G39" s="91" t="s">
        <v>43</v>
      </c>
      <c r="H39" s="92" t="s">
        <v>43</v>
      </c>
      <c r="I39" s="93" t="s">
        <v>43</v>
      </c>
      <c r="J39" s="53"/>
      <c r="K39" s="54"/>
      <c r="L39" s="56">
        <f t="shared" si="20"/>
        <v>0</v>
      </c>
      <c r="M39" s="94" t="s">
        <v>43</v>
      </c>
      <c r="N39" s="95" t="s">
        <v>43</v>
      </c>
      <c r="O39" s="56" t="s">
        <v>43</v>
      </c>
      <c r="P39" s="57"/>
    </row>
    <row r="40" spans="1:16" ht="24" hidden="1" customHeight="1" x14ac:dyDescent="0.25">
      <c r="A40" s="108">
        <v>21399</v>
      </c>
      <c r="B40" s="109" t="s">
        <v>59</v>
      </c>
      <c r="C40" s="110">
        <f t="shared" si="16"/>
        <v>0</v>
      </c>
      <c r="D40" s="111" t="s">
        <v>43</v>
      </c>
      <c r="E40" s="112" t="s">
        <v>43</v>
      </c>
      <c r="F40" s="113" t="s">
        <v>43</v>
      </c>
      <c r="G40" s="111" t="s">
        <v>43</v>
      </c>
      <c r="H40" s="112" t="s">
        <v>43</v>
      </c>
      <c r="I40" s="113" t="s">
        <v>43</v>
      </c>
      <c r="J40" s="114"/>
      <c r="K40" s="115"/>
      <c r="L40" s="116">
        <f t="shared" si="20"/>
        <v>0</v>
      </c>
      <c r="M40" s="117" t="s">
        <v>43</v>
      </c>
      <c r="N40" s="118" t="s">
        <v>43</v>
      </c>
      <c r="O40" s="116" t="s">
        <v>43</v>
      </c>
      <c r="P40" s="119"/>
    </row>
    <row r="41" spans="1:16" s="28" customFormat="1" ht="26.25" hidden="1" customHeight="1" x14ac:dyDescent="0.25">
      <c r="A41" s="120">
        <v>21420</v>
      </c>
      <c r="B41" s="121" t="s">
        <v>60</v>
      </c>
      <c r="C41" s="122">
        <f>F41</f>
        <v>0</v>
      </c>
      <c r="D41" s="123">
        <f>SUM(D42)</f>
        <v>0</v>
      </c>
      <c r="E41" s="124">
        <f t="shared" ref="E41:F41" si="21">SUM(E42)</f>
        <v>0</v>
      </c>
      <c r="F41" s="125">
        <f t="shared" si="21"/>
        <v>0</v>
      </c>
      <c r="G41" s="126" t="s">
        <v>43</v>
      </c>
      <c r="H41" s="127" t="s">
        <v>43</v>
      </c>
      <c r="I41" s="128" t="s">
        <v>43</v>
      </c>
      <c r="J41" s="126" t="s">
        <v>43</v>
      </c>
      <c r="K41" s="127" t="s">
        <v>43</v>
      </c>
      <c r="L41" s="128" t="s">
        <v>43</v>
      </c>
      <c r="M41" s="126" t="s">
        <v>43</v>
      </c>
      <c r="N41" s="127" t="s">
        <v>43</v>
      </c>
      <c r="O41" s="128" t="s">
        <v>43</v>
      </c>
      <c r="P41" s="129"/>
    </row>
    <row r="42" spans="1:16" s="28" customFormat="1" ht="26.25" hidden="1" customHeight="1" x14ac:dyDescent="0.25">
      <c r="A42" s="108">
        <v>21429</v>
      </c>
      <c r="B42" s="109" t="s">
        <v>61</v>
      </c>
      <c r="C42" s="130">
        <f>F42</f>
        <v>0</v>
      </c>
      <c r="D42" s="114"/>
      <c r="E42" s="115"/>
      <c r="F42" s="131">
        <f>D42+E42</f>
        <v>0</v>
      </c>
      <c r="G42" s="111" t="s">
        <v>43</v>
      </c>
      <c r="H42" s="112" t="s">
        <v>43</v>
      </c>
      <c r="I42" s="113" t="s">
        <v>43</v>
      </c>
      <c r="J42" s="111" t="s">
        <v>43</v>
      </c>
      <c r="K42" s="112" t="s">
        <v>43</v>
      </c>
      <c r="L42" s="113" t="s">
        <v>43</v>
      </c>
      <c r="M42" s="111" t="s">
        <v>43</v>
      </c>
      <c r="N42" s="112" t="s">
        <v>43</v>
      </c>
      <c r="O42" s="113" t="s">
        <v>43</v>
      </c>
      <c r="P42" s="119"/>
    </row>
    <row r="43" spans="1:16" s="28" customFormat="1" ht="24.75" hidden="1" thickTop="1" x14ac:dyDescent="0.25">
      <c r="A43" s="81">
        <v>21490</v>
      </c>
      <c r="B43" s="69" t="s">
        <v>62</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43</v>
      </c>
      <c r="N43" s="79" t="s">
        <v>43</v>
      </c>
      <c r="O43" s="80" t="s">
        <v>43</v>
      </c>
      <c r="P43" s="77"/>
    </row>
    <row r="44" spans="1:16" s="28" customFormat="1" ht="24" hidden="1" customHeight="1" x14ac:dyDescent="0.25">
      <c r="A44" s="51">
        <v>21499</v>
      </c>
      <c r="B44" s="89" t="s">
        <v>63</v>
      </c>
      <c r="C44" s="133">
        <f>F44+I44+L44</f>
        <v>0</v>
      </c>
      <c r="D44" s="46"/>
      <c r="E44" s="47"/>
      <c r="F44" s="134">
        <f>D44+E44</f>
        <v>0</v>
      </c>
      <c r="G44" s="46"/>
      <c r="H44" s="47"/>
      <c r="I44" s="134">
        <f>G44+H44</f>
        <v>0</v>
      </c>
      <c r="J44" s="46"/>
      <c r="K44" s="47"/>
      <c r="L44" s="48">
        <f>K44+J44</f>
        <v>0</v>
      </c>
      <c r="M44" s="87" t="s">
        <v>43</v>
      </c>
      <c r="N44" s="88" t="s">
        <v>43</v>
      </c>
      <c r="O44" s="48" t="s">
        <v>43</v>
      </c>
      <c r="P44" s="49"/>
    </row>
    <row r="45" spans="1:16" ht="12.75" hidden="1" customHeight="1" x14ac:dyDescent="0.25">
      <c r="A45" s="135">
        <v>23000</v>
      </c>
      <c r="B45" s="136" t="s">
        <v>64</v>
      </c>
      <c r="C45" s="132">
        <f>O45</f>
        <v>0</v>
      </c>
      <c r="D45" s="111" t="s">
        <v>43</v>
      </c>
      <c r="E45" s="112" t="s">
        <v>43</v>
      </c>
      <c r="F45" s="113" t="s">
        <v>43</v>
      </c>
      <c r="G45" s="111" t="s">
        <v>43</v>
      </c>
      <c r="H45" s="112" t="s">
        <v>43</v>
      </c>
      <c r="I45" s="113" t="s">
        <v>43</v>
      </c>
      <c r="J45" s="117" t="s">
        <v>43</v>
      </c>
      <c r="K45" s="118" t="s">
        <v>43</v>
      </c>
      <c r="L45" s="116" t="s">
        <v>43</v>
      </c>
      <c r="M45" s="117">
        <f>SUM(M46:M47)</f>
        <v>0</v>
      </c>
      <c r="N45" s="118">
        <f t="shared" ref="N45:O45" si="23">SUM(N46:N47)</f>
        <v>0</v>
      </c>
      <c r="O45" s="116">
        <f t="shared" si="23"/>
        <v>0</v>
      </c>
      <c r="P45" s="119"/>
    </row>
    <row r="46" spans="1:16" ht="24" hidden="1" customHeight="1" x14ac:dyDescent="0.25">
      <c r="A46" s="137">
        <v>23410</v>
      </c>
      <c r="B46" s="138" t="s">
        <v>65</v>
      </c>
      <c r="C46" s="122">
        <f t="shared" ref="C46:C47" si="24">O46</f>
        <v>0</v>
      </c>
      <c r="D46" s="126" t="s">
        <v>43</v>
      </c>
      <c r="E46" s="127" t="s">
        <v>43</v>
      </c>
      <c r="F46" s="128" t="s">
        <v>43</v>
      </c>
      <c r="G46" s="126" t="s">
        <v>43</v>
      </c>
      <c r="H46" s="127" t="s">
        <v>43</v>
      </c>
      <c r="I46" s="128" t="s">
        <v>43</v>
      </c>
      <c r="J46" s="126" t="s">
        <v>43</v>
      </c>
      <c r="K46" s="127" t="s">
        <v>43</v>
      </c>
      <c r="L46" s="128" t="s">
        <v>43</v>
      </c>
      <c r="M46" s="139"/>
      <c r="N46" s="140"/>
      <c r="O46" s="141">
        <f t="shared" ref="O46:O47" si="25">N46+M46</f>
        <v>0</v>
      </c>
      <c r="P46" s="129"/>
    </row>
    <row r="47" spans="1:16" ht="24" hidden="1" customHeight="1" x14ac:dyDescent="0.25">
      <c r="A47" s="137">
        <v>23510</v>
      </c>
      <c r="B47" s="138" t="s">
        <v>66</v>
      </c>
      <c r="C47" s="122">
        <f t="shared" si="24"/>
        <v>0</v>
      </c>
      <c r="D47" s="126" t="s">
        <v>43</v>
      </c>
      <c r="E47" s="127" t="s">
        <v>43</v>
      </c>
      <c r="F47" s="128" t="s">
        <v>43</v>
      </c>
      <c r="G47" s="126" t="s">
        <v>43</v>
      </c>
      <c r="H47" s="127" t="s">
        <v>43</v>
      </c>
      <c r="I47" s="128" t="s">
        <v>43</v>
      </c>
      <c r="J47" s="126" t="s">
        <v>43</v>
      </c>
      <c r="K47" s="127" t="s">
        <v>43</v>
      </c>
      <c r="L47" s="128" t="s">
        <v>43</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67</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68</v>
      </c>
      <c r="C50" s="158">
        <f t="shared" si="0"/>
        <v>388209</v>
      </c>
      <c r="D50" s="159">
        <f>SUM(D51,D286)</f>
        <v>384218</v>
      </c>
      <c r="E50" s="160">
        <f t="shared" ref="E50:F50" si="26">SUM(E51,E286)</f>
        <v>3991</v>
      </c>
      <c r="F50" s="161">
        <f t="shared" si="26"/>
        <v>388209</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69</v>
      </c>
      <c r="C51" s="164">
        <f t="shared" si="0"/>
        <v>388209</v>
      </c>
      <c r="D51" s="165">
        <f>SUM(D52,D194)</f>
        <v>384218</v>
      </c>
      <c r="E51" s="166">
        <f t="shared" ref="E51:F51" si="30">SUM(E52,E194)</f>
        <v>3991</v>
      </c>
      <c r="F51" s="167">
        <f t="shared" si="30"/>
        <v>388209</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70</v>
      </c>
      <c r="C52" s="172">
        <f t="shared" si="0"/>
        <v>358160</v>
      </c>
      <c r="D52" s="173">
        <f>SUM(D53,D75,D173,D187)</f>
        <v>373049</v>
      </c>
      <c r="E52" s="174">
        <f t="shared" ref="E52:F52" si="34">SUM(E53,E75,E173,E187)</f>
        <v>-14889</v>
      </c>
      <c r="F52" s="175">
        <f t="shared" si="34"/>
        <v>358160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71</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72</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73</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74</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9.75" hidden="1" customHeight="1" x14ac:dyDescent="0.25">
      <c r="A57" s="345">
        <v>1119</v>
      </c>
      <c r="B57" s="346" t="s">
        <v>75</v>
      </c>
      <c r="C57" s="347">
        <f t="shared" si="0"/>
        <v>0</v>
      </c>
      <c r="D57" s="348"/>
      <c r="E57" s="349"/>
      <c r="F57" s="350">
        <f t="shared" si="50"/>
        <v>0</v>
      </c>
      <c r="G57" s="348"/>
      <c r="H57" s="349"/>
      <c r="I57" s="350">
        <f t="shared" si="51"/>
        <v>0</v>
      </c>
      <c r="J57" s="348"/>
      <c r="K57" s="349"/>
      <c r="L57" s="350">
        <f t="shared" si="52"/>
        <v>0</v>
      </c>
      <c r="M57" s="348"/>
      <c r="N57" s="349"/>
      <c r="O57" s="350">
        <f t="shared" si="53"/>
        <v>0</v>
      </c>
      <c r="P57" s="351"/>
    </row>
    <row r="58" spans="1:16" hidden="1" x14ac:dyDescent="0.25">
      <c r="A58" s="189">
        <v>1140</v>
      </c>
      <c r="B58" s="89" t="s">
        <v>76</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77</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78</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79</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80</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81</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1.25" hidden="1" customHeight="1" x14ac:dyDescent="0.25">
      <c r="A64" s="345">
        <v>1148</v>
      </c>
      <c r="B64" s="346" t="s">
        <v>82</v>
      </c>
      <c r="C64" s="347">
        <f t="shared" si="0"/>
        <v>0</v>
      </c>
      <c r="D64" s="348"/>
      <c r="E64" s="349"/>
      <c r="F64" s="350">
        <f t="shared" si="58"/>
        <v>0</v>
      </c>
      <c r="G64" s="348"/>
      <c r="H64" s="349"/>
      <c r="I64" s="350">
        <f t="shared" si="59"/>
        <v>0</v>
      </c>
      <c r="J64" s="348"/>
      <c r="K64" s="349"/>
      <c r="L64" s="350">
        <f t="shared" si="60"/>
        <v>0</v>
      </c>
      <c r="M64" s="348"/>
      <c r="N64" s="349"/>
      <c r="O64" s="350">
        <f t="shared" si="61"/>
        <v>0</v>
      </c>
      <c r="P64" s="351"/>
    </row>
    <row r="65" spans="1:16" ht="24" hidden="1" customHeight="1" x14ac:dyDescent="0.25">
      <c r="A65" s="51">
        <v>1149</v>
      </c>
      <c r="B65" s="89" t="s">
        <v>83</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84</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85</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320">
        <v>1210</v>
      </c>
      <c r="B68" s="82" t="s">
        <v>86</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87</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88</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89</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90</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91</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92</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93</v>
      </c>
      <c r="C75" s="178">
        <f t="shared" si="0"/>
        <v>30611</v>
      </c>
      <c r="D75" s="179">
        <f>SUM(D76,D83,D130,D164,D165,D172)</f>
        <v>45500</v>
      </c>
      <c r="E75" s="180">
        <f t="shared" ref="E75:F75" si="74">SUM(E76,E83,E130,E164,E165,E172)</f>
        <v>-14889</v>
      </c>
      <c r="F75" s="181">
        <f t="shared" si="74"/>
        <v>30611</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94</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320">
        <v>2110</v>
      </c>
      <c r="B77" s="82" t="s">
        <v>95</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96</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97</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98</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96</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97</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99</v>
      </c>
      <c r="C83" s="70">
        <f t="shared" si="0"/>
        <v>6914</v>
      </c>
      <c r="D83" s="184">
        <f>SUM(D84,D89,D95,D103,D112,D116,D122,D128)</f>
        <v>15000</v>
      </c>
      <c r="E83" s="185">
        <f t="shared" ref="E83:F83" si="98">SUM(E84,E89,E95,E103,E112,E116,E122,E128)</f>
        <v>-8086</v>
      </c>
      <c r="F83" s="73">
        <f t="shared" si="98"/>
        <v>6914</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100</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101</v>
      </c>
      <c r="C85" s="83">
        <f t="shared" si="102"/>
        <v>0</v>
      </c>
      <c r="D85" s="199"/>
      <c r="E85" s="200"/>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102</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103</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104</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105</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106</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107</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26.25" hidden="1" customHeight="1" x14ac:dyDescent="0.25">
      <c r="A92" s="51">
        <v>2223</v>
      </c>
      <c r="B92" s="89" t="s">
        <v>108</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109</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110</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111</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112</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113</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114</v>
      </c>
      <c r="C98" s="83">
        <f t="shared" si="102"/>
        <v>0</v>
      </c>
      <c r="D98" s="199"/>
      <c r="E98" s="200"/>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115</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116</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117</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118</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119</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120</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121</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122</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123</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124</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125</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126</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127</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128</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129</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130</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131</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132</v>
      </c>
      <c r="C116" s="90">
        <f t="shared" si="102"/>
        <v>6414</v>
      </c>
      <c r="D116" s="190">
        <f>SUM(D117:D121)</f>
        <v>14500</v>
      </c>
      <c r="E116" s="365">
        <f t="shared" ref="E116:F116" si="143">SUM(E117:E121)</f>
        <v>-8086</v>
      </c>
      <c r="F116" s="55">
        <f t="shared" si="143"/>
        <v>6414</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customHeight="1" x14ac:dyDescent="0.25">
      <c r="A117" s="51">
        <v>2261</v>
      </c>
      <c r="B117" s="89" t="s">
        <v>133</v>
      </c>
      <c r="C117" s="90">
        <f t="shared" si="102"/>
        <v>577</v>
      </c>
      <c r="D117" s="196">
        <v>1500</v>
      </c>
      <c r="E117" s="197">
        <v>-923</v>
      </c>
      <c r="F117" s="55">
        <f t="shared" ref="F117:F121" si="147">D117+E117</f>
        <v>577</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134</v>
      </c>
      <c r="C118" s="90">
        <f t="shared" si="102"/>
        <v>5837</v>
      </c>
      <c r="D118" s="196">
        <v>13000</v>
      </c>
      <c r="E118" s="197">
        <v>-7163</v>
      </c>
      <c r="F118" s="55">
        <f t="shared" si="147"/>
        <v>5837</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135</v>
      </c>
      <c r="C119" s="90">
        <f t="shared" si="102"/>
        <v>0</v>
      </c>
      <c r="D119" s="196"/>
      <c r="E119" s="353"/>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136</v>
      </c>
      <c r="C120" s="90">
        <f t="shared" si="102"/>
        <v>0</v>
      </c>
      <c r="D120" s="196"/>
      <c r="E120" s="353"/>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137</v>
      </c>
      <c r="C121" s="90">
        <f t="shared" si="102"/>
        <v>0</v>
      </c>
      <c r="D121" s="196"/>
      <c r="E121" s="353"/>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138</v>
      </c>
      <c r="C122" s="90">
        <f t="shared" si="102"/>
        <v>500</v>
      </c>
      <c r="D122" s="190">
        <f>SUM(D123:D127)</f>
        <v>500</v>
      </c>
      <c r="E122" s="365">
        <f t="shared" ref="E122:F122" si="151">SUM(E123:E127)</f>
        <v>0</v>
      </c>
      <c r="F122" s="55">
        <f t="shared" si="151"/>
        <v>500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1" t="s">
        <v>139</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2" t="s">
        <v>140</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141</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142</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143</v>
      </c>
      <c r="C127" s="90">
        <f t="shared" si="102"/>
        <v>500</v>
      </c>
      <c r="D127" s="196">
        <f>500</f>
        <v>500</v>
      </c>
      <c r="E127" s="197"/>
      <c r="F127" s="55">
        <f t="shared" si="155"/>
        <v>500</v>
      </c>
      <c r="G127" s="53"/>
      <c r="H127" s="54"/>
      <c r="I127" s="55">
        <f t="shared" si="156"/>
        <v>0</v>
      </c>
      <c r="J127" s="53"/>
      <c r="K127" s="54"/>
      <c r="L127" s="55">
        <f t="shared" si="157"/>
        <v>0</v>
      </c>
      <c r="M127" s="53"/>
      <c r="N127" s="54"/>
      <c r="O127" s="55">
        <f t="shared" si="158"/>
        <v>0</v>
      </c>
      <c r="P127" s="57"/>
    </row>
    <row r="128" spans="1:16" ht="40.5" hidden="1" customHeight="1" x14ac:dyDescent="0.25">
      <c r="A128" s="320">
        <v>2280</v>
      </c>
      <c r="B128" s="82" t="s">
        <v>144</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145</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146</v>
      </c>
      <c r="C130" s="70">
        <f t="shared" si="102"/>
        <v>23697</v>
      </c>
      <c r="D130" s="184">
        <f>SUM(D131,D136,D140,D141,D144,D151,D159,D160,D163)</f>
        <v>30500</v>
      </c>
      <c r="E130" s="185">
        <f t="shared" ref="E130:F130" si="160">SUM(E131,E136,E140,E141,E144,E151,E159,E160,E163)</f>
        <v>-6803</v>
      </c>
      <c r="F130" s="73">
        <f t="shared" si="160"/>
        <v>23697</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320">
        <v>2310</v>
      </c>
      <c r="B131" s="82" t="s">
        <v>147</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6.25" hidden="1" customHeight="1" x14ac:dyDescent="0.25">
      <c r="A132" s="51">
        <v>2311</v>
      </c>
      <c r="B132" s="89" t="s">
        <v>148</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149</v>
      </c>
      <c r="C133" s="90">
        <f t="shared" si="102"/>
        <v>0</v>
      </c>
      <c r="D133" s="196"/>
      <c r="E133" s="197"/>
      <c r="F133" s="55">
        <f t="shared" si="165"/>
        <v>0</v>
      </c>
      <c r="G133" s="53"/>
      <c r="H133" s="54"/>
      <c r="I133" s="55">
        <f t="shared" si="166"/>
        <v>0</v>
      </c>
      <c r="J133" s="53"/>
      <c r="K133" s="363"/>
      <c r="L133" s="55">
        <f t="shared" si="167"/>
        <v>0</v>
      </c>
      <c r="M133" s="53"/>
      <c r="N133" s="54"/>
      <c r="O133" s="55">
        <f t="shared" si="168"/>
        <v>0</v>
      </c>
      <c r="P133" s="364"/>
    </row>
    <row r="134" spans="1:16" ht="12" hidden="1" customHeight="1" x14ac:dyDescent="0.25">
      <c r="A134" s="51">
        <v>2313</v>
      </c>
      <c r="B134" s="89" t="s">
        <v>150</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151</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152</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153</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154</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155</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156</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157</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158</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159</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160</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161</v>
      </c>
      <c r="C145" s="83">
        <f t="shared" si="102"/>
        <v>0</v>
      </c>
      <c r="D145" s="199"/>
      <c r="E145" s="200"/>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162</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163</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164</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165</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166</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167</v>
      </c>
      <c r="C151" s="90">
        <f t="shared" si="193"/>
        <v>23697</v>
      </c>
      <c r="D151" s="190">
        <f>SUM(D152:D158)</f>
        <v>30500</v>
      </c>
      <c r="E151" s="191">
        <f t="shared" ref="E151:F151" si="194">SUM(E152:E158)</f>
        <v>-6803</v>
      </c>
      <c r="F151" s="55">
        <f t="shared" si="194"/>
        <v>23697</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168</v>
      </c>
      <c r="C152" s="90">
        <f t="shared" si="193"/>
        <v>20284</v>
      </c>
      <c r="D152" s="196">
        <f>17000+3500</f>
        <v>20500</v>
      </c>
      <c r="E152" s="197">
        <v>-216</v>
      </c>
      <c r="F152" s="55">
        <f t="shared" ref="F152:F159" si="198">D152+E152</f>
        <v>20284</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366">
        <v>2362</v>
      </c>
      <c r="B153" s="355" t="s">
        <v>169</v>
      </c>
      <c r="C153" s="356">
        <f t="shared" si="193"/>
        <v>0</v>
      </c>
      <c r="D153" s="357"/>
      <c r="E153" s="358"/>
      <c r="F153" s="359">
        <f t="shared" si="198"/>
        <v>0</v>
      </c>
      <c r="G153" s="360"/>
      <c r="H153" s="361"/>
      <c r="I153" s="359">
        <f t="shared" si="199"/>
        <v>0</v>
      </c>
      <c r="J153" s="360"/>
      <c r="K153" s="361"/>
      <c r="L153" s="359">
        <f t="shared" si="200"/>
        <v>0</v>
      </c>
      <c r="M153" s="360"/>
      <c r="N153" s="361"/>
      <c r="O153" s="359">
        <f t="shared" si="201"/>
        <v>0</v>
      </c>
      <c r="P153" s="362"/>
    </row>
    <row r="154" spans="1:16" ht="12.75" customHeight="1" x14ac:dyDescent="0.25">
      <c r="A154" s="50">
        <v>2363</v>
      </c>
      <c r="B154" s="89" t="s">
        <v>170</v>
      </c>
      <c r="C154" s="90">
        <f t="shared" si="193"/>
        <v>3413</v>
      </c>
      <c r="D154" s="196">
        <v>10000</v>
      </c>
      <c r="E154" s="197">
        <v>-6587</v>
      </c>
      <c r="F154" s="55">
        <f t="shared" si="198"/>
        <v>3413</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171</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172</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173</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174</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175</v>
      </c>
      <c r="C159" s="143">
        <f t="shared" si="193"/>
        <v>0</v>
      </c>
      <c r="D159" s="203"/>
      <c r="E159" s="204"/>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176</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177</v>
      </c>
      <c r="C161" s="83">
        <f t="shared" si="193"/>
        <v>0</v>
      </c>
      <c r="D161" s="199"/>
      <c r="E161" s="200"/>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178</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179</v>
      </c>
      <c r="C163" s="143">
        <f t="shared" si="193"/>
        <v>0</v>
      </c>
      <c r="D163" s="203"/>
      <c r="E163" s="204"/>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180</v>
      </c>
      <c r="C164" s="70">
        <f t="shared" si="193"/>
        <v>0</v>
      </c>
      <c r="D164" s="205"/>
      <c r="E164" s="206"/>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181</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320">
        <v>2510</v>
      </c>
      <c r="B166" s="82" t="s">
        <v>182</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183</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184</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185</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186</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187</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7" customFormat="1" ht="36" hidden="1" customHeight="1" x14ac:dyDescent="0.25">
      <c r="A172" s="23">
        <v>2800</v>
      </c>
      <c r="B172" s="82" t="s">
        <v>188</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189</v>
      </c>
      <c r="C173" s="178">
        <f t="shared" si="193"/>
        <v>327549</v>
      </c>
      <c r="D173" s="179">
        <f>SUM(D174,D184)</f>
        <v>327549</v>
      </c>
      <c r="E173" s="180">
        <f t="shared" ref="E173:F173" si="216">SUM(E174,E184)</f>
        <v>0</v>
      </c>
      <c r="F173" s="181">
        <f t="shared" si="216"/>
        <v>327549</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x14ac:dyDescent="0.25">
      <c r="A174" s="69">
        <v>3200</v>
      </c>
      <c r="B174" s="208" t="s">
        <v>190</v>
      </c>
      <c r="C174" s="70">
        <f t="shared" si="193"/>
        <v>327549</v>
      </c>
      <c r="D174" s="184">
        <f>SUM(D175,D179)</f>
        <v>327549</v>
      </c>
      <c r="E174" s="185">
        <f t="shared" ref="E174:O174" si="220">SUM(E175,E179)</f>
        <v>0</v>
      </c>
      <c r="F174" s="73">
        <f t="shared" si="220"/>
        <v>327549</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x14ac:dyDescent="0.25">
      <c r="A175" s="320">
        <v>3260</v>
      </c>
      <c r="B175" s="82" t="s">
        <v>191</v>
      </c>
      <c r="C175" s="83">
        <f t="shared" si="193"/>
        <v>327549</v>
      </c>
      <c r="D175" s="194">
        <f>SUM(D176:D178)</f>
        <v>327549</v>
      </c>
      <c r="E175" s="195">
        <f t="shared" ref="E175:F175" si="221">SUM(E176:E178)</f>
        <v>0</v>
      </c>
      <c r="F175" s="134">
        <f t="shared" si="221"/>
        <v>327549</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192</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193</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9" t="s">
        <v>194</v>
      </c>
      <c r="C178" s="90">
        <f t="shared" si="193"/>
        <v>327549</v>
      </c>
      <c r="D178" s="196">
        <v>327549</v>
      </c>
      <c r="E178" s="197"/>
      <c r="F178" s="55">
        <f t="shared" si="225"/>
        <v>327549</v>
      </c>
      <c r="G178" s="53"/>
      <c r="H178" s="54"/>
      <c r="I178" s="55">
        <f t="shared" si="226"/>
        <v>0</v>
      </c>
      <c r="J178" s="53"/>
      <c r="K178" s="54"/>
      <c r="L178" s="55">
        <f t="shared" si="227"/>
        <v>0</v>
      </c>
      <c r="M178" s="53"/>
      <c r="N178" s="54"/>
      <c r="O178" s="55">
        <f t="shared" si="228"/>
        <v>0</v>
      </c>
      <c r="P178" s="57"/>
    </row>
    <row r="179" spans="1:16" ht="84" hidden="1" x14ac:dyDescent="0.25">
      <c r="A179" s="320">
        <v>3290</v>
      </c>
      <c r="B179" s="82" t="s">
        <v>195</v>
      </c>
      <c r="C179" s="209">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196</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197</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198</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10">
        <v>3294</v>
      </c>
      <c r="B183" s="89" t="s">
        <v>199</v>
      </c>
      <c r="C183" s="209">
        <f t="shared" si="193"/>
        <v>0</v>
      </c>
      <c r="D183" s="211"/>
      <c r="E183" s="212"/>
      <c r="F183" s="213">
        <f t="shared" si="230"/>
        <v>0</v>
      </c>
      <c r="G183" s="214"/>
      <c r="H183" s="215"/>
      <c r="I183" s="213">
        <f t="shared" si="231"/>
        <v>0</v>
      </c>
      <c r="J183" s="214"/>
      <c r="K183" s="215"/>
      <c r="L183" s="213">
        <f t="shared" si="232"/>
        <v>0</v>
      </c>
      <c r="M183" s="214"/>
      <c r="N183" s="215"/>
      <c r="O183" s="213">
        <f t="shared" si="233"/>
        <v>0</v>
      </c>
      <c r="P183" s="216"/>
    </row>
    <row r="184" spans="1:16" ht="48" hidden="1" x14ac:dyDescent="0.25">
      <c r="A184" s="217">
        <v>3300</v>
      </c>
      <c r="B184" s="208" t="s">
        <v>200</v>
      </c>
      <c r="C184" s="218">
        <f t="shared" si="193"/>
        <v>0</v>
      </c>
      <c r="D184" s="219">
        <f>SUM(D185:D186)</f>
        <v>0</v>
      </c>
      <c r="E184" s="220">
        <f t="shared" ref="E184:O184" si="234">SUM(E185:E186)</f>
        <v>0</v>
      </c>
      <c r="F184" s="221">
        <f t="shared" si="234"/>
        <v>0</v>
      </c>
      <c r="G184" s="219">
        <f t="shared" si="234"/>
        <v>0</v>
      </c>
      <c r="H184" s="220">
        <f t="shared" si="234"/>
        <v>0</v>
      </c>
      <c r="I184" s="221">
        <f t="shared" si="234"/>
        <v>0</v>
      </c>
      <c r="J184" s="219">
        <f t="shared" si="234"/>
        <v>0</v>
      </c>
      <c r="K184" s="220">
        <f t="shared" si="234"/>
        <v>0</v>
      </c>
      <c r="L184" s="221">
        <f t="shared" si="234"/>
        <v>0</v>
      </c>
      <c r="M184" s="219">
        <f t="shared" si="234"/>
        <v>0</v>
      </c>
      <c r="N184" s="220">
        <f t="shared" si="234"/>
        <v>0</v>
      </c>
      <c r="O184" s="221">
        <f t="shared" si="234"/>
        <v>0</v>
      </c>
      <c r="P184" s="222"/>
    </row>
    <row r="185" spans="1:16" ht="48" hidden="1" customHeight="1" x14ac:dyDescent="0.25">
      <c r="A185" s="137">
        <v>3310</v>
      </c>
      <c r="B185" s="138" t="s">
        <v>201</v>
      </c>
      <c r="C185" s="143">
        <f t="shared" si="193"/>
        <v>0</v>
      </c>
      <c r="D185" s="203"/>
      <c r="E185" s="204"/>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202</v>
      </c>
      <c r="C186" s="83">
        <f t="shared" si="193"/>
        <v>0</v>
      </c>
      <c r="D186" s="199"/>
      <c r="E186" s="200"/>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3">
        <v>4000</v>
      </c>
      <c r="B187" s="177" t="s">
        <v>203</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4">
        <v>4200</v>
      </c>
      <c r="B188" s="183" t="s">
        <v>204</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320">
        <v>4240</v>
      </c>
      <c r="B189" s="82" t="s">
        <v>205</v>
      </c>
      <c r="C189" s="83">
        <f t="shared" si="193"/>
        <v>0</v>
      </c>
      <c r="D189" s="199"/>
      <c r="E189" s="200"/>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206</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207</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320">
        <v>4310</v>
      </c>
      <c r="B192" s="82" t="s">
        <v>208</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209</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5"/>
      <c r="B194" s="23" t="s">
        <v>210</v>
      </c>
      <c r="C194" s="172">
        <f t="shared" si="193"/>
        <v>30049</v>
      </c>
      <c r="D194" s="173">
        <f t="shared" ref="D194:O194" si="259">SUM(D195,D230,D269,D283)</f>
        <v>11169</v>
      </c>
      <c r="E194" s="174">
        <f t="shared" si="259"/>
        <v>18880</v>
      </c>
      <c r="F194" s="175">
        <f t="shared" si="259"/>
        <v>30049</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211</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212</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320">
        <v>5110</v>
      </c>
      <c r="B197" s="82" t="s">
        <v>213</v>
      </c>
      <c r="C197" s="83">
        <f t="shared" si="193"/>
        <v>0</v>
      </c>
      <c r="D197" s="199"/>
      <c r="E197" s="200"/>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214</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215</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216</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217</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218</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219</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220</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221</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222</v>
      </c>
      <c r="C206" s="83">
        <f t="shared" si="193"/>
        <v>0</v>
      </c>
      <c r="D206" s="199"/>
      <c r="E206" s="200"/>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223</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224</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225</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226</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227</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228</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229</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230</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231</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232</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233</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234</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235</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236</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237</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238</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239</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240</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241</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242</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243</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244</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245</v>
      </c>
      <c r="C229" s="143">
        <f t="shared" si="288"/>
        <v>0</v>
      </c>
      <c r="D229" s="203"/>
      <c r="E229" s="204"/>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246</v>
      </c>
      <c r="C230" s="178">
        <f t="shared" si="288"/>
        <v>30049</v>
      </c>
      <c r="D230" s="179">
        <f>D231+D251+D259</f>
        <v>11169</v>
      </c>
      <c r="E230" s="180">
        <f t="shared" ref="E230:F230" si="305">E231+E251+E259</f>
        <v>18880</v>
      </c>
      <c r="F230" s="181">
        <f t="shared" si="305"/>
        <v>30049</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7">
        <v>6200</v>
      </c>
      <c r="B231" s="208" t="s">
        <v>247</v>
      </c>
      <c r="C231" s="218">
        <f t="shared" si="288"/>
        <v>0</v>
      </c>
      <c r="D231" s="219">
        <f>SUM(D232,D233,D235,D238,D244,D245,D246)</f>
        <v>0</v>
      </c>
      <c r="E231" s="220">
        <f t="shared" ref="E231:F231" si="309">SUM(E232,E233,E235,E238,E244,E245,E246)</f>
        <v>0</v>
      </c>
      <c r="F231" s="221">
        <f t="shared" si="309"/>
        <v>0</v>
      </c>
      <c r="G231" s="219">
        <f>SUM(G232,G233,G235,G238,G244,G245,G246)</f>
        <v>0</v>
      </c>
      <c r="H231" s="220">
        <f t="shared" ref="H231:I231" si="310">SUM(H232,H233,H235,H238,H244,H245,H246)</f>
        <v>0</v>
      </c>
      <c r="I231" s="221">
        <f t="shared" si="310"/>
        <v>0</v>
      </c>
      <c r="J231" s="219">
        <f>SUM(J232,J233,J235,J238,J244,J245,J246)</f>
        <v>0</v>
      </c>
      <c r="K231" s="220">
        <f t="shared" ref="K231:L231" si="311">SUM(K232,K233,K235,K238,K244,K245,K246)</f>
        <v>0</v>
      </c>
      <c r="L231" s="221">
        <f t="shared" si="311"/>
        <v>0</v>
      </c>
      <c r="M231" s="219">
        <f>SUM(M232,M233,M235,M238,M244,M245,M246)</f>
        <v>0</v>
      </c>
      <c r="N231" s="220">
        <f t="shared" ref="N231:O231" si="312">SUM(N232,N233,N235,N238,N244,N245,N246)</f>
        <v>0</v>
      </c>
      <c r="O231" s="221">
        <f t="shared" si="312"/>
        <v>0</v>
      </c>
      <c r="P231" s="222"/>
    </row>
    <row r="232" spans="1:16" ht="24" hidden="1" customHeight="1" x14ac:dyDescent="0.25">
      <c r="A232" s="320">
        <v>6220</v>
      </c>
      <c r="B232" s="82" t="s">
        <v>248</v>
      </c>
      <c r="C232" s="83">
        <f t="shared" si="288"/>
        <v>0</v>
      </c>
      <c r="D232" s="199"/>
      <c r="E232" s="200"/>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249</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250</v>
      </c>
      <c r="C234" s="90">
        <f t="shared" si="288"/>
        <v>0</v>
      </c>
      <c r="D234" s="199"/>
      <c r="E234" s="200"/>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251</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252</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253</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254</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255</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256</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257</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258</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259</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260</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261</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20">
        <v>6290</v>
      </c>
      <c r="B246" s="82" t="s">
        <v>262</v>
      </c>
      <c r="C246" s="209">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263</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264</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265</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266</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267</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320">
        <v>6320</v>
      </c>
      <c r="B252" s="82" t="s">
        <v>268</v>
      </c>
      <c r="C252" s="209">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269</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270</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271</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272</v>
      </c>
      <c r="C256" s="83">
        <f t="shared" si="288"/>
        <v>0</v>
      </c>
      <c r="D256" s="199"/>
      <c r="E256" s="200"/>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6">
        <v>6330</v>
      </c>
      <c r="B257" s="227" t="s">
        <v>273</v>
      </c>
      <c r="C257" s="209">
        <f t="shared" si="288"/>
        <v>0</v>
      </c>
      <c r="D257" s="211"/>
      <c r="E257" s="212"/>
      <c r="F257" s="213">
        <f t="shared" si="337"/>
        <v>0</v>
      </c>
      <c r="G257" s="214"/>
      <c r="H257" s="215"/>
      <c r="I257" s="213">
        <f t="shared" si="338"/>
        <v>0</v>
      </c>
      <c r="J257" s="214"/>
      <c r="K257" s="215"/>
      <c r="L257" s="213">
        <f t="shared" si="339"/>
        <v>0</v>
      </c>
      <c r="M257" s="214"/>
      <c r="N257" s="215"/>
      <c r="O257" s="213">
        <f t="shared" si="340"/>
        <v>0</v>
      </c>
      <c r="P257" s="216"/>
    </row>
    <row r="258" spans="1:16" ht="12" hidden="1" customHeight="1" x14ac:dyDescent="0.25">
      <c r="A258" s="189">
        <v>6360</v>
      </c>
      <c r="B258" s="89" t="s">
        <v>274</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275</v>
      </c>
      <c r="C259" s="70">
        <f t="shared" si="288"/>
        <v>30049</v>
      </c>
      <c r="D259" s="184">
        <f>SUM(D260,D264)</f>
        <v>11169</v>
      </c>
      <c r="E259" s="185">
        <f t="shared" ref="E259:O259" si="341">SUM(E260,E264)</f>
        <v>18880</v>
      </c>
      <c r="F259" s="73">
        <f t="shared" si="341"/>
        <v>30049</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320">
        <v>6410</v>
      </c>
      <c r="B260" s="82" t="s">
        <v>276</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1" t="s">
        <v>277</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278</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279</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x14ac:dyDescent="0.25">
      <c r="A264" s="189">
        <v>6420</v>
      </c>
      <c r="B264" s="89" t="s">
        <v>280</v>
      </c>
      <c r="C264" s="90">
        <f t="shared" si="288"/>
        <v>30049</v>
      </c>
      <c r="D264" s="190">
        <f>SUM(D265:D268)</f>
        <v>11169</v>
      </c>
      <c r="E264" s="191">
        <f t="shared" ref="E264:F264" si="347">SUM(E265:E268)</f>
        <v>18880</v>
      </c>
      <c r="F264" s="55">
        <f t="shared" si="347"/>
        <v>30049</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281</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9" t="s">
        <v>282</v>
      </c>
      <c r="C266" s="90">
        <f t="shared" si="288"/>
        <v>30049</v>
      </c>
      <c r="D266" s="196">
        <v>11169</v>
      </c>
      <c r="E266" s="197">
        <v>18880</v>
      </c>
      <c r="F266" s="55">
        <f t="shared" si="351"/>
        <v>30049</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283</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345">
        <v>6424</v>
      </c>
      <c r="B268" s="346" t="s">
        <v>284</v>
      </c>
      <c r="C268" s="347">
        <f t="shared" si="288"/>
        <v>0</v>
      </c>
      <c r="D268" s="352">
        <v>0</v>
      </c>
      <c r="E268" s="353"/>
      <c r="F268" s="350">
        <f t="shared" si="351"/>
        <v>0</v>
      </c>
      <c r="G268" s="348"/>
      <c r="H268" s="349"/>
      <c r="I268" s="350">
        <f t="shared" si="352"/>
        <v>0</v>
      </c>
      <c r="J268" s="348"/>
      <c r="K268" s="349"/>
      <c r="L268" s="350">
        <f t="shared" si="353"/>
        <v>0</v>
      </c>
      <c r="M268" s="348"/>
      <c r="N268" s="349"/>
      <c r="O268" s="350">
        <f t="shared" si="354"/>
        <v>0</v>
      </c>
      <c r="P268" s="354"/>
    </row>
    <row r="269" spans="1:16" ht="48" hidden="1" x14ac:dyDescent="0.25">
      <c r="A269" s="228">
        <v>7000</v>
      </c>
      <c r="B269" s="228" t="s">
        <v>285</v>
      </c>
      <c r="C269" s="229">
        <f t="shared" si="288"/>
        <v>0</v>
      </c>
      <c r="D269" s="230">
        <f>SUM(D270,D281)</f>
        <v>0</v>
      </c>
      <c r="E269" s="231">
        <f t="shared" ref="E269:F269" si="355">SUM(E270,E281)</f>
        <v>0</v>
      </c>
      <c r="F269" s="232">
        <f t="shared" si="355"/>
        <v>0</v>
      </c>
      <c r="G269" s="230">
        <f>SUM(G270,G281)</f>
        <v>0</v>
      </c>
      <c r="H269" s="231">
        <f t="shared" ref="H269:I269" si="356">SUM(H270,H281)</f>
        <v>0</v>
      </c>
      <c r="I269" s="232">
        <f t="shared" si="356"/>
        <v>0</v>
      </c>
      <c r="J269" s="230">
        <f>SUM(J270,J281)</f>
        <v>0</v>
      </c>
      <c r="K269" s="231">
        <f t="shared" ref="K269:L269" si="357">SUM(K270,K281)</f>
        <v>0</v>
      </c>
      <c r="L269" s="232">
        <f t="shared" si="357"/>
        <v>0</v>
      </c>
      <c r="M269" s="230">
        <f>SUM(M270,M281)</f>
        <v>0</v>
      </c>
      <c r="N269" s="231">
        <f t="shared" ref="N269:O269" si="358">SUM(N270,N281)</f>
        <v>0</v>
      </c>
      <c r="O269" s="232">
        <f t="shared" si="358"/>
        <v>0</v>
      </c>
      <c r="P269" s="233"/>
    </row>
    <row r="270" spans="1:16" ht="24" hidden="1" x14ac:dyDescent="0.25">
      <c r="A270" s="69">
        <v>7200</v>
      </c>
      <c r="B270" s="183" t="s">
        <v>286</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320">
        <v>7210</v>
      </c>
      <c r="B271" s="82" t="s">
        <v>287</v>
      </c>
      <c r="C271" s="83">
        <f t="shared" si="288"/>
        <v>0</v>
      </c>
      <c r="D271" s="199"/>
      <c r="E271" s="200"/>
      <c r="F271" s="134">
        <f>D271+E271</f>
        <v>0</v>
      </c>
      <c r="G271" s="46"/>
      <c r="H271" s="47"/>
      <c r="I271" s="134">
        <f>G271+H271</f>
        <v>0</v>
      </c>
      <c r="J271" s="46"/>
      <c r="K271" s="47"/>
      <c r="L271" s="134">
        <f>K271+J271</f>
        <v>0</v>
      </c>
      <c r="M271" s="46"/>
      <c r="N271" s="47"/>
      <c r="O271" s="134">
        <f>N271+M271</f>
        <v>0</v>
      </c>
      <c r="P271" s="49"/>
    </row>
    <row r="272" spans="1:16" s="234" customFormat="1" ht="24" hidden="1" x14ac:dyDescent="0.25">
      <c r="A272" s="189">
        <v>7220</v>
      </c>
      <c r="B272" s="89" t="s">
        <v>288</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4" customFormat="1" ht="36" hidden="1" customHeight="1" x14ac:dyDescent="0.25">
      <c r="A273" s="51">
        <v>7221</v>
      </c>
      <c r="B273" s="89" t="s">
        <v>289</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4" customFormat="1" ht="36" hidden="1" customHeight="1" x14ac:dyDescent="0.25">
      <c r="A274" s="51">
        <v>7222</v>
      </c>
      <c r="B274" s="89" t="s">
        <v>290</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291</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292</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293</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294</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295</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20">
        <v>7260</v>
      </c>
      <c r="B280" s="82" t="s">
        <v>296</v>
      </c>
      <c r="C280" s="83">
        <f t="shared" si="371"/>
        <v>0</v>
      </c>
      <c r="D280" s="199"/>
      <c r="E280" s="200"/>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297</v>
      </c>
      <c r="C281" s="110">
        <f t="shared" si="371"/>
        <v>0</v>
      </c>
      <c r="D281" s="235">
        <f t="shared" ref="D281:O281" si="378">D282</f>
        <v>0</v>
      </c>
      <c r="E281" s="236">
        <f t="shared" si="378"/>
        <v>0</v>
      </c>
      <c r="F281" s="131">
        <f t="shared" si="378"/>
        <v>0</v>
      </c>
      <c r="G281" s="235">
        <f t="shared" si="378"/>
        <v>0</v>
      </c>
      <c r="H281" s="236">
        <f t="shared" si="378"/>
        <v>0</v>
      </c>
      <c r="I281" s="131">
        <f t="shared" si="378"/>
        <v>0</v>
      </c>
      <c r="J281" s="235">
        <f t="shared" si="378"/>
        <v>0</v>
      </c>
      <c r="K281" s="236">
        <f t="shared" si="378"/>
        <v>0</v>
      </c>
      <c r="L281" s="131">
        <f t="shared" si="378"/>
        <v>0</v>
      </c>
      <c r="M281" s="235">
        <f t="shared" si="378"/>
        <v>0</v>
      </c>
      <c r="N281" s="236">
        <f t="shared" si="378"/>
        <v>0</v>
      </c>
      <c r="O281" s="131">
        <f t="shared" si="378"/>
        <v>0</v>
      </c>
      <c r="P281" s="119"/>
    </row>
    <row r="282" spans="1:16" ht="12" hidden="1" customHeight="1" x14ac:dyDescent="0.25">
      <c r="A282" s="186">
        <v>7720</v>
      </c>
      <c r="B282" s="82" t="s">
        <v>298</v>
      </c>
      <c r="C282" s="98">
        <f t="shared" si="371"/>
        <v>0</v>
      </c>
      <c r="D282" s="237"/>
      <c r="E282" s="238"/>
      <c r="F282" s="239">
        <f>D282+E282</f>
        <v>0</v>
      </c>
      <c r="G282" s="102"/>
      <c r="H282" s="103"/>
      <c r="I282" s="239">
        <f>G282+H282</f>
        <v>0</v>
      </c>
      <c r="J282" s="102"/>
      <c r="K282" s="103"/>
      <c r="L282" s="239">
        <f>K282+J282</f>
        <v>0</v>
      </c>
      <c r="M282" s="102"/>
      <c r="N282" s="103"/>
      <c r="O282" s="239">
        <f>N282+M282</f>
        <v>0</v>
      </c>
      <c r="P282" s="107"/>
    </row>
    <row r="283" spans="1:16" hidden="1" x14ac:dyDescent="0.25">
      <c r="A283" s="240">
        <v>9000</v>
      </c>
      <c r="B283" s="241" t="s">
        <v>299</v>
      </c>
      <c r="C283" s="242">
        <f t="shared" si="371"/>
        <v>0</v>
      </c>
      <c r="D283" s="243">
        <f t="shared" ref="D283:O284" si="379">D284</f>
        <v>0</v>
      </c>
      <c r="E283" s="244">
        <f t="shared" si="379"/>
        <v>0</v>
      </c>
      <c r="F283" s="245">
        <f t="shared" si="379"/>
        <v>0</v>
      </c>
      <c r="G283" s="243">
        <f>G284</f>
        <v>0</v>
      </c>
      <c r="H283" s="244">
        <f t="shared" ref="H283:I283" si="380">H284</f>
        <v>0</v>
      </c>
      <c r="I283" s="245">
        <f t="shared" si="380"/>
        <v>0</v>
      </c>
      <c r="J283" s="243">
        <f t="shared" si="379"/>
        <v>0</v>
      </c>
      <c r="K283" s="244">
        <f t="shared" si="379"/>
        <v>0</v>
      </c>
      <c r="L283" s="245">
        <f t="shared" si="379"/>
        <v>0</v>
      </c>
      <c r="M283" s="243">
        <f t="shared" si="379"/>
        <v>0</v>
      </c>
      <c r="N283" s="244">
        <f t="shared" si="379"/>
        <v>0</v>
      </c>
      <c r="O283" s="245">
        <f t="shared" si="379"/>
        <v>0</v>
      </c>
      <c r="P283" s="246"/>
    </row>
    <row r="284" spans="1:16" ht="24" hidden="1" x14ac:dyDescent="0.25">
      <c r="A284" s="247">
        <v>9200</v>
      </c>
      <c r="B284" s="89" t="s">
        <v>300</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8">
        <v>9230</v>
      </c>
      <c r="B285" s="89" t="s">
        <v>301</v>
      </c>
      <c r="C285" s="143">
        <f t="shared" si="371"/>
        <v>0</v>
      </c>
      <c r="D285" s="203"/>
      <c r="E285" s="204"/>
      <c r="F285" s="141">
        <f>D285+E285</f>
        <v>0</v>
      </c>
      <c r="G285" s="144"/>
      <c r="H285" s="145"/>
      <c r="I285" s="141">
        <f>G285+H285</f>
        <v>0</v>
      </c>
      <c r="J285" s="144"/>
      <c r="K285" s="145"/>
      <c r="L285" s="141">
        <f>K285+J285</f>
        <v>0</v>
      </c>
      <c r="M285" s="144"/>
      <c r="N285" s="145"/>
      <c r="O285" s="141">
        <f>N285+M285</f>
        <v>0</v>
      </c>
      <c r="P285" s="129"/>
    </row>
    <row r="286" spans="1:16" hidden="1" x14ac:dyDescent="0.25">
      <c r="A286" s="201"/>
      <c r="B286" s="89" t="s">
        <v>302</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1" t="s">
        <v>303</v>
      </c>
      <c r="B287" s="51" t="s">
        <v>304</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1" t="s">
        <v>305</v>
      </c>
      <c r="B288" s="249" t="s">
        <v>306</v>
      </c>
      <c r="C288" s="83">
        <f t="shared" si="371"/>
        <v>0</v>
      </c>
      <c r="D288" s="199"/>
      <c r="E288" s="200"/>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50"/>
      <c r="B289" s="250" t="s">
        <v>307</v>
      </c>
      <c r="C289" s="251">
        <f t="shared" si="371"/>
        <v>388209</v>
      </c>
      <c r="D289" s="252">
        <f t="shared" ref="D289:O289" si="389">SUM(D286,D269,D230,D195,D187,D173,D75,D53,D283)</f>
        <v>384218</v>
      </c>
      <c r="E289" s="253">
        <f t="shared" si="389"/>
        <v>3991</v>
      </c>
      <c r="F289" s="254">
        <f t="shared" si="389"/>
        <v>388209</v>
      </c>
      <c r="G289" s="252">
        <f t="shared" si="389"/>
        <v>0</v>
      </c>
      <c r="H289" s="253">
        <f t="shared" si="389"/>
        <v>0</v>
      </c>
      <c r="I289" s="254">
        <f t="shared" si="389"/>
        <v>0</v>
      </c>
      <c r="J289" s="252">
        <f t="shared" si="389"/>
        <v>0</v>
      </c>
      <c r="K289" s="253">
        <f t="shared" si="389"/>
        <v>0</v>
      </c>
      <c r="L289" s="254">
        <f t="shared" si="389"/>
        <v>0</v>
      </c>
      <c r="M289" s="252">
        <f t="shared" si="389"/>
        <v>0</v>
      </c>
      <c r="N289" s="253">
        <f t="shared" si="389"/>
        <v>0</v>
      </c>
      <c r="O289" s="254">
        <f t="shared" si="389"/>
        <v>0</v>
      </c>
      <c r="P289" s="255"/>
    </row>
    <row r="290" spans="1:16" s="28" customFormat="1" ht="13.5" hidden="1" thickTop="1" thickBot="1" x14ac:dyDescent="0.3">
      <c r="A290" s="1544" t="s">
        <v>308</v>
      </c>
      <c r="B290" s="1545"/>
      <c r="C290" s="256">
        <f t="shared" si="371"/>
        <v>0</v>
      </c>
      <c r="D290" s="257">
        <f>SUM(D24,D25,D41)-D51</f>
        <v>0</v>
      </c>
      <c r="E290" s="258">
        <f t="shared" ref="E290:F290" si="390">SUM(E24,E25,E41)-E51</f>
        <v>0</v>
      </c>
      <c r="F290" s="259">
        <f t="shared" si="390"/>
        <v>0</v>
      </c>
      <c r="G290" s="257">
        <f>SUM(G24,G25,G41)-G51</f>
        <v>0</v>
      </c>
      <c r="H290" s="258">
        <f t="shared" ref="H290:I290" si="391">SUM(H24,H25,H41)-H51</f>
        <v>0</v>
      </c>
      <c r="I290" s="259">
        <f t="shared" si="391"/>
        <v>0</v>
      </c>
      <c r="J290" s="257">
        <f>(J26+J43)-J51</f>
        <v>0</v>
      </c>
      <c r="K290" s="258">
        <f t="shared" ref="K290:L290" si="392">(K26+K43)-K51</f>
        <v>0</v>
      </c>
      <c r="L290" s="259">
        <f t="shared" si="392"/>
        <v>0</v>
      </c>
      <c r="M290" s="257">
        <f>M45-M51</f>
        <v>0</v>
      </c>
      <c r="N290" s="258">
        <f t="shared" ref="N290:O290" si="393">N45-N51</f>
        <v>0</v>
      </c>
      <c r="O290" s="259">
        <f t="shared" si="393"/>
        <v>0</v>
      </c>
      <c r="P290" s="260"/>
    </row>
    <row r="291" spans="1:16" s="28" customFormat="1" ht="12.75" hidden="1" thickTop="1" x14ac:dyDescent="0.25">
      <c r="A291" s="1546" t="s">
        <v>309</v>
      </c>
      <c r="B291" s="1547"/>
      <c r="C291" s="261">
        <f t="shared" si="371"/>
        <v>0</v>
      </c>
      <c r="D291" s="262">
        <f t="shared" ref="D291:O291" si="394">SUM(D292,D293)-D300+D301</f>
        <v>0</v>
      </c>
      <c r="E291" s="263">
        <f t="shared" si="394"/>
        <v>0</v>
      </c>
      <c r="F291" s="264">
        <f t="shared" si="394"/>
        <v>0</v>
      </c>
      <c r="G291" s="262">
        <f t="shared" si="394"/>
        <v>0</v>
      </c>
      <c r="H291" s="263">
        <f t="shared" si="394"/>
        <v>0</v>
      </c>
      <c r="I291" s="264">
        <f t="shared" si="394"/>
        <v>0</v>
      </c>
      <c r="J291" s="262">
        <f t="shared" si="394"/>
        <v>0</v>
      </c>
      <c r="K291" s="263">
        <f t="shared" si="394"/>
        <v>0</v>
      </c>
      <c r="L291" s="264">
        <f t="shared" si="394"/>
        <v>0</v>
      </c>
      <c r="M291" s="262">
        <f t="shared" si="394"/>
        <v>0</v>
      </c>
      <c r="N291" s="263">
        <f t="shared" si="394"/>
        <v>0</v>
      </c>
      <c r="O291" s="264">
        <f t="shared" si="394"/>
        <v>0</v>
      </c>
      <c r="P291" s="265"/>
    </row>
    <row r="292" spans="1:16" s="28" customFormat="1" ht="13.5" hidden="1" thickTop="1" thickBot="1" x14ac:dyDescent="0.3">
      <c r="A292" s="157" t="s">
        <v>310</v>
      </c>
      <c r="B292" s="157" t="s">
        <v>311</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6" t="s">
        <v>312</v>
      </c>
      <c r="B293" s="266" t="s">
        <v>313</v>
      </c>
      <c r="C293" s="261">
        <f t="shared" si="371"/>
        <v>0</v>
      </c>
      <c r="D293" s="262">
        <f t="shared" ref="D293:O293" si="396">SUM(D294,D296,D298)-SUM(D295,D297,D299)</f>
        <v>0</v>
      </c>
      <c r="E293" s="263">
        <f t="shared" si="396"/>
        <v>0</v>
      </c>
      <c r="F293" s="264">
        <f t="shared" si="396"/>
        <v>0</v>
      </c>
      <c r="G293" s="262">
        <f t="shared" si="396"/>
        <v>0</v>
      </c>
      <c r="H293" s="263">
        <f t="shared" si="396"/>
        <v>0</v>
      </c>
      <c r="I293" s="264">
        <f t="shared" si="396"/>
        <v>0</v>
      </c>
      <c r="J293" s="262">
        <f t="shared" si="396"/>
        <v>0</v>
      </c>
      <c r="K293" s="263">
        <f t="shared" si="396"/>
        <v>0</v>
      </c>
      <c r="L293" s="264">
        <f t="shared" si="396"/>
        <v>0</v>
      </c>
      <c r="M293" s="262">
        <f t="shared" si="396"/>
        <v>0</v>
      </c>
      <c r="N293" s="263">
        <f t="shared" si="396"/>
        <v>0</v>
      </c>
      <c r="O293" s="264">
        <f t="shared" si="396"/>
        <v>0</v>
      </c>
      <c r="P293" s="265"/>
    </row>
    <row r="294" spans="1:16" ht="12" hidden="1" customHeight="1" x14ac:dyDescent="0.25">
      <c r="A294" s="267" t="s">
        <v>314</v>
      </c>
      <c r="B294" s="142" t="s">
        <v>315</v>
      </c>
      <c r="C294" s="98">
        <f t="shared" si="371"/>
        <v>0</v>
      </c>
      <c r="D294" s="237"/>
      <c r="E294" s="238"/>
      <c r="F294" s="239">
        <f t="shared" ref="F294:F301" si="397">D294+E294</f>
        <v>0</v>
      </c>
      <c r="G294" s="102"/>
      <c r="H294" s="103"/>
      <c r="I294" s="239">
        <f t="shared" ref="I294:I301" si="398">G294+H294</f>
        <v>0</v>
      </c>
      <c r="J294" s="102"/>
      <c r="K294" s="103"/>
      <c r="L294" s="239">
        <f t="shared" ref="L294:L301" si="399">K294+J294</f>
        <v>0</v>
      </c>
      <c r="M294" s="102"/>
      <c r="N294" s="103"/>
      <c r="O294" s="239">
        <f t="shared" ref="O294:O301" si="400">N294+M294</f>
        <v>0</v>
      </c>
      <c r="P294" s="107"/>
    </row>
    <row r="295" spans="1:16" ht="24" hidden="1" customHeight="1" x14ac:dyDescent="0.25">
      <c r="A295" s="201" t="s">
        <v>316</v>
      </c>
      <c r="B295" s="50" t="s">
        <v>317</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1" t="s">
        <v>318</v>
      </c>
      <c r="B296" s="50" t="s">
        <v>319</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1" t="s">
        <v>320</v>
      </c>
      <c r="B297" s="50" t="s">
        <v>321</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1" t="s">
        <v>322</v>
      </c>
      <c r="B298" s="50" t="s">
        <v>323</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8" t="s">
        <v>324</v>
      </c>
      <c r="B299" s="269" t="s">
        <v>325</v>
      </c>
      <c r="C299" s="209">
        <f t="shared" si="371"/>
        <v>0</v>
      </c>
      <c r="D299" s="211"/>
      <c r="E299" s="212"/>
      <c r="F299" s="213">
        <f t="shared" si="397"/>
        <v>0</v>
      </c>
      <c r="G299" s="214"/>
      <c r="H299" s="215"/>
      <c r="I299" s="213">
        <f t="shared" si="398"/>
        <v>0</v>
      </c>
      <c r="J299" s="214"/>
      <c r="K299" s="215"/>
      <c r="L299" s="213">
        <f t="shared" si="399"/>
        <v>0</v>
      </c>
      <c r="M299" s="214"/>
      <c r="N299" s="215"/>
      <c r="O299" s="213">
        <f t="shared" si="400"/>
        <v>0</v>
      </c>
      <c r="P299" s="216"/>
    </row>
    <row r="300" spans="1:16" s="28" customFormat="1" ht="13.5" hidden="1" customHeight="1" thickTop="1" thickBot="1" x14ac:dyDescent="0.3">
      <c r="A300" s="270" t="s">
        <v>326</v>
      </c>
      <c r="B300" s="270" t="s">
        <v>327</v>
      </c>
      <c r="C300" s="256">
        <f t="shared" si="371"/>
        <v>0</v>
      </c>
      <c r="D300" s="271"/>
      <c r="E300" s="272"/>
      <c r="F300" s="259">
        <f t="shared" si="397"/>
        <v>0</v>
      </c>
      <c r="G300" s="271"/>
      <c r="H300" s="272"/>
      <c r="I300" s="273">
        <f t="shared" si="398"/>
        <v>0</v>
      </c>
      <c r="J300" s="271"/>
      <c r="K300" s="272"/>
      <c r="L300" s="273">
        <f t="shared" si="399"/>
        <v>0</v>
      </c>
      <c r="M300" s="271"/>
      <c r="N300" s="272"/>
      <c r="O300" s="273">
        <f t="shared" si="400"/>
        <v>0</v>
      </c>
      <c r="P300" s="274"/>
    </row>
    <row r="301" spans="1:16" s="28" customFormat="1" ht="48.75" hidden="1" customHeight="1" thickTop="1" x14ac:dyDescent="0.25">
      <c r="A301" s="266" t="s">
        <v>328</v>
      </c>
      <c r="B301" s="275" t="s">
        <v>329</v>
      </c>
      <c r="C301" s="261">
        <f t="shared" si="371"/>
        <v>0</v>
      </c>
      <c r="D301" s="205"/>
      <c r="E301" s="206"/>
      <c r="F301" s="73">
        <f t="shared" si="397"/>
        <v>0</v>
      </c>
      <c r="G301" s="205"/>
      <c r="H301" s="206"/>
      <c r="I301" s="73">
        <f t="shared" si="398"/>
        <v>0</v>
      </c>
      <c r="J301" s="205"/>
      <c r="K301" s="206"/>
      <c r="L301" s="73">
        <f t="shared" si="399"/>
        <v>0</v>
      </c>
      <c r="M301" s="205"/>
      <c r="N301" s="206"/>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sheetData>
  <sheetProtection algorithmName="SHA-512" hashValue="4VcMWialBEo6WsB5Kt6YosMVSKCd8Z42quDwhf/GCFV0x+gLEnkvYz76QQeIcwG4gEsod4pLxRW2RWbMWhm8DQ==" saltValue="UjYkCik6v+BtlPRE2gBVmg==" spinCount="100000" sheet="1" objects="1" scenarios="1" formatCells="0" formatColumns="0" formatRows="0" deleteColumns="0"/>
  <autoFilter ref="A18:P301">
    <filterColumn colId="2">
      <filters>
        <filter val="20 284"/>
        <filter val="23 697"/>
        <filter val="3 413"/>
        <filter val="30 049"/>
        <filter val="30 611"/>
        <filter val="327 549"/>
        <filter val="358 160"/>
        <filter val="388 209"/>
        <filter val="5 837"/>
        <filter val="500"/>
        <filter val="577"/>
        <filter val="6 414"/>
        <filter val="6 91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11.pielikums Jūrmalas pilsētas domes
2019.gada 31.oktobra saistošajiem noteikumiem Nr.46
(protokols Nr.14, 28.punkts)</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74</vt:i4>
      </vt:variant>
    </vt:vector>
  </HeadingPairs>
  <TitlesOfParts>
    <vt:vector size="159" baseType="lpstr">
      <vt:lpstr>01.1.1.</vt:lpstr>
      <vt:lpstr>01.1.4.</vt:lpstr>
      <vt:lpstr>03.2.1.</vt:lpstr>
      <vt:lpstr>04.1.4.</vt:lpstr>
      <vt:lpstr>06.1.1.</vt:lpstr>
      <vt:lpstr>06.1.6.</vt:lpstr>
      <vt:lpstr>08.1.6.</vt:lpstr>
      <vt:lpstr>08.1.7</vt:lpstr>
      <vt:lpstr>08.1.8</vt:lpstr>
      <vt:lpstr>08.4.1.</vt:lpstr>
      <vt:lpstr>08.4.2.</vt:lpstr>
      <vt:lpstr>09.4.1.</vt:lpstr>
      <vt:lpstr>09.4.2.</vt:lpstr>
      <vt:lpstr>09.8.1.</vt:lpstr>
      <vt:lpstr>09.9.1.</vt:lpstr>
      <vt:lpstr>09.10.1.</vt:lpstr>
      <vt:lpstr>09.11.1.</vt:lpstr>
      <vt:lpstr>09.12.1.</vt:lpstr>
      <vt:lpstr>09.21.4.</vt:lpstr>
      <vt:lpstr>09.26.1.</vt:lpstr>
      <vt:lpstr>09.29.1.</vt:lpstr>
      <vt:lpstr>09.29.2.</vt:lpstr>
      <vt:lpstr>09.31.2.</vt:lpstr>
      <vt:lpstr>10.2.1.</vt:lpstr>
      <vt:lpstr>10.3.1.</vt:lpstr>
      <vt:lpstr>10.5.1.</vt:lpstr>
      <vt:lpstr>5.piel.</vt:lpstr>
      <vt:lpstr>13.piel.</vt:lpstr>
      <vt:lpstr>17.piel.</vt:lpstr>
      <vt:lpstr>19.piel.</vt:lpstr>
      <vt:lpstr>24.piel.</vt:lpstr>
      <vt:lpstr>25.piel.</vt:lpstr>
      <vt:lpstr>26.piel.</vt:lpstr>
      <vt:lpstr>28.piel.</vt:lpstr>
      <vt:lpstr>35.piel.</vt:lpstr>
      <vt:lpstr>09.1.4</vt:lpstr>
      <vt:lpstr>09.3.1.</vt:lpstr>
      <vt:lpstr>09.3.2.</vt:lpstr>
      <vt:lpstr>09.6.2.</vt:lpstr>
      <vt:lpstr>09.9.2.</vt:lpstr>
      <vt:lpstr>09.23.1.</vt:lpstr>
      <vt:lpstr>09.23.2.</vt:lpstr>
      <vt:lpstr>09.28.1.</vt:lpstr>
      <vt:lpstr>09.30.2.</vt:lpstr>
      <vt:lpstr>10.2.4.</vt:lpstr>
      <vt:lpstr>16.piel.</vt:lpstr>
      <vt:lpstr>29.piel.</vt:lpstr>
      <vt:lpstr>04.1.11.</vt:lpstr>
      <vt:lpstr>04.1.17.</vt:lpstr>
      <vt:lpstr>04.3.1.</vt:lpstr>
      <vt:lpstr>04.4.2.</vt:lpstr>
      <vt:lpstr>06.3.1.</vt:lpstr>
      <vt:lpstr>08.1.5.</vt:lpstr>
      <vt:lpstr>08.5.1</vt:lpstr>
      <vt:lpstr>08.5.3</vt:lpstr>
      <vt:lpstr>08.5.4</vt:lpstr>
      <vt:lpstr>08.5.5</vt:lpstr>
      <vt:lpstr>08.5.6</vt:lpstr>
      <vt:lpstr>08.6.5.</vt:lpstr>
      <vt:lpstr>09.1.13.</vt:lpstr>
      <vt:lpstr>09.5.1.</vt:lpstr>
      <vt:lpstr>09.6.1.</vt:lpstr>
      <vt:lpstr>09.7.1.</vt:lpstr>
      <vt:lpstr>09.11.5.</vt:lpstr>
      <vt:lpstr>09.14.1.</vt:lpstr>
      <vt:lpstr>09.15.1.</vt:lpstr>
      <vt:lpstr>09.17.1.</vt:lpstr>
      <vt:lpstr>09.19.1.</vt:lpstr>
      <vt:lpstr>09.20.1.</vt:lpstr>
      <vt:lpstr>09.27.1.</vt:lpstr>
      <vt:lpstr>09.30.1.</vt:lpstr>
      <vt:lpstr>23.piel.</vt:lpstr>
      <vt:lpstr>09.1.12.</vt:lpstr>
      <vt:lpstr>09.2.1.</vt:lpstr>
      <vt:lpstr>09.5.3.</vt:lpstr>
      <vt:lpstr>09.11.4.</vt:lpstr>
      <vt:lpstr>09.13.1.</vt:lpstr>
      <vt:lpstr>09.16.1.</vt:lpstr>
      <vt:lpstr>09.18.1.</vt:lpstr>
      <vt:lpstr>09.21.1.</vt:lpstr>
      <vt:lpstr>09.22.1.</vt:lpstr>
      <vt:lpstr>09.24.3.</vt:lpstr>
      <vt:lpstr>09.25.1.</vt:lpstr>
      <vt:lpstr>10.2.9.</vt:lpstr>
      <vt:lpstr>08.5.7.</vt:lpstr>
      <vt:lpstr>'09.20.1.'!Print_Area</vt:lpstr>
      <vt:lpstr>'35.piel.'!Print_Area</vt:lpstr>
      <vt:lpstr>'01.1.1.'!Print_Titles</vt:lpstr>
      <vt:lpstr>'01.1.4.'!Print_Titles</vt:lpstr>
      <vt:lpstr>'03.2.1.'!Print_Titles</vt:lpstr>
      <vt:lpstr>'04.1.11.'!Print_Titles</vt:lpstr>
      <vt:lpstr>'04.1.17.'!Print_Titles</vt:lpstr>
      <vt:lpstr>'04.3.1.'!Print_Titles</vt:lpstr>
      <vt:lpstr>'04.4.2.'!Print_Titles</vt:lpstr>
      <vt:lpstr>'06.1.1.'!Print_Titles</vt:lpstr>
      <vt:lpstr>'06.1.6.'!Print_Titles</vt:lpstr>
      <vt:lpstr>'06.3.1.'!Print_Titles</vt:lpstr>
      <vt:lpstr>'08.1.5.'!Print_Titles</vt:lpstr>
      <vt:lpstr>'08.1.6.'!Print_Titles</vt:lpstr>
      <vt:lpstr>'08.1.7'!Print_Titles</vt:lpstr>
      <vt:lpstr>'08.1.8'!Print_Titles</vt:lpstr>
      <vt:lpstr>'08.4.1.'!Print_Titles</vt:lpstr>
      <vt:lpstr>'08.4.2.'!Print_Titles</vt:lpstr>
      <vt:lpstr>'08.5.1'!Print_Titles</vt:lpstr>
      <vt:lpstr>'08.5.3'!Print_Titles</vt:lpstr>
      <vt:lpstr>'08.5.4'!Print_Titles</vt:lpstr>
      <vt:lpstr>'08.5.5'!Print_Titles</vt:lpstr>
      <vt:lpstr>'08.5.6'!Print_Titles</vt:lpstr>
      <vt:lpstr>'08.5.7.'!Print_Titles</vt:lpstr>
      <vt:lpstr>'08.6.5.'!Print_Titles</vt:lpstr>
      <vt:lpstr>'09.1.12.'!Print_Titles</vt:lpstr>
      <vt:lpstr>'09.1.13.'!Print_Titles</vt:lpstr>
      <vt:lpstr>'09.1.4'!Print_Titles</vt:lpstr>
      <vt:lpstr>'09.10.1.'!Print_Titles</vt:lpstr>
      <vt:lpstr>'09.11.1.'!Print_Titles</vt:lpstr>
      <vt:lpstr>'09.11.4.'!Print_Titles</vt:lpstr>
      <vt:lpstr>'09.11.5.'!Print_Titles</vt:lpstr>
      <vt:lpstr>'09.12.1.'!Print_Titles</vt:lpstr>
      <vt:lpstr>'09.13.1.'!Print_Titles</vt:lpstr>
      <vt:lpstr>'09.14.1.'!Print_Titles</vt:lpstr>
      <vt:lpstr>'09.15.1.'!Print_Titles</vt:lpstr>
      <vt:lpstr>'09.16.1.'!Print_Titles</vt:lpstr>
      <vt:lpstr>'09.17.1.'!Print_Titles</vt:lpstr>
      <vt:lpstr>'09.18.1.'!Print_Titles</vt:lpstr>
      <vt:lpstr>'09.19.1.'!Print_Titles</vt:lpstr>
      <vt:lpstr>'09.2.1.'!Print_Titles</vt:lpstr>
      <vt:lpstr>'09.20.1.'!Print_Titles</vt:lpstr>
      <vt:lpstr>'09.21.1.'!Print_Titles</vt:lpstr>
      <vt:lpstr>'09.21.4.'!Print_Titles</vt:lpstr>
      <vt:lpstr>'09.22.1.'!Print_Titles</vt:lpstr>
      <vt:lpstr>'09.23.1.'!Print_Titles</vt:lpstr>
      <vt:lpstr>'09.23.2.'!Print_Titles</vt:lpstr>
      <vt:lpstr>'09.24.3.'!Print_Titles</vt:lpstr>
      <vt:lpstr>'09.26.1.'!Print_Titles</vt:lpstr>
      <vt:lpstr>'09.27.1.'!Print_Titles</vt:lpstr>
      <vt:lpstr>'09.28.1.'!Print_Titles</vt:lpstr>
      <vt:lpstr>'09.29.1.'!Print_Titles</vt:lpstr>
      <vt:lpstr>'09.29.2.'!Print_Titles</vt:lpstr>
      <vt:lpstr>'09.3.1.'!Print_Titles</vt:lpstr>
      <vt:lpstr>'09.3.2.'!Print_Titles</vt:lpstr>
      <vt:lpstr>'09.30.1.'!Print_Titles</vt:lpstr>
      <vt:lpstr>'09.30.2.'!Print_Titles</vt:lpstr>
      <vt:lpstr>'09.31.2.'!Print_Titles</vt:lpstr>
      <vt:lpstr>'09.4.1.'!Print_Titles</vt:lpstr>
      <vt:lpstr>'09.4.2.'!Print_Titles</vt:lpstr>
      <vt:lpstr>'09.5.1.'!Print_Titles</vt:lpstr>
      <vt:lpstr>'09.5.3.'!Print_Titles</vt:lpstr>
      <vt:lpstr>'09.6.1.'!Print_Titles</vt:lpstr>
      <vt:lpstr>'09.6.2.'!Print_Titles</vt:lpstr>
      <vt:lpstr>'09.7.1.'!Print_Titles</vt:lpstr>
      <vt:lpstr>'09.8.1.'!Print_Titles</vt:lpstr>
      <vt:lpstr>'09.9.1.'!Print_Titles</vt:lpstr>
      <vt:lpstr>'09.9.2.'!Print_Titles</vt:lpstr>
      <vt:lpstr>'10.2.1.'!Print_Titles</vt:lpstr>
      <vt:lpstr>'10.2.4.'!Print_Titles</vt:lpstr>
      <vt:lpstr>'10.2.9.'!Print_Titles</vt:lpstr>
      <vt:lpstr>'10.3.1.'!Print_Titles</vt:lpstr>
      <vt:lpstr>'10.5.1.'!Print_Titles</vt:lpstr>
      <vt:lpstr>'35.piel.'!Print_Titles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Liene Logina</cp:lastModifiedBy>
  <cp:lastPrinted>2019-11-04T12:16:21Z</cp:lastPrinted>
  <dcterms:created xsi:type="dcterms:W3CDTF">2019-10-08T08:42:38Z</dcterms:created>
  <dcterms:modified xsi:type="dcterms:W3CDTF">2019-11-04T12:16:46Z</dcterms:modified>
</cp:coreProperties>
</file>